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205" yWindow="105" windowWidth="16995" windowHeight="6915" tabRatio="854" firstSheet="1" activeTab="2"/>
  </bookViews>
  <sheets>
    <sheet name="A216810396964DCDB399904ED81BA8E" sheetId="25" state="veryHidden" r:id="rId1"/>
    <sheet name="TOTALCO" sheetId="1" r:id="rId2"/>
    <sheet name="Print Layout" sheetId="3" r:id="rId3"/>
    <sheet name="KY-CWC" sheetId="33" r:id="rId4"/>
    <sheet name="KY-CWC-BS" sheetId="46" r:id="rId5"/>
    <sheet name="VA-CWC" sheetId="29" r:id="rId6"/>
    <sheet name="VA-CWC-BS" sheetId="30" r:id="rId7"/>
    <sheet name="Lead Lag Days" sheetId="45" r:id="rId8"/>
    <sheet name="Revenues" sheetId="40" r:id="rId9"/>
    <sheet name="MiscRev" sheetId="41" r:id="rId10"/>
    <sheet name="PIS" sheetId="15" r:id="rId11"/>
    <sheet name="FCPIS" sheetId="35" r:id="rId12"/>
    <sheet name="IS" sheetId="36" r:id="rId13"/>
    <sheet name="BS" sheetId="37" r:id="rId14"/>
    <sheet name="PHFU" sheetId="26" r:id="rId15"/>
    <sheet name="VA500KV" sheetId="17" r:id="rId16"/>
    <sheet name="AFUDC" sheetId="16" r:id="rId17"/>
    <sheet name="RWIP Allocation" sheetId="5" r:id="rId18"/>
    <sheet name="CWIP and AFUDC" sheetId="8" r:id="rId19"/>
    <sheet name="FC CWIP &amp; RWIP" sheetId="38" r:id="rId20"/>
    <sheet name="AFUDC Depr AccDepr" sheetId="14" r:id="rId21"/>
    <sheet name="O&amp;M" sheetId="12" r:id="rId22"/>
    <sheet name="FC O&amp;M" sheetId="39" r:id="rId23"/>
    <sheet name="Refined Coal-Coal Yard Services" sheetId="42" r:id="rId24"/>
    <sheet name="Outage Maint COS Support" sheetId="28" r:id="rId25"/>
    <sheet name="Outage Maintenance" sheetId="48" r:id="rId26"/>
    <sheet name="BR Reg Asset" sheetId="43" r:id="rId27"/>
    <sheet name="M&amp;S" sheetId="11" r:id="rId28"/>
    <sheet name="Inv Alloc" sheetId="19" r:id="rId29"/>
    <sheet name="Inv Org" sheetId="21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\" localSheetId="19" hidden="1">#REF!</definedName>
    <definedName name="\\" localSheetId="22" hidden="1">#REF!</definedName>
    <definedName name="\\" localSheetId="11" hidden="1">#REF!</definedName>
    <definedName name="\\" localSheetId="3" hidden="1">#REF!</definedName>
    <definedName name="\\" localSheetId="4" hidden="1">#REF!</definedName>
    <definedName name="\\" localSheetId="24" hidden="1">#REF!</definedName>
    <definedName name="\\" hidden="1">#REF!</definedName>
    <definedName name="\\\" localSheetId="3" hidden="1">#REF!</definedName>
    <definedName name="\\\" localSheetId="4" hidden="1">#REF!</definedName>
    <definedName name="\\\" localSheetId="24" hidden="1">#REF!</definedName>
    <definedName name="\\\" hidden="1">#REF!</definedName>
    <definedName name="\\\\" localSheetId="3" hidden="1">#REF!</definedName>
    <definedName name="\\\\" localSheetId="4" hidden="1">#REF!</definedName>
    <definedName name="\\\\" localSheetId="24" hidden="1">#REF!</definedName>
    <definedName name="\\\\" hidden="1">#REF!</definedName>
    <definedName name="__123Graph_1" localSheetId="3" hidden="1">#REF!</definedName>
    <definedName name="__123Graph_1" localSheetId="4" hidden="1">#REF!</definedName>
    <definedName name="__123Graph_1" hidden="1">#REF!</definedName>
    <definedName name="__123Graph_2" localSheetId="3" hidden="1">#REF!</definedName>
    <definedName name="__123Graph_2" localSheetId="4" hidden="1">#REF!</definedName>
    <definedName name="__123Graph_2" hidden="1">#REF!</definedName>
    <definedName name="__123Graph_3" localSheetId="3" hidden="1">#REF!</definedName>
    <definedName name="__123Graph_3" localSheetId="4" hidden="1">#REF!</definedName>
    <definedName name="__123Graph_3" hidden="1">#REF!</definedName>
    <definedName name="__123Graph_4" localSheetId="3" hidden="1">#REF!</definedName>
    <definedName name="__123Graph_4" localSheetId="4" hidden="1">#REF!</definedName>
    <definedName name="__123Graph_4" hidden="1">#REF!</definedName>
    <definedName name="__123Graph_5" localSheetId="3" hidden="1">#REF!</definedName>
    <definedName name="__123Graph_5" localSheetId="4" hidden="1">#REF!</definedName>
    <definedName name="__123Graph_5" hidden="1">#REF!</definedName>
    <definedName name="__123Graph_6" localSheetId="3" hidden="1">#REF!</definedName>
    <definedName name="__123Graph_6" localSheetId="4" hidden="1">#REF!</definedName>
    <definedName name="__123Graph_6" hidden="1">#REF!</definedName>
    <definedName name="__123Graph_8" localSheetId="3" hidden="1">#REF!</definedName>
    <definedName name="__123Graph_8" localSheetId="4" hidden="1">#REF!</definedName>
    <definedName name="__123Graph_8" hidden="1">#REF!</definedName>
    <definedName name="__123Graph_A" localSheetId="27" hidden="1">#REF!</definedName>
    <definedName name="__123Graph_A" hidden="1">TOTALCO!$A$85:$A$266</definedName>
    <definedName name="__123Graph_B" localSheetId="7" hidden="1">'[1]9 30 BS'!#REF!</definedName>
    <definedName name="__123Graph_B" localSheetId="27" hidden="1">#REF!</definedName>
    <definedName name="__123Graph_B" hidden="1">TOTALCO!$B$85:$B$266</definedName>
    <definedName name="__123Graph_C" localSheetId="27" hidden="1">#REF!</definedName>
    <definedName name="__123Graph_C" hidden="1">TOTALCO!$C$85:$C$266</definedName>
    <definedName name="__123Graph_D" localSheetId="27" hidden="1">#REF!</definedName>
    <definedName name="__123Graph_D" hidden="1">TOTALCO!$D$85:$D$266</definedName>
    <definedName name="__123Graph_E" localSheetId="27" hidden="1">#REF!</definedName>
    <definedName name="__123Graph_E" hidden="1">TOTALCO!$E$85:$E$266</definedName>
    <definedName name="__123Graph_F" localSheetId="7" hidden="1">'[1]9 30 BS'!#REF!</definedName>
    <definedName name="__123Graph_F" localSheetId="27" hidden="1">#REF!</definedName>
    <definedName name="__123Graph_F" hidden="1">TOTALCO!$F$85:$F$266</definedName>
    <definedName name="__123Graph_X" localSheetId="19" hidden="1">#REF!</definedName>
    <definedName name="__123Graph_X" localSheetId="22" hidden="1">#REF!</definedName>
    <definedName name="__123Graph_X" localSheetId="11" hidden="1">#REF!</definedName>
    <definedName name="__123Graph_X" localSheetId="3" hidden="1">#REF!</definedName>
    <definedName name="__123Graph_X" localSheetId="4" hidden="1">#REF!</definedName>
    <definedName name="__123Graph_X" localSheetId="24" hidden="1">#REF!</definedName>
    <definedName name="__123Graph_X" hidden="1">#REF!</definedName>
    <definedName name="__key3" localSheetId="3" hidden="1">#REF!</definedName>
    <definedName name="__key3" localSheetId="4" hidden="1">#REF!</definedName>
    <definedName name="__key3" localSheetId="7" hidden="1">#REF!</definedName>
    <definedName name="__key3" localSheetId="24" hidden="1">#REF!</definedName>
    <definedName name="__key3" hidden="1">#REF!</definedName>
    <definedName name="_36__123Graph_BCHART_1" localSheetId="3" hidden="1">'[2]HOSPICE OPSUM'!#REF!</definedName>
    <definedName name="_36__123Graph_BCHART_1" localSheetId="4" hidden="1">'[2]HOSPICE OPSUM'!#REF!</definedName>
    <definedName name="_36__123Graph_BCHART_1" localSheetId="7" hidden="1">'[2]HOSPICE OPSUM'!#REF!</definedName>
    <definedName name="_36__123Graph_BCHART_1" hidden="1">'[2]HOSPICE OPSUM'!#REF!</definedName>
    <definedName name="_Fill" localSheetId="7" hidden="1">#REF!</definedName>
    <definedName name="_Fill" hidden="1">TOTALCO!$A$1238:$A$1244</definedName>
    <definedName name="_xlnm._FilterDatabase" localSheetId="0" hidden="1">A216810396964DCDB399904ED81BA8E!$A$1:$C$1</definedName>
    <definedName name="_xlnm._FilterDatabase" localSheetId="11" hidden="1">FCPIS!$A$1:$F$3</definedName>
    <definedName name="_xlnm._FilterDatabase" localSheetId="4" hidden="1">'KY-CWC-BS'!$A$7:$W$27</definedName>
    <definedName name="_xlnm._FilterDatabase" localSheetId="1" hidden="1">TOTALCO!$C$21:$C$1437</definedName>
    <definedName name="_xlnm._FilterDatabase" localSheetId="6" hidden="1">'VA-CWC-BS'!$A$7:$W$28</definedName>
    <definedName name="_Key1" localSheetId="3" hidden="1">#REF!</definedName>
    <definedName name="_Key1" localSheetId="4" hidden="1">#REF!</definedName>
    <definedName name="_Key1" localSheetId="7" hidden="1">#REF!</definedName>
    <definedName name="_Key1" localSheetId="24" hidden="1">#REF!</definedName>
    <definedName name="_Key1" hidden="1">#REF!</definedName>
    <definedName name="_Key2" localSheetId="3" hidden="1">#REF!</definedName>
    <definedName name="_Key2" localSheetId="4" hidden="1">#REF!</definedName>
    <definedName name="_Key2" localSheetId="7" hidden="1">#REF!</definedName>
    <definedName name="_Key2" localSheetId="24" hidden="1">#REF!</definedName>
    <definedName name="_Key2" hidden="1">#REF!</definedName>
    <definedName name="_Key3" localSheetId="3" hidden="1">#REF!</definedName>
    <definedName name="_Key3" localSheetId="4" hidden="1">#REF!</definedName>
    <definedName name="_Key3" localSheetId="7" hidden="1">#REF!</definedName>
    <definedName name="_Key3" localSheetId="24" hidden="1">#REF!</definedName>
    <definedName name="_Key3" hidden="1">#REF!</definedName>
    <definedName name="_key4" localSheetId="3" hidden="1">#REF!</definedName>
    <definedName name="_key4" localSheetId="4" hidden="1">#REF!</definedName>
    <definedName name="_key4" localSheetId="7" hidden="1">#REF!</definedName>
    <definedName name="_key4" localSheetId="24" hidden="1">#REF!</definedName>
    <definedName name="_key4" hidden="1">#REF!</definedName>
    <definedName name="_Order1" localSheetId="7" hidden="1">255</definedName>
    <definedName name="_Order1" hidden="1">0</definedName>
    <definedName name="_Order1a" hidden="1">0</definedName>
    <definedName name="_Order2" localSheetId="7" hidden="1">255</definedName>
    <definedName name="_Order2" hidden="1">0</definedName>
    <definedName name="_Order2a" hidden="1">0</definedName>
    <definedName name="_Regression_Int" localSheetId="1" hidden="1">1</definedName>
    <definedName name="_Sort" localSheetId="19" hidden="1">#REF!</definedName>
    <definedName name="_Sort" localSheetId="22" hidden="1">#REF!</definedName>
    <definedName name="_Sort" localSheetId="3" hidden="1">#REF!</definedName>
    <definedName name="_Sort" localSheetId="4" hidden="1">#REF!</definedName>
    <definedName name="_Sort" localSheetId="7" hidden="1">#REF!</definedName>
    <definedName name="_Sort" localSheetId="24" hidden="1">#REF!</definedName>
    <definedName name="_Sort" hidden="1">#REF!</definedName>
    <definedName name="_Table1_In1" localSheetId="3" hidden="1">#REF!</definedName>
    <definedName name="_Table1_In1" localSheetId="4" hidden="1">#REF!</definedName>
    <definedName name="_Table1_In1" localSheetId="7" hidden="1">#REF!</definedName>
    <definedName name="_Table1_In1" hidden="1">#REF!</definedName>
    <definedName name="_Table1_Out" localSheetId="3" hidden="1">#REF!</definedName>
    <definedName name="_Table1_Out" localSheetId="4" hidden="1">#REF!</definedName>
    <definedName name="_Table1_Out" localSheetId="7" hidden="1">#REF!</definedName>
    <definedName name="_Table1_Out" hidden="1">#REF!</definedName>
    <definedName name="_Table1_Out_2" localSheetId="3" hidden="1">#REF!</definedName>
    <definedName name="_Table1_Out_2" localSheetId="4" hidden="1">#REF!</definedName>
    <definedName name="_Table1_Out_2" localSheetId="7" hidden="1">#REF!</definedName>
    <definedName name="_Table1_Out_2" hidden="1">#REF!</definedName>
    <definedName name="_Table2_In1" localSheetId="3" hidden="1">'[3]Bank Model'!#REF!</definedName>
    <definedName name="_Table2_In1" localSheetId="4" hidden="1">'[3]Bank Model'!#REF!</definedName>
    <definedName name="_Table2_In1" localSheetId="7" hidden="1">'[3]Bank Model'!#REF!</definedName>
    <definedName name="_Table2_In1" hidden="1">'[3]Bank Model'!#REF!</definedName>
    <definedName name="_Table2_In2" localSheetId="3" hidden="1">'[3]Bank Model'!#REF!</definedName>
    <definedName name="_Table2_In2" localSheetId="4" hidden="1">'[3]Bank Model'!#REF!</definedName>
    <definedName name="_Table2_In2" localSheetId="7" hidden="1">'[3]Bank Model'!#REF!</definedName>
    <definedName name="_Table2_In2" hidden="1">'[3]Bank Model'!#REF!</definedName>
    <definedName name="_Table2_Out" localSheetId="3" hidden="1">'[3]Bank Model'!#REF!</definedName>
    <definedName name="_Table2_Out" localSheetId="4" hidden="1">'[3]Bank Model'!#REF!</definedName>
    <definedName name="_Table2_Out" localSheetId="7" hidden="1">'[3]Bank Model'!#REF!</definedName>
    <definedName name="_Table2_Out" hidden="1">'[3]Bank Model'!#REF!</definedName>
    <definedName name="_Table2_Out_2" localSheetId="3" hidden="1">#REF!</definedName>
    <definedName name="_Table2_Out_2" localSheetId="4" hidden="1">#REF!</definedName>
    <definedName name="_Table2_Out_2" localSheetId="7" hidden="1">#REF!</definedName>
    <definedName name="_Table2_Out_2" hidden="1">#REF!</definedName>
    <definedName name="A_GEXP">TOTALCO!$D$456:$AA$456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DITPP">TOTALCO!$D$393:$AA$393</definedName>
    <definedName name="ADITTP">TOTALCO!$D$394:$AA$394</definedName>
    <definedName name="AFUDC">TOTALCO!$D$428:$AA$428</definedName>
    <definedName name="AFUDC_FERC">TOTALCO!$D$391:$AA$391</definedName>
    <definedName name="asdfasdfasdfas" localSheetId="3" hidden="1">#REF!</definedName>
    <definedName name="asdfasdfasdfas" localSheetId="4" hidden="1">#REF!</definedName>
    <definedName name="asdfasdfasdfas" localSheetId="7" hidden="1">#REF!</definedName>
    <definedName name="asdfasdfasdfas" hidden="1">#REF!</definedName>
    <definedName name="BLPH1" localSheetId="7" hidden="1">'[4]Natural gas'!$A$3</definedName>
    <definedName name="BLPH1" hidden="1">'[5]Natural gas'!$A$3</definedName>
    <definedName name="BLPR1020040129204514642" localSheetId="3" hidden="1">'[6]Spread Sheet'!#REF!</definedName>
    <definedName name="BLPR1020040129204514642" localSheetId="4" hidden="1">'[6]Spread Sheet'!#REF!</definedName>
    <definedName name="BLPR1020040129204514642" localSheetId="7" hidden="1">'[7]Spread Sheet'!#REF!</definedName>
    <definedName name="BLPR1020040129204514642" hidden="1">'[6]Spread Sheet'!#REF!</definedName>
    <definedName name="BLPR1020040129204514642_1_5" localSheetId="3" hidden="1">'[6]Spread Sheet'!#REF!</definedName>
    <definedName name="BLPR1020040129204514642_1_5" localSheetId="4" hidden="1">'[6]Spread Sheet'!#REF!</definedName>
    <definedName name="BLPR1020040129204514642_1_5" localSheetId="7" hidden="1">'[7]Spread Sheet'!#REF!</definedName>
    <definedName name="BLPR1020040129204514642_1_5" hidden="1">'[6]Spread Sheet'!#REF!</definedName>
    <definedName name="BLPR1020040129204514642_2_5" localSheetId="3" hidden="1">'[6]Spread Sheet'!#REF!</definedName>
    <definedName name="BLPR1020040129204514642_2_5" localSheetId="4" hidden="1">'[6]Spread Sheet'!#REF!</definedName>
    <definedName name="BLPR1020040129204514642_2_5" localSheetId="7" hidden="1">'[7]Spread Sheet'!#REF!</definedName>
    <definedName name="BLPR1020040129204514642_2_5" hidden="1">'[6]Spread Sheet'!#REF!</definedName>
    <definedName name="BLPR1020040129204514642_3_5" localSheetId="3" hidden="1">'[6]Spread Sheet'!#REF!</definedName>
    <definedName name="BLPR1020040129204514642_3_5" localSheetId="4" hidden="1">'[6]Spread Sheet'!#REF!</definedName>
    <definedName name="BLPR1020040129204514642_3_5" localSheetId="7" hidden="1">'[7]Spread Sheet'!#REF!</definedName>
    <definedName name="BLPR1020040129204514642_3_5" hidden="1">'[6]Spread Sheet'!#REF!</definedName>
    <definedName name="BLPR1020040129204514642_4_5" localSheetId="3" hidden="1">'[6]Spread Sheet'!#REF!</definedName>
    <definedName name="BLPR1020040129204514642_4_5" localSheetId="4" hidden="1">'[6]Spread Sheet'!#REF!</definedName>
    <definedName name="BLPR1020040129204514642_4_5" localSheetId="7" hidden="1">'[7]Spread Sheet'!#REF!</definedName>
    <definedName name="BLPR1020040129204514642_4_5" hidden="1">'[6]Spread Sheet'!#REF!</definedName>
    <definedName name="BLPR1020040129204514642_5_5" localSheetId="3" hidden="1">'[6]Spread Sheet'!#REF!</definedName>
    <definedName name="BLPR1020040129204514642_5_5" localSheetId="4" hidden="1">'[6]Spread Sheet'!#REF!</definedName>
    <definedName name="BLPR1020040129204514642_5_5" localSheetId="7" hidden="1">'[7]Spread Sheet'!#REF!</definedName>
    <definedName name="BLPR1020040129204514642_5_5" hidden="1">'[6]Spread Sheet'!#REF!</definedName>
    <definedName name="BLPR1120040129204514642" localSheetId="3" hidden="1">'[6]Spread Sheet'!#REF!</definedName>
    <definedName name="BLPR1120040129204514642" localSheetId="4" hidden="1">'[6]Spread Sheet'!#REF!</definedName>
    <definedName name="BLPR1120040129204514642" localSheetId="7" hidden="1">'[7]Spread Sheet'!#REF!</definedName>
    <definedName name="BLPR1120040129204514642" hidden="1">'[6]Spread Sheet'!#REF!</definedName>
    <definedName name="BLPR1120040129204514642_1_5" localSheetId="3" hidden="1">'[6]Spread Sheet'!#REF!</definedName>
    <definedName name="BLPR1120040129204514642_1_5" localSheetId="4" hidden="1">'[6]Spread Sheet'!#REF!</definedName>
    <definedName name="BLPR1120040129204514642_1_5" localSheetId="7" hidden="1">'[7]Spread Sheet'!#REF!</definedName>
    <definedName name="BLPR1120040129204514642_1_5" hidden="1">'[6]Spread Sheet'!#REF!</definedName>
    <definedName name="BLPR1120040129204514642_2_5" localSheetId="3" hidden="1">'[6]Spread Sheet'!#REF!</definedName>
    <definedName name="BLPR1120040129204514642_2_5" localSheetId="4" hidden="1">'[6]Spread Sheet'!#REF!</definedName>
    <definedName name="BLPR1120040129204514642_2_5" localSheetId="7" hidden="1">'[7]Spread Sheet'!#REF!</definedName>
    <definedName name="BLPR1120040129204514642_2_5" hidden="1">'[6]Spread Sheet'!#REF!</definedName>
    <definedName name="BLPR1120040129204514642_3_5" localSheetId="3" hidden="1">'[6]Spread Sheet'!#REF!</definedName>
    <definedName name="BLPR1120040129204514642_3_5" localSheetId="4" hidden="1">'[6]Spread Sheet'!#REF!</definedName>
    <definedName name="BLPR1120040129204514642_3_5" localSheetId="7" hidden="1">'[7]Spread Sheet'!#REF!</definedName>
    <definedName name="BLPR1120040129204514642_3_5" hidden="1">'[6]Spread Sheet'!#REF!</definedName>
    <definedName name="BLPR1120040129204514642_4_5" localSheetId="3" hidden="1">'[6]Spread Sheet'!#REF!</definedName>
    <definedName name="BLPR1120040129204514642_4_5" localSheetId="4" hidden="1">'[6]Spread Sheet'!#REF!</definedName>
    <definedName name="BLPR1120040129204514642_4_5" localSheetId="7" hidden="1">'[7]Spread Sheet'!#REF!</definedName>
    <definedName name="BLPR1120040129204514642_4_5" hidden="1">'[6]Spread Sheet'!#REF!</definedName>
    <definedName name="BLPR1120040129204514642_5_5" localSheetId="3" hidden="1">'[6]Spread Sheet'!#REF!</definedName>
    <definedName name="BLPR1120040129204514642_5_5" localSheetId="4" hidden="1">'[6]Spread Sheet'!#REF!</definedName>
    <definedName name="BLPR1120040129204514642_5_5" localSheetId="7" hidden="1">'[7]Spread Sheet'!#REF!</definedName>
    <definedName name="BLPR1120040129204514642_5_5" hidden="1">'[6]Spread Sheet'!#REF!</definedName>
    <definedName name="BLPR120040129203645421" localSheetId="3" hidden="1">'[6]Spread Sheet'!#REF!</definedName>
    <definedName name="BLPR120040129203645421" localSheetId="4" hidden="1">'[6]Spread Sheet'!#REF!</definedName>
    <definedName name="BLPR120040129203645421" localSheetId="7" hidden="1">'[7]Spread Sheet'!#REF!</definedName>
    <definedName name="BLPR120040129203645421" hidden="1">'[6]Spread Sheet'!#REF!</definedName>
    <definedName name="BLPR120040129203645421_1_4" localSheetId="3" hidden="1">'[6]Spread Sheet'!#REF!</definedName>
    <definedName name="BLPR120040129203645421_1_4" localSheetId="4" hidden="1">'[6]Spread Sheet'!#REF!</definedName>
    <definedName name="BLPR120040129203645421_1_4" localSheetId="7" hidden="1">'[7]Spread Sheet'!#REF!</definedName>
    <definedName name="BLPR120040129203645421_1_4" hidden="1">'[6]Spread Sheet'!#REF!</definedName>
    <definedName name="BLPR120040129203645421_2_4" localSheetId="3" hidden="1">'[6]Spread Sheet'!#REF!</definedName>
    <definedName name="BLPR120040129203645421_2_4" localSheetId="4" hidden="1">'[6]Spread Sheet'!#REF!</definedName>
    <definedName name="BLPR120040129203645421_2_4" localSheetId="7" hidden="1">'[7]Spread Sheet'!#REF!</definedName>
    <definedName name="BLPR120040129203645421_2_4" hidden="1">'[6]Spread Sheet'!#REF!</definedName>
    <definedName name="BLPR120040129203645421_3_4" localSheetId="3" hidden="1">'[6]Spread Sheet'!#REF!</definedName>
    <definedName name="BLPR120040129203645421_3_4" localSheetId="4" hidden="1">'[6]Spread Sheet'!#REF!</definedName>
    <definedName name="BLPR120040129203645421_3_4" localSheetId="7" hidden="1">'[7]Spread Sheet'!#REF!</definedName>
    <definedName name="BLPR120040129203645421_3_4" hidden="1">'[6]Spread Sheet'!#REF!</definedName>
    <definedName name="BLPR120040129203645421_4_4" localSheetId="3" hidden="1">'[6]Spread Sheet'!#REF!</definedName>
    <definedName name="BLPR120040129203645421_4_4" localSheetId="4" hidden="1">'[6]Spread Sheet'!#REF!</definedName>
    <definedName name="BLPR120040129203645421_4_4" localSheetId="7" hidden="1">'[7]Spread Sheet'!#REF!</definedName>
    <definedName name="BLPR120040129203645421_4_4" hidden="1">'[6]Spread Sheet'!#REF!</definedName>
    <definedName name="BLPR1220040129204514642" localSheetId="3" hidden="1">'[6]Spread Sheet'!#REF!</definedName>
    <definedName name="BLPR1220040129204514642" localSheetId="4" hidden="1">'[6]Spread Sheet'!#REF!</definedName>
    <definedName name="BLPR1220040129204514642" localSheetId="7" hidden="1">'[7]Spread Sheet'!#REF!</definedName>
    <definedName name="BLPR1220040129204514642" hidden="1">'[6]Spread Sheet'!#REF!</definedName>
    <definedName name="BLPR1220040129204514642_1_5" localSheetId="3" hidden="1">'[6]Spread Sheet'!#REF!</definedName>
    <definedName name="BLPR1220040129204514642_1_5" localSheetId="4" hidden="1">'[6]Spread Sheet'!#REF!</definedName>
    <definedName name="BLPR1220040129204514642_1_5" localSheetId="7" hidden="1">'[7]Spread Sheet'!#REF!</definedName>
    <definedName name="BLPR1220040129204514642_1_5" hidden="1">'[6]Spread Sheet'!#REF!</definedName>
    <definedName name="BLPR1220040129204514642_2_5" localSheetId="3" hidden="1">'[6]Spread Sheet'!#REF!</definedName>
    <definedName name="BLPR1220040129204514642_2_5" localSheetId="4" hidden="1">'[6]Spread Sheet'!#REF!</definedName>
    <definedName name="BLPR1220040129204514642_2_5" localSheetId="7" hidden="1">'[7]Spread Sheet'!#REF!</definedName>
    <definedName name="BLPR1220040129204514642_2_5" hidden="1">'[6]Spread Sheet'!#REF!</definedName>
    <definedName name="BLPR1220040129204514642_3_5" localSheetId="3" hidden="1">'[6]Spread Sheet'!#REF!</definedName>
    <definedName name="BLPR1220040129204514642_3_5" localSheetId="4" hidden="1">'[6]Spread Sheet'!#REF!</definedName>
    <definedName name="BLPR1220040129204514642_3_5" localSheetId="7" hidden="1">'[7]Spread Sheet'!#REF!</definedName>
    <definedName name="BLPR1220040129204514642_3_5" hidden="1">'[6]Spread Sheet'!#REF!</definedName>
    <definedName name="BLPR1220040129204514642_4_5" localSheetId="3" hidden="1">'[6]Spread Sheet'!#REF!</definedName>
    <definedName name="BLPR1220040129204514642_4_5" localSheetId="4" hidden="1">'[6]Spread Sheet'!#REF!</definedName>
    <definedName name="BLPR1220040129204514642_4_5" localSheetId="7" hidden="1">'[7]Spread Sheet'!#REF!</definedName>
    <definedName name="BLPR1220040129204514642_4_5" hidden="1">'[6]Spread Sheet'!#REF!</definedName>
    <definedName name="BLPR1220040129204514642_5_5" localSheetId="3" hidden="1">'[6]Spread Sheet'!#REF!</definedName>
    <definedName name="BLPR1220040129204514642_5_5" localSheetId="4" hidden="1">'[6]Spread Sheet'!#REF!</definedName>
    <definedName name="BLPR1220040129204514642_5_5" localSheetId="7" hidden="1">'[7]Spread Sheet'!#REF!</definedName>
    <definedName name="BLPR1220040129204514642_5_5" hidden="1">'[6]Spread Sheet'!#REF!</definedName>
    <definedName name="BLPR1320040129204514642" localSheetId="3" hidden="1">'[6]Spread Sheet'!#REF!</definedName>
    <definedName name="BLPR1320040129204514642" localSheetId="4" hidden="1">'[6]Spread Sheet'!#REF!</definedName>
    <definedName name="BLPR1320040129204514642" localSheetId="7" hidden="1">'[7]Spread Sheet'!#REF!</definedName>
    <definedName name="BLPR1320040129204514642" hidden="1">'[6]Spread Sheet'!#REF!</definedName>
    <definedName name="BLPR1320040129204514642_1_5" localSheetId="3" hidden="1">'[6]Spread Sheet'!#REF!</definedName>
    <definedName name="BLPR1320040129204514642_1_5" localSheetId="4" hidden="1">'[6]Spread Sheet'!#REF!</definedName>
    <definedName name="BLPR1320040129204514642_1_5" localSheetId="7" hidden="1">'[7]Spread Sheet'!#REF!</definedName>
    <definedName name="BLPR1320040129204514642_1_5" hidden="1">'[6]Spread Sheet'!#REF!</definedName>
    <definedName name="BLPR1320040129204514642_2_5" localSheetId="3" hidden="1">'[6]Spread Sheet'!#REF!</definedName>
    <definedName name="BLPR1320040129204514642_2_5" localSheetId="4" hidden="1">'[6]Spread Sheet'!#REF!</definedName>
    <definedName name="BLPR1320040129204514642_2_5" localSheetId="7" hidden="1">'[7]Spread Sheet'!#REF!</definedName>
    <definedName name="BLPR1320040129204514642_2_5" hidden="1">'[6]Spread Sheet'!#REF!</definedName>
    <definedName name="BLPR1320040129204514642_3_5" localSheetId="3" hidden="1">'[6]Spread Sheet'!#REF!</definedName>
    <definedName name="BLPR1320040129204514642_3_5" localSheetId="4" hidden="1">'[6]Spread Sheet'!#REF!</definedName>
    <definedName name="BLPR1320040129204514642_3_5" localSheetId="7" hidden="1">'[7]Spread Sheet'!#REF!</definedName>
    <definedName name="BLPR1320040129204514642_3_5" hidden="1">'[6]Spread Sheet'!#REF!</definedName>
    <definedName name="BLPR1320040129204514642_4_5" localSheetId="3" hidden="1">'[6]Spread Sheet'!#REF!</definedName>
    <definedName name="BLPR1320040129204514642_4_5" localSheetId="4" hidden="1">'[6]Spread Sheet'!#REF!</definedName>
    <definedName name="BLPR1320040129204514642_4_5" localSheetId="7" hidden="1">'[7]Spread Sheet'!#REF!</definedName>
    <definedName name="BLPR1320040129204514642_4_5" hidden="1">'[6]Spread Sheet'!#REF!</definedName>
    <definedName name="BLPR1320040129204514642_5_5" localSheetId="3" hidden="1">'[6]Spread Sheet'!#REF!</definedName>
    <definedName name="BLPR1320040129204514642_5_5" localSheetId="4" hidden="1">'[6]Spread Sheet'!#REF!</definedName>
    <definedName name="BLPR1320040129204514642_5_5" localSheetId="7" hidden="1">'[7]Spread Sheet'!#REF!</definedName>
    <definedName name="BLPR1320040129204514642_5_5" hidden="1">'[6]Spread Sheet'!#REF!</definedName>
    <definedName name="BLPR1420040129204514642" localSheetId="3" hidden="1">'[6]Spread Sheet'!#REF!</definedName>
    <definedName name="BLPR1420040129204514642" localSheetId="4" hidden="1">'[6]Spread Sheet'!#REF!</definedName>
    <definedName name="BLPR1420040129204514642" localSheetId="7" hidden="1">'[7]Spread Sheet'!#REF!</definedName>
    <definedName name="BLPR1420040129204514642" hidden="1">'[6]Spread Sheet'!#REF!</definedName>
    <definedName name="BLPR1420040129204514642_1_5" localSheetId="3" hidden="1">'[6]Spread Sheet'!#REF!</definedName>
    <definedName name="BLPR1420040129204514642_1_5" localSheetId="4" hidden="1">'[6]Spread Sheet'!#REF!</definedName>
    <definedName name="BLPR1420040129204514642_1_5" localSheetId="7" hidden="1">'[7]Spread Sheet'!#REF!</definedName>
    <definedName name="BLPR1420040129204514642_1_5" hidden="1">'[6]Spread Sheet'!#REF!</definedName>
    <definedName name="BLPR1420040129204514642_2_5" localSheetId="3" hidden="1">'[6]Spread Sheet'!#REF!</definedName>
    <definedName name="BLPR1420040129204514642_2_5" localSheetId="4" hidden="1">'[6]Spread Sheet'!#REF!</definedName>
    <definedName name="BLPR1420040129204514642_2_5" localSheetId="7" hidden="1">'[7]Spread Sheet'!#REF!</definedName>
    <definedName name="BLPR1420040129204514642_2_5" hidden="1">'[6]Spread Sheet'!#REF!</definedName>
    <definedName name="BLPR1420040129204514642_3_5" localSheetId="3" hidden="1">'[6]Spread Sheet'!#REF!</definedName>
    <definedName name="BLPR1420040129204514642_3_5" localSheetId="4" hidden="1">'[6]Spread Sheet'!#REF!</definedName>
    <definedName name="BLPR1420040129204514642_3_5" localSheetId="7" hidden="1">'[7]Spread Sheet'!#REF!</definedName>
    <definedName name="BLPR1420040129204514642_3_5" hidden="1">'[6]Spread Sheet'!#REF!</definedName>
    <definedName name="BLPR1420040129204514642_4_5" localSheetId="3" hidden="1">'[6]Spread Sheet'!#REF!</definedName>
    <definedName name="BLPR1420040129204514642_4_5" localSheetId="4" hidden="1">'[6]Spread Sheet'!#REF!</definedName>
    <definedName name="BLPR1420040129204514642_4_5" localSheetId="7" hidden="1">'[7]Spread Sheet'!#REF!</definedName>
    <definedName name="BLPR1420040129204514642_4_5" hidden="1">'[6]Spread Sheet'!#REF!</definedName>
    <definedName name="BLPR1420040129204514642_5_5" localSheetId="3" hidden="1">'[6]Spread Sheet'!#REF!</definedName>
    <definedName name="BLPR1420040129204514642_5_5" localSheetId="4" hidden="1">'[6]Spread Sheet'!#REF!</definedName>
    <definedName name="BLPR1420040129204514642_5_5" localSheetId="7" hidden="1">'[7]Spread Sheet'!#REF!</definedName>
    <definedName name="BLPR1420040129204514642_5_5" hidden="1">'[6]Spread Sheet'!#REF!</definedName>
    <definedName name="BLPR1520040129204514652" localSheetId="3" hidden="1">'[6]Spread Sheet'!#REF!</definedName>
    <definedName name="BLPR1520040129204514652" localSheetId="4" hidden="1">'[6]Spread Sheet'!#REF!</definedName>
    <definedName name="BLPR1520040129204514652" localSheetId="7" hidden="1">'[7]Spread Sheet'!#REF!</definedName>
    <definedName name="BLPR1520040129204514652" hidden="1">'[6]Spread Sheet'!#REF!</definedName>
    <definedName name="BLPR1520040129204514652_1_5" localSheetId="3" hidden="1">'[6]Spread Sheet'!#REF!</definedName>
    <definedName name="BLPR1520040129204514652_1_5" localSheetId="4" hidden="1">'[6]Spread Sheet'!#REF!</definedName>
    <definedName name="BLPR1520040129204514652_1_5" localSheetId="7" hidden="1">'[7]Spread Sheet'!#REF!</definedName>
    <definedName name="BLPR1520040129204514652_1_5" hidden="1">'[6]Spread Sheet'!#REF!</definedName>
    <definedName name="BLPR1520040129204514652_2_5" localSheetId="3" hidden="1">'[6]Spread Sheet'!#REF!</definedName>
    <definedName name="BLPR1520040129204514652_2_5" localSheetId="4" hidden="1">'[6]Spread Sheet'!#REF!</definedName>
    <definedName name="BLPR1520040129204514652_2_5" localSheetId="7" hidden="1">'[7]Spread Sheet'!#REF!</definedName>
    <definedName name="BLPR1520040129204514652_2_5" hidden="1">'[6]Spread Sheet'!#REF!</definedName>
    <definedName name="BLPR1520040129204514652_3_5" localSheetId="3" hidden="1">'[6]Spread Sheet'!#REF!</definedName>
    <definedName name="BLPR1520040129204514652_3_5" localSheetId="4" hidden="1">'[6]Spread Sheet'!#REF!</definedName>
    <definedName name="BLPR1520040129204514652_3_5" localSheetId="7" hidden="1">'[7]Spread Sheet'!#REF!</definedName>
    <definedName name="BLPR1520040129204514652_3_5" hidden="1">'[6]Spread Sheet'!#REF!</definedName>
    <definedName name="BLPR1520040129204514652_4_5" localSheetId="3" hidden="1">'[6]Spread Sheet'!#REF!</definedName>
    <definedName name="BLPR1520040129204514652_4_5" localSheetId="4" hidden="1">'[6]Spread Sheet'!#REF!</definedName>
    <definedName name="BLPR1520040129204514652_4_5" localSheetId="7" hidden="1">'[7]Spread Sheet'!#REF!</definedName>
    <definedName name="BLPR1520040129204514652_4_5" hidden="1">'[6]Spread Sheet'!#REF!</definedName>
    <definedName name="BLPR1520040129204514652_5_5" localSheetId="3" hidden="1">'[6]Spread Sheet'!#REF!</definedName>
    <definedName name="BLPR1520040129204514652_5_5" localSheetId="4" hidden="1">'[6]Spread Sheet'!#REF!</definedName>
    <definedName name="BLPR1520040129204514652_5_5" localSheetId="7" hidden="1">'[7]Spread Sheet'!#REF!</definedName>
    <definedName name="BLPR1520040129204514652_5_5" hidden="1">'[6]Spread Sheet'!#REF!</definedName>
    <definedName name="BLPR1620040129204514652" localSheetId="3" hidden="1">'[6]Spread Sheet'!#REF!</definedName>
    <definedName name="BLPR1620040129204514652" localSheetId="4" hidden="1">'[6]Spread Sheet'!#REF!</definedName>
    <definedName name="BLPR1620040129204514652" localSheetId="7" hidden="1">'[7]Spread Sheet'!#REF!</definedName>
    <definedName name="BLPR1620040129204514652" hidden="1">'[6]Spread Sheet'!#REF!</definedName>
    <definedName name="BLPR1620040129204514652_1_5" localSheetId="3" hidden="1">'[6]Spread Sheet'!#REF!</definedName>
    <definedName name="BLPR1620040129204514652_1_5" localSheetId="4" hidden="1">'[6]Spread Sheet'!#REF!</definedName>
    <definedName name="BLPR1620040129204514652_1_5" localSheetId="7" hidden="1">'[7]Spread Sheet'!#REF!</definedName>
    <definedName name="BLPR1620040129204514652_1_5" hidden="1">'[6]Spread Sheet'!#REF!</definedName>
    <definedName name="BLPR1620040129204514652_2_5" localSheetId="3" hidden="1">'[6]Spread Sheet'!#REF!</definedName>
    <definedName name="BLPR1620040129204514652_2_5" localSheetId="4" hidden="1">'[6]Spread Sheet'!#REF!</definedName>
    <definedName name="BLPR1620040129204514652_2_5" localSheetId="7" hidden="1">'[7]Spread Sheet'!#REF!</definedName>
    <definedName name="BLPR1620040129204514652_2_5" hidden="1">'[6]Spread Sheet'!#REF!</definedName>
    <definedName name="BLPR1620040129204514652_3_5" localSheetId="3" hidden="1">'[6]Spread Sheet'!#REF!</definedName>
    <definedName name="BLPR1620040129204514652_3_5" localSheetId="4" hidden="1">'[6]Spread Sheet'!#REF!</definedName>
    <definedName name="BLPR1620040129204514652_3_5" localSheetId="7" hidden="1">'[7]Spread Sheet'!#REF!</definedName>
    <definedName name="BLPR1620040129204514652_3_5" hidden="1">'[6]Spread Sheet'!#REF!</definedName>
    <definedName name="BLPR1620040129204514652_4_5" localSheetId="3" hidden="1">'[6]Spread Sheet'!#REF!</definedName>
    <definedName name="BLPR1620040129204514652_4_5" localSheetId="4" hidden="1">'[6]Spread Sheet'!#REF!</definedName>
    <definedName name="BLPR1620040129204514652_4_5" localSheetId="7" hidden="1">'[7]Spread Sheet'!#REF!</definedName>
    <definedName name="BLPR1620040129204514652_4_5" hidden="1">'[6]Spread Sheet'!#REF!</definedName>
    <definedName name="BLPR1620040129204514652_5_5" localSheetId="3" hidden="1">'[6]Spread Sheet'!#REF!</definedName>
    <definedName name="BLPR1620040129204514652_5_5" localSheetId="4" hidden="1">'[6]Spread Sheet'!#REF!</definedName>
    <definedName name="BLPR1620040129204514652_5_5" localSheetId="7" hidden="1">'[7]Spread Sheet'!#REF!</definedName>
    <definedName name="BLPR1620040129204514652_5_5" hidden="1">'[6]Spread Sheet'!#REF!</definedName>
    <definedName name="BLPR1720040129204514652" localSheetId="3" hidden="1">'[6]Spread Sheet'!#REF!</definedName>
    <definedName name="BLPR1720040129204514652" localSheetId="4" hidden="1">'[6]Spread Sheet'!#REF!</definedName>
    <definedName name="BLPR1720040129204514652" localSheetId="7" hidden="1">'[7]Spread Sheet'!#REF!</definedName>
    <definedName name="BLPR1720040129204514652" hidden="1">'[6]Spread Sheet'!#REF!</definedName>
    <definedName name="BLPR1720040129204514652_1_5" localSheetId="3" hidden="1">'[6]Spread Sheet'!#REF!</definedName>
    <definedName name="BLPR1720040129204514652_1_5" localSheetId="4" hidden="1">'[6]Spread Sheet'!#REF!</definedName>
    <definedName name="BLPR1720040129204514652_1_5" localSheetId="7" hidden="1">'[7]Spread Sheet'!#REF!</definedName>
    <definedName name="BLPR1720040129204514652_1_5" hidden="1">'[6]Spread Sheet'!#REF!</definedName>
    <definedName name="BLPR1720040129204514652_2_5" localSheetId="3" hidden="1">'[6]Spread Sheet'!#REF!</definedName>
    <definedName name="BLPR1720040129204514652_2_5" localSheetId="4" hidden="1">'[6]Spread Sheet'!#REF!</definedName>
    <definedName name="BLPR1720040129204514652_2_5" localSheetId="7" hidden="1">'[7]Spread Sheet'!#REF!</definedName>
    <definedName name="BLPR1720040129204514652_2_5" hidden="1">'[6]Spread Sheet'!#REF!</definedName>
    <definedName name="BLPR1720040129204514652_3_5" localSheetId="3" hidden="1">'[6]Spread Sheet'!#REF!</definedName>
    <definedName name="BLPR1720040129204514652_3_5" localSheetId="4" hidden="1">'[6]Spread Sheet'!#REF!</definedName>
    <definedName name="BLPR1720040129204514652_3_5" localSheetId="7" hidden="1">'[7]Spread Sheet'!#REF!</definedName>
    <definedName name="BLPR1720040129204514652_3_5" hidden="1">'[6]Spread Sheet'!#REF!</definedName>
    <definedName name="BLPR1720040129204514652_4_5" localSheetId="3" hidden="1">'[6]Spread Sheet'!#REF!</definedName>
    <definedName name="BLPR1720040129204514652_4_5" localSheetId="4" hidden="1">'[6]Spread Sheet'!#REF!</definedName>
    <definedName name="BLPR1720040129204514652_4_5" localSheetId="7" hidden="1">'[7]Spread Sheet'!#REF!</definedName>
    <definedName name="BLPR1720040129204514652_4_5" hidden="1">'[6]Spread Sheet'!#REF!</definedName>
    <definedName name="BLPR1720040129204514652_5_5" localSheetId="3" hidden="1">'[6]Spread Sheet'!#REF!</definedName>
    <definedName name="BLPR1720040129204514652_5_5" localSheetId="4" hidden="1">'[6]Spread Sheet'!#REF!</definedName>
    <definedName name="BLPR1720040129204514652_5_5" localSheetId="7" hidden="1">'[7]Spread Sheet'!#REF!</definedName>
    <definedName name="BLPR1720040129204514652_5_5" hidden="1">'[6]Spread Sheet'!#REF!</definedName>
    <definedName name="BLPR1820040129204514652" localSheetId="3" hidden="1">'[6]Spread Sheet'!#REF!</definedName>
    <definedName name="BLPR1820040129204514652" localSheetId="4" hidden="1">'[6]Spread Sheet'!#REF!</definedName>
    <definedName name="BLPR1820040129204514652" localSheetId="7" hidden="1">'[7]Spread Sheet'!#REF!</definedName>
    <definedName name="BLPR1820040129204514652" hidden="1">'[6]Spread Sheet'!#REF!</definedName>
    <definedName name="BLPR1820040129204514652_1_5" localSheetId="3" hidden="1">'[6]Spread Sheet'!#REF!</definedName>
    <definedName name="BLPR1820040129204514652_1_5" localSheetId="4" hidden="1">'[6]Spread Sheet'!#REF!</definedName>
    <definedName name="BLPR1820040129204514652_1_5" localSheetId="7" hidden="1">'[7]Spread Sheet'!#REF!</definedName>
    <definedName name="BLPR1820040129204514652_1_5" hidden="1">'[6]Spread Sheet'!#REF!</definedName>
    <definedName name="BLPR1820040129204514652_2_5" localSheetId="3" hidden="1">'[6]Spread Sheet'!#REF!</definedName>
    <definedName name="BLPR1820040129204514652_2_5" localSheetId="4" hidden="1">'[6]Spread Sheet'!#REF!</definedName>
    <definedName name="BLPR1820040129204514652_2_5" localSheetId="7" hidden="1">'[7]Spread Sheet'!#REF!</definedName>
    <definedName name="BLPR1820040129204514652_2_5" hidden="1">'[6]Spread Sheet'!#REF!</definedName>
    <definedName name="BLPR1820040129204514652_3_5" localSheetId="3" hidden="1">'[6]Spread Sheet'!#REF!</definedName>
    <definedName name="BLPR1820040129204514652_3_5" localSheetId="4" hidden="1">'[6]Spread Sheet'!#REF!</definedName>
    <definedName name="BLPR1820040129204514652_3_5" localSheetId="7" hidden="1">'[7]Spread Sheet'!#REF!</definedName>
    <definedName name="BLPR1820040129204514652_3_5" hidden="1">'[6]Spread Sheet'!#REF!</definedName>
    <definedName name="BLPR1820040129204514652_4_5" localSheetId="3" hidden="1">'[6]Spread Sheet'!#REF!</definedName>
    <definedName name="BLPR1820040129204514652_4_5" localSheetId="4" hidden="1">'[6]Spread Sheet'!#REF!</definedName>
    <definedName name="BLPR1820040129204514652_4_5" localSheetId="7" hidden="1">'[7]Spread Sheet'!#REF!</definedName>
    <definedName name="BLPR1820040129204514652_4_5" hidden="1">'[6]Spread Sheet'!#REF!</definedName>
    <definedName name="BLPR1820040129204514652_5_5" localSheetId="3" hidden="1">'[6]Spread Sheet'!#REF!</definedName>
    <definedName name="BLPR1820040129204514652_5_5" localSheetId="4" hidden="1">'[6]Spread Sheet'!#REF!</definedName>
    <definedName name="BLPR1820040129204514652_5_5" localSheetId="7" hidden="1">'[7]Spread Sheet'!#REF!</definedName>
    <definedName name="BLPR1820040129204514652_5_5" hidden="1">'[6]Spread Sheet'!#REF!</definedName>
    <definedName name="BLPR1920040129204514652" localSheetId="3" hidden="1">'[6]Spread Sheet'!#REF!</definedName>
    <definedName name="BLPR1920040129204514652" localSheetId="4" hidden="1">'[6]Spread Sheet'!#REF!</definedName>
    <definedName name="BLPR1920040129204514652" localSheetId="7" hidden="1">'[7]Spread Sheet'!#REF!</definedName>
    <definedName name="BLPR1920040129204514652" hidden="1">'[6]Spread Sheet'!#REF!</definedName>
    <definedName name="BLPR1920040129204514652_1_5" localSheetId="3" hidden="1">'[6]Spread Sheet'!#REF!</definedName>
    <definedName name="BLPR1920040129204514652_1_5" localSheetId="4" hidden="1">'[6]Spread Sheet'!#REF!</definedName>
    <definedName name="BLPR1920040129204514652_1_5" localSheetId="7" hidden="1">'[7]Spread Sheet'!#REF!</definedName>
    <definedName name="BLPR1920040129204514652_1_5" hidden="1">'[6]Spread Sheet'!#REF!</definedName>
    <definedName name="BLPR1920040129204514652_2_5" localSheetId="3" hidden="1">'[6]Spread Sheet'!#REF!</definedName>
    <definedName name="BLPR1920040129204514652_2_5" localSheetId="4" hidden="1">'[6]Spread Sheet'!#REF!</definedName>
    <definedName name="BLPR1920040129204514652_2_5" localSheetId="7" hidden="1">'[7]Spread Sheet'!#REF!</definedName>
    <definedName name="BLPR1920040129204514652_2_5" hidden="1">'[6]Spread Sheet'!#REF!</definedName>
    <definedName name="BLPR1920040129204514652_3_5" localSheetId="3" hidden="1">'[6]Spread Sheet'!#REF!</definedName>
    <definedName name="BLPR1920040129204514652_3_5" localSheetId="4" hidden="1">'[6]Spread Sheet'!#REF!</definedName>
    <definedName name="BLPR1920040129204514652_3_5" localSheetId="7" hidden="1">'[7]Spread Sheet'!#REF!</definedName>
    <definedName name="BLPR1920040129204514652_3_5" hidden="1">'[6]Spread Sheet'!#REF!</definedName>
    <definedName name="BLPR1920040129204514652_4_5" localSheetId="3" hidden="1">'[6]Spread Sheet'!#REF!</definedName>
    <definedName name="BLPR1920040129204514652_4_5" localSheetId="4" hidden="1">'[6]Spread Sheet'!#REF!</definedName>
    <definedName name="BLPR1920040129204514652_4_5" localSheetId="7" hidden="1">'[7]Spread Sheet'!#REF!</definedName>
    <definedName name="BLPR1920040129204514652_4_5" hidden="1">'[6]Spread Sheet'!#REF!</definedName>
    <definedName name="BLPR1920040129204514652_5_5" localSheetId="3" hidden="1">'[6]Spread Sheet'!#REF!</definedName>
    <definedName name="BLPR1920040129204514652_5_5" localSheetId="4" hidden="1">'[6]Spread Sheet'!#REF!</definedName>
    <definedName name="BLPR1920040129204514652_5_5" localSheetId="7" hidden="1">'[7]Spread Sheet'!#REF!</definedName>
    <definedName name="BLPR1920040129204514652_5_5" hidden="1">'[6]Spread Sheet'!#REF!</definedName>
    <definedName name="BLPR2020040129204514652" localSheetId="3" hidden="1">'[6]Spread Sheet'!#REF!</definedName>
    <definedName name="BLPR2020040129204514652" localSheetId="4" hidden="1">'[6]Spread Sheet'!#REF!</definedName>
    <definedName name="BLPR2020040129204514652" localSheetId="7" hidden="1">'[7]Spread Sheet'!#REF!</definedName>
    <definedName name="BLPR2020040129204514652" hidden="1">'[6]Spread Sheet'!#REF!</definedName>
    <definedName name="BLPR2020040129204514652_1_5" localSheetId="3" hidden="1">'[6]Spread Sheet'!#REF!</definedName>
    <definedName name="BLPR2020040129204514652_1_5" localSheetId="4" hidden="1">'[6]Spread Sheet'!#REF!</definedName>
    <definedName name="BLPR2020040129204514652_1_5" localSheetId="7" hidden="1">'[7]Spread Sheet'!#REF!</definedName>
    <definedName name="BLPR2020040129204514652_1_5" hidden="1">'[6]Spread Sheet'!#REF!</definedName>
    <definedName name="BLPR2020040129204514652_2_5" localSheetId="3" hidden="1">'[6]Spread Sheet'!#REF!</definedName>
    <definedName name="BLPR2020040129204514652_2_5" localSheetId="4" hidden="1">'[6]Spread Sheet'!#REF!</definedName>
    <definedName name="BLPR2020040129204514652_2_5" localSheetId="7" hidden="1">'[7]Spread Sheet'!#REF!</definedName>
    <definedName name="BLPR2020040129204514652_2_5" hidden="1">'[6]Spread Sheet'!#REF!</definedName>
    <definedName name="BLPR2020040129204514652_3_5" localSheetId="3" hidden="1">'[6]Spread Sheet'!#REF!</definedName>
    <definedName name="BLPR2020040129204514652_3_5" localSheetId="4" hidden="1">'[6]Spread Sheet'!#REF!</definedName>
    <definedName name="BLPR2020040129204514652_3_5" localSheetId="7" hidden="1">'[7]Spread Sheet'!#REF!</definedName>
    <definedName name="BLPR2020040129204514652_3_5" hidden="1">'[6]Spread Sheet'!#REF!</definedName>
    <definedName name="BLPR2020040129204514652_4_5" localSheetId="3" hidden="1">'[6]Spread Sheet'!#REF!</definedName>
    <definedName name="BLPR2020040129204514652_4_5" localSheetId="4" hidden="1">'[6]Spread Sheet'!#REF!</definedName>
    <definedName name="BLPR2020040129204514652_4_5" localSheetId="7" hidden="1">'[7]Spread Sheet'!#REF!</definedName>
    <definedName name="BLPR2020040129204514652_4_5" hidden="1">'[6]Spread Sheet'!#REF!</definedName>
    <definedName name="BLPR2020040129204514652_5_5" localSheetId="3" hidden="1">'[6]Spread Sheet'!#REF!</definedName>
    <definedName name="BLPR2020040129204514652_5_5" localSheetId="4" hidden="1">'[6]Spread Sheet'!#REF!</definedName>
    <definedName name="BLPR2020040129204514652_5_5" localSheetId="7" hidden="1">'[7]Spread Sheet'!#REF!</definedName>
    <definedName name="BLPR2020040129204514652_5_5" hidden="1">'[6]Spread Sheet'!#REF!</definedName>
    <definedName name="BLPR2120040129204514652" localSheetId="3" hidden="1">'[6]Spread Sheet'!#REF!</definedName>
    <definedName name="BLPR2120040129204514652" localSheetId="4" hidden="1">'[6]Spread Sheet'!#REF!</definedName>
    <definedName name="BLPR2120040129204514652" localSheetId="7" hidden="1">'[7]Spread Sheet'!#REF!</definedName>
    <definedName name="BLPR2120040129204514652" hidden="1">'[6]Spread Sheet'!#REF!</definedName>
    <definedName name="BLPR2120040129204514652_1_5" localSheetId="3" hidden="1">'[6]Spread Sheet'!#REF!</definedName>
    <definedName name="BLPR2120040129204514652_1_5" localSheetId="4" hidden="1">'[6]Spread Sheet'!#REF!</definedName>
    <definedName name="BLPR2120040129204514652_1_5" localSheetId="7" hidden="1">'[7]Spread Sheet'!#REF!</definedName>
    <definedName name="BLPR2120040129204514652_1_5" hidden="1">'[6]Spread Sheet'!#REF!</definedName>
    <definedName name="BLPR2120040129204514652_2_5" localSheetId="3" hidden="1">'[6]Spread Sheet'!#REF!</definedName>
    <definedName name="BLPR2120040129204514652_2_5" localSheetId="4" hidden="1">'[6]Spread Sheet'!#REF!</definedName>
    <definedName name="BLPR2120040129204514652_2_5" localSheetId="7" hidden="1">'[7]Spread Sheet'!#REF!</definedName>
    <definedName name="BLPR2120040129204514652_2_5" hidden="1">'[6]Spread Sheet'!#REF!</definedName>
    <definedName name="BLPR2120040129204514652_3_5" localSheetId="3" hidden="1">'[6]Spread Sheet'!#REF!</definedName>
    <definedName name="BLPR2120040129204514652_3_5" localSheetId="4" hidden="1">'[6]Spread Sheet'!#REF!</definedName>
    <definedName name="BLPR2120040129204514652_3_5" localSheetId="7" hidden="1">'[7]Spread Sheet'!#REF!</definedName>
    <definedName name="BLPR2120040129204514652_3_5" hidden="1">'[6]Spread Sheet'!#REF!</definedName>
    <definedName name="BLPR2120040129204514652_4_5" localSheetId="3" hidden="1">'[6]Spread Sheet'!#REF!</definedName>
    <definedName name="BLPR2120040129204514652_4_5" localSheetId="4" hidden="1">'[6]Spread Sheet'!#REF!</definedName>
    <definedName name="BLPR2120040129204514652_4_5" localSheetId="7" hidden="1">'[7]Spread Sheet'!#REF!</definedName>
    <definedName name="BLPR2120040129204514652_4_5" hidden="1">'[6]Spread Sheet'!#REF!</definedName>
    <definedName name="BLPR2120040129204514652_5_5" localSheetId="3" hidden="1">'[6]Spread Sheet'!#REF!</definedName>
    <definedName name="BLPR2120040129204514652_5_5" localSheetId="4" hidden="1">'[6]Spread Sheet'!#REF!</definedName>
    <definedName name="BLPR2120040129204514652_5_5" localSheetId="7" hidden="1">'[7]Spread Sheet'!#REF!</definedName>
    <definedName name="BLPR2120040129204514652_5_5" hidden="1">'[6]Spread Sheet'!#REF!</definedName>
    <definedName name="BLPR220040129203645421" localSheetId="3" hidden="1">'[6]Spread Sheet'!#REF!</definedName>
    <definedName name="BLPR220040129203645421" localSheetId="4" hidden="1">'[6]Spread Sheet'!#REF!</definedName>
    <definedName name="BLPR220040129203645421" localSheetId="7" hidden="1">'[7]Spread Sheet'!#REF!</definedName>
    <definedName name="BLPR220040129203645421" hidden="1">'[6]Spread Sheet'!#REF!</definedName>
    <definedName name="BLPR220040129203645421_1_4" localSheetId="3" hidden="1">'[6]Spread Sheet'!#REF!</definedName>
    <definedName name="BLPR220040129203645421_1_4" localSheetId="4" hidden="1">'[6]Spread Sheet'!#REF!</definedName>
    <definedName name="BLPR220040129203645421_1_4" localSheetId="7" hidden="1">'[7]Spread Sheet'!#REF!</definedName>
    <definedName name="BLPR220040129203645421_1_4" hidden="1">'[6]Spread Sheet'!#REF!</definedName>
    <definedName name="BLPR220040129203645421_2_4" localSheetId="3" hidden="1">'[6]Spread Sheet'!#REF!</definedName>
    <definedName name="BLPR220040129203645421_2_4" localSheetId="4" hidden="1">'[6]Spread Sheet'!#REF!</definedName>
    <definedName name="BLPR220040129203645421_2_4" localSheetId="7" hidden="1">'[7]Spread Sheet'!#REF!</definedName>
    <definedName name="BLPR220040129203645421_2_4" hidden="1">'[6]Spread Sheet'!#REF!</definedName>
    <definedName name="BLPR220040129203645421_3_4" localSheetId="3" hidden="1">'[6]Spread Sheet'!#REF!</definedName>
    <definedName name="BLPR220040129203645421_3_4" localSheetId="4" hidden="1">'[6]Spread Sheet'!#REF!</definedName>
    <definedName name="BLPR220040129203645421_3_4" localSheetId="7" hidden="1">'[7]Spread Sheet'!#REF!</definedName>
    <definedName name="BLPR220040129203645421_3_4" hidden="1">'[6]Spread Sheet'!#REF!</definedName>
    <definedName name="BLPR220040129203645421_4_4" localSheetId="3" hidden="1">'[6]Spread Sheet'!#REF!</definedName>
    <definedName name="BLPR220040129203645421_4_4" localSheetId="4" hidden="1">'[6]Spread Sheet'!#REF!</definedName>
    <definedName name="BLPR220040129203645421_4_4" localSheetId="7" hidden="1">'[7]Spread Sheet'!#REF!</definedName>
    <definedName name="BLPR220040129203645421_4_4" hidden="1">'[6]Spread Sheet'!#REF!</definedName>
    <definedName name="BLPR2220040129204514652" localSheetId="3" hidden="1">'[6]Spread Sheet'!#REF!</definedName>
    <definedName name="BLPR2220040129204514652" localSheetId="4" hidden="1">'[6]Spread Sheet'!#REF!</definedName>
    <definedName name="BLPR2220040129204514652" localSheetId="7" hidden="1">'[7]Spread Sheet'!#REF!</definedName>
    <definedName name="BLPR2220040129204514652" hidden="1">'[6]Spread Sheet'!#REF!</definedName>
    <definedName name="BLPR2220040129204514652_1_5" localSheetId="3" hidden="1">'[6]Spread Sheet'!#REF!</definedName>
    <definedName name="BLPR2220040129204514652_1_5" localSheetId="4" hidden="1">'[6]Spread Sheet'!#REF!</definedName>
    <definedName name="BLPR2220040129204514652_1_5" localSheetId="7" hidden="1">'[7]Spread Sheet'!#REF!</definedName>
    <definedName name="BLPR2220040129204514652_1_5" hidden="1">'[6]Spread Sheet'!#REF!</definedName>
    <definedName name="BLPR2220040129204514652_2_5" localSheetId="3" hidden="1">'[6]Spread Sheet'!#REF!</definedName>
    <definedName name="BLPR2220040129204514652_2_5" localSheetId="4" hidden="1">'[6]Spread Sheet'!#REF!</definedName>
    <definedName name="BLPR2220040129204514652_2_5" localSheetId="7" hidden="1">'[7]Spread Sheet'!#REF!</definedName>
    <definedName name="BLPR2220040129204514652_2_5" hidden="1">'[6]Spread Sheet'!#REF!</definedName>
    <definedName name="BLPR2220040129204514652_3_5" localSheetId="3" hidden="1">'[6]Spread Sheet'!#REF!</definedName>
    <definedName name="BLPR2220040129204514652_3_5" localSheetId="4" hidden="1">'[6]Spread Sheet'!#REF!</definedName>
    <definedName name="BLPR2220040129204514652_3_5" localSheetId="7" hidden="1">'[7]Spread Sheet'!#REF!</definedName>
    <definedName name="BLPR2220040129204514652_3_5" hidden="1">'[6]Spread Sheet'!#REF!</definedName>
    <definedName name="BLPR2220040129204514652_4_5" localSheetId="3" hidden="1">'[6]Spread Sheet'!#REF!</definedName>
    <definedName name="BLPR2220040129204514652_4_5" localSheetId="4" hidden="1">'[6]Spread Sheet'!#REF!</definedName>
    <definedName name="BLPR2220040129204514652_4_5" localSheetId="7" hidden="1">'[7]Spread Sheet'!#REF!</definedName>
    <definedName name="BLPR2220040129204514652_4_5" hidden="1">'[6]Spread Sheet'!#REF!</definedName>
    <definedName name="BLPR2220040129204514652_5_5" localSheetId="3" hidden="1">'[6]Spread Sheet'!#REF!</definedName>
    <definedName name="BLPR2220040129204514652_5_5" localSheetId="4" hidden="1">'[6]Spread Sheet'!#REF!</definedName>
    <definedName name="BLPR2220040129204514652_5_5" localSheetId="7" hidden="1">'[7]Spread Sheet'!#REF!</definedName>
    <definedName name="BLPR2220040129204514652_5_5" hidden="1">'[6]Spread Sheet'!#REF!</definedName>
    <definedName name="BLPR2320040129204514662" localSheetId="3" hidden="1">'[6]Spread Sheet'!#REF!</definedName>
    <definedName name="BLPR2320040129204514662" localSheetId="4" hidden="1">'[6]Spread Sheet'!#REF!</definedName>
    <definedName name="BLPR2320040129204514662" localSheetId="7" hidden="1">'[7]Spread Sheet'!#REF!</definedName>
    <definedName name="BLPR2320040129204514662" hidden="1">'[6]Spread Sheet'!#REF!</definedName>
    <definedName name="BLPR2320040129204514662_1_5" localSheetId="3" hidden="1">'[6]Spread Sheet'!#REF!</definedName>
    <definedName name="BLPR2320040129204514662_1_5" localSheetId="4" hidden="1">'[6]Spread Sheet'!#REF!</definedName>
    <definedName name="BLPR2320040129204514662_1_5" localSheetId="7" hidden="1">'[7]Spread Sheet'!#REF!</definedName>
    <definedName name="BLPR2320040129204514662_1_5" hidden="1">'[6]Spread Sheet'!#REF!</definedName>
    <definedName name="BLPR2320040129204514662_2_5" localSheetId="3" hidden="1">'[6]Spread Sheet'!#REF!</definedName>
    <definedName name="BLPR2320040129204514662_2_5" localSheetId="4" hidden="1">'[6]Spread Sheet'!#REF!</definedName>
    <definedName name="BLPR2320040129204514662_2_5" localSheetId="7" hidden="1">'[7]Spread Sheet'!#REF!</definedName>
    <definedName name="BLPR2320040129204514662_2_5" hidden="1">'[6]Spread Sheet'!#REF!</definedName>
    <definedName name="BLPR2320040129204514662_3_5" localSheetId="3" hidden="1">'[6]Spread Sheet'!#REF!</definedName>
    <definedName name="BLPR2320040129204514662_3_5" localSheetId="4" hidden="1">'[6]Spread Sheet'!#REF!</definedName>
    <definedName name="BLPR2320040129204514662_3_5" localSheetId="7" hidden="1">'[7]Spread Sheet'!#REF!</definedName>
    <definedName name="BLPR2320040129204514662_3_5" hidden="1">'[6]Spread Sheet'!#REF!</definedName>
    <definedName name="BLPR2320040129204514662_4_5" localSheetId="3" hidden="1">'[6]Spread Sheet'!#REF!</definedName>
    <definedName name="BLPR2320040129204514662_4_5" localSheetId="4" hidden="1">'[6]Spread Sheet'!#REF!</definedName>
    <definedName name="BLPR2320040129204514662_4_5" localSheetId="7" hidden="1">'[7]Spread Sheet'!#REF!</definedName>
    <definedName name="BLPR2320040129204514662_4_5" hidden="1">'[6]Spread Sheet'!#REF!</definedName>
    <definedName name="BLPR2320040129204514662_5_5" localSheetId="3" hidden="1">'[6]Spread Sheet'!#REF!</definedName>
    <definedName name="BLPR2320040129204514662_5_5" localSheetId="4" hidden="1">'[6]Spread Sheet'!#REF!</definedName>
    <definedName name="BLPR2320040129204514662_5_5" localSheetId="7" hidden="1">'[7]Spread Sheet'!#REF!</definedName>
    <definedName name="BLPR2320040129204514662_5_5" hidden="1">'[6]Spread Sheet'!#REF!</definedName>
    <definedName name="BLPR2420040129204514662" localSheetId="3" hidden="1">'[6]Spread Sheet'!#REF!</definedName>
    <definedName name="BLPR2420040129204514662" localSheetId="4" hidden="1">'[6]Spread Sheet'!#REF!</definedName>
    <definedName name="BLPR2420040129204514662" localSheetId="7" hidden="1">'[7]Spread Sheet'!#REF!</definedName>
    <definedName name="BLPR2420040129204514662" hidden="1">'[6]Spread Sheet'!#REF!</definedName>
    <definedName name="BLPR2420040129204514662_1_5" localSheetId="3" hidden="1">'[6]Spread Sheet'!#REF!</definedName>
    <definedName name="BLPR2420040129204514662_1_5" localSheetId="4" hidden="1">'[6]Spread Sheet'!#REF!</definedName>
    <definedName name="BLPR2420040129204514662_1_5" localSheetId="7" hidden="1">'[7]Spread Sheet'!#REF!</definedName>
    <definedName name="BLPR2420040129204514662_1_5" hidden="1">'[6]Spread Sheet'!#REF!</definedName>
    <definedName name="BLPR2420040129204514662_2_5" localSheetId="3" hidden="1">'[6]Spread Sheet'!#REF!</definedName>
    <definedName name="BLPR2420040129204514662_2_5" localSheetId="4" hidden="1">'[6]Spread Sheet'!#REF!</definedName>
    <definedName name="BLPR2420040129204514662_2_5" localSheetId="7" hidden="1">'[7]Spread Sheet'!#REF!</definedName>
    <definedName name="BLPR2420040129204514662_2_5" hidden="1">'[6]Spread Sheet'!#REF!</definedName>
    <definedName name="BLPR2420040129204514662_3_5" localSheetId="3" hidden="1">'[6]Spread Sheet'!#REF!</definedName>
    <definedName name="BLPR2420040129204514662_3_5" localSheetId="4" hidden="1">'[6]Spread Sheet'!#REF!</definedName>
    <definedName name="BLPR2420040129204514662_3_5" localSheetId="7" hidden="1">'[7]Spread Sheet'!#REF!</definedName>
    <definedName name="BLPR2420040129204514662_3_5" hidden="1">'[6]Spread Sheet'!#REF!</definedName>
    <definedName name="BLPR2420040129204514662_4_5" localSheetId="3" hidden="1">'[6]Spread Sheet'!#REF!</definedName>
    <definedName name="BLPR2420040129204514662_4_5" localSheetId="4" hidden="1">'[6]Spread Sheet'!#REF!</definedName>
    <definedName name="BLPR2420040129204514662_4_5" localSheetId="7" hidden="1">'[7]Spread Sheet'!#REF!</definedName>
    <definedName name="BLPR2420040129204514662_4_5" hidden="1">'[6]Spread Sheet'!#REF!</definedName>
    <definedName name="BLPR2420040129204514662_5_5" localSheetId="3" hidden="1">'[6]Spread Sheet'!#REF!</definedName>
    <definedName name="BLPR2420040129204514662_5_5" localSheetId="4" hidden="1">'[6]Spread Sheet'!#REF!</definedName>
    <definedName name="BLPR2420040129204514662_5_5" localSheetId="7" hidden="1">'[7]Spread Sheet'!#REF!</definedName>
    <definedName name="BLPR2420040129204514662_5_5" hidden="1">'[6]Spread Sheet'!#REF!</definedName>
    <definedName name="BLPR2520040129204514662" localSheetId="3" hidden="1">'[6]Spread Sheet'!#REF!</definedName>
    <definedName name="BLPR2520040129204514662" localSheetId="4" hidden="1">'[6]Spread Sheet'!#REF!</definedName>
    <definedName name="BLPR2520040129204514662" localSheetId="7" hidden="1">'[7]Spread Sheet'!#REF!</definedName>
    <definedName name="BLPR2520040129204514662" hidden="1">'[6]Spread Sheet'!#REF!</definedName>
    <definedName name="BLPR2520040129204514662_1_5" localSheetId="3" hidden="1">'[6]Spread Sheet'!#REF!</definedName>
    <definedName name="BLPR2520040129204514662_1_5" localSheetId="4" hidden="1">'[6]Spread Sheet'!#REF!</definedName>
    <definedName name="BLPR2520040129204514662_1_5" localSheetId="7" hidden="1">'[7]Spread Sheet'!#REF!</definedName>
    <definedName name="BLPR2520040129204514662_1_5" hidden="1">'[6]Spread Sheet'!#REF!</definedName>
    <definedName name="BLPR2520040129204514662_2_5" localSheetId="3" hidden="1">'[6]Spread Sheet'!#REF!</definedName>
    <definedName name="BLPR2520040129204514662_2_5" localSheetId="4" hidden="1">'[6]Spread Sheet'!#REF!</definedName>
    <definedName name="BLPR2520040129204514662_2_5" localSheetId="7" hidden="1">'[7]Spread Sheet'!#REF!</definedName>
    <definedName name="BLPR2520040129204514662_2_5" hidden="1">'[6]Spread Sheet'!#REF!</definedName>
    <definedName name="BLPR2520040129204514662_3_5" localSheetId="3" hidden="1">'[6]Spread Sheet'!#REF!</definedName>
    <definedName name="BLPR2520040129204514662_3_5" localSheetId="4" hidden="1">'[6]Spread Sheet'!#REF!</definedName>
    <definedName name="BLPR2520040129204514662_3_5" localSheetId="7" hidden="1">'[7]Spread Sheet'!#REF!</definedName>
    <definedName name="BLPR2520040129204514662_3_5" hidden="1">'[6]Spread Sheet'!#REF!</definedName>
    <definedName name="BLPR2520040129204514662_4_5" localSheetId="3" hidden="1">'[6]Spread Sheet'!#REF!</definedName>
    <definedName name="BLPR2520040129204514662_4_5" localSheetId="4" hidden="1">'[6]Spread Sheet'!#REF!</definedName>
    <definedName name="BLPR2520040129204514662_4_5" localSheetId="7" hidden="1">'[7]Spread Sheet'!#REF!</definedName>
    <definedName name="BLPR2520040129204514662_4_5" hidden="1">'[6]Spread Sheet'!#REF!</definedName>
    <definedName name="BLPR2520040129204514662_5_5" localSheetId="3" hidden="1">'[6]Spread Sheet'!#REF!</definedName>
    <definedName name="BLPR2520040129204514662_5_5" localSheetId="4" hidden="1">'[6]Spread Sheet'!#REF!</definedName>
    <definedName name="BLPR2520040129204514662_5_5" localSheetId="7" hidden="1">'[7]Spread Sheet'!#REF!</definedName>
    <definedName name="BLPR2520040129204514662_5_5" hidden="1">'[6]Spread Sheet'!#REF!</definedName>
    <definedName name="BLPR2620040129204514662" localSheetId="3" hidden="1">'[6]Spread Sheet'!#REF!</definedName>
    <definedName name="BLPR2620040129204514662" localSheetId="4" hidden="1">'[6]Spread Sheet'!#REF!</definedName>
    <definedName name="BLPR2620040129204514662" localSheetId="7" hidden="1">'[7]Spread Sheet'!#REF!</definedName>
    <definedName name="BLPR2620040129204514662" hidden="1">'[6]Spread Sheet'!#REF!</definedName>
    <definedName name="BLPR2620040129204514662_1_5" localSheetId="3" hidden="1">'[6]Spread Sheet'!#REF!</definedName>
    <definedName name="BLPR2620040129204514662_1_5" localSheetId="4" hidden="1">'[6]Spread Sheet'!#REF!</definedName>
    <definedName name="BLPR2620040129204514662_1_5" localSheetId="7" hidden="1">'[7]Spread Sheet'!#REF!</definedName>
    <definedName name="BLPR2620040129204514662_1_5" hidden="1">'[6]Spread Sheet'!#REF!</definedName>
    <definedName name="BLPR2620040129204514662_2_5" localSheetId="3" hidden="1">'[6]Spread Sheet'!#REF!</definedName>
    <definedName name="BLPR2620040129204514662_2_5" localSheetId="4" hidden="1">'[6]Spread Sheet'!#REF!</definedName>
    <definedName name="BLPR2620040129204514662_2_5" localSheetId="7" hidden="1">'[7]Spread Sheet'!#REF!</definedName>
    <definedName name="BLPR2620040129204514662_2_5" hidden="1">'[6]Spread Sheet'!#REF!</definedName>
    <definedName name="BLPR2620040129204514662_3_5" localSheetId="3" hidden="1">'[6]Spread Sheet'!#REF!</definedName>
    <definedName name="BLPR2620040129204514662_3_5" localSheetId="4" hidden="1">'[6]Spread Sheet'!#REF!</definedName>
    <definedName name="BLPR2620040129204514662_3_5" localSheetId="7" hidden="1">'[7]Spread Sheet'!#REF!</definedName>
    <definedName name="BLPR2620040129204514662_3_5" hidden="1">'[6]Spread Sheet'!#REF!</definedName>
    <definedName name="BLPR2620040129204514662_4_5" localSheetId="3" hidden="1">'[6]Spread Sheet'!#REF!</definedName>
    <definedName name="BLPR2620040129204514662_4_5" localSheetId="4" hidden="1">'[6]Spread Sheet'!#REF!</definedName>
    <definedName name="BLPR2620040129204514662_4_5" localSheetId="7" hidden="1">'[7]Spread Sheet'!#REF!</definedName>
    <definedName name="BLPR2620040129204514662_4_5" hidden="1">'[6]Spread Sheet'!#REF!</definedName>
    <definedName name="BLPR2620040129204514662_5_5" localSheetId="3" hidden="1">'[6]Spread Sheet'!#REF!</definedName>
    <definedName name="BLPR2620040129204514662_5_5" localSheetId="4" hidden="1">'[6]Spread Sheet'!#REF!</definedName>
    <definedName name="BLPR2620040129204514662_5_5" localSheetId="7" hidden="1">'[7]Spread Sheet'!#REF!</definedName>
    <definedName name="BLPR2620040129204514662_5_5" hidden="1">'[6]Spread Sheet'!#REF!</definedName>
    <definedName name="BLPR2720040129204514662" localSheetId="3" hidden="1">'[6]Spread Sheet'!#REF!</definedName>
    <definedName name="BLPR2720040129204514662" localSheetId="4" hidden="1">'[6]Spread Sheet'!#REF!</definedName>
    <definedName name="BLPR2720040129204514662" localSheetId="7" hidden="1">'[7]Spread Sheet'!#REF!</definedName>
    <definedName name="BLPR2720040129204514662" hidden="1">'[6]Spread Sheet'!#REF!</definedName>
    <definedName name="BLPR2720040129204514662_1_5" localSheetId="3" hidden="1">'[6]Spread Sheet'!#REF!</definedName>
    <definedName name="BLPR2720040129204514662_1_5" localSheetId="4" hidden="1">'[6]Spread Sheet'!#REF!</definedName>
    <definedName name="BLPR2720040129204514662_1_5" localSheetId="7" hidden="1">'[7]Spread Sheet'!#REF!</definedName>
    <definedName name="BLPR2720040129204514662_1_5" hidden="1">'[6]Spread Sheet'!#REF!</definedName>
    <definedName name="BLPR2720040129204514662_2_5" localSheetId="3" hidden="1">'[6]Spread Sheet'!#REF!</definedName>
    <definedName name="BLPR2720040129204514662_2_5" localSheetId="4" hidden="1">'[6]Spread Sheet'!#REF!</definedName>
    <definedName name="BLPR2720040129204514662_2_5" localSheetId="7" hidden="1">'[7]Spread Sheet'!#REF!</definedName>
    <definedName name="BLPR2720040129204514662_2_5" hidden="1">'[6]Spread Sheet'!#REF!</definedName>
    <definedName name="BLPR2720040129204514662_3_5" localSheetId="3" hidden="1">'[6]Spread Sheet'!#REF!</definedName>
    <definedName name="BLPR2720040129204514662_3_5" localSheetId="4" hidden="1">'[6]Spread Sheet'!#REF!</definedName>
    <definedName name="BLPR2720040129204514662_3_5" localSheetId="7" hidden="1">'[7]Spread Sheet'!#REF!</definedName>
    <definedName name="BLPR2720040129204514662_3_5" hidden="1">'[6]Spread Sheet'!#REF!</definedName>
    <definedName name="BLPR2720040129204514662_4_5" localSheetId="3" hidden="1">'[6]Spread Sheet'!#REF!</definedName>
    <definedName name="BLPR2720040129204514662_4_5" localSheetId="4" hidden="1">'[6]Spread Sheet'!#REF!</definedName>
    <definedName name="BLPR2720040129204514662_4_5" localSheetId="7" hidden="1">'[7]Spread Sheet'!#REF!</definedName>
    <definedName name="BLPR2720040129204514662_4_5" hidden="1">'[6]Spread Sheet'!#REF!</definedName>
    <definedName name="BLPR2720040129204514662_5_5" localSheetId="3" hidden="1">'[6]Spread Sheet'!#REF!</definedName>
    <definedName name="BLPR2720040129204514662_5_5" localSheetId="4" hidden="1">'[6]Spread Sheet'!#REF!</definedName>
    <definedName name="BLPR2720040129204514662_5_5" localSheetId="7" hidden="1">'[7]Spread Sheet'!#REF!</definedName>
    <definedName name="BLPR2720040129204514662_5_5" hidden="1">'[6]Spread Sheet'!#REF!</definedName>
    <definedName name="BLPR2820040129204514662" localSheetId="3" hidden="1">'[6]Spread Sheet'!#REF!</definedName>
    <definedName name="BLPR2820040129204514662" localSheetId="4" hidden="1">'[6]Spread Sheet'!#REF!</definedName>
    <definedName name="BLPR2820040129204514662" localSheetId="7" hidden="1">'[7]Spread Sheet'!#REF!</definedName>
    <definedName name="BLPR2820040129204514662" hidden="1">'[6]Spread Sheet'!#REF!</definedName>
    <definedName name="BLPR2820040129204514662_1_5" localSheetId="3" hidden="1">'[6]Spread Sheet'!#REF!</definedName>
    <definedName name="BLPR2820040129204514662_1_5" localSheetId="4" hidden="1">'[6]Spread Sheet'!#REF!</definedName>
    <definedName name="BLPR2820040129204514662_1_5" localSheetId="7" hidden="1">'[7]Spread Sheet'!#REF!</definedName>
    <definedName name="BLPR2820040129204514662_1_5" hidden="1">'[6]Spread Sheet'!#REF!</definedName>
    <definedName name="BLPR2820040129204514662_2_5" localSheetId="3" hidden="1">'[6]Spread Sheet'!#REF!</definedName>
    <definedName name="BLPR2820040129204514662_2_5" localSheetId="4" hidden="1">'[6]Spread Sheet'!#REF!</definedName>
    <definedName name="BLPR2820040129204514662_2_5" localSheetId="7" hidden="1">'[7]Spread Sheet'!#REF!</definedName>
    <definedName name="BLPR2820040129204514662_2_5" hidden="1">'[6]Spread Sheet'!#REF!</definedName>
    <definedName name="BLPR2820040129204514662_3_5" localSheetId="3" hidden="1">'[6]Spread Sheet'!#REF!</definedName>
    <definedName name="BLPR2820040129204514662_3_5" localSheetId="4" hidden="1">'[6]Spread Sheet'!#REF!</definedName>
    <definedName name="BLPR2820040129204514662_3_5" localSheetId="7" hidden="1">'[7]Spread Sheet'!#REF!</definedName>
    <definedName name="BLPR2820040129204514662_3_5" hidden="1">'[6]Spread Sheet'!#REF!</definedName>
    <definedName name="BLPR2820040129204514662_4_5" localSheetId="3" hidden="1">'[6]Spread Sheet'!#REF!</definedName>
    <definedName name="BLPR2820040129204514662_4_5" localSheetId="4" hidden="1">'[6]Spread Sheet'!#REF!</definedName>
    <definedName name="BLPR2820040129204514662_4_5" localSheetId="7" hidden="1">'[7]Spread Sheet'!#REF!</definedName>
    <definedName name="BLPR2820040129204514662_4_5" hidden="1">'[6]Spread Sheet'!#REF!</definedName>
    <definedName name="BLPR2820040129204514662_5_5" localSheetId="3" hidden="1">'[6]Spread Sheet'!#REF!</definedName>
    <definedName name="BLPR2820040129204514662_5_5" localSheetId="4" hidden="1">'[6]Spread Sheet'!#REF!</definedName>
    <definedName name="BLPR2820040129204514662_5_5" localSheetId="7" hidden="1">'[7]Spread Sheet'!#REF!</definedName>
    <definedName name="BLPR2820040129204514662_5_5" hidden="1">'[6]Spread Sheet'!#REF!</definedName>
    <definedName name="BLPR2920040129204514662" localSheetId="3" hidden="1">'[6]Spread Sheet'!#REF!</definedName>
    <definedName name="BLPR2920040129204514662" localSheetId="4" hidden="1">'[6]Spread Sheet'!#REF!</definedName>
    <definedName name="BLPR2920040129204514662" localSheetId="7" hidden="1">'[7]Spread Sheet'!#REF!</definedName>
    <definedName name="BLPR2920040129204514662" hidden="1">'[6]Spread Sheet'!#REF!</definedName>
    <definedName name="BLPR2920040129204514662_1_5" localSheetId="3" hidden="1">'[6]Spread Sheet'!#REF!</definedName>
    <definedName name="BLPR2920040129204514662_1_5" localSheetId="4" hidden="1">'[6]Spread Sheet'!#REF!</definedName>
    <definedName name="BLPR2920040129204514662_1_5" localSheetId="7" hidden="1">'[7]Spread Sheet'!#REF!</definedName>
    <definedName name="BLPR2920040129204514662_1_5" hidden="1">'[6]Spread Sheet'!#REF!</definedName>
    <definedName name="BLPR2920040129204514662_2_5" localSheetId="3" hidden="1">'[6]Spread Sheet'!#REF!</definedName>
    <definedName name="BLPR2920040129204514662_2_5" localSheetId="4" hidden="1">'[6]Spread Sheet'!#REF!</definedName>
    <definedName name="BLPR2920040129204514662_2_5" localSheetId="7" hidden="1">'[7]Spread Sheet'!#REF!</definedName>
    <definedName name="BLPR2920040129204514662_2_5" hidden="1">'[6]Spread Sheet'!#REF!</definedName>
    <definedName name="BLPR2920040129204514662_3_5" localSheetId="3" hidden="1">'[6]Spread Sheet'!#REF!</definedName>
    <definedName name="BLPR2920040129204514662_3_5" localSheetId="4" hidden="1">'[6]Spread Sheet'!#REF!</definedName>
    <definedName name="BLPR2920040129204514662_3_5" localSheetId="7" hidden="1">'[7]Spread Sheet'!#REF!</definedName>
    <definedName name="BLPR2920040129204514662_3_5" hidden="1">'[6]Spread Sheet'!#REF!</definedName>
    <definedName name="BLPR2920040129204514662_4_5" localSheetId="3" hidden="1">'[6]Spread Sheet'!#REF!</definedName>
    <definedName name="BLPR2920040129204514662_4_5" localSheetId="4" hidden="1">'[6]Spread Sheet'!#REF!</definedName>
    <definedName name="BLPR2920040129204514662_4_5" localSheetId="7" hidden="1">'[7]Spread Sheet'!#REF!</definedName>
    <definedName name="BLPR2920040129204514662_4_5" hidden="1">'[6]Spread Sheet'!#REF!</definedName>
    <definedName name="BLPR2920040129204514662_5_5" localSheetId="3" hidden="1">'[6]Spread Sheet'!#REF!</definedName>
    <definedName name="BLPR2920040129204514662_5_5" localSheetId="4" hidden="1">'[6]Spread Sheet'!#REF!</definedName>
    <definedName name="BLPR2920040129204514662_5_5" localSheetId="7" hidden="1">'[7]Spread Sheet'!#REF!</definedName>
    <definedName name="BLPR2920040129204514662_5_5" hidden="1">'[6]Spread Sheet'!#REF!</definedName>
    <definedName name="BLPR3020040129204514672" localSheetId="3" hidden="1">'[6]Spread Sheet'!#REF!</definedName>
    <definedName name="BLPR3020040129204514672" localSheetId="4" hidden="1">'[6]Spread Sheet'!#REF!</definedName>
    <definedName name="BLPR3020040129204514672" localSheetId="7" hidden="1">'[7]Spread Sheet'!#REF!</definedName>
    <definedName name="BLPR3020040129204514672" hidden="1">'[6]Spread Sheet'!#REF!</definedName>
    <definedName name="BLPR3020040129204514672_1_5" localSheetId="3" hidden="1">'[6]Spread Sheet'!#REF!</definedName>
    <definedName name="BLPR3020040129204514672_1_5" localSheetId="4" hidden="1">'[6]Spread Sheet'!#REF!</definedName>
    <definedName name="BLPR3020040129204514672_1_5" localSheetId="7" hidden="1">'[7]Spread Sheet'!#REF!</definedName>
    <definedName name="BLPR3020040129204514672_1_5" hidden="1">'[6]Spread Sheet'!#REF!</definedName>
    <definedName name="BLPR3020040129204514672_2_5" localSheetId="3" hidden="1">'[6]Spread Sheet'!#REF!</definedName>
    <definedName name="BLPR3020040129204514672_2_5" localSheetId="4" hidden="1">'[6]Spread Sheet'!#REF!</definedName>
    <definedName name="BLPR3020040129204514672_2_5" localSheetId="7" hidden="1">'[7]Spread Sheet'!#REF!</definedName>
    <definedName name="BLPR3020040129204514672_2_5" hidden="1">'[6]Spread Sheet'!#REF!</definedName>
    <definedName name="BLPR3020040129204514672_3_5" localSheetId="3" hidden="1">'[6]Spread Sheet'!#REF!</definedName>
    <definedName name="BLPR3020040129204514672_3_5" localSheetId="4" hidden="1">'[6]Spread Sheet'!#REF!</definedName>
    <definedName name="BLPR3020040129204514672_3_5" localSheetId="7" hidden="1">'[7]Spread Sheet'!#REF!</definedName>
    <definedName name="BLPR3020040129204514672_3_5" hidden="1">'[6]Spread Sheet'!#REF!</definedName>
    <definedName name="BLPR3020040129204514672_4_5" localSheetId="3" hidden="1">'[6]Spread Sheet'!#REF!</definedName>
    <definedName name="BLPR3020040129204514672_4_5" localSheetId="4" hidden="1">'[6]Spread Sheet'!#REF!</definedName>
    <definedName name="BLPR3020040129204514672_4_5" localSheetId="7" hidden="1">'[7]Spread Sheet'!#REF!</definedName>
    <definedName name="BLPR3020040129204514672_4_5" hidden="1">'[6]Spread Sheet'!#REF!</definedName>
    <definedName name="BLPR3020040129204514672_5_5" localSheetId="3" hidden="1">'[6]Spread Sheet'!#REF!</definedName>
    <definedName name="BLPR3020040129204514672_5_5" localSheetId="4" hidden="1">'[6]Spread Sheet'!#REF!</definedName>
    <definedName name="BLPR3020040129204514672_5_5" localSheetId="7" hidden="1">'[7]Spread Sheet'!#REF!</definedName>
    <definedName name="BLPR3020040129204514672_5_5" hidden="1">'[6]Spread Sheet'!#REF!</definedName>
    <definedName name="BLPR3120040129204514692" localSheetId="3" hidden="1">'[6]Spread Sheet'!#REF!</definedName>
    <definedName name="BLPR3120040129204514692" localSheetId="4" hidden="1">'[6]Spread Sheet'!#REF!</definedName>
    <definedName name="BLPR3120040129204514692" localSheetId="7" hidden="1">'[7]Spread Sheet'!#REF!</definedName>
    <definedName name="BLPR3120040129204514692" hidden="1">'[6]Spread Sheet'!#REF!</definedName>
    <definedName name="BLPR3120040129204514692_1_1" localSheetId="3" hidden="1">'[6]Spread Sheet'!#REF!</definedName>
    <definedName name="BLPR3120040129204514692_1_1" localSheetId="4" hidden="1">'[6]Spread Sheet'!#REF!</definedName>
    <definedName name="BLPR3120040129204514692_1_1" localSheetId="7" hidden="1">'[7]Spread Sheet'!#REF!</definedName>
    <definedName name="BLPR3120040129204514692_1_1" hidden="1">'[6]Spread Sheet'!#REF!</definedName>
    <definedName name="BLPR320040129203645431" localSheetId="3" hidden="1">'[6]Spread Sheet'!#REF!</definedName>
    <definedName name="BLPR320040129203645431" localSheetId="4" hidden="1">'[6]Spread Sheet'!#REF!</definedName>
    <definedName name="BLPR320040129203645431" localSheetId="7" hidden="1">'[7]Spread Sheet'!#REF!</definedName>
    <definedName name="BLPR320040129203645431" hidden="1">'[6]Spread Sheet'!#REF!</definedName>
    <definedName name="BLPR320040129203645431_1_4" localSheetId="3" hidden="1">'[6]Spread Sheet'!#REF!</definedName>
    <definedName name="BLPR320040129203645431_1_4" localSheetId="4" hidden="1">'[6]Spread Sheet'!#REF!</definedName>
    <definedName name="BLPR320040129203645431_1_4" localSheetId="7" hidden="1">'[7]Spread Sheet'!#REF!</definedName>
    <definedName name="BLPR320040129203645431_1_4" hidden="1">'[6]Spread Sheet'!#REF!</definedName>
    <definedName name="BLPR320040129203645431_2_4" localSheetId="3" hidden="1">'[6]Spread Sheet'!#REF!</definedName>
    <definedName name="BLPR320040129203645431_2_4" localSheetId="4" hidden="1">'[6]Spread Sheet'!#REF!</definedName>
    <definedName name="BLPR320040129203645431_2_4" localSheetId="7" hidden="1">'[7]Spread Sheet'!#REF!</definedName>
    <definedName name="BLPR320040129203645431_2_4" hidden="1">'[6]Spread Sheet'!#REF!</definedName>
    <definedName name="BLPR320040129203645431_3_4" localSheetId="3" hidden="1">'[6]Spread Sheet'!#REF!</definedName>
    <definedName name="BLPR320040129203645431_3_4" localSheetId="4" hidden="1">'[6]Spread Sheet'!#REF!</definedName>
    <definedName name="BLPR320040129203645431_3_4" localSheetId="7" hidden="1">'[7]Spread Sheet'!#REF!</definedName>
    <definedName name="BLPR320040129203645431_3_4" hidden="1">'[6]Spread Sheet'!#REF!</definedName>
    <definedName name="BLPR320040129203645431_4_4" localSheetId="3" hidden="1">'[6]Spread Sheet'!#REF!</definedName>
    <definedName name="BLPR320040129203645431_4_4" localSheetId="4" hidden="1">'[6]Spread Sheet'!#REF!</definedName>
    <definedName name="BLPR320040129203645431_4_4" localSheetId="7" hidden="1">'[7]Spread Sheet'!#REF!</definedName>
    <definedName name="BLPR320040129203645431_4_4" hidden="1">'[6]Spread Sheet'!#REF!</definedName>
    <definedName name="BLPR3220040129204514692" localSheetId="3" hidden="1">'[6]Spread Sheet'!#REF!</definedName>
    <definedName name="BLPR3220040129204514692" localSheetId="4" hidden="1">'[6]Spread Sheet'!#REF!</definedName>
    <definedName name="BLPR3220040129204514692" localSheetId="7" hidden="1">'[7]Spread Sheet'!#REF!</definedName>
    <definedName name="BLPR3220040129204514692" hidden="1">'[6]Spread Sheet'!#REF!</definedName>
    <definedName name="BLPR3220040129204514692_1_1" localSheetId="3" hidden="1">'[6]Spread Sheet'!#REF!</definedName>
    <definedName name="BLPR3220040129204514692_1_1" localSheetId="4" hidden="1">'[6]Spread Sheet'!#REF!</definedName>
    <definedName name="BLPR3220040129204514692_1_1" localSheetId="7" hidden="1">'[7]Spread Sheet'!#REF!</definedName>
    <definedName name="BLPR3220040129204514692_1_1" hidden="1">'[6]Spread Sheet'!#REF!</definedName>
    <definedName name="BLPR3320040129204514702" localSheetId="3" hidden="1">'[6]Spread Sheet'!#REF!</definedName>
    <definedName name="BLPR3320040129204514702" localSheetId="4" hidden="1">'[6]Spread Sheet'!#REF!</definedName>
    <definedName name="BLPR3320040129204514702" localSheetId="7" hidden="1">'[7]Spread Sheet'!#REF!</definedName>
    <definedName name="BLPR3320040129204514702" hidden="1">'[6]Spread Sheet'!#REF!</definedName>
    <definedName name="BLPR3320040129204514702_1_1" localSheetId="3" hidden="1">'[6]Spread Sheet'!#REF!</definedName>
    <definedName name="BLPR3320040129204514702_1_1" localSheetId="4" hidden="1">'[6]Spread Sheet'!#REF!</definedName>
    <definedName name="BLPR3320040129204514702_1_1" localSheetId="7" hidden="1">'[7]Spread Sheet'!#REF!</definedName>
    <definedName name="BLPR3320040129204514702_1_1" hidden="1">'[6]Spread Sheet'!#REF!</definedName>
    <definedName name="BLPR3420040129204514702" localSheetId="3" hidden="1">'[6]Spread Sheet'!#REF!</definedName>
    <definedName name="BLPR3420040129204514702" localSheetId="4" hidden="1">'[6]Spread Sheet'!#REF!</definedName>
    <definedName name="BLPR3420040129204514702" localSheetId="7" hidden="1">'[7]Spread Sheet'!#REF!</definedName>
    <definedName name="BLPR3420040129204514702" hidden="1">'[6]Spread Sheet'!#REF!</definedName>
    <definedName name="BLPR3420040129204514702_1_1" localSheetId="3" hidden="1">'[6]Spread Sheet'!#REF!</definedName>
    <definedName name="BLPR3420040129204514702_1_1" localSheetId="4" hidden="1">'[6]Spread Sheet'!#REF!</definedName>
    <definedName name="BLPR3420040129204514702_1_1" localSheetId="7" hidden="1">'[7]Spread Sheet'!#REF!</definedName>
    <definedName name="BLPR3420040129204514702_1_1" hidden="1">'[6]Spread Sheet'!#REF!</definedName>
    <definedName name="BLPR3520040129204514702" localSheetId="3" hidden="1">'[6]Spread Sheet'!#REF!</definedName>
    <definedName name="BLPR3520040129204514702" localSheetId="4" hidden="1">'[6]Spread Sheet'!#REF!</definedName>
    <definedName name="BLPR3520040129204514702" localSheetId="7" hidden="1">'[7]Spread Sheet'!#REF!</definedName>
    <definedName name="BLPR3520040129204514702" hidden="1">'[6]Spread Sheet'!#REF!</definedName>
    <definedName name="BLPR3520040129204514702_1_1" localSheetId="3" hidden="1">'[6]Spread Sheet'!#REF!</definedName>
    <definedName name="BLPR3520040129204514702_1_1" localSheetId="4" hidden="1">'[6]Spread Sheet'!#REF!</definedName>
    <definedName name="BLPR3520040129204514702_1_1" localSheetId="7" hidden="1">'[7]Spread Sheet'!#REF!</definedName>
    <definedName name="BLPR3520040129204514702_1_1" hidden="1">'[6]Spread Sheet'!#REF!</definedName>
    <definedName name="BLPR420040129203645431" localSheetId="3" hidden="1">'[6]Spread Sheet'!#REF!</definedName>
    <definedName name="BLPR420040129203645431" localSheetId="4" hidden="1">'[6]Spread Sheet'!#REF!</definedName>
    <definedName name="BLPR420040129203645431" localSheetId="7" hidden="1">'[7]Spread Sheet'!#REF!</definedName>
    <definedName name="BLPR420040129203645431" hidden="1">'[6]Spread Sheet'!#REF!</definedName>
    <definedName name="BLPR420040129203645431_1_4" localSheetId="3" hidden="1">'[6]Spread Sheet'!#REF!</definedName>
    <definedName name="BLPR420040129203645431_1_4" localSheetId="4" hidden="1">'[6]Spread Sheet'!#REF!</definedName>
    <definedName name="BLPR420040129203645431_1_4" localSheetId="7" hidden="1">'[7]Spread Sheet'!#REF!</definedName>
    <definedName name="BLPR420040129203645431_1_4" hidden="1">'[6]Spread Sheet'!#REF!</definedName>
    <definedName name="BLPR420040129203645431_2_4" localSheetId="3" hidden="1">'[6]Spread Sheet'!#REF!</definedName>
    <definedName name="BLPR420040129203645431_2_4" localSheetId="4" hidden="1">'[6]Spread Sheet'!#REF!</definedName>
    <definedName name="BLPR420040129203645431_2_4" localSheetId="7" hidden="1">'[7]Spread Sheet'!#REF!</definedName>
    <definedName name="BLPR420040129203645431_2_4" hidden="1">'[6]Spread Sheet'!#REF!</definedName>
    <definedName name="BLPR420040129203645431_3_4" localSheetId="3" hidden="1">'[6]Spread Sheet'!#REF!</definedName>
    <definedName name="BLPR420040129203645431_3_4" localSheetId="4" hidden="1">'[6]Spread Sheet'!#REF!</definedName>
    <definedName name="BLPR420040129203645431_3_4" localSheetId="7" hidden="1">'[7]Spread Sheet'!#REF!</definedName>
    <definedName name="BLPR420040129203645431_3_4" hidden="1">'[6]Spread Sheet'!#REF!</definedName>
    <definedName name="BLPR420040129203645431_4_4" localSheetId="3" hidden="1">'[6]Spread Sheet'!#REF!</definedName>
    <definedName name="BLPR420040129203645431_4_4" localSheetId="4" hidden="1">'[6]Spread Sheet'!#REF!</definedName>
    <definedName name="BLPR420040129203645431_4_4" localSheetId="7" hidden="1">'[7]Spread Sheet'!#REF!</definedName>
    <definedName name="BLPR420040129203645431_4_4" hidden="1">'[6]Spread Sheet'!#REF!</definedName>
    <definedName name="BLPR520040129203645441" localSheetId="3" hidden="1">'[6]Spread Sheet'!#REF!</definedName>
    <definedName name="BLPR520040129203645441" localSheetId="4" hidden="1">'[6]Spread Sheet'!#REF!</definedName>
    <definedName name="BLPR520040129203645441" localSheetId="7" hidden="1">'[7]Spread Sheet'!#REF!</definedName>
    <definedName name="BLPR520040129203645441" hidden="1">'[6]Spread Sheet'!#REF!</definedName>
    <definedName name="BLPR520040129203645441_1_4" localSheetId="3" hidden="1">'[6]Spread Sheet'!#REF!</definedName>
    <definedName name="BLPR520040129203645441_1_4" localSheetId="4" hidden="1">'[6]Spread Sheet'!#REF!</definedName>
    <definedName name="BLPR520040129203645441_1_4" localSheetId="7" hidden="1">'[7]Spread Sheet'!#REF!</definedName>
    <definedName name="BLPR520040129203645441_1_4" hidden="1">'[6]Spread Sheet'!#REF!</definedName>
    <definedName name="BLPR520040129203645441_2_4" localSheetId="3" hidden="1">'[6]Spread Sheet'!#REF!</definedName>
    <definedName name="BLPR520040129203645441_2_4" localSheetId="4" hidden="1">'[6]Spread Sheet'!#REF!</definedName>
    <definedName name="BLPR520040129203645441_2_4" localSheetId="7" hidden="1">'[7]Spread Sheet'!#REF!</definedName>
    <definedName name="BLPR520040129203645441_2_4" hidden="1">'[6]Spread Sheet'!#REF!</definedName>
    <definedName name="BLPR520040129203645441_3_4" localSheetId="3" hidden="1">'[6]Spread Sheet'!#REF!</definedName>
    <definedName name="BLPR520040129203645441_3_4" localSheetId="4" hidden="1">'[6]Spread Sheet'!#REF!</definedName>
    <definedName name="BLPR520040129203645441_3_4" localSheetId="7" hidden="1">'[7]Spread Sheet'!#REF!</definedName>
    <definedName name="BLPR520040129203645441_3_4" hidden="1">'[6]Spread Sheet'!#REF!</definedName>
    <definedName name="BLPR520040129203645441_4_4" localSheetId="3" hidden="1">'[6]Spread Sheet'!#REF!</definedName>
    <definedName name="BLPR520040129203645441_4_4" localSheetId="4" hidden="1">'[6]Spread Sheet'!#REF!</definedName>
    <definedName name="BLPR520040129203645441_4_4" localSheetId="7" hidden="1">'[7]Spread Sheet'!#REF!</definedName>
    <definedName name="BLPR520040129203645441_4_4" hidden="1">'[6]Spread Sheet'!#REF!</definedName>
    <definedName name="BLPR620040129204149993" localSheetId="3" hidden="1">'[6]Spread Sheet'!#REF!</definedName>
    <definedName name="BLPR620040129204149993" localSheetId="4" hidden="1">'[6]Spread Sheet'!#REF!</definedName>
    <definedName name="BLPR620040129204149993" localSheetId="7" hidden="1">'[7]Spread Sheet'!#REF!</definedName>
    <definedName name="BLPR620040129204149993" hidden="1">'[6]Spread Sheet'!#REF!</definedName>
    <definedName name="BLPR620040129204149993_1_5" localSheetId="3" hidden="1">'[6]Spread Sheet'!#REF!</definedName>
    <definedName name="BLPR620040129204149993_1_5" localSheetId="4" hidden="1">'[6]Spread Sheet'!#REF!</definedName>
    <definedName name="BLPR620040129204149993_1_5" localSheetId="7" hidden="1">'[7]Spread Sheet'!#REF!</definedName>
    <definedName name="BLPR620040129204149993_1_5" hidden="1">'[6]Spread Sheet'!#REF!</definedName>
    <definedName name="BLPR620040129204149993_2_5" localSheetId="3" hidden="1">'[6]Spread Sheet'!#REF!</definedName>
    <definedName name="BLPR620040129204149993_2_5" localSheetId="4" hidden="1">'[6]Spread Sheet'!#REF!</definedName>
    <definedName name="BLPR620040129204149993_2_5" localSheetId="7" hidden="1">'[7]Spread Sheet'!#REF!</definedName>
    <definedName name="BLPR620040129204149993_2_5" hidden="1">'[6]Spread Sheet'!#REF!</definedName>
    <definedName name="BLPR620040129204149993_3_5" localSheetId="3" hidden="1">'[6]Spread Sheet'!#REF!</definedName>
    <definedName name="BLPR620040129204149993_3_5" localSheetId="4" hidden="1">'[6]Spread Sheet'!#REF!</definedName>
    <definedName name="BLPR620040129204149993_3_5" localSheetId="7" hidden="1">'[7]Spread Sheet'!#REF!</definedName>
    <definedName name="BLPR620040129204149993_3_5" hidden="1">'[6]Spread Sheet'!#REF!</definedName>
    <definedName name="BLPR620040129204149993_4_5" localSheetId="3" hidden="1">'[6]Spread Sheet'!#REF!</definedName>
    <definedName name="BLPR620040129204149993_4_5" localSheetId="4" hidden="1">'[6]Spread Sheet'!#REF!</definedName>
    <definedName name="BLPR620040129204149993_4_5" localSheetId="7" hidden="1">'[7]Spread Sheet'!#REF!</definedName>
    <definedName name="BLPR620040129204149993_4_5" hidden="1">'[6]Spread Sheet'!#REF!</definedName>
    <definedName name="BLPR620040129204149993_5_5" localSheetId="3" hidden="1">'[6]Spread Sheet'!#REF!</definedName>
    <definedName name="BLPR620040129204149993_5_5" localSheetId="4" hidden="1">'[6]Spread Sheet'!#REF!</definedName>
    <definedName name="BLPR620040129204149993_5_5" localSheetId="7" hidden="1">'[7]Spread Sheet'!#REF!</definedName>
    <definedName name="BLPR620040129204149993_5_5" hidden="1">'[6]Spread Sheet'!#REF!</definedName>
    <definedName name="BLPR720040129204514631" localSheetId="3" hidden="1">'[6]Spread Sheet'!#REF!</definedName>
    <definedName name="BLPR720040129204514631" localSheetId="4" hidden="1">'[6]Spread Sheet'!#REF!</definedName>
    <definedName name="BLPR720040129204514631" localSheetId="7" hidden="1">'[7]Spread Sheet'!#REF!</definedName>
    <definedName name="BLPR720040129204514631" hidden="1">'[6]Spread Sheet'!#REF!</definedName>
    <definedName name="BLPR720040129204514631_1_5" localSheetId="3" hidden="1">'[6]Spread Sheet'!#REF!</definedName>
    <definedName name="BLPR720040129204514631_1_5" localSheetId="4" hidden="1">'[6]Spread Sheet'!#REF!</definedName>
    <definedName name="BLPR720040129204514631_1_5" localSheetId="7" hidden="1">'[7]Spread Sheet'!#REF!</definedName>
    <definedName name="BLPR720040129204514631_1_5" hidden="1">'[6]Spread Sheet'!#REF!</definedName>
    <definedName name="BLPR720040129204514631_2_5" localSheetId="3" hidden="1">'[6]Spread Sheet'!#REF!</definedName>
    <definedName name="BLPR720040129204514631_2_5" localSheetId="4" hidden="1">'[6]Spread Sheet'!#REF!</definedName>
    <definedName name="BLPR720040129204514631_2_5" localSheetId="7" hidden="1">'[7]Spread Sheet'!#REF!</definedName>
    <definedName name="BLPR720040129204514631_2_5" hidden="1">'[6]Spread Sheet'!#REF!</definedName>
    <definedName name="BLPR720040129204514631_3_5" localSheetId="3" hidden="1">'[6]Spread Sheet'!#REF!</definedName>
    <definedName name="BLPR720040129204514631_3_5" localSheetId="4" hidden="1">'[6]Spread Sheet'!#REF!</definedName>
    <definedName name="BLPR720040129204514631_3_5" localSheetId="7" hidden="1">'[7]Spread Sheet'!#REF!</definedName>
    <definedName name="BLPR720040129204514631_3_5" hidden="1">'[6]Spread Sheet'!#REF!</definedName>
    <definedName name="BLPR720040129204514631_4_5" localSheetId="3" hidden="1">'[6]Spread Sheet'!#REF!</definedName>
    <definedName name="BLPR720040129204514631_4_5" localSheetId="4" hidden="1">'[6]Spread Sheet'!#REF!</definedName>
    <definedName name="BLPR720040129204514631_4_5" localSheetId="7" hidden="1">'[7]Spread Sheet'!#REF!</definedName>
    <definedName name="BLPR720040129204514631_4_5" hidden="1">'[6]Spread Sheet'!#REF!</definedName>
    <definedName name="BLPR720040129204514631_5_5" localSheetId="3" hidden="1">'[6]Spread Sheet'!#REF!</definedName>
    <definedName name="BLPR720040129204514631_5_5" localSheetId="4" hidden="1">'[6]Spread Sheet'!#REF!</definedName>
    <definedName name="BLPR720040129204514631_5_5" localSheetId="7" hidden="1">'[7]Spread Sheet'!#REF!</definedName>
    <definedName name="BLPR720040129204514631_5_5" hidden="1">'[6]Spread Sheet'!#REF!</definedName>
    <definedName name="BLPR820040129204514642" localSheetId="3" hidden="1">'[6]Spread Sheet'!#REF!</definedName>
    <definedName name="BLPR820040129204514642" localSheetId="4" hidden="1">'[6]Spread Sheet'!#REF!</definedName>
    <definedName name="BLPR820040129204514642" localSheetId="7" hidden="1">'[7]Spread Sheet'!#REF!</definedName>
    <definedName name="BLPR820040129204514642" hidden="1">'[6]Spread Sheet'!#REF!</definedName>
    <definedName name="BLPR820040129204514642_1_5" localSheetId="3" hidden="1">'[6]Spread Sheet'!#REF!</definedName>
    <definedName name="BLPR820040129204514642_1_5" localSheetId="4" hidden="1">'[6]Spread Sheet'!#REF!</definedName>
    <definedName name="BLPR820040129204514642_1_5" localSheetId="7" hidden="1">'[7]Spread Sheet'!#REF!</definedName>
    <definedName name="BLPR820040129204514642_1_5" hidden="1">'[6]Spread Sheet'!#REF!</definedName>
    <definedName name="BLPR820040129204514642_2_5" localSheetId="3" hidden="1">'[6]Spread Sheet'!#REF!</definedName>
    <definedName name="BLPR820040129204514642_2_5" localSheetId="4" hidden="1">'[6]Spread Sheet'!#REF!</definedName>
    <definedName name="BLPR820040129204514642_2_5" localSheetId="7" hidden="1">'[7]Spread Sheet'!#REF!</definedName>
    <definedName name="BLPR820040129204514642_2_5" hidden="1">'[6]Spread Sheet'!#REF!</definedName>
    <definedName name="BLPR820040129204514642_3_5" localSheetId="3" hidden="1">'[6]Spread Sheet'!#REF!</definedName>
    <definedName name="BLPR820040129204514642_3_5" localSheetId="4" hidden="1">'[6]Spread Sheet'!#REF!</definedName>
    <definedName name="BLPR820040129204514642_3_5" localSheetId="7" hidden="1">'[7]Spread Sheet'!#REF!</definedName>
    <definedName name="BLPR820040129204514642_3_5" hidden="1">'[6]Spread Sheet'!#REF!</definedName>
    <definedName name="BLPR820040129204514642_4_5" localSheetId="3" hidden="1">'[6]Spread Sheet'!#REF!</definedName>
    <definedName name="BLPR820040129204514642_4_5" localSheetId="4" hidden="1">'[6]Spread Sheet'!#REF!</definedName>
    <definedName name="BLPR820040129204514642_4_5" localSheetId="7" hidden="1">'[7]Spread Sheet'!#REF!</definedName>
    <definedName name="BLPR820040129204514642_4_5" hidden="1">'[6]Spread Sheet'!#REF!</definedName>
    <definedName name="BLPR820040129204514642_5_5" localSheetId="3" hidden="1">'[6]Spread Sheet'!#REF!</definedName>
    <definedName name="BLPR820040129204514642_5_5" localSheetId="4" hidden="1">'[6]Spread Sheet'!#REF!</definedName>
    <definedName name="BLPR820040129204514642_5_5" localSheetId="7" hidden="1">'[7]Spread Sheet'!#REF!</definedName>
    <definedName name="BLPR820040129204514642_5_5" hidden="1">'[6]Spread Sheet'!#REF!</definedName>
    <definedName name="BLPR920040129204514642" localSheetId="3" hidden="1">'[6]Spread Sheet'!#REF!</definedName>
    <definedName name="BLPR920040129204514642" localSheetId="4" hidden="1">'[6]Spread Sheet'!#REF!</definedName>
    <definedName name="BLPR920040129204514642" localSheetId="7" hidden="1">'[7]Spread Sheet'!#REF!</definedName>
    <definedName name="BLPR920040129204514642" hidden="1">'[6]Spread Sheet'!#REF!</definedName>
    <definedName name="BLPR920040129204514642_1_5" localSheetId="3" hidden="1">'[6]Spread Sheet'!#REF!</definedName>
    <definedName name="BLPR920040129204514642_1_5" localSheetId="4" hidden="1">'[6]Spread Sheet'!#REF!</definedName>
    <definedName name="BLPR920040129204514642_1_5" localSheetId="7" hidden="1">'[7]Spread Sheet'!#REF!</definedName>
    <definedName name="BLPR920040129204514642_1_5" hidden="1">'[6]Spread Sheet'!#REF!</definedName>
    <definedName name="BLPR920040129204514642_2_5" localSheetId="3" hidden="1">'[6]Spread Sheet'!#REF!</definedName>
    <definedName name="BLPR920040129204514642_2_5" localSheetId="4" hidden="1">'[6]Spread Sheet'!#REF!</definedName>
    <definedName name="BLPR920040129204514642_2_5" localSheetId="7" hidden="1">'[7]Spread Sheet'!#REF!</definedName>
    <definedName name="BLPR920040129204514642_2_5" hidden="1">'[6]Spread Sheet'!#REF!</definedName>
    <definedName name="BLPR920040129204514642_3_5" localSheetId="3" hidden="1">'[6]Spread Sheet'!#REF!</definedName>
    <definedName name="BLPR920040129204514642_3_5" localSheetId="4" hidden="1">'[6]Spread Sheet'!#REF!</definedName>
    <definedName name="BLPR920040129204514642_3_5" localSheetId="7" hidden="1">'[7]Spread Sheet'!#REF!</definedName>
    <definedName name="BLPR920040129204514642_3_5" hidden="1">'[6]Spread Sheet'!#REF!</definedName>
    <definedName name="BLPR920040129204514642_4_5" localSheetId="3" hidden="1">'[6]Spread Sheet'!#REF!</definedName>
    <definedName name="BLPR920040129204514642_4_5" localSheetId="4" hidden="1">'[6]Spread Sheet'!#REF!</definedName>
    <definedName name="BLPR920040129204514642_4_5" localSheetId="7" hidden="1">'[7]Spread Sheet'!#REF!</definedName>
    <definedName name="BLPR920040129204514642_4_5" hidden="1">'[6]Spread Sheet'!#REF!</definedName>
    <definedName name="BLPR920040129204514642_5_5" localSheetId="3" hidden="1">'[6]Spread Sheet'!#REF!</definedName>
    <definedName name="BLPR920040129204514642_5_5" localSheetId="4" hidden="1">'[6]Spread Sheet'!#REF!</definedName>
    <definedName name="BLPR920040129204514642_5_5" localSheetId="7" hidden="1">'[7]Spread Sheet'!#REF!</definedName>
    <definedName name="BLPR920040129204514642_5_5" hidden="1">'[6]Spread Sheet'!#REF!</definedName>
    <definedName name="BNE_MESSAGES_HIDDEN" localSheetId="3" hidden="1">#REF!</definedName>
    <definedName name="BNE_MESSAGES_HIDDEN" localSheetId="4" hidden="1">#REF!</definedName>
    <definedName name="BNE_MESSAGES_HIDDEN" localSheetId="24" hidden="1">#REF!</definedName>
    <definedName name="BNE_MESSAGES_HIDDEN" hidden="1">#REF!</definedName>
    <definedName name="canerun" localSheetId="3" hidden="1">#REF!</definedName>
    <definedName name="canerun" localSheetId="4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7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CUST369K">TOTALCO!$D$341:$AA$341</definedName>
    <definedName name="CUST369T">TOTALCO!$D$314:$AA$314</definedName>
    <definedName name="CUST369V">TOTALCO!$D$350:$AA$350</definedName>
    <definedName name="CUST370K">TOTALCO!$D$342:$AA$342</definedName>
    <definedName name="CUST370T">TOTALCO!$D$315:$AA$315</definedName>
    <definedName name="CUST370V">TOTALCO!$D$351:$AA$351</definedName>
    <definedName name="CUST371K">TOTALCO!$D$343:$AA$343</definedName>
    <definedName name="CUST371T">TOTALCO!$D$316:$AA$316</definedName>
    <definedName name="CUST371V">TOTALCO!$D$352:$AA$352</definedName>
    <definedName name="CUST373K">TOTALCO!$D$344:$AA$344</definedName>
    <definedName name="CUST373V">TOTALCO!$D$353:$AA$353</definedName>
    <definedName name="CUST902">TOTALCO!$D$347:$AA$347</definedName>
    <definedName name="CUST903">TOTALCO!$D$348:$AA$348</definedName>
    <definedName name="CUST904">TOTALCO!$D$349:$AA$349</definedName>
    <definedName name="CUST908">TOTALCO!$D$354:$AA$354</definedName>
    <definedName name="CUST909">TOTALCO!$D$355:$AA$355</definedName>
    <definedName name="CUST912">TOTALCO!$D$356:$AA$356</definedName>
    <definedName name="CUST913">TOTALCO!$D$357:$AA$357</definedName>
    <definedName name="CUSTADV">TOTALCO!$D$345:$AA$345</definedName>
    <definedName name="CUSTANN">TOTALCO!$D$358:$AA$358</definedName>
    <definedName name="CUSTDEP">TOTALCO!$D$346:$AA$346</definedName>
    <definedName name="CUSTDEPI">TOTALCO!$D$359:$AA$359</definedName>
    <definedName name="CUSTSER">TOTALCO!$D$461:$AA$461</definedName>
    <definedName name="CWIPTP">TOTALCO!$D$392:$AA$392</definedName>
    <definedName name="DEM360FU">TOTALCO!$D$300:$AA$300</definedName>
    <definedName name="DEM360K">TOTALCO!$D$291:$AA$291</definedName>
    <definedName name="DEM360T">TOTALCO!$D$308:$AA$308</definedName>
    <definedName name="DEM360V">TOTALCO!$D$300:$AA$300</definedName>
    <definedName name="DEM361K">TOTALCO!$D$292:$AA$292</definedName>
    <definedName name="DEM361T">TOTALCO!$D$309:$AA$309</definedName>
    <definedName name="DEM361V">TOTALCO!$D$301:$AA$301</definedName>
    <definedName name="DEM362K">TOTALCO!$D$293:$AA$293</definedName>
    <definedName name="DEM362T">TOTALCO!$D$310:$AA$310</definedName>
    <definedName name="DEM362V">TOTALCO!$D$302:$AA$302</definedName>
    <definedName name="DEM3645K">TOTALCO!$D$294:$AA$294</definedName>
    <definedName name="DEM3645V">TOTALCO!$D$304:$AA$304</definedName>
    <definedName name="DEM364K">TOTALCO!$D$294:$AA$294</definedName>
    <definedName name="DEM364T">TOTALCO!$D$311:$AA$311</definedName>
    <definedName name="DEM364V">TOTALCO!$D$304:$AA$304</definedName>
    <definedName name="DEM365K">TOTALCO!$D$295:$AA$295</definedName>
    <definedName name="DEM365T">TOTALCO!$D$312:$AA$312</definedName>
    <definedName name="DEM365V">TOTALCO!$D$305:$AA$305</definedName>
    <definedName name="DEM3667K">TOTALCO!$D$296:$AA$296</definedName>
    <definedName name="DEM3667V">TOTALCO!$D$306:$AA$306</definedName>
    <definedName name="DEM366K">TOTALCO!$D$296:$AA$296</definedName>
    <definedName name="DEM367K">TOTALCO!$D$297:$AA$297</definedName>
    <definedName name="DEM367V">TOTALCO!$D$306:$AA$306</definedName>
    <definedName name="DEM368K">TOTALCO!$D$298:$AA$298</definedName>
    <definedName name="DEM368T">TOTALCO!$D$313:$AA$313</definedName>
    <definedName name="DEM368V">TOTALCO!$D$307:$AA$307</definedName>
    <definedName name="DEM374K">TOTALCO!$D$299:$AA$299</definedName>
    <definedName name="DEMFERC">TOTALCO!$D$278:$AA$278</definedName>
    <definedName name="DEMFERCP">TOTALCO!$D$281:$AA$281</definedName>
    <definedName name="DEMFERCT">TOTALCO!$D$287:$AA$287</definedName>
    <definedName name="DEMPROD">TOTALCO!$D$277:$AA$277</definedName>
    <definedName name="DEMPRODNV">TOTALCO!$D$282:$AA$282</definedName>
    <definedName name="DEMTENND">TOTALCO!$D$308:$AA$308</definedName>
    <definedName name="DEMTRAN">TOTALCO!$D$284:$AA$284</definedName>
    <definedName name="DEMTRANNF">TOTALCO!$D$286:$AA$286</definedName>
    <definedName name="DEMTRANNVF">TOTALCO!$D$288:$AA$288</definedName>
    <definedName name="DEMVA">TOTALCO!$D$285:$AA$285</definedName>
    <definedName name="DFUELVA">TOTALCO!$D$329:$AA$329</definedName>
    <definedName name="DIR203E">TOTALCO!$D$327:$AA$327</definedName>
    <definedName name="DIR360FU">TOTALCO!$D$303:$AA$303</definedName>
    <definedName name="DIR361K">TOTALCO!$D$292:$AA$292</definedName>
    <definedName name="DIR362K">TOTALCO!$D$293:$AA$293</definedName>
    <definedName name="DIR364K">TOTALCO!$D$294:$AA$294</definedName>
    <definedName name="DIR365K">TOTALCO!$D$295:$AA$295</definedName>
    <definedName name="DIR366K">TOTALCO!$D$296:$AA$296</definedName>
    <definedName name="DIR367K">TOTALCO!$D$297:$AA$297</definedName>
    <definedName name="DIR368K">TOTALCO!$D$298:$AA$298</definedName>
    <definedName name="DIR450REV">TOTALCO!$D$360:$AA$360</definedName>
    <definedName name="DIR451OTH">TOTALCO!$D$325:$AA$325</definedName>
    <definedName name="DIR451REC">TOTALCO!$D$324:$AA$324</definedName>
    <definedName name="DIR454REV">TOTALCO!$D$321:$AA$321</definedName>
    <definedName name="DIR456CHK">TOTALCO!$D$326:$AA$326</definedName>
    <definedName name="DIR456FAC">TOTALCO!$D$322:$AA$322</definedName>
    <definedName name="DIR456OTH">TOTALCO!$D$323:$AA$323</definedName>
    <definedName name="DIRACDEP">TOTALCO!$D$317:$AA$317</definedName>
    <definedName name="DIRACDFTX">TOTALCO!$D$319:$AA$319</definedName>
    <definedName name="DIRACITC">TOTALCO!$D$320:$AA$320</definedName>
    <definedName name="DIRCWIP">TOTALCO!$D$318:$AA$318</definedName>
    <definedName name="DIRITCADJ">TOTALCO!$D$328:$AA$328</definedName>
    <definedName name="DIRSE">TOTALCO!$D$335:$AA$335</definedName>
    <definedName name="DISTPLT">TOTALCO!$D$379:$AA$379</definedName>
    <definedName name="DISTPLTKF">TOTALCO!$D$380:$AA$380</definedName>
    <definedName name="DPLTXVA">TOTALCO!$D$462:$AA$462</definedName>
    <definedName name="DPRODKY">TOTALCO!$D$280:$AA$280</definedName>
    <definedName name="DPRODVA">TOTALCO!$D$279:$AA$279</definedName>
    <definedName name="ENERGY">TOTALCO!$D$334:$AA$334</definedName>
    <definedName name="ENERGY1">TOTALCO!$D$335:$AA$335</definedName>
    <definedName name="EXP5017STM">TOTALCO!$D$430:$AA$430</definedName>
    <definedName name="EXP5114STM">TOTALCO!$D$431:$AA$431</definedName>
    <definedName name="EXP5360HYD">TOTALCO!$D$432:$AA$432</definedName>
    <definedName name="EXP5425HYD">TOTALCO!$D$433:$AA$433</definedName>
    <definedName name="EXP5479OTH">TOTALCO!$D$434:$AA$434</definedName>
    <definedName name="EXP5524OTH">TOTALCO!$D$435:$AA$435</definedName>
    <definedName name="EXP5627TX">TOTALCO!$D$442:$AA$442</definedName>
    <definedName name="EXP5693TX">TOTALCO!$D$443:$AA$443</definedName>
    <definedName name="EXP5829DIS">TOTALCO!$D$446:$AA$446</definedName>
    <definedName name="EXP5918DIS">TOTALCO!$D$447:$AA$447</definedName>
    <definedName name="EXP9024CA">TOTALCO!$D$411:$AA$411</definedName>
    <definedName name="EXP9025CA">TOTALCO!$D$450:$AA$450</definedName>
    <definedName name="EXP9080CS">TOTALCO!$D$452:$AA$452</definedName>
    <definedName name="EXP9089CS">TOTALCO!$D$412:$AA$412</definedName>
    <definedName name="EXP9123SA">TOTALCO!$D$417:$AA$417</definedName>
    <definedName name="EXP9126SA">TOTALCO!$D$454:$AA$454</definedName>
    <definedName name="EXP9245TOT">TOTALCO!$D$389:$AA$389</definedName>
    <definedName name="EXP930A">TOTALCO!$D$460:$AA$460</definedName>
    <definedName name="faf" localSheetId="19" hidden="1">#REF!</definedName>
    <definedName name="faf" localSheetId="22" hidden="1">#REF!</definedName>
    <definedName name="faf" localSheetId="3" hidden="1">#REF!</definedName>
    <definedName name="faf" localSheetId="4" hidden="1">#REF!</definedName>
    <definedName name="faf" localSheetId="24" hidden="1">#REF!</definedName>
    <definedName name="faf" hidden="1">#REF!</definedName>
    <definedName name="fl" hidden="1">[8]PopCache!$A$1:$A$2</definedName>
    <definedName name="flowname_weekly" localSheetId="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GENPLT">TOTALCO!$D$381:$AA$381</definedName>
    <definedName name="HTML_CodePage" hidden="1">1252</definedName>
    <definedName name="HTML_Control" localSheetId="19" hidden="1">{"'3-13-00'!$A$1:$A$2678"}</definedName>
    <definedName name="HTML_Control" localSheetId="22" hidden="1">{"'3-13-00'!$A$1:$A$2678"}</definedName>
    <definedName name="HTML_Control" localSheetId="7" hidden="1">{"'SERC'!$E$1:$M$37"}</definedName>
    <definedName name="HTML_Control" hidden="1">{"'SERC'!$E$1:$M$37"}</definedName>
    <definedName name="HTML_Description" hidden="1">""</definedName>
    <definedName name="HTML_Email" hidden="1">""</definedName>
    <definedName name="HTML_Header" hidden="1">"3-13-00"</definedName>
    <definedName name="HTML_LastUpdate" hidden="1">"03/13/2000"</definedName>
    <definedName name="HTML_LineAfter" hidden="1">FALSE</definedName>
    <definedName name="HTML_LineBefore" hidden="1">FALSE</definedName>
    <definedName name="HTML_Name" hidden="1">"Deb Kressley"</definedName>
    <definedName name="HTML_OBDlg2" localSheetId="19" hidden="1">TRUE</definedName>
    <definedName name="HTML_OBDlg2" localSheetId="22" hidden="1">TRUE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localSheetId="19" hidden="1">"H:\DATA\MyHTML.htm"</definedName>
    <definedName name="HTML_PathFile" localSheetId="22" hidden="1">"H:\DATA\MyHTML.htm"</definedName>
    <definedName name="HTML_PathFile" hidden="1">"Z:\News_2001\kb01030515"</definedName>
    <definedName name="HTML_PathTemplate" hidden="1">"Z:\gochart.htm"</definedName>
    <definedName name="HTML_Title" hidden="1">"Account"</definedName>
    <definedName name="HTML1_1" localSheetId="7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7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7" hidden="1">-4146</definedName>
    <definedName name="HTML1_7" hidden="1">1</definedName>
    <definedName name="HTML1_8" localSheetId="7" hidden="1">"2/17/98"</definedName>
    <definedName name="HTML1_8" hidden="1">"10/10/96"</definedName>
    <definedName name="HTML1_9" localSheetId="7" hidden="1">"BPH"</definedName>
    <definedName name="HTML1_9" hidden="1">"LGE Energy Division User"</definedName>
    <definedName name="HTML2_1" localSheetId="7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7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7" hidden="1">-4146</definedName>
    <definedName name="HTML2_7" hidden="1">1</definedName>
    <definedName name="HTML2_8" localSheetId="7" hidden="1">"2/17/98"</definedName>
    <definedName name="HTML2_8" hidden="1">"10/10/96"</definedName>
    <definedName name="HTML2_9" localSheetId="7" hidden="1">"BPH"</definedName>
    <definedName name="HTML2_9" hidden="1">"LGE Energy Division User"</definedName>
    <definedName name="HTML3_1" localSheetId="7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7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7" hidden="1">-4146</definedName>
    <definedName name="HTML3_7" hidden="1">1</definedName>
    <definedName name="HTML3_8" localSheetId="7" hidden="1">"2/17/98"</definedName>
    <definedName name="HTML3_8" hidden="1">"10/10/96"</definedName>
    <definedName name="HTML3_9" localSheetId="7" hidden="1">"BPH"</definedName>
    <definedName name="HTML3_9" hidden="1">"LGE Energy Division User"</definedName>
    <definedName name="HTMLCount" hidden="1">3</definedName>
    <definedName name="HYDPLT">TOTALCO!$D$403:$AA$403</definedName>
    <definedName name="HYDSYS">TOTALCO!$D$374:$AA$374</definedName>
    <definedName name="INTERNET" localSheetId="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TOTCO">TOTALCO!$D$120:$D$250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3" hidden="1">#REF!</definedName>
    <definedName name="jijul" localSheetId="4" hidden="1">#REF!</definedName>
    <definedName name="jijul" localSheetId="7" hidden="1">#REF!</definedName>
    <definedName name="jijul" localSheetId="24" hidden="1">#REF!</definedName>
    <definedName name="jijul" hidden="1">#REF!</definedName>
    <definedName name="KURETPLT">TOTALCO!$D$370:$AA$370</definedName>
    <definedName name="KYDIST">TOTALCO!$D$423:$AA$423</definedName>
    <definedName name="KYTRPLT">TOTALCO!$D$376:$AA$376</definedName>
    <definedName name="KYTRPLTXF">TOTALCO!$D$469:$AA$469</definedName>
    <definedName name="LABCA">TOTALCO!$D$451:$AA$451</definedName>
    <definedName name="LABCS">TOTALCO!$D$453:$AA$453</definedName>
    <definedName name="LABDISMN">TOTALCO!$D$449:$AA$449</definedName>
    <definedName name="LABDISOP">TOTALCO!$D$448:$AA$448</definedName>
    <definedName name="LABHYDMN">TOTALCO!$D$439:$AA$439</definedName>
    <definedName name="LABHYDOP">TOTALCO!$D$438:$AA$438</definedName>
    <definedName name="LABOR">TOTALCO!$D$371:$AA$371</definedName>
    <definedName name="LABORXF">TOTALCO!$D$468:$AA$468</definedName>
    <definedName name="LABOTHMN">TOTALCO!$D$441:$AA$441</definedName>
    <definedName name="LABOTHOP">TOTALCO!$D$440:$AA$440</definedName>
    <definedName name="LABPTDFER">TOTALCO!$D$466:$AA$466</definedName>
    <definedName name="LABPTDKY">TOTALCO!$D$463:$AA$463</definedName>
    <definedName name="LABPTDVAJ">TOTALCO!$D$464:$AA$464</definedName>
    <definedName name="LABPTDVNJ">TOTALCO!$D$465:$AA$465</definedName>
    <definedName name="LABSA">TOTALCO!$D$455:$AA$455</definedName>
    <definedName name="LABSTMMN">TOTALCO!$D$437:$AA$437</definedName>
    <definedName name="LABSTMOP">TOTALCO!$D$436:$AA$436</definedName>
    <definedName name="LABTRMN">TOTALCO!$D$445:$AA$445</definedName>
    <definedName name="LABTROP">TOTALCO!$D$444:$AA$444</definedName>
    <definedName name="M_S">TOTALCO!$D$388:$AA$388</definedName>
    <definedName name="NETPLANT">TOTALCO!$D$426:$AA$426</definedName>
    <definedName name="OTHPLT">TOTALCO!$D$404:$AA$404</definedName>
    <definedName name="OTHSYS">TOTALCO!$D$375:$AA$375</definedName>
    <definedName name="p" localSheetId="7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LANT">TOTALCO!$D$398:$AA$398</definedName>
    <definedName name="PLANTKF">TOTALCO!$D$400:$AA$400</definedName>
    <definedName name="PLANTKY">TOTALCO!$D$399:$AA$399</definedName>
    <definedName name="PLANTVA">TOTALCO!$D$401:$AA$401</definedName>
    <definedName name="PLT302TOT">TOTALCO!$D$382:$AA$382</definedName>
    <definedName name="PLT303TOT">TOTALCO!$D$383:$AA$383</definedName>
    <definedName name="PLT3602TOT">TOTALCO!$D$405:$AA$405</definedName>
    <definedName name="PLT3645TOT">TOTALCO!$D$397:$AA$397</definedName>
    <definedName name="PLT3667TOT">TOTALCO!$D$406:$AA$406</definedName>
    <definedName name="PLT368TOT">TOTALCO!$D$410:$AA$410</definedName>
    <definedName name="PLT370TOT">TOTALCO!$D$408:$AA$408</definedName>
    <definedName name="PLT371TOT">TOTALCO!$D$409:$AA$409</definedName>
    <definedName name="PLT373TOT">TOTALCO!$D$407:$AA$407</definedName>
    <definedName name="PopCache_GL_INTERFACE_REFERENCE7" hidden="1">[9]PopCache!$A$1:$A$2</definedName>
    <definedName name="_xlnm.Print_Area" localSheetId="16">AFUDC!$A$1:$H$57</definedName>
    <definedName name="_xlnm.Print_Area" localSheetId="20">'AFUDC Depr AccDepr'!$A$1:$J$57</definedName>
    <definedName name="_xlnm.Print_Area" localSheetId="18">'CWIP and AFUDC'!$A$1:$H$83</definedName>
    <definedName name="_xlnm.Print_Area" localSheetId="4">'KY-CWC-BS'!$A$1:$X$31</definedName>
    <definedName name="_xlnm.Print_Area" localSheetId="27">'M&amp;S'!$A$1:$L$41</definedName>
    <definedName name="_xlnm.Print_Area" localSheetId="21">'O&amp;M'!$A$1:$G$92</definedName>
    <definedName name="_xlnm.Print_Area" localSheetId="14">PHFU!$A$1:$H$19</definedName>
    <definedName name="_xlnm.Print_Area" localSheetId="2">'Print Layout'!$D$12:$P$1351</definedName>
    <definedName name="_xlnm.Print_Area" localSheetId="17">'RWIP Allocation'!$B$1:$E$99</definedName>
    <definedName name="_xlnm.Print_Area" localSheetId="1">TOTALCO!$A$23:$Q$250</definedName>
    <definedName name="_xlnm.Print_Area" localSheetId="6">'VA-CWC-BS'!$A$1:$X$32</definedName>
    <definedName name="Print_Area_MI" localSheetId="1">TOTALCO!$L$1255:$S$1306</definedName>
    <definedName name="_xlnm.Print_Titles" localSheetId="21">'O&amp;M'!$1:$2</definedName>
    <definedName name="_xlnm.Print_Titles" localSheetId="10">PIS!$1:$8</definedName>
    <definedName name="_xlnm.Print_Titles" localSheetId="2">'Print Layout'!$A:$C,'Print Layout'!$2:$11</definedName>
    <definedName name="_xlnm.Print_Titles" localSheetId="1">TOTALCO!$A:$C,TOTALCO!$13:$22</definedName>
    <definedName name="Print_Titles_MI" localSheetId="1">TOTALCO!$13:$22,TOTALCO!$A:$C</definedName>
    <definedName name="print4" localSheetId="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ing" localSheetId="3">[10]!Printing</definedName>
    <definedName name="Printing" localSheetId="4">[10]!Printing</definedName>
    <definedName name="Printing" localSheetId="24">[10]!Printing</definedName>
    <definedName name="Printing">[10]!Printing</definedName>
    <definedName name="Prod_">[11]TYPE!$A$2:$C$9</definedName>
    <definedName name="PRODPLT">TOTALCO!$D$385:$AA$385</definedName>
    <definedName name="PRODSYS">TOTALCO!$D$384:$AA$384</definedName>
    <definedName name="PTDCUSTLABOR">TOTALCO!$D$372:$AA$372</definedName>
    <definedName name="PTDGPLT">TOTALCO!$D$369:$AA$369</definedName>
    <definedName name="RATEBASE">TOTALCO!$D$427:$AA$427</definedName>
    <definedName name="ratings1" localSheetId="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EVENUE">TOTALCO!$D$420:$AA$420</definedName>
    <definedName name="REVENUEX">TOTALCO!$D$422:$AA$422</definedName>
    <definedName name="REVFERC">TOTALCO!$D$418:$AA$418</definedName>
    <definedName name="REVKY">TOTALCO!$D$390:$AA$390</definedName>
    <definedName name="REVNJVA">TOTALCO!$D$421:$AA$421</definedName>
    <definedName name="REVVA">TOTALCO!$D$419:$AA$419</definedName>
    <definedName name="SAPBEXhrIndnt" hidden="1">"Wide"</definedName>
    <definedName name="SAPsysID" hidden="1">"708C5W7SBKP804JT78WJ0JNKI"</definedName>
    <definedName name="SAPwbID" hidden="1">"ARS"</definedName>
    <definedName name="sdaf" localSheetId="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EREV">TOTALCO!$D$335:$AA$335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3" hidden="1">#REF!</definedName>
    <definedName name="solver_opt" localSheetId="4" hidden="1">#REF!</definedName>
    <definedName name="solver_opt" localSheetId="7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TATE203E">TOTALCO!$D$467:$AA$467</definedName>
    <definedName name="STMPLT">TOTALCO!$D$402:$AA$402</definedName>
    <definedName name="STMSYS">TOTALCO!$D$373:$AA$373</definedName>
    <definedName name="TAX203E">TOTALCO!$D$429:$AA$429</definedName>
    <definedName name="test" localSheetId="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NDIST">TOTALCO!$D$425:$AA$425</definedName>
    <definedName name="TRANPLT">TOTALCO!$D$386:$AA$386</definedName>
    <definedName name="TRANPLTX">TOTALCO!$D$395:$AA$395</definedName>
    <definedName name="TRANPLTXF">TOTALCO!$D$387:$AA$387</definedName>
    <definedName name="TRDSPLT">TOTALCO!$D$413:$AA$413</definedName>
    <definedName name="TRPLTVA">TOTALCO!$D$396:$AA$396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DIST">TOTALCO!$D$424:$AA$424</definedName>
    <definedName name="vaffas" localSheetId="7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ATRPLT">TOTALCO!$D$377:$AA$377</definedName>
    <definedName name="VATRPLTN">TOTALCO!$D$378:$AA$378</definedName>
    <definedName name="vvvv" localSheetId="7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7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7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7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7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7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7" hidden="1">{#N/A,#N/A,FALSE,"Acq-Val";#N/A,#N/A,FALSE,"Acq-Mult Val"}</definedName>
    <definedName name="wrn.AcqVal." hidden="1">{#N/A,#N/A,FALSE,"Acq-Val";#N/A,#N/A,FALSE,"Acq-Mult Val"}</definedName>
    <definedName name="wrn.AcqVal._2" localSheetId="7" hidden="1">{#N/A,#N/A,FALSE,"Acq-Val";#N/A,#N/A,FALSE,"Acq-Mult Val"}</definedName>
    <definedName name="wrn.AcqVal._2" hidden="1">{#N/A,#N/A,FALSE,"Acq-Val";#N/A,#N/A,FALSE,"Acq-Mult Val"}</definedName>
    <definedName name="wrn.AcqVal._22" localSheetId="7" hidden="1">{#N/A,#N/A,FALSE,"Acq-Val";#N/A,#N/A,FALSE,"Acq-Mult Val"}</definedName>
    <definedName name="wrn.AcqVal._22" hidden="1">{#N/A,#N/A,FALSE,"Acq-Val";#N/A,#N/A,FALSE,"Acq-Mult Val"}</definedName>
    <definedName name="wrn.AcqVal.2" localSheetId="7" hidden="1">{#N/A,#N/A,FALSE,"Acq-Val";#N/A,#N/A,FALSE,"Acq-Mult Val"}</definedName>
    <definedName name="wrn.AcqVal.2" hidden="1">{#N/A,#N/A,FALSE,"Acq-Val";#N/A,#N/A,FALSE,"Acq-Mult Val"}</definedName>
    <definedName name="wrn.all." localSheetId="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7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7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7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7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7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7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7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7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7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7" hidden="1">{"Facility Detail",#N/A,FALSE,"P&amp;L Detail"}</definedName>
    <definedName name="wrn.Detail._.Income._.Statement." hidden="1">{"Facility Detail",#N/A,FALSE,"P&amp;L Detail"}</definedName>
    <definedName name="wrn.Everything." localSheetId="7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7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7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7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7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7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7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7" hidden="1">{"Phase in summary",#N/A,FALSE,"P&amp;L Phased"}</definedName>
    <definedName name="wrn.Phase._.in." hidden="1">{"Phase in summary",#N/A,FALSE,"P&amp;L Phased"}</definedName>
    <definedName name="wrn.PL._.Detail." localSheetId="7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7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7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7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7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7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7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7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7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7" hidden="1">{"review",#N/A,FALSE,"FACTSHT"}</definedName>
    <definedName name="wrn.review." hidden="1">{"review",#N/A,FALSE,"FACTSHT"}</definedName>
    <definedName name="wrn.review1." localSheetId="7" hidden="1">{"review",#N/A,FALSE,"FACTSHT"}</definedName>
    <definedName name="wrn.review1." hidden="1">{"review",#N/A,FALSE,"FACTSHT"}</definedName>
    <definedName name="wrn.SBEI." localSheetId="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7" hidden="1">{"Std Poor",#N/A,FALSE,"S&amp;P";"Sum Stats",#N/A,FALSE,"Stats"}</definedName>
    <definedName name="wrn.Statistics." hidden="1">{"Std Poor",#N/A,FALSE,"S&amp;P";"Sum Stats",#N/A,FALSE,"Stats"}</definedName>
    <definedName name="wrn.Target." localSheetId="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7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7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7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7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7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7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7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7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7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xxxx" localSheetId="7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7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</definedNames>
  <calcPr calcId="152511" iterate="1"/>
</workbook>
</file>

<file path=xl/calcChain.xml><?xml version="1.0" encoding="utf-8"?>
<calcChain xmlns="http://schemas.openxmlformats.org/spreadsheetml/2006/main">
  <c r="T1267" i="1" l="1"/>
  <c r="U553" i="35" l="1"/>
  <c r="G431" i="35"/>
  <c r="Y1170" i="1"/>
  <c r="T567" i="35" l="1"/>
  <c r="S567" i="35"/>
  <c r="R567" i="35"/>
  <c r="Q567" i="35"/>
  <c r="P567" i="35"/>
  <c r="O567" i="35"/>
  <c r="N567" i="35"/>
  <c r="M567" i="35"/>
  <c r="L567" i="35"/>
  <c r="K567" i="35"/>
  <c r="J567" i="35"/>
  <c r="I567" i="35"/>
  <c r="E137" i="35"/>
  <c r="E548" i="35"/>
  <c r="E426" i="35"/>
  <c r="E232" i="35"/>
  <c r="T1283" i="1" l="1"/>
  <c r="W311" i="15" l="1"/>
  <c r="W305" i="15"/>
  <c r="W233" i="15"/>
  <c r="D191" i="15"/>
  <c r="U527" i="35" l="1"/>
  <c r="U551" i="35" l="1"/>
  <c r="F77" i="8"/>
  <c r="F75" i="8"/>
  <c r="C21" i="5"/>
  <c r="C19" i="5"/>
  <c r="C16" i="5"/>
  <c r="C14" i="5"/>
  <c r="C12" i="5"/>
  <c r="C10" i="5"/>
  <c r="C8" i="5"/>
  <c r="D53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8" i="38"/>
  <c r="D37" i="38"/>
  <c r="D36" i="38"/>
  <c r="D35" i="38"/>
  <c r="D34" i="38"/>
  <c r="D33" i="38"/>
  <c r="D32" i="38"/>
  <c r="D3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D7" i="38"/>
  <c r="D6" i="38"/>
  <c r="R20" i="38"/>
  <c r="F68" i="8" s="1"/>
  <c r="B53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1" i="38"/>
  <c r="A21" i="38"/>
  <c r="B20" i="38"/>
  <c r="A20" i="38"/>
  <c r="B19" i="38"/>
  <c r="A19" i="38"/>
  <c r="B18" i="38"/>
  <c r="A18" i="38"/>
  <c r="B17" i="38"/>
  <c r="A17" i="38"/>
  <c r="B16" i="38"/>
  <c r="A16" i="38"/>
  <c r="B15" i="38"/>
  <c r="A15" i="38"/>
  <c r="B14" i="38"/>
  <c r="A14" i="38"/>
  <c r="B13" i="38"/>
  <c r="A13" i="38"/>
  <c r="B12" i="38"/>
  <c r="A12" i="38"/>
  <c r="B11" i="38"/>
  <c r="A11" i="38"/>
  <c r="B10" i="38"/>
  <c r="A10" i="38"/>
  <c r="B9" i="38"/>
  <c r="A9" i="38"/>
  <c r="B8" i="38"/>
  <c r="A8" i="38"/>
  <c r="B7" i="38"/>
  <c r="A7" i="38"/>
  <c r="B6" i="38"/>
  <c r="A6" i="38"/>
  <c r="U595" i="35" l="1"/>
  <c r="U594" i="35"/>
  <c r="U593" i="35"/>
  <c r="U592" i="35"/>
  <c r="U591" i="35"/>
  <c r="U590" i="35"/>
  <c r="U589" i="35"/>
  <c r="U588" i="35"/>
  <c r="U587" i="35"/>
  <c r="U586" i="35"/>
  <c r="U585" i="35"/>
  <c r="U584" i="35"/>
  <c r="U583" i="35"/>
  <c r="U582" i="35"/>
  <c r="U581" i="35"/>
  <c r="U580" i="35"/>
  <c r="U579" i="35"/>
  <c r="U578" i="35"/>
  <c r="U577" i="35"/>
  <c r="U576" i="35"/>
  <c r="U575" i="35"/>
  <c r="U574" i="35"/>
  <c r="U573" i="35"/>
  <c r="U572" i="35"/>
  <c r="U565" i="35"/>
  <c r="U564" i="35"/>
  <c r="U563" i="35"/>
  <c r="U562" i="35"/>
  <c r="U561" i="35"/>
  <c r="U560" i="35"/>
  <c r="U559" i="35"/>
  <c r="U558" i="35"/>
  <c r="U557" i="35"/>
  <c r="U556" i="35"/>
  <c r="U555" i="35"/>
  <c r="U554" i="35"/>
  <c r="U531" i="35"/>
  <c r="U530" i="35"/>
  <c r="U529" i="35"/>
  <c r="U550" i="35"/>
  <c r="U549" i="35"/>
  <c r="U548" i="35"/>
  <c r="U547" i="35"/>
  <c r="U546" i="35"/>
  <c r="U545" i="35"/>
  <c r="U544" i="35"/>
  <c r="U543" i="35"/>
  <c r="U542" i="35"/>
  <c r="U552" i="35"/>
  <c r="V429" i="35"/>
  <c r="V428" i="35"/>
  <c r="V427" i="35"/>
  <c r="V426" i="35"/>
  <c r="V425" i="35"/>
  <c r="V424" i="35"/>
  <c r="V423" i="35"/>
  <c r="V422" i="35"/>
  <c r="V421" i="35"/>
  <c r="V420" i="35"/>
  <c r="V419" i="35"/>
  <c r="V418" i="35"/>
  <c r="V417" i="35"/>
  <c r="V416" i="35"/>
  <c r="V415" i="35"/>
  <c r="V414" i="35"/>
  <c r="V413" i="35"/>
  <c r="V412" i="35"/>
  <c r="V411" i="35"/>
  <c r="V410" i="35"/>
  <c r="V409" i="35"/>
  <c r="V408" i="35"/>
  <c r="V407" i="35"/>
  <c r="V406" i="35"/>
  <c r="V143" i="35"/>
  <c r="V142" i="35"/>
  <c r="V141" i="35"/>
  <c r="V140" i="35"/>
  <c r="U305" i="35"/>
  <c r="U304" i="35"/>
  <c r="U303" i="35"/>
  <c r="U302" i="35"/>
  <c r="U301" i="35"/>
  <c r="U300" i="35"/>
  <c r="U299" i="35"/>
  <c r="U298" i="35"/>
  <c r="U297" i="35"/>
  <c r="U296" i="35"/>
  <c r="U295" i="35"/>
  <c r="U294" i="35"/>
  <c r="U293" i="35"/>
  <c r="U292" i="35"/>
  <c r="U291" i="35"/>
  <c r="U290" i="35"/>
  <c r="U289" i="35"/>
  <c r="U288" i="35"/>
  <c r="U287" i="35"/>
  <c r="U286" i="35"/>
  <c r="U285" i="35"/>
  <c r="U284" i="35"/>
  <c r="U283" i="35"/>
  <c r="U282" i="35"/>
  <c r="U281" i="35"/>
  <c r="U280" i="35"/>
  <c r="U279" i="35"/>
  <c r="U278" i="35"/>
  <c r="U277" i="35"/>
  <c r="U276" i="35"/>
  <c r="U275" i="35"/>
  <c r="U274" i="35"/>
  <c r="U273" i="35"/>
  <c r="U272" i="35"/>
  <c r="U271" i="35"/>
  <c r="U270" i="35"/>
  <c r="U269" i="35"/>
  <c r="U268" i="35"/>
  <c r="U267" i="35"/>
  <c r="U266" i="35"/>
  <c r="U265" i="35"/>
  <c r="U264" i="35"/>
  <c r="U263" i="35"/>
  <c r="U262" i="35"/>
  <c r="U261" i="35"/>
  <c r="U260" i="35"/>
  <c r="U259" i="35"/>
  <c r="U258" i="35"/>
  <c r="U257" i="35"/>
  <c r="U256" i="35"/>
  <c r="U255" i="35"/>
  <c r="U254" i="35"/>
  <c r="U253" i="35"/>
  <c r="U252" i="35"/>
  <c r="U251" i="35"/>
  <c r="U250" i="35"/>
  <c r="U249" i="35"/>
  <c r="U248" i="35"/>
  <c r="U247" i="35"/>
  <c r="U246" i="35"/>
  <c r="U245" i="35"/>
  <c r="U244" i="35"/>
  <c r="U243" i="35"/>
  <c r="U242" i="35"/>
  <c r="U241" i="35"/>
  <c r="U240" i="35"/>
  <c r="U239" i="35"/>
  <c r="U238" i="35"/>
  <c r="U237" i="35"/>
  <c r="U236" i="35"/>
  <c r="U235" i="35"/>
  <c r="U234" i="35"/>
  <c r="U233" i="35"/>
  <c r="U232" i="35"/>
  <c r="U231" i="35"/>
  <c r="U230" i="35"/>
  <c r="U229" i="35"/>
  <c r="U228" i="35"/>
  <c r="U227" i="35"/>
  <c r="U226" i="35"/>
  <c r="U225" i="35"/>
  <c r="U224" i="35"/>
  <c r="U223" i="35"/>
  <c r="U222" i="35"/>
  <c r="U221" i="35"/>
  <c r="U220" i="35"/>
  <c r="U219" i="35"/>
  <c r="U218" i="35"/>
  <c r="U217" i="35"/>
  <c r="U216" i="35"/>
  <c r="U215" i="35"/>
  <c r="U214" i="35"/>
  <c r="U213" i="35"/>
  <c r="U212" i="35"/>
  <c r="U211" i="35"/>
  <c r="U210" i="35"/>
  <c r="U209" i="35"/>
  <c r="U208" i="35"/>
  <c r="U207" i="35"/>
  <c r="U206" i="35"/>
  <c r="U205" i="35"/>
  <c r="U204" i="35"/>
  <c r="U203" i="35"/>
  <c r="U202" i="35"/>
  <c r="U201" i="35"/>
  <c r="U200" i="35"/>
  <c r="U199" i="35"/>
  <c r="U198" i="35"/>
  <c r="U197" i="35"/>
  <c r="U196" i="35"/>
  <c r="U195" i="35"/>
  <c r="U194" i="35"/>
  <c r="U193" i="35"/>
  <c r="U192" i="35"/>
  <c r="U191" i="35"/>
  <c r="U190" i="35"/>
  <c r="U189" i="35"/>
  <c r="U188" i="35"/>
  <c r="U187" i="35"/>
  <c r="U186" i="35"/>
  <c r="U185" i="35"/>
  <c r="U184" i="35"/>
  <c r="U183" i="35"/>
  <c r="U182" i="35"/>
  <c r="U181" i="35"/>
  <c r="U180" i="35"/>
  <c r="U179" i="35"/>
  <c r="U178" i="35"/>
  <c r="U177" i="35"/>
  <c r="U176" i="35"/>
  <c r="U175" i="35"/>
  <c r="U174" i="35"/>
  <c r="U173" i="35"/>
  <c r="U172" i="35"/>
  <c r="U171" i="35"/>
  <c r="U170" i="35"/>
  <c r="U169" i="35"/>
  <c r="U168" i="35"/>
  <c r="U167" i="35"/>
  <c r="U166" i="35"/>
  <c r="U165" i="35"/>
  <c r="U164" i="35"/>
  <c r="U163" i="35"/>
  <c r="U162" i="35"/>
  <c r="U161" i="35"/>
  <c r="U160" i="35"/>
  <c r="U159" i="35"/>
  <c r="U158" i="35"/>
  <c r="U157" i="35"/>
  <c r="U156" i="35"/>
  <c r="U155" i="35"/>
  <c r="U154" i="35"/>
  <c r="U153" i="35"/>
  <c r="U152" i="35"/>
  <c r="U151" i="35"/>
  <c r="U150" i="35"/>
  <c r="U149" i="35"/>
  <c r="U148" i="35"/>
  <c r="U147" i="35"/>
  <c r="U146" i="35"/>
  <c r="U145" i="35"/>
  <c r="U598" i="35"/>
  <c r="U597" i="35"/>
  <c r="U596" i="35"/>
  <c r="U716" i="35"/>
  <c r="U715" i="35"/>
  <c r="U714" i="35"/>
  <c r="U713" i="35"/>
  <c r="U712" i="35"/>
  <c r="U711" i="35"/>
  <c r="U710" i="35"/>
  <c r="U709" i="35"/>
  <c r="U708" i="35"/>
  <c r="U707" i="35"/>
  <c r="U706" i="35"/>
  <c r="U705" i="35"/>
  <c r="U704" i="35"/>
  <c r="U703" i="35"/>
  <c r="U702" i="35"/>
  <c r="U701" i="35"/>
  <c r="U700" i="35"/>
  <c r="U699" i="35"/>
  <c r="U698" i="35"/>
  <c r="U697" i="35"/>
  <c r="U696" i="35"/>
  <c r="U695" i="35"/>
  <c r="U694" i="35"/>
  <c r="U693" i="35"/>
  <c r="U692" i="35"/>
  <c r="U691" i="35"/>
  <c r="U690" i="35"/>
  <c r="U689" i="35"/>
  <c r="U688" i="35"/>
  <c r="U687" i="35"/>
  <c r="U686" i="35"/>
  <c r="U685" i="35"/>
  <c r="U684" i="35"/>
  <c r="U683" i="35"/>
  <c r="U682" i="35"/>
  <c r="U681" i="35"/>
  <c r="U680" i="35"/>
  <c r="U679" i="35"/>
  <c r="U678" i="35"/>
  <c r="U677" i="35"/>
  <c r="U676" i="35"/>
  <c r="U675" i="35"/>
  <c r="U674" i="35"/>
  <c r="U673" i="35"/>
  <c r="U672" i="35"/>
  <c r="U671" i="35"/>
  <c r="U670" i="35"/>
  <c r="U669" i="35"/>
  <c r="U668" i="35"/>
  <c r="U667" i="35"/>
  <c r="U666" i="35"/>
  <c r="U665" i="35"/>
  <c r="U664" i="35"/>
  <c r="U663" i="35"/>
  <c r="U662" i="35"/>
  <c r="U661" i="35"/>
  <c r="U660" i="35"/>
  <c r="U659" i="35"/>
  <c r="U658" i="35"/>
  <c r="U657" i="35"/>
  <c r="U656" i="35"/>
  <c r="U655" i="35"/>
  <c r="U654" i="35"/>
  <c r="U653" i="35"/>
  <c r="U652" i="35"/>
  <c r="U651" i="35"/>
  <c r="U650" i="35"/>
  <c r="U649" i="35"/>
  <c r="U648" i="35"/>
  <c r="U647" i="35"/>
  <c r="U646" i="35"/>
  <c r="U645" i="35"/>
  <c r="U644" i="35"/>
  <c r="U643" i="35"/>
  <c r="U642" i="35"/>
  <c r="U641" i="35"/>
  <c r="U640" i="35"/>
  <c r="U639" i="35"/>
  <c r="U638" i="35"/>
  <c r="U637" i="35"/>
  <c r="U636" i="35"/>
  <c r="U635" i="35"/>
  <c r="U634" i="35"/>
  <c r="U633" i="35"/>
  <c r="U632" i="35"/>
  <c r="U631" i="35"/>
  <c r="U630" i="35"/>
  <c r="U629" i="35"/>
  <c r="U628" i="35"/>
  <c r="U627" i="35"/>
  <c r="U626" i="35"/>
  <c r="U625" i="35"/>
  <c r="U624" i="35"/>
  <c r="U623" i="35"/>
  <c r="U622" i="35"/>
  <c r="U621" i="35"/>
  <c r="U620" i="35"/>
  <c r="U619" i="35"/>
  <c r="U618" i="35"/>
  <c r="U617" i="35"/>
  <c r="U616" i="35"/>
  <c r="U615" i="35"/>
  <c r="V618" i="35"/>
  <c r="V617" i="35"/>
  <c r="V616" i="35"/>
  <c r="V615" i="35"/>
  <c r="V614" i="35"/>
  <c r="V613" i="35"/>
  <c r="V612" i="35"/>
  <c r="V611" i="35"/>
  <c r="V610" i="35"/>
  <c r="V609" i="35"/>
  <c r="V608" i="35"/>
  <c r="V607" i="35"/>
  <c r="V606" i="35"/>
  <c r="V605" i="35"/>
  <c r="V604" i="35"/>
  <c r="V603" i="35"/>
  <c r="V602" i="35"/>
  <c r="V601" i="35"/>
  <c r="V600" i="35"/>
  <c r="V599" i="35"/>
  <c r="V598" i="35"/>
  <c r="V597" i="35"/>
  <c r="V706" i="35"/>
  <c r="V705" i="35"/>
  <c r="V704" i="35"/>
  <c r="V703" i="35"/>
  <c r="V702" i="35"/>
  <c r="V701" i="35"/>
  <c r="V700" i="35"/>
  <c r="V699" i="35"/>
  <c r="V698" i="35"/>
  <c r="V697" i="35"/>
  <c r="V696" i="35"/>
  <c r="V695" i="35"/>
  <c r="V694" i="35"/>
  <c r="V693" i="35"/>
  <c r="V692" i="35"/>
  <c r="V691" i="35"/>
  <c r="V690" i="35"/>
  <c r="V689" i="35"/>
  <c r="V688" i="35"/>
  <c r="V687" i="35"/>
  <c r="V686" i="35"/>
  <c r="V685" i="35"/>
  <c r="V684" i="35"/>
  <c r="V683" i="35"/>
  <c r="V682" i="35"/>
  <c r="V681" i="35"/>
  <c r="V680" i="35"/>
  <c r="V679" i="35"/>
  <c r="V678" i="35"/>
  <c r="V677" i="35"/>
  <c r="V676" i="35"/>
  <c r="V675" i="35"/>
  <c r="V674" i="35"/>
  <c r="V673" i="35"/>
  <c r="V672" i="35"/>
  <c r="V671" i="35"/>
  <c r="V670" i="35"/>
  <c r="V669" i="35"/>
  <c r="V668" i="35"/>
  <c r="V667" i="35"/>
  <c r="V666" i="35"/>
  <c r="V665" i="35"/>
  <c r="V664" i="35"/>
  <c r="V663" i="35"/>
  <c r="V662" i="35"/>
  <c r="V661" i="35"/>
  <c r="V660" i="35"/>
  <c r="V659" i="35"/>
  <c r="V658" i="35"/>
  <c r="V657" i="35"/>
  <c r="V656" i="35"/>
  <c r="V655" i="35"/>
  <c r="V654" i="35"/>
  <c r="V653" i="35"/>
  <c r="V652" i="35"/>
  <c r="V651" i="35"/>
  <c r="V650" i="35"/>
  <c r="V649" i="35"/>
  <c r="V648" i="35"/>
  <c r="V647" i="35"/>
  <c r="V646" i="35"/>
  <c r="V645" i="35"/>
  <c r="V644" i="35"/>
  <c r="V643" i="35"/>
  <c r="V642" i="35"/>
  <c r="V641" i="35"/>
  <c r="V640" i="35"/>
  <c r="V639" i="35"/>
  <c r="V638" i="35"/>
  <c r="V637" i="35"/>
  <c r="V636" i="35"/>
  <c r="V635" i="35"/>
  <c r="V634" i="35"/>
  <c r="V633" i="35"/>
  <c r="V632" i="35"/>
  <c r="V631" i="35"/>
  <c r="V630" i="35"/>
  <c r="U566" i="35" l="1"/>
  <c r="U567" i="35"/>
  <c r="U568" i="35" l="1"/>
  <c r="B956" i="35"/>
  <c r="B955" i="35"/>
  <c r="B954" i="35"/>
  <c r="B953" i="35"/>
  <c r="B952" i="35"/>
  <c r="B951" i="35"/>
  <c r="B950" i="35"/>
  <c r="B949" i="35"/>
  <c r="B948" i="35"/>
  <c r="B947" i="35"/>
  <c r="B946" i="35"/>
  <c r="B945" i="35"/>
  <c r="B944" i="35"/>
  <c r="B943" i="35"/>
  <c r="B942" i="35"/>
  <c r="B941" i="35"/>
  <c r="B940" i="35"/>
  <c r="B939" i="35"/>
  <c r="B938" i="35"/>
  <c r="B937" i="35"/>
  <c r="B936" i="35"/>
  <c r="B935" i="35"/>
  <c r="B934" i="35"/>
  <c r="B933" i="35"/>
  <c r="B932" i="35"/>
  <c r="B931" i="35"/>
  <c r="B930" i="35"/>
  <c r="B929" i="35"/>
  <c r="B928" i="35"/>
  <c r="B927" i="35"/>
  <c r="B926" i="35"/>
  <c r="B925" i="35"/>
  <c r="B924" i="35"/>
  <c r="B923" i="35"/>
  <c r="B922" i="35"/>
  <c r="B921" i="35"/>
  <c r="B920" i="35"/>
  <c r="B919" i="35"/>
  <c r="B918" i="35"/>
  <c r="B917" i="35"/>
  <c r="B916" i="35"/>
  <c r="B915" i="35"/>
  <c r="B914" i="35"/>
  <c r="B913" i="35"/>
  <c r="B912" i="35"/>
  <c r="B911" i="35"/>
  <c r="B910" i="35"/>
  <c r="B909" i="35"/>
  <c r="B908" i="35"/>
  <c r="B907" i="35"/>
  <c r="B906" i="35"/>
  <c r="B905" i="35"/>
  <c r="B904" i="35"/>
  <c r="B903" i="35"/>
  <c r="B902" i="35"/>
  <c r="B901" i="35"/>
  <c r="B900" i="35"/>
  <c r="B899" i="35"/>
  <c r="B898" i="35"/>
  <c r="B897" i="35"/>
  <c r="B896" i="35"/>
  <c r="B895" i="35"/>
  <c r="B894" i="35"/>
  <c r="B893" i="35"/>
  <c r="B892" i="35"/>
  <c r="B891" i="35"/>
  <c r="B890" i="35"/>
  <c r="B889" i="35"/>
  <c r="B888" i="35"/>
  <c r="B887" i="35"/>
  <c r="B886" i="35"/>
  <c r="B885" i="35"/>
  <c r="B884" i="35"/>
  <c r="B883" i="35"/>
  <c r="B882" i="35"/>
  <c r="B881" i="35"/>
  <c r="B880" i="35"/>
  <c r="B879" i="35"/>
  <c r="B878" i="35"/>
  <c r="B877" i="35"/>
  <c r="B876" i="35"/>
  <c r="B875" i="35"/>
  <c r="B874" i="35"/>
  <c r="B873" i="35"/>
  <c r="B872" i="35"/>
  <c r="B871" i="35"/>
  <c r="B870" i="35"/>
  <c r="B869" i="35"/>
  <c r="B868" i="35"/>
  <c r="B867" i="35"/>
  <c r="B866" i="35"/>
  <c r="B865" i="35"/>
  <c r="B864" i="35"/>
  <c r="B863" i="35"/>
  <c r="B862" i="35"/>
  <c r="B861" i="35"/>
  <c r="B860" i="35"/>
  <c r="B859" i="35"/>
  <c r="B858" i="35"/>
  <c r="B857" i="35"/>
  <c r="B856" i="35"/>
  <c r="B855" i="35"/>
  <c r="B854" i="35"/>
  <c r="B853" i="35"/>
  <c r="B852" i="35"/>
  <c r="B851" i="35"/>
  <c r="B850" i="35"/>
  <c r="B849" i="35"/>
  <c r="B848" i="35"/>
  <c r="B847" i="35"/>
  <c r="B846" i="35"/>
  <c r="B845" i="35"/>
  <c r="A845" i="35"/>
  <c r="B844" i="35"/>
  <c r="A844" i="35"/>
  <c r="B843" i="35"/>
  <c r="A843" i="35"/>
  <c r="B842" i="35"/>
  <c r="A842" i="35"/>
  <c r="B841" i="35"/>
  <c r="A841" i="35"/>
  <c r="B840" i="35"/>
  <c r="A840" i="35"/>
  <c r="B839" i="35"/>
  <c r="A839" i="35"/>
  <c r="B838" i="35"/>
  <c r="A838" i="35"/>
  <c r="B837" i="35"/>
  <c r="A837" i="35"/>
  <c r="B836" i="35"/>
  <c r="A836" i="35"/>
  <c r="B835" i="35"/>
  <c r="A835" i="35"/>
  <c r="B834" i="35"/>
  <c r="A834" i="35"/>
  <c r="B833" i="35"/>
  <c r="A833" i="35"/>
  <c r="B832" i="35"/>
  <c r="A832" i="35"/>
  <c r="B831" i="35"/>
  <c r="A831" i="35"/>
  <c r="B830" i="35"/>
  <c r="A830" i="35"/>
  <c r="B829" i="35"/>
  <c r="A829" i="35"/>
  <c r="B828" i="35"/>
  <c r="A828" i="35"/>
  <c r="B827" i="35"/>
  <c r="A827" i="35"/>
  <c r="B826" i="35"/>
  <c r="A826" i="35"/>
  <c r="B825" i="35"/>
  <c r="A825" i="35"/>
  <c r="B824" i="35"/>
  <c r="A824" i="35"/>
  <c r="B823" i="35"/>
  <c r="A823" i="35"/>
  <c r="B822" i="35"/>
  <c r="A822" i="35"/>
  <c r="B821" i="35"/>
  <c r="A821" i="35"/>
  <c r="B820" i="35"/>
  <c r="A820" i="35"/>
  <c r="B819" i="35"/>
  <c r="A819" i="35"/>
  <c r="B818" i="35"/>
  <c r="A818" i="35"/>
  <c r="B817" i="35"/>
  <c r="A817" i="35"/>
  <c r="B816" i="35"/>
  <c r="A816" i="35"/>
  <c r="B815" i="35"/>
  <c r="A815" i="35"/>
  <c r="B814" i="35"/>
  <c r="A814" i="35"/>
  <c r="B813" i="35"/>
  <c r="A813" i="35"/>
  <c r="B812" i="35"/>
  <c r="A812" i="35"/>
  <c r="B811" i="35"/>
  <c r="A811" i="35"/>
  <c r="B810" i="35"/>
  <c r="A810" i="35"/>
  <c r="B809" i="35"/>
  <c r="A809" i="35"/>
  <c r="B808" i="35"/>
  <c r="A808" i="35"/>
  <c r="B807" i="35"/>
  <c r="A807" i="35"/>
  <c r="B806" i="35"/>
  <c r="A806" i="35"/>
  <c r="B805" i="35"/>
  <c r="A805" i="35"/>
  <c r="B804" i="35"/>
  <c r="A804" i="35"/>
  <c r="B803" i="35"/>
  <c r="A803" i="35"/>
  <c r="B802" i="35"/>
  <c r="A802" i="35"/>
  <c r="B801" i="35"/>
  <c r="A801" i="35"/>
  <c r="B800" i="35"/>
  <c r="A800" i="35"/>
  <c r="B799" i="35"/>
  <c r="A799" i="35"/>
  <c r="B798" i="35"/>
  <c r="A798" i="35"/>
  <c r="B797" i="35"/>
  <c r="A797" i="35"/>
  <c r="B796" i="35"/>
  <c r="A796" i="35"/>
  <c r="B795" i="35"/>
  <c r="A795" i="35"/>
  <c r="B794" i="35"/>
  <c r="A794" i="35"/>
  <c r="B793" i="35"/>
  <c r="A793" i="35"/>
  <c r="B792" i="35"/>
  <c r="A792" i="35"/>
  <c r="B791" i="35"/>
  <c r="A791" i="35"/>
  <c r="B790" i="35"/>
  <c r="A790" i="35"/>
  <c r="B789" i="35"/>
  <c r="A789" i="35"/>
  <c r="B788" i="35"/>
  <c r="A788" i="35"/>
  <c r="B787" i="35"/>
  <c r="A787" i="35"/>
  <c r="B786" i="35"/>
  <c r="A786" i="35"/>
  <c r="B785" i="35"/>
  <c r="A785" i="35"/>
  <c r="B784" i="35"/>
  <c r="A784" i="35"/>
  <c r="B783" i="35"/>
  <c r="A783" i="35"/>
  <c r="B782" i="35"/>
  <c r="A782" i="35"/>
  <c r="B781" i="35"/>
  <c r="A781" i="35"/>
  <c r="B780" i="35"/>
  <c r="A780" i="35"/>
  <c r="B779" i="35"/>
  <c r="A779" i="35"/>
  <c r="B778" i="35"/>
  <c r="A778" i="35"/>
  <c r="B777" i="35"/>
  <c r="A777" i="35"/>
  <c r="B776" i="35"/>
  <c r="A776" i="35"/>
  <c r="B775" i="35"/>
  <c r="A775" i="35"/>
  <c r="B774" i="35"/>
  <c r="A774" i="35"/>
  <c r="B773" i="35"/>
  <c r="A773" i="35"/>
  <c r="B772" i="35"/>
  <c r="A772" i="35"/>
  <c r="B771" i="35"/>
  <c r="A771" i="35"/>
  <c r="B770" i="35"/>
  <c r="A770" i="35"/>
  <c r="B769" i="35"/>
  <c r="A769" i="35"/>
  <c r="B768" i="35"/>
  <c r="A768" i="35"/>
  <c r="B767" i="35"/>
  <c r="A767" i="35"/>
  <c r="B766" i="35"/>
  <c r="A766" i="35"/>
  <c r="B765" i="35"/>
  <c r="A765" i="35"/>
  <c r="B764" i="35"/>
  <c r="A764" i="35"/>
  <c r="B763" i="35"/>
  <c r="A763" i="35"/>
  <c r="B762" i="35"/>
  <c r="A762" i="35"/>
  <c r="B761" i="35"/>
  <c r="A761" i="35"/>
  <c r="B760" i="35"/>
  <c r="A760" i="35"/>
  <c r="B759" i="35"/>
  <c r="A759" i="35"/>
  <c r="B758" i="35"/>
  <c r="A758" i="35"/>
  <c r="B757" i="35"/>
  <c r="A757" i="35"/>
  <c r="B756" i="35"/>
  <c r="A756" i="35"/>
  <c r="B755" i="35"/>
  <c r="A755" i="35"/>
  <c r="B754" i="35"/>
  <c r="A754" i="35"/>
  <c r="B753" i="35"/>
  <c r="A753" i="35"/>
  <c r="B752" i="35"/>
  <c r="A752" i="35"/>
  <c r="B751" i="35"/>
  <c r="A751" i="35"/>
  <c r="B750" i="35"/>
  <c r="A750" i="35"/>
  <c r="B749" i="35"/>
  <c r="A749" i="35"/>
  <c r="B748" i="35"/>
  <c r="A748" i="35"/>
  <c r="B747" i="35"/>
  <c r="A747" i="35"/>
  <c r="B746" i="35"/>
  <c r="A746" i="35"/>
  <c r="B745" i="35"/>
  <c r="A745" i="35"/>
  <c r="B744" i="35"/>
  <c r="A744" i="35"/>
  <c r="B743" i="35"/>
  <c r="A743" i="35"/>
  <c r="B742" i="35"/>
  <c r="A742" i="35"/>
  <c r="B741" i="35"/>
  <c r="A741" i="35"/>
  <c r="B740" i="35"/>
  <c r="A740" i="35"/>
  <c r="B739" i="35"/>
  <c r="A739" i="35"/>
  <c r="D738" i="35"/>
  <c r="C738" i="35"/>
  <c r="B738" i="35"/>
  <c r="A738" i="35"/>
  <c r="D737" i="35"/>
  <c r="C737" i="35"/>
  <c r="B737" i="35"/>
  <c r="A737" i="35"/>
  <c r="D736" i="35"/>
  <c r="C736" i="35"/>
  <c r="B736" i="35"/>
  <c r="A736" i="35"/>
  <c r="D735" i="35"/>
  <c r="C735" i="35"/>
  <c r="B735" i="35"/>
  <c r="A735" i="35"/>
  <c r="D734" i="35"/>
  <c r="C734" i="35"/>
  <c r="B734" i="35"/>
  <c r="A734" i="35"/>
  <c r="D733" i="35"/>
  <c r="C733" i="35"/>
  <c r="B733" i="35"/>
  <c r="A733" i="35"/>
  <c r="D732" i="35"/>
  <c r="C732" i="35"/>
  <c r="B732" i="35"/>
  <c r="A732" i="35"/>
  <c r="D731" i="35"/>
  <c r="C731" i="35"/>
  <c r="B731" i="35"/>
  <c r="A731" i="35"/>
  <c r="D730" i="35"/>
  <c r="C730" i="35"/>
  <c r="B730" i="35"/>
  <c r="A730" i="35"/>
  <c r="D729" i="35"/>
  <c r="C729" i="35"/>
  <c r="B729" i="35"/>
  <c r="A729" i="35"/>
  <c r="D728" i="35"/>
  <c r="C728" i="35"/>
  <c r="B728" i="35"/>
  <c r="A728" i="35"/>
  <c r="D727" i="35"/>
  <c r="C727" i="35"/>
  <c r="B727" i="35"/>
  <c r="A727" i="35"/>
  <c r="D726" i="35"/>
  <c r="C726" i="35"/>
  <c r="B726" i="35"/>
  <c r="A726" i="35"/>
  <c r="D725" i="35"/>
  <c r="C725" i="35"/>
  <c r="B725" i="35"/>
  <c r="A725" i="35"/>
  <c r="D724" i="35"/>
  <c r="C724" i="35"/>
  <c r="B724" i="35"/>
  <c r="A724" i="35"/>
  <c r="D723" i="35"/>
  <c r="C723" i="35"/>
  <c r="B723" i="35"/>
  <c r="A723" i="35"/>
  <c r="D722" i="35"/>
  <c r="C722" i="35"/>
  <c r="B722" i="35"/>
  <c r="A722" i="35"/>
  <c r="D721" i="35"/>
  <c r="C721" i="35"/>
  <c r="B721" i="35"/>
  <c r="A721" i="35"/>
  <c r="D720" i="35"/>
  <c r="C720" i="35"/>
  <c r="B720" i="35"/>
  <c r="A720" i="35"/>
  <c r="D719" i="35"/>
  <c r="C719" i="35"/>
  <c r="B719" i="35"/>
  <c r="A719" i="35"/>
  <c r="D718" i="35"/>
  <c r="C718" i="35"/>
  <c r="B718" i="35"/>
  <c r="A718" i="35"/>
  <c r="D717" i="35"/>
  <c r="C717" i="35"/>
  <c r="B717" i="35"/>
  <c r="A717" i="35"/>
  <c r="D716" i="35"/>
  <c r="C716" i="35"/>
  <c r="B716" i="35"/>
  <c r="A716" i="35"/>
  <c r="D715" i="35"/>
  <c r="C715" i="35"/>
  <c r="B715" i="35"/>
  <c r="A715" i="35"/>
  <c r="D714" i="35"/>
  <c r="C714" i="35"/>
  <c r="B714" i="35"/>
  <c r="A714" i="35"/>
  <c r="D713" i="35"/>
  <c r="C713" i="35"/>
  <c r="B713" i="35"/>
  <c r="A713" i="35"/>
  <c r="D712" i="35"/>
  <c r="C712" i="35"/>
  <c r="B712" i="35"/>
  <c r="A712" i="35"/>
  <c r="D711" i="35"/>
  <c r="C711" i="35"/>
  <c r="B711" i="35"/>
  <c r="A711" i="35"/>
  <c r="D710" i="35"/>
  <c r="C710" i="35"/>
  <c r="B710" i="35"/>
  <c r="A710" i="35"/>
  <c r="D709" i="35"/>
  <c r="C709" i="35"/>
  <c r="B709" i="35"/>
  <c r="A709" i="35"/>
  <c r="D708" i="35"/>
  <c r="C708" i="35"/>
  <c r="B708" i="35"/>
  <c r="A708" i="35"/>
  <c r="D707" i="35"/>
  <c r="C707" i="35"/>
  <c r="B707" i="35"/>
  <c r="A707" i="35"/>
  <c r="D706" i="35"/>
  <c r="C706" i="35"/>
  <c r="B706" i="35"/>
  <c r="A706" i="35"/>
  <c r="D705" i="35"/>
  <c r="C705" i="35"/>
  <c r="B705" i="35"/>
  <c r="A705" i="35"/>
  <c r="D704" i="35"/>
  <c r="C704" i="35"/>
  <c r="B704" i="35"/>
  <c r="A704" i="35"/>
  <c r="D703" i="35"/>
  <c r="C703" i="35"/>
  <c r="B703" i="35"/>
  <c r="A703" i="35"/>
  <c r="D702" i="35"/>
  <c r="C702" i="35"/>
  <c r="B702" i="35"/>
  <c r="A702" i="35"/>
  <c r="G701" i="35"/>
  <c r="D701" i="35"/>
  <c r="C701" i="35"/>
  <c r="B701" i="35"/>
  <c r="A701" i="35"/>
  <c r="G700" i="35"/>
  <c r="D700" i="35"/>
  <c r="C700" i="35"/>
  <c r="B700" i="35"/>
  <c r="A700" i="35"/>
  <c r="G699" i="35"/>
  <c r="D699" i="35"/>
  <c r="C699" i="35"/>
  <c r="B699" i="35"/>
  <c r="A699" i="35"/>
  <c r="G698" i="35"/>
  <c r="D698" i="35"/>
  <c r="C698" i="35"/>
  <c r="B698" i="35"/>
  <c r="A698" i="35"/>
  <c r="G697" i="35"/>
  <c r="D697" i="35"/>
  <c r="C697" i="35"/>
  <c r="B697" i="35"/>
  <c r="A697" i="35"/>
  <c r="G696" i="35"/>
  <c r="D696" i="35"/>
  <c r="C696" i="35"/>
  <c r="B696" i="35"/>
  <c r="A696" i="35"/>
  <c r="G695" i="35"/>
  <c r="D695" i="35"/>
  <c r="C695" i="35"/>
  <c r="B695" i="35"/>
  <c r="A695" i="35"/>
  <c r="G694" i="35"/>
  <c r="D694" i="35"/>
  <c r="C694" i="35"/>
  <c r="B694" i="35"/>
  <c r="A694" i="35"/>
  <c r="G693" i="35"/>
  <c r="D693" i="35"/>
  <c r="C693" i="35"/>
  <c r="B693" i="35"/>
  <c r="A693" i="35"/>
  <c r="G692" i="35"/>
  <c r="D692" i="35"/>
  <c r="C692" i="35"/>
  <c r="B692" i="35"/>
  <c r="A692" i="35"/>
  <c r="G691" i="35"/>
  <c r="D691" i="35"/>
  <c r="C691" i="35"/>
  <c r="B691" i="35"/>
  <c r="A691" i="35"/>
  <c r="G690" i="35"/>
  <c r="D690" i="35"/>
  <c r="C690" i="35"/>
  <c r="B690" i="35"/>
  <c r="A690" i="35"/>
  <c r="G689" i="35"/>
  <c r="D689" i="35"/>
  <c r="C689" i="35"/>
  <c r="B689" i="35"/>
  <c r="A689" i="35"/>
  <c r="G688" i="35"/>
  <c r="D688" i="35"/>
  <c r="C688" i="35"/>
  <c r="B688" i="35"/>
  <c r="A688" i="35"/>
  <c r="G687" i="35"/>
  <c r="C687" i="35"/>
  <c r="B687" i="35"/>
  <c r="A687" i="35"/>
  <c r="G686" i="35"/>
  <c r="E686" i="35"/>
  <c r="C686" i="35"/>
  <c r="B686" i="35"/>
  <c r="A686" i="35"/>
  <c r="G685" i="35"/>
  <c r="E685" i="35"/>
  <c r="C685" i="35"/>
  <c r="B685" i="35"/>
  <c r="A685" i="35"/>
  <c r="G684" i="35"/>
  <c r="E684" i="35"/>
  <c r="C684" i="35"/>
  <c r="B684" i="35"/>
  <c r="A684" i="35"/>
  <c r="G683" i="35"/>
  <c r="E683" i="35"/>
  <c r="C683" i="35"/>
  <c r="B683" i="35"/>
  <c r="A683" i="35"/>
  <c r="G682" i="35"/>
  <c r="E682" i="35"/>
  <c r="C682" i="35"/>
  <c r="B682" i="35"/>
  <c r="A682" i="35"/>
  <c r="G681" i="35"/>
  <c r="E681" i="35"/>
  <c r="C681" i="35"/>
  <c r="B681" i="35"/>
  <c r="A681" i="35"/>
  <c r="G680" i="35"/>
  <c r="E680" i="35"/>
  <c r="C680" i="35"/>
  <c r="B680" i="35"/>
  <c r="A680" i="35"/>
  <c r="G679" i="35"/>
  <c r="E679" i="35"/>
  <c r="C679" i="35"/>
  <c r="B679" i="35"/>
  <c r="A679" i="35"/>
  <c r="G678" i="35"/>
  <c r="E678" i="35"/>
  <c r="C678" i="35"/>
  <c r="B678" i="35"/>
  <c r="A678" i="35"/>
  <c r="G677" i="35"/>
  <c r="E677" i="35"/>
  <c r="C677" i="35"/>
  <c r="B677" i="35"/>
  <c r="A677" i="35"/>
  <c r="G676" i="35"/>
  <c r="E676" i="35"/>
  <c r="C676" i="35"/>
  <c r="B676" i="35"/>
  <c r="A676" i="35"/>
  <c r="G675" i="35"/>
  <c r="E675" i="35"/>
  <c r="C675" i="35"/>
  <c r="B675" i="35"/>
  <c r="A675" i="35"/>
  <c r="G674" i="35"/>
  <c r="E674" i="35"/>
  <c r="C674" i="35"/>
  <c r="B674" i="35"/>
  <c r="A674" i="35"/>
  <c r="G673" i="35"/>
  <c r="E673" i="35"/>
  <c r="C673" i="35"/>
  <c r="B673" i="35"/>
  <c r="A673" i="35"/>
  <c r="G672" i="35"/>
  <c r="C672" i="35"/>
  <c r="B672" i="35"/>
  <c r="A672" i="35"/>
  <c r="G671" i="35"/>
  <c r="C671" i="35"/>
  <c r="B671" i="35"/>
  <c r="A671" i="35"/>
  <c r="G670" i="35"/>
  <c r="C670" i="35"/>
  <c r="B670" i="35"/>
  <c r="A670" i="35"/>
  <c r="G669" i="35"/>
  <c r="E669" i="35"/>
  <c r="C669" i="35"/>
  <c r="B669" i="35"/>
  <c r="A669" i="35"/>
  <c r="G668" i="35"/>
  <c r="E668" i="35"/>
  <c r="C668" i="35"/>
  <c r="B668" i="35"/>
  <c r="A668" i="35"/>
  <c r="G667" i="35"/>
  <c r="E667" i="35"/>
  <c r="C667" i="35"/>
  <c r="B667" i="35"/>
  <c r="A667" i="35"/>
  <c r="G666" i="35"/>
  <c r="E666" i="35"/>
  <c r="C666" i="35"/>
  <c r="B666" i="35"/>
  <c r="A666" i="35"/>
  <c r="G665" i="35"/>
  <c r="E665" i="35"/>
  <c r="C665" i="35"/>
  <c r="B665" i="35"/>
  <c r="A665" i="35"/>
  <c r="G664" i="35"/>
  <c r="E664" i="35"/>
  <c r="C664" i="35"/>
  <c r="B664" i="35"/>
  <c r="A664" i="35"/>
  <c r="G663" i="35"/>
  <c r="E663" i="35"/>
  <c r="C663" i="35"/>
  <c r="B663" i="35"/>
  <c r="A663" i="35"/>
  <c r="G662" i="35"/>
  <c r="E662" i="35"/>
  <c r="C662" i="35"/>
  <c r="B662" i="35"/>
  <c r="A662" i="35"/>
  <c r="G661" i="35"/>
  <c r="E661" i="35"/>
  <c r="C661" i="35"/>
  <c r="B661" i="35"/>
  <c r="A661" i="35"/>
  <c r="G660" i="35"/>
  <c r="E660" i="35"/>
  <c r="C660" i="35"/>
  <c r="B660" i="35"/>
  <c r="A660" i="35"/>
  <c r="G659" i="35"/>
  <c r="E659" i="35"/>
  <c r="C659" i="35"/>
  <c r="B659" i="35"/>
  <c r="A659" i="35"/>
  <c r="G658" i="35"/>
  <c r="E658" i="35"/>
  <c r="C658" i="35"/>
  <c r="B658" i="35"/>
  <c r="A658" i="35"/>
  <c r="G657" i="35"/>
  <c r="E657" i="35"/>
  <c r="C657" i="35"/>
  <c r="B657" i="35"/>
  <c r="A657" i="35"/>
  <c r="G656" i="35"/>
  <c r="E656" i="35"/>
  <c r="C656" i="35"/>
  <c r="B656" i="35"/>
  <c r="A656" i="35"/>
  <c r="G655" i="35"/>
  <c r="E655" i="35"/>
  <c r="C655" i="35"/>
  <c r="B655" i="35"/>
  <c r="A655" i="35"/>
  <c r="G654" i="35"/>
  <c r="E654" i="35"/>
  <c r="C654" i="35"/>
  <c r="B654" i="35"/>
  <c r="A654" i="35"/>
  <c r="G653" i="35"/>
  <c r="C653" i="35"/>
  <c r="B653" i="35"/>
  <c r="A653" i="35"/>
  <c r="G652" i="35"/>
  <c r="D652" i="35"/>
  <c r="C652" i="35"/>
  <c r="B652" i="35"/>
  <c r="A652" i="35"/>
  <c r="G651" i="35"/>
  <c r="E651" i="35"/>
  <c r="D651" i="35" s="1"/>
  <c r="C651" i="35"/>
  <c r="B651" i="35"/>
  <c r="A651" i="35"/>
  <c r="G650" i="35"/>
  <c r="E650" i="35"/>
  <c r="C650" i="35"/>
  <c r="B650" i="35"/>
  <c r="A650" i="35"/>
  <c r="G649" i="35"/>
  <c r="E649" i="35"/>
  <c r="C649" i="35"/>
  <c r="B649" i="35"/>
  <c r="A649" i="35"/>
  <c r="G648" i="35"/>
  <c r="E648" i="35"/>
  <c r="C648" i="35"/>
  <c r="B648" i="35"/>
  <c r="A648" i="35"/>
  <c r="G647" i="35"/>
  <c r="E647" i="35"/>
  <c r="C647" i="35"/>
  <c r="B647" i="35"/>
  <c r="A647" i="35"/>
  <c r="G646" i="35"/>
  <c r="E646" i="35"/>
  <c r="C646" i="35"/>
  <c r="B646" i="35"/>
  <c r="A646" i="35"/>
  <c r="G645" i="35"/>
  <c r="E645" i="35"/>
  <c r="C645" i="35"/>
  <c r="B645" i="35"/>
  <c r="A645" i="35"/>
  <c r="G644" i="35"/>
  <c r="E644" i="35"/>
  <c r="C644" i="35"/>
  <c r="B644" i="35"/>
  <c r="A644" i="35"/>
  <c r="G643" i="35"/>
  <c r="E643" i="35"/>
  <c r="C643" i="35"/>
  <c r="B643" i="35"/>
  <c r="A643" i="35"/>
  <c r="G642" i="35"/>
  <c r="E642" i="35"/>
  <c r="C642" i="35"/>
  <c r="B642" i="35"/>
  <c r="A642" i="35"/>
  <c r="G641" i="35"/>
  <c r="E641" i="35"/>
  <c r="C641" i="35"/>
  <c r="B641" i="35"/>
  <c r="A641" i="35"/>
  <c r="G640" i="35"/>
  <c r="E640" i="35"/>
  <c r="C640" i="35"/>
  <c r="B640" i="35"/>
  <c r="A640" i="35"/>
  <c r="G639" i="35"/>
  <c r="E639" i="35"/>
  <c r="C639" i="35"/>
  <c r="B639" i="35"/>
  <c r="A639" i="35"/>
  <c r="G638" i="35"/>
  <c r="E638" i="35"/>
  <c r="C638" i="35"/>
  <c r="B638" i="35"/>
  <c r="A638" i="35"/>
  <c r="G637" i="35"/>
  <c r="E637" i="35"/>
  <c r="C637" i="35"/>
  <c r="B637" i="35"/>
  <c r="A637" i="35"/>
  <c r="G636" i="35"/>
  <c r="E636" i="35"/>
  <c r="C636" i="35"/>
  <c r="B636" i="35"/>
  <c r="A636" i="35"/>
  <c r="G635" i="35"/>
  <c r="C635" i="35"/>
  <c r="B635" i="35"/>
  <c r="A635" i="35"/>
  <c r="G634" i="35"/>
  <c r="E634" i="35"/>
  <c r="C634" i="35"/>
  <c r="B634" i="35"/>
  <c r="A634" i="35"/>
  <c r="G633" i="35"/>
  <c r="E633" i="35"/>
  <c r="C633" i="35"/>
  <c r="B633" i="35"/>
  <c r="A633" i="35"/>
  <c r="G632" i="35"/>
  <c r="E632" i="35"/>
  <c r="C632" i="35"/>
  <c r="B632" i="35"/>
  <c r="A632" i="35"/>
  <c r="G631" i="35"/>
  <c r="E631" i="35"/>
  <c r="C631" i="35"/>
  <c r="B631" i="35"/>
  <c r="A631" i="35"/>
  <c r="G630" i="35"/>
  <c r="E630" i="35"/>
  <c r="C630" i="35"/>
  <c r="B630" i="35"/>
  <c r="A630" i="35"/>
  <c r="G629" i="35"/>
  <c r="E629" i="35"/>
  <c r="C629" i="35"/>
  <c r="B629" i="35"/>
  <c r="A629" i="35"/>
  <c r="G628" i="35"/>
  <c r="E628" i="35"/>
  <c r="C628" i="35"/>
  <c r="B628" i="35"/>
  <c r="A628" i="35"/>
  <c r="G627" i="35"/>
  <c r="E627" i="35"/>
  <c r="C627" i="35"/>
  <c r="B627" i="35"/>
  <c r="A627" i="35"/>
  <c r="G626" i="35"/>
  <c r="E626" i="35"/>
  <c r="C626" i="35"/>
  <c r="B626" i="35"/>
  <c r="A626" i="35"/>
  <c r="G625" i="35"/>
  <c r="E625" i="35"/>
  <c r="C625" i="35"/>
  <c r="B625" i="35"/>
  <c r="A625" i="35"/>
  <c r="G624" i="35"/>
  <c r="E624" i="35"/>
  <c r="C624" i="35"/>
  <c r="B624" i="35"/>
  <c r="A624" i="35"/>
  <c r="G623" i="35"/>
  <c r="E623" i="35"/>
  <c r="C623" i="35"/>
  <c r="B623" i="35"/>
  <c r="A623" i="35"/>
  <c r="G622" i="35"/>
  <c r="E622" i="35"/>
  <c r="C622" i="35"/>
  <c r="B622" i="35"/>
  <c r="A622" i="35"/>
  <c r="G621" i="35"/>
  <c r="E621" i="35"/>
  <c r="C621" i="35"/>
  <c r="B621" i="35"/>
  <c r="A621" i="35"/>
  <c r="G620" i="35"/>
  <c r="E620" i="35"/>
  <c r="C620" i="35"/>
  <c r="B620" i="35"/>
  <c r="A620" i="35"/>
  <c r="G619" i="35"/>
  <c r="E619" i="35"/>
  <c r="C619" i="35"/>
  <c r="B619" i="35"/>
  <c r="A619" i="35"/>
  <c r="G618" i="35"/>
  <c r="E618" i="35"/>
  <c r="C618" i="35"/>
  <c r="B618" i="35"/>
  <c r="A618" i="35"/>
  <c r="G617" i="35"/>
  <c r="E617" i="35"/>
  <c r="C617" i="35"/>
  <c r="B617" i="35"/>
  <c r="A617" i="35"/>
  <c r="G616" i="35"/>
  <c r="E616" i="35"/>
  <c r="C616" i="35"/>
  <c r="B616" i="35"/>
  <c r="A616" i="35"/>
  <c r="G615" i="35"/>
  <c r="E615" i="35"/>
  <c r="C615" i="35"/>
  <c r="B615" i="35"/>
  <c r="A615" i="35"/>
  <c r="G614" i="35"/>
  <c r="E614" i="35"/>
  <c r="C614" i="35"/>
  <c r="B614" i="35"/>
  <c r="A614" i="35"/>
  <c r="G613" i="35"/>
  <c r="E613" i="35"/>
  <c r="C613" i="35"/>
  <c r="B613" i="35"/>
  <c r="A613" i="35"/>
  <c r="G612" i="35"/>
  <c r="E612" i="35"/>
  <c r="C612" i="35"/>
  <c r="B612" i="35"/>
  <c r="A612" i="35"/>
  <c r="G611" i="35"/>
  <c r="E611" i="35"/>
  <c r="C611" i="35"/>
  <c r="B611" i="35"/>
  <c r="A611" i="35"/>
  <c r="G610" i="35"/>
  <c r="E610" i="35"/>
  <c r="C610" i="35"/>
  <c r="B610" i="35"/>
  <c r="A610" i="35"/>
  <c r="G609" i="35"/>
  <c r="E609" i="35"/>
  <c r="C609" i="35"/>
  <c r="B609" i="35"/>
  <c r="A609" i="35"/>
  <c r="G608" i="35"/>
  <c r="E608" i="35"/>
  <c r="C608" i="35"/>
  <c r="B608" i="35"/>
  <c r="A608" i="35"/>
  <c r="G607" i="35"/>
  <c r="E607" i="35"/>
  <c r="C607" i="35"/>
  <c r="B607" i="35"/>
  <c r="A607" i="35"/>
  <c r="G606" i="35"/>
  <c r="E606" i="35"/>
  <c r="C606" i="35"/>
  <c r="B606" i="35"/>
  <c r="A606" i="35"/>
  <c r="G605" i="35"/>
  <c r="E605" i="35"/>
  <c r="C605" i="35"/>
  <c r="B605" i="35"/>
  <c r="A605" i="35"/>
  <c r="G604" i="35"/>
  <c r="E604" i="35"/>
  <c r="C604" i="35"/>
  <c r="B604" i="35"/>
  <c r="A604" i="35"/>
  <c r="G603" i="35"/>
  <c r="E603" i="35"/>
  <c r="C603" i="35"/>
  <c r="B603" i="35"/>
  <c r="A603" i="35"/>
  <c r="G602" i="35"/>
  <c r="E602" i="35"/>
  <c r="C602" i="35"/>
  <c r="B602" i="35"/>
  <c r="A602" i="35"/>
  <c r="G601" i="35"/>
  <c r="E601" i="35"/>
  <c r="C601" i="35"/>
  <c r="B601" i="35"/>
  <c r="A601" i="35"/>
  <c r="G600" i="35"/>
  <c r="E600" i="35"/>
  <c r="C600" i="35"/>
  <c r="B600" i="35"/>
  <c r="A600" i="35"/>
  <c r="G599" i="35"/>
  <c r="E599" i="35"/>
  <c r="C599" i="35"/>
  <c r="B599" i="35"/>
  <c r="A599" i="35"/>
  <c r="G598" i="35"/>
  <c r="E598" i="35"/>
  <c r="C598" i="35"/>
  <c r="B598" i="35"/>
  <c r="A598" i="35"/>
  <c r="G597" i="35"/>
  <c r="E597" i="35"/>
  <c r="C597" i="35"/>
  <c r="B597" i="35"/>
  <c r="A597" i="35"/>
  <c r="G596" i="35"/>
  <c r="E596" i="35"/>
  <c r="C596" i="35"/>
  <c r="B596" i="35"/>
  <c r="A596" i="35"/>
  <c r="G595" i="35"/>
  <c r="E595" i="35"/>
  <c r="C595" i="35"/>
  <c r="B595" i="35"/>
  <c r="A595" i="35"/>
  <c r="G594" i="35"/>
  <c r="E594" i="35"/>
  <c r="C594" i="35"/>
  <c r="B594" i="35"/>
  <c r="A594" i="35"/>
  <c r="G593" i="35"/>
  <c r="E593" i="35"/>
  <c r="C593" i="35"/>
  <c r="B593" i="35"/>
  <c r="A593" i="35"/>
  <c r="G592" i="35"/>
  <c r="E592" i="35"/>
  <c r="C592" i="35"/>
  <c r="B592" i="35"/>
  <c r="A592" i="35"/>
  <c r="G591" i="35"/>
  <c r="E591" i="35"/>
  <c r="C591" i="35"/>
  <c r="B591" i="35"/>
  <c r="A591" i="35"/>
  <c r="G590" i="35"/>
  <c r="E590" i="35"/>
  <c r="C590" i="35"/>
  <c r="B590" i="35"/>
  <c r="A590" i="35"/>
  <c r="G589" i="35"/>
  <c r="E589" i="35"/>
  <c r="C589" i="35"/>
  <c r="B589" i="35"/>
  <c r="A589" i="35"/>
  <c r="G588" i="35"/>
  <c r="E588" i="35"/>
  <c r="C588" i="35"/>
  <c r="B588" i="35"/>
  <c r="A588" i="35"/>
  <c r="G587" i="35"/>
  <c r="E587" i="35"/>
  <c r="C587" i="35"/>
  <c r="B587" i="35"/>
  <c r="A587" i="35"/>
  <c r="G586" i="35"/>
  <c r="E586" i="35"/>
  <c r="C586" i="35"/>
  <c r="B586" i="35"/>
  <c r="A586" i="35"/>
  <c r="G585" i="35"/>
  <c r="E585" i="35"/>
  <c r="C585" i="35"/>
  <c r="B585" i="35"/>
  <c r="A585" i="35"/>
  <c r="G584" i="35"/>
  <c r="E584" i="35"/>
  <c r="C584" i="35"/>
  <c r="B584" i="35"/>
  <c r="A584" i="35"/>
  <c r="G583" i="35"/>
  <c r="E583" i="35"/>
  <c r="C583" i="35"/>
  <c r="B583" i="35"/>
  <c r="A583" i="35"/>
  <c r="G582" i="35"/>
  <c r="E582" i="35"/>
  <c r="C582" i="35"/>
  <c r="B582" i="35"/>
  <c r="A582" i="35"/>
  <c r="G581" i="35"/>
  <c r="E581" i="35"/>
  <c r="C581" i="35"/>
  <c r="B581" i="35"/>
  <c r="A581" i="35"/>
  <c r="G580" i="35"/>
  <c r="E580" i="35"/>
  <c r="C580" i="35"/>
  <c r="B580" i="35"/>
  <c r="A580" i="35"/>
  <c r="G579" i="35"/>
  <c r="E579" i="35"/>
  <c r="C579" i="35"/>
  <c r="B579" i="35"/>
  <c r="A579" i="35"/>
  <c r="G578" i="35"/>
  <c r="E578" i="35"/>
  <c r="C578" i="35"/>
  <c r="B578" i="35"/>
  <c r="A578" i="35"/>
  <c r="G577" i="35"/>
  <c r="E577" i="35"/>
  <c r="C577" i="35"/>
  <c r="B577" i="35"/>
  <c r="A577" i="35"/>
  <c r="G576" i="35"/>
  <c r="E576" i="35"/>
  <c r="C576" i="35"/>
  <c r="B576" i="35"/>
  <c r="A576" i="35"/>
  <c r="G575" i="35"/>
  <c r="E575" i="35"/>
  <c r="C575" i="35"/>
  <c r="B575" i="35"/>
  <c r="A575" i="35"/>
  <c r="G574" i="35"/>
  <c r="E574" i="35"/>
  <c r="C574" i="35"/>
  <c r="B574" i="35"/>
  <c r="A574" i="35"/>
  <c r="G573" i="35"/>
  <c r="E573" i="35"/>
  <c r="C573" i="35"/>
  <c r="B573" i="35"/>
  <c r="A573" i="35"/>
  <c r="G572" i="35"/>
  <c r="E572" i="35"/>
  <c r="C572" i="35"/>
  <c r="B572" i="35"/>
  <c r="A572" i="35"/>
  <c r="G571" i="35"/>
  <c r="E571" i="35"/>
  <c r="C571" i="35"/>
  <c r="B571" i="35"/>
  <c r="A571" i="35"/>
  <c r="G570" i="35"/>
  <c r="E570" i="35"/>
  <c r="C570" i="35"/>
  <c r="B570" i="35"/>
  <c r="A570" i="35"/>
  <c r="G569" i="35"/>
  <c r="E569" i="35"/>
  <c r="C569" i="35"/>
  <c r="B569" i="35"/>
  <c r="A569" i="35"/>
  <c r="G568" i="35"/>
  <c r="E568" i="35"/>
  <c r="C568" i="35"/>
  <c r="B568" i="35"/>
  <c r="A568" i="35"/>
  <c r="G567" i="35"/>
  <c r="E567" i="35"/>
  <c r="C567" i="35"/>
  <c r="B567" i="35"/>
  <c r="A567" i="35"/>
  <c r="G566" i="35"/>
  <c r="E566" i="35"/>
  <c r="C566" i="35"/>
  <c r="B566" i="35"/>
  <c r="A566" i="35"/>
  <c r="G565" i="35"/>
  <c r="E565" i="35"/>
  <c r="C565" i="35"/>
  <c r="B565" i="35"/>
  <c r="A565" i="35"/>
  <c r="G564" i="35"/>
  <c r="E564" i="35"/>
  <c r="C564" i="35"/>
  <c r="B564" i="35"/>
  <c r="A564" i="35"/>
  <c r="G563" i="35"/>
  <c r="E563" i="35"/>
  <c r="C563" i="35"/>
  <c r="B563" i="35"/>
  <c r="A563" i="35"/>
  <c r="G562" i="35"/>
  <c r="E562" i="35"/>
  <c r="C562" i="35"/>
  <c r="B562" i="35"/>
  <c r="A562" i="35"/>
  <c r="G561" i="35"/>
  <c r="E561" i="35"/>
  <c r="C561" i="35"/>
  <c r="B561" i="35"/>
  <c r="A561" i="35"/>
  <c r="G560" i="35"/>
  <c r="E560" i="35"/>
  <c r="C560" i="35"/>
  <c r="B560" i="35"/>
  <c r="A560" i="35"/>
  <c r="G559" i="35"/>
  <c r="E559" i="35"/>
  <c r="C559" i="35"/>
  <c r="B559" i="35"/>
  <c r="A559" i="35"/>
  <c r="G558" i="35"/>
  <c r="E558" i="35"/>
  <c r="C558" i="35"/>
  <c r="B558" i="35"/>
  <c r="A558" i="35"/>
  <c r="G557" i="35"/>
  <c r="E557" i="35"/>
  <c r="C557" i="35"/>
  <c r="B557" i="35"/>
  <c r="A557" i="35"/>
  <c r="G556" i="35"/>
  <c r="E556" i="35"/>
  <c r="C556" i="35"/>
  <c r="B556" i="35"/>
  <c r="A556" i="35"/>
  <c r="G555" i="35"/>
  <c r="E555" i="35"/>
  <c r="C555" i="35"/>
  <c r="B555" i="35"/>
  <c r="A555" i="35"/>
  <c r="G554" i="35"/>
  <c r="E554" i="35"/>
  <c r="C554" i="35"/>
  <c r="B554" i="35"/>
  <c r="A554" i="35"/>
  <c r="G553" i="35"/>
  <c r="E553" i="35"/>
  <c r="C553" i="35"/>
  <c r="B553" i="35"/>
  <c r="A553" i="35"/>
  <c r="G552" i="35"/>
  <c r="E552" i="35"/>
  <c r="C552" i="35"/>
  <c r="B552" i="35"/>
  <c r="A552" i="35"/>
  <c r="G551" i="35"/>
  <c r="G550" i="35"/>
  <c r="E550" i="35"/>
  <c r="C550" i="35"/>
  <c r="B550" i="35"/>
  <c r="A550" i="35"/>
  <c r="G549" i="35"/>
  <c r="E549" i="35"/>
  <c r="C549" i="35"/>
  <c r="B549" i="35"/>
  <c r="A549" i="35"/>
  <c r="G548" i="35"/>
  <c r="C548" i="35"/>
  <c r="B548" i="35"/>
  <c r="A548" i="35"/>
  <c r="G547" i="35"/>
  <c r="C547" i="35"/>
  <c r="B547" i="35"/>
  <c r="A547" i="35"/>
  <c r="G546" i="35"/>
  <c r="E546" i="35"/>
  <c r="C546" i="35"/>
  <c r="B546" i="35"/>
  <c r="A546" i="35"/>
  <c r="G545" i="35"/>
  <c r="E545" i="35"/>
  <c r="C545" i="35"/>
  <c r="B545" i="35"/>
  <c r="A545" i="35"/>
  <c r="G544" i="35"/>
  <c r="E544" i="35"/>
  <c r="C544" i="35"/>
  <c r="B544" i="35"/>
  <c r="A544" i="35"/>
  <c r="G543" i="35"/>
  <c r="E543" i="35"/>
  <c r="C543" i="35"/>
  <c r="B543" i="35"/>
  <c r="A543" i="35"/>
  <c r="G542" i="35"/>
  <c r="E542" i="35"/>
  <c r="C542" i="35"/>
  <c r="B542" i="35"/>
  <c r="A542" i="35"/>
  <c r="G541" i="35"/>
  <c r="E541" i="35"/>
  <c r="C541" i="35"/>
  <c r="B541" i="35"/>
  <c r="A541" i="35"/>
  <c r="G540" i="35"/>
  <c r="E540" i="35"/>
  <c r="C540" i="35"/>
  <c r="B540" i="35"/>
  <c r="A540" i="35"/>
  <c r="G539" i="35"/>
  <c r="E539" i="35"/>
  <c r="C539" i="35"/>
  <c r="B539" i="35"/>
  <c r="A539" i="35"/>
  <c r="G538" i="35"/>
  <c r="E538" i="35"/>
  <c r="C538" i="35"/>
  <c r="B538" i="35"/>
  <c r="A538" i="35"/>
  <c r="G537" i="35"/>
  <c r="E537" i="35"/>
  <c r="C537" i="35"/>
  <c r="B537" i="35"/>
  <c r="A537" i="35"/>
  <c r="G536" i="35"/>
  <c r="E536" i="35"/>
  <c r="C536" i="35"/>
  <c r="B536" i="35"/>
  <c r="A536" i="35"/>
  <c r="G535" i="35"/>
  <c r="E535" i="35"/>
  <c r="C535" i="35"/>
  <c r="B535" i="35"/>
  <c r="A535" i="35"/>
  <c r="G534" i="35"/>
  <c r="E534" i="35"/>
  <c r="C534" i="35"/>
  <c r="B534" i="35"/>
  <c r="A534" i="35"/>
  <c r="G533" i="35"/>
  <c r="E533" i="35"/>
  <c r="C533" i="35"/>
  <c r="B533" i="35"/>
  <c r="A533" i="35"/>
  <c r="G532" i="35"/>
  <c r="E532" i="35"/>
  <c r="C532" i="35"/>
  <c r="B532" i="35"/>
  <c r="A532" i="35"/>
  <c r="G531" i="35"/>
  <c r="E531" i="35"/>
  <c r="C531" i="35"/>
  <c r="B531" i="35"/>
  <c r="A531" i="35"/>
  <c r="G530" i="35"/>
  <c r="E530" i="35"/>
  <c r="C530" i="35"/>
  <c r="B530" i="35"/>
  <c r="A530" i="35"/>
  <c r="G529" i="35"/>
  <c r="E529" i="35"/>
  <c r="C529" i="35"/>
  <c r="B529" i="35"/>
  <c r="A529" i="35"/>
  <c r="G528" i="35"/>
  <c r="E528" i="35"/>
  <c r="C528" i="35"/>
  <c r="B528" i="35"/>
  <c r="A528" i="35"/>
  <c r="G527" i="35"/>
  <c r="E527" i="35"/>
  <c r="C527" i="35"/>
  <c r="B527" i="35"/>
  <c r="A527" i="35"/>
  <c r="G526" i="35"/>
  <c r="E526" i="35"/>
  <c r="C526" i="35"/>
  <c r="B526" i="35"/>
  <c r="A526" i="35"/>
  <c r="G525" i="35"/>
  <c r="E525" i="35"/>
  <c r="C525" i="35"/>
  <c r="B525" i="35"/>
  <c r="A525" i="35"/>
  <c r="G524" i="35"/>
  <c r="E524" i="35"/>
  <c r="C524" i="35"/>
  <c r="B524" i="35"/>
  <c r="A524" i="35"/>
  <c r="G523" i="35"/>
  <c r="E523" i="35"/>
  <c r="C523" i="35"/>
  <c r="B523" i="35"/>
  <c r="A523" i="35"/>
  <c r="G522" i="35"/>
  <c r="E522" i="35"/>
  <c r="C522" i="35"/>
  <c r="B522" i="35"/>
  <c r="A522" i="35"/>
  <c r="G521" i="35"/>
  <c r="E521" i="35"/>
  <c r="C521" i="35"/>
  <c r="B521" i="35"/>
  <c r="A521" i="35"/>
  <c r="G520" i="35"/>
  <c r="E520" i="35"/>
  <c r="C520" i="35"/>
  <c r="B520" i="35"/>
  <c r="A520" i="35"/>
  <c r="G519" i="35"/>
  <c r="E519" i="35"/>
  <c r="C519" i="35"/>
  <c r="B519" i="35"/>
  <c r="A519" i="35"/>
  <c r="G518" i="35"/>
  <c r="E518" i="35"/>
  <c r="C518" i="35"/>
  <c r="B518" i="35"/>
  <c r="A518" i="35"/>
  <c r="G517" i="35"/>
  <c r="E517" i="35"/>
  <c r="C517" i="35"/>
  <c r="B517" i="35"/>
  <c r="A517" i="35"/>
  <c r="G516" i="35"/>
  <c r="E516" i="35"/>
  <c r="C516" i="35"/>
  <c r="B516" i="35"/>
  <c r="A516" i="35"/>
  <c r="G515" i="35"/>
  <c r="E515" i="35"/>
  <c r="C515" i="35"/>
  <c r="B515" i="35"/>
  <c r="A515" i="35"/>
  <c r="G514" i="35"/>
  <c r="E514" i="35"/>
  <c r="C514" i="35"/>
  <c r="B514" i="35"/>
  <c r="A514" i="35"/>
  <c r="G513" i="35"/>
  <c r="E513" i="35"/>
  <c r="C513" i="35"/>
  <c r="B513" i="35"/>
  <c r="A513" i="35"/>
  <c r="G512" i="35"/>
  <c r="E512" i="35"/>
  <c r="C512" i="35"/>
  <c r="B512" i="35"/>
  <c r="A512" i="35"/>
  <c r="G511" i="35"/>
  <c r="E511" i="35"/>
  <c r="C511" i="35"/>
  <c r="B511" i="35"/>
  <c r="A511" i="35"/>
  <c r="G510" i="35"/>
  <c r="E510" i="35"/>
  <c r="C510" i="35"/>
  <c r="B510" i="35"/>
  <c r="A510" i="35"/>
  <c r="G509" i="35"/>
  <c r="E509" i="35"/>
  <c r="C509" i="35"/>
  <c r="B509" i="35"/>
  <c r="A509" i="35"/>
  <c r="G508" i="35"/>
  <c r="E508" i="35"/>
  <c r="C508" i="35"/>
  <c r="B508" i="35"/>
  <c r="A508" i="35"/>
  <c r="G507" i="35"/>
  <c r="E507" i="35"/>
  <c r="C507" i="35"/>
  <c r="B507" i="35"/>
  <c r="A507" i="35"/>
  <c r="G506" i="35"/>
  <c r="E506" i="35"/>
  <c r="C506" i="35"/>
  <c r="B506" i="35"/>
  <c r="A506" i="35"/>
  <c r="G505" i="35"/>
  <c r="E505" i="35"/>
  <c r="C505" i="35"/>
  <c r="B505" i="35"/>
  <c r="A505" i="35"/>
  <c r="G504" i="35"/>
  <c r="E504" i="35"/>
  <c r="C504" i="35"/>
  <c r="B504" i="35"/>
  <c r="A504" i="35"/>
  <c r="G503" i="35"/>
  <c r="E503" i="35"/>
  <c r="C503" i="35"/>
  <c r="B503" i="35"/>
  <c r="A503" i="35"/>
  <c r="G502" i="35"/>
  <c r="E502" i="35"/>
  <c r="C502" i="35"/>
  <c r="B502" i="35"/>
  <c r="A502" i="35"/>
  <c r="G501" i="35"/>
  <c r="E501" i="35"/>
  <c r="C501" i="35"/>
  <c r="B501" i="35"/>
  <c r="A501" i="35"/>
  <c r="G500" i="35"/>
  <c r="E500" i="35"/>
  <c r="C500" i="35"/>
  <c r="B500" i="35"/>
  <c r="A500" i="35"/>
  <c r="G499" i="35"/>
  <c r="E499" i="35"/>
  <c r="C499" i="35"/>
  <c r="B499" i="35"/>
  <c r="A499" i="35"/>
  <c r="G498" i="35"/>
  <c r="E498" i="35"/>
  <c r="C498" i="35"/>
  <c r="B498" i="35"/>
  <c r="A498" i="35"/>
  <c r="G497" i="35"/>
  <c r="E497" i="35"/>
  <c r="C497" i="35"/>
  <c r="B497" i="35"/>
  <c r="A497" i="35"/>
  <c r="G496" i="35"/>
  <c r="E496" i="35"/>
  <c r="C496" i="35"/>
  <c r="B496" i="35"/>
  <c r="A496" i="35"/>
  <c r="G495" i="35"/>
  <c r="E495" i="35"/>
  <c r="C495" i="35"/>
  <c r="B495" i="35"/>
  <c r="A495" i="35"/>
  <c r="G494" i="35"/>
  <c r="E494" i="35"/>
  <c r="C494" i="35"/>
  <c r="B494" i="35"/>
  <c r="A494" i="35"/>
  <c r="G493" i="35"/>
  <c r="E493" i="35"/>
  <c r="C493" i="35"/>
  <c r="B493" i="35"/>
  <c r="A493" i="35"/>
  <c r="G492" i="35"/>
  <c r="E492" i="35"/>
  <c r="C492" i="35"/>
  <c r="B492" i="35"/>
  <c r="A492" i="35"/>
  <c r="G491" i="35"/>
  <c r="E491" i="35"/>
  <c r="C491" i="35"/>
  <c r="B491" i="35"/>
  <c r="A491" i="35"/>
  <c r="G490" i="35"/>
  <c r="E490" i="35"/>
  <c r="C490" i="35"/>
  <c r="B490" i="35"/>
  <c r="A490" i="35"/>
  <c r="G489" i="35"/>
  <c r="E489" i="35"/>
  <c r="C489" i="35"/>
  <c r="B489" i="35"/>
  <c r="A489" i="35"/>
  <c r="G488" i="35"/>
  <c r="E488" i="35"/>
  <c r="C488" i="35"/>
  <c r="B488" i="35"/>
  <c r="A488" i="35"/>
  <c r="G487" i="35"/>
  <c r="E487" i="35"/>
  <c r="C487" i="35"/>
  <c r="B487" i="35"/>
  <c r="A487" i="35"/>
  <c r="G486" i="35"/>
  <c r="E486" i="35"/>
  <c r="C486" i="35"/>
  <c r="B486" i="35"/>
  <c r="A486" i="35"/>
  <c r="G485" i="35"/>
  <c r="E485" i="35"/>
  <c r="C485" i="35"/>
  <c r="B485" i="35"/>
  <c r="A485" i="35"/>
  <c r="G484" i="35"/>
  <c r="E484" i="35"/>
  <c r="C484" i="35"/>
  <c r="B484" i="35"/>
  <c r="A484" i="35"/>
  <c r="G483" i="35"/>
  <c r="E483" i="35"/>
  <c r="C483" i="35"/>
  <c r="B483" i="35"/>
  <c r="A483" i="35"/>
  <c r="G482" i="35"/>
  <c r="E482" i="35"/>
  <c r="C482" i="35"/>
  <c r="B482" i="35"/>
  <c r="A482" i="35"/>
  <c r="G481" i="35"/>
  <c r="E481" i="35"/>
  <c r="C481" i="35"/>
  <c r="B481" i="35"/>
  <c r="A481" i="35"/>
  <c r="G480" i="35"/>
  <c r="E480" i="35"/>
  <c r="C480" i="35"/>
  <c r="B480" i="35"/>
  <c r="A480" i="35"/>
  <c r="G479" i="35"/>
  <c r="E479" i="35"/>
  <c r="C479" i="35"/>
  <c r="B479" i="35"/>
  <c r="A479" i="35"/>
  <c r="G478" i="35"/>
  <c r="E478" i="35"/>
  <c r="C478" i="35"/>
  <c r="B478" i="35"/>
  <c r="A478" i="35"/>
  <c r="G477" i="35"/>
  <c r="E477" i="35"/>
  <c r="C477" i="35"/>
  <c r="B477" i="35"/>
  <c r="A477" i="35"/>
  <c r="G476" i="35"/>
  <c r="E476" i="35"/>
  <c r="C476" i="35"/>
  <c r="B476" i="35"/>
  <c r="A476" i="35"/>
  <c r="G475" i="35"/>
  <c r="E475" i="35"/>
  <c r="C475" i="35"/>
  <c r="B475" i="35"/>
  <c r="A475" i="35"/>
  <c r="G474" i="35"/>
  <c r="E474" i="35"/>
  <c r="C474" i="35"/>
  <c r="B474" i="35"/>
  <c r="A474" i="35"/>
  <c r="G473" i="35"/>
  <c r="E473" i="35"/>
  <c r="C473" i="35"/>
  <c r="B473" i="35"/>
  <c r="A473" i="35"/>
  <c r="G472" i="35"/>
  <c r="E472" i="35"/>
  <c r="C472" i="35"/>
  <c r="B472" i="35"/>
  <c r="A472" i="35"/>
  <c r="G471" i="35"/>
  <c r="E471" i="35"/>
  <c r="C471" i="35"/>
  <c r="B471" i="35"/>
  <c r="A471" i="35"/>
  <c r="G470" i="35"/>
  <c r="E470" i="35"/>
  <c r="C470" i="35"/>
  <c r="B470" i="35"/>
  <c r="A470" i="35"/>
  <c r="G469" i="35"/>
  <c r="E469" i="35"/>
  <c r="C469" i="35"/>
  <c r="B469" i="35"/>
  <c r="A469" i="35"/>
  <c r="G468" i="35"/>
  <c r="E468" i="35"/>
  <c r="C468" i="35"/>
  <c r="B468" i="35"/>
  <c r="A468" i="35"/>
  <c r="G467" i="35"/>
  <c r="E467" i="35"/>
  <c r="C467" i="35"/>
  <c r="B467" i="35"/>
  <c r="A467" i="35"/>
  <c r="G466" i="35"/>
  <c r="E466" i="35"/>
  <c r="C466" i="35"/>
  <c r="B466" i="35"/>
  <c r="A466" i="35"/>
  <c r="G465" i="35"/>
  <c r="E465" i="35"/>
  <c r="C465" i="35"/>
  <c r="B465" i="35"/>
  <c r="A465" i="35"/>
  <c r="G464" i="35"/>
  <c r="E464" i="35"/>
  <c r="C464" i="35"/>
  <c r="B464" i="35"/>
  <c r="A464" i="35"/>
  <c r="G463" i="35"/>
  <c r="E463" i="35"/>
  <c r="C463" i="35"/>
  <c r="B463" i="35"/>
  <c r="A463" i="35"/>
  <c r="G462" i="35"/>
  <c r="E462" i="35"/>
  <c r="C462" i="35"/>
  <c r="B462" i="35"/>
  <c r="A462" i="35"/>
  <c r="G461" i="35"/>
  <c r="E461" i="35"/>
  <c r="C461" i="35"/>
  <c r="B461" i="35"/>
  <c r="A461" i="35"/>
  <c r="G460" i="35"/>
  <c r="E460" i="35"/>
  <c r="C460" i="35"/>
  <c r="B460" i="35"/>
  <c r="A460" i="35"/>
  <c r="G459" i="35"/>
  <c r="E459" i="35"/>
  <c r="C459" i="35"/>
  <c r="B459" i="35"/>
  <c r="A459" i="35"/>
  <c r="G458" i="35"/>
  <c r="E458" i="35"/>
  <c r="C458" i="35"/>
  <c r="B458" i="35"/>
  <c r="A458" i="35"/>
  <c r="G457" i="35"/>
  <c r="E457" i="35"/>
  <c r="C457" i="35"/>
  <c r="B457" i="35"/>
  <c r="A457" i="35"/>
  <c r="G456" i="35"/>
  <c r="E456" i="35"/>
  <c r="C456" i="35"/>
  <c r="B456" i="35"/>
  <c r="A456" i="35"/>
  <c r="G455" i="35"/>
  <c r="E455" i="35"/>
  <c r="C455" i="35"/>
  <c r="B455" i="35"/>
  <c r="A455" i="35"/>
  <c r="G454" i="35"/>
  <c r="E454" i="35"/>
  <c r="C454" i="35"/>
  <c r="B454" i="35"/>
  <c r="A454" i="35"/>
  <c r="G453" i="35"/>
  <c r="E453" i="35"/>
  <c r="C453" i="35"/>
  <c r="B453" i="35"/>
  <c r="A453" i="35"/>
  <c r="G452" i="35"/>
  <c r="E452" i="35"/>
  <c r="C452" i="35"/>
  <c r="B452" i="35"/>
  <c r="A452" i="35"/>
  <c r="G451" i="35"/>
  <c r="E451" i="35"/>
  <c r="C451" i="35"/>
  <c r="B451" i="35"/>
  <c r="A451" i="35"/>
  <c r="G450" i="35"/>
  <c r="E450" i="35"/>
  <c r="C450" i="35"/>
  <c r="B450" i="35"/>
  <c r="A450" i="35"/>
  <c r="G449" i="35"/>
  <c r="E449" i="35"/>
  <c r="C449" i="35"/>
  <c r="B449" i="35"/>
  <c r="A449" i="35"/>
  <c r="G448" i="35"/>
  <c r="E448" i="35"/>
  <c r="C448" i="35"/>
  <c r="B448" i="35"/>
  <c r="A448" i="35"/>
  <c r="G447" i="35"/>
  <c r="E447" i="35"/>
  <c r="C447" i="35"/>
  <c r="B447" i="35"/>
  <c r="A447" i="35"/>
  <c r="G446" i="35"/>
  <c r="E446" i="35"/>
  <c r="C446" i="35"/>
  <c r="B446" i="35"/>
  <c r="A446" i="35"/>
  <c r="G445" i="35"/>
  <c r="E445" i="35"/>
  <c r="C445" i="35"/>
  <c r="B445" i="35"/>
  <c r="A445" i="35"/>
  <c r="G444" i="35"/>
  <c r="E444" i="35"/>
  <c r="C444" i="35"/>
  <c r="B444" i="35"/>
  <c r="A444" i="35"/>
  <c r="G443" i="35"/>
  <c r="E443" i="35"/>
  <c r="C443" i="35"/>
  <c r="B443" i="35"/>
  <c r="A443" i="35"/>
  <c r="G442" i="35"/>
  <c r="E442" i="35"/>
  <c r="C442" i="35"/>
  <c r="B442" i="35"/>
  <c r="A442" i="35"/>
  <c r="G441" i="35"/>
  <c r="E441" i="35"/>
  <c r="C441" i="35"/>
  <c r="B441" i="35"/>
  <c r="A441" i="35"/>
  <c r="G440" i="35"/>
  <c r="E440" i="35"/>
  <c r="C440" i="35"/>
  <c r="B440" i="35"/>
  <c r="A440" i="35"/>
  <c r="G439" i="35"/>
  <c r="E439" i="35"/>
  <c r="C439" i="35"/>
  <c r="B439" i="35"/>
  <c r="A439" i="35"/>
  <c r="G438" i="35"/>
  <c r="E438" i="35"/>
  <c r="C438" i="35"/>
  <c r="B438" i="35"/>
  <c r="A438" i="35"/>
  <c r="G437" i="35"/>
  <c r="E437" i="35"/>
  <c r="C437" i="35"/>
  <c r="B437" i="35"/>
  <c r="A437" i="35"/>
  <c r="G436" i="35"/>
  <c r="E436" i="35"/>
  <c r="C436" i="35"/>
  <c r="B436" i="35"/>
  <c r="A436" i="35"/>
  <c r="G435" i="35"/>
  <c r="E435" i="35"/>
  <c r="C435" i="35"/>
  <c r="B435" i="35"/>
  <c r="A435" i="35"/>
  <c r="G434" i="35"/>
  <c r="E434" i="35"/>
  <c r="C434" i="35"/>
  <c r="B434" i="35"/>
  <c r="A434" i="35"/>
  <c r="G433" i="35"/>
  <c r="E433" i="35"/>
  <c r="C433" i="35"/>
  <c r="B433" i="35"/>
  <c r="A433" i="35"/>
  <c r="G432" i="35"/>
  <c r="E432" i="35"/>
  <c r="C432" i="35"/>
  <c r="B432" i="35"/>
  <c r="A432" i="35"/>
  <c r="E431" i="35"/>
  <c r="C431" i="35"/>
  <c r="B431" i="35"/>
  <c r="A431" i="35"/>
  <c r="G430" i="35"/>
  <c r="C430" i="35"/>
  <c r="B430" i="35"/>
  <c r="A430" i="35"/>
  <c r="G429" i="35"/>
  <c r="E429" i="35"/>
  <c r="C429" i="35"/>
  <c r="B429" i="35"/>
  <c r="A429" i="35"/>
  <c r="G428" i="35"/>
  <c r="E428" i="35"/>
  <c r="C428" i="35"/>
  <c r="B428" i="35"/>
  <c r="A428" i="35"/>
  <c r="G427" i="35"/>
  <c r="E427" i="35"/>
  <c r="C427" i="35"/>
  <c r="B427" i="35"/>
  <c r="A427" i="35"/>
  <c r="G426" i="35"/>
  <c r="C426" i="35"/>
  <c r="B426" i="35"/>
  <c r="A426" i="35"/>
  <c r="G425" i="35"/>
  <c r="C425" i="35"/>
  <c r="B425" i="35"/>
  <c r="A425" i="35"/>
  <c r="G424" i="35"/>
  <c r="E424" i="35"/>
  <c r="C424" i="35"/>
  <c r="B424" i="35"/>
  <c r="A424" i="35"/>
  <c r="G423" i="35"/>
  <c r="E423" i="35"/>
  <c r="C423" i="35"/>
  <c r="B423" i="35"/>
  <c r="A423" i="35"/>
  <c r="G422" i="35"/>
  <c r="E422" i="35"/>
  <c r="C422" i="35"/>
  <c r="B422" i="35"/>
  <c r="A422" i="35"/>
  <c r="G421" i="35"/>
  <c r="E421" i="35"/>
  <c r="C421" i="35"/>
  <c r="B421" i="35"/>
  <c r="A421" i="35"/>
  <c r="G420" i="35"/>
  <c r="E420" i="35"/>
  <c r="C420" i="35"/>
  <c r="B420" i="35"/>
  <c r="A420" i="35"/>
  <c r="G419" i="35"/>
  <c r="E419" i="35"/>
  <c r="C419" i="35"/>
  <c r="B419" i="35"/>
  <c r="A419" i="35"/>
  <c r="G418" i="35"/>
  <c r="E418" i="35"/>
  <c r="C418" i="35"/>
  <c r="B418" i="35"/>
  <c r="A418" i="35"/>
  <c r="G417" i="35"/>
  <c r="E417" i="35"/>
  <c r="C417" i="35"/>
  <c r="B417" i="35"/>
  <c r="A417" i="35"/>
  <c r="G416" i="35"/>
  <c r="E416" i="35"/>
  <c r="C416" i="35"/>
  <c r="B416" i="35"/>
  <c r="A416" i="35"/>
  <c r="G415" i="35"/>
  <c r="E415" i="35"/>
  <c r="C415" i="35"/>
  <c r="B415" i="35"/>
  <c r="A415" i="35"/>
  <c r="G414" i="35"/>
  <c r="E414" i="35"/>
  <c r="C414" i="35"/>
  <c r="B414" i="35"/>
  <c r="A414" i="35"/>
  <c r="G413" i="35"/>
  <c r="E413" i="35"/>
  <c r="C413" i="35"/>
  <c r="B413" i="35"/>
  <c r="A413" i="35"/>
  <c r="G412" i="35"/>
  <c r="E412" i="35"/>
  <c r="C412" i="35"/>
  <c r="B412" i="35"/>
  <c r="A412" i="35"/>
  <c r="G411" i="35"/>
  <c r="E411" i="35"/>
  <c r="C411" i="35"/>
  <c r="B411" i="35"/>
  <c r="A411" i="35"/>
  <c r="G410" i="35"/>
  <c r="E410" i="35"/>
  <c r="C410" i="35"/>
  <c r="B410" i="35"/>
  <c r="A410" i="35"/>
  <c r="G409" i="35"/>
  <c r="E409" i="35"/>
  <c r="C409" i="35"/>
  <c r="B409" i="35"/>
  <c r="A409" i="35"/>
  <c r="G408" i="35"/>
  <c r="E408" i="35"/>
  <c r="C408" i="35"/>
  <c r="B408" i="35"/>
  <c r="A408" i="35"/>
  <c r="G407" i="35"/>
  <c r="E407" i="35"/>
  <c r="C407" i="35"/>
  <c r="B407" i="35"/>
  <c r="A407" i="35"/>
  <c r="G406" i="35"/>
  <c r="E406" i="35"/>
  <c r="C406" i="35"/>
  <c r="B406" i="35"/>
  <c r="A406" i="35"/>
  <c r="G405" i="35"/>
  <c r="E405" i="35"/>
  <c r="C405" i="35"/>
  <c r="B405" i="35"/>
  <c r="A405" i="35"/>
  <c r="G404" i="35"/>
  <c r="E404" i="35"/>
  <c r="C404" i="35"/>
  <c r="B404" i="35"/>
  <c r="A404" i="35"/>
  <c r="G403" i="35"/>
  <c r="E403" i="35"/>
  <c r="C403" i="35"/>
  <c r="B403" i="35"/>
  <c r="A403" i="35"/>
  <c r="G402" i="35"/>
  <c r="E402" i="35"/>
  <c r="C402" i="35"/>
  <c r="B402" i="35"/>
  <c r="A402" i="35"/>
  <c r="G401" i="35"/>
  <c r="E401" i="35"/>
  <c r="C401" i="35"/>
  <c r="B401" i="35"/>
  <c r="A401" i="35"/>
  <c r="G400" i="35"/>
  <c r="E400" i="35"/>
  <c r="C400" i="35"/>
  <c r="B400" i="35"/>
  <c r="A400" i="35"/>
  <c r="G399" i="35"/>
  <c r="E399" i="35"/>
  <c r="C399" i="35"/>
  <c r="B399" i="35"/>
  <c r="A399" i="35"/>
  <c r="G398" i="35"/>
  <c r="E398" i="35"/>
  <c r="C398" i="35"/>
  <c r="B398" i="35"/>
  <c r="A398" i="35"/>
  <c r="G397" i="35"/>
  <c r="E397" i="35"/>
  <c r="C397" i="35"/>
  <c r="B397" i="35"/>
  <c r="A397" i="35"/>
  <c r="G396" i="35"/>
  <c r="E396" i="35"/>
  <c r="C396" i="35"/>
  <c r="B396" i="35"/>
  <c r="A396" i="35"/>
  <c r="G395" i="35"/>
  <c r="E395" i="35"/>
  <c r="C395" i="35"/>
  <c r="B395" i="35"/>
  <c r="A395" i="35"/>
  <c r="G394" i="35"/>
  <c r="E394" i="35"/>
  <c r="C394" i="35"/>
  <c r="B394" i="35"/>
  <c r="A394" i="35"/>
  <c r="G393" i="35"/>
  <c r="E393" i="35"/>
  <c r="C393" i="35"/>
  <c r="B393" i="35"/>
  <c r="A393" i="35"/>
  <c r="G392" i="35"/>
  <c r="E392" i="35"/>
  <c r="C392" i="35"/>
  <c r="B392" i="35"/>
  <c r="A392" i="35"/>
  <c r="G391" i="35"/>
  <c r="E391" i="35"/>
  <c r="C391" i="35"/>
  <c r="B391" i="35"/>
  <c r="A391" i="35"/>
  <c r="G390" i="35"/>
  <c r="E390" i="35"/>
  <c r="C390" i="35"/>
  <c r="B390" i="35"/>
  <c r="A390" i="35"/>
  <c r="G389" i="35"/>
  <c r="E389" i="35"/>
  <c r="C389" i="35"/>
  <c r="B389" i="35"/>
  <c r="A389" i="35"/>
  <c r="G388" i="35"/>
  <c r="E388" i="35"/>
  <c r="C388" i="35"/>
  <c r="B388" i="35"/>
  <c r="A388" i="35"/>
  <c r="G387" i="35"/>
  <c r="E387" i="35"/>
  <c r="C387" i="35"/>
  <c r="B387" i="35"/>
  <c r="A387" i="35"/>
  <c r="G386" i="35"/>
  <c r="E386" i="35"/>
  <c r="C386" i="35"/>
  <c r="B386" i="35"/>
  <c r="A386" i="35"/>
  <c r="G385" i="35"/>
  <c r="E385" i="35"/>
  <c r="C385" i="35"/>
  <c r="B385" i="35"/>
  <c r="A385" i="35"/>
  <c r="G384" i="35"/>
  <c r="E384" i="35"/>
  <c r="C384" i="35"/>
  <c r="B384" i="35"/>
  <c r="A384" i="35"/>
  <c r="G383" i="35"/>
  <c r="E383" i="35"/>
  <c r="C383" i="35"/>
  <c r="B383" i="35"/>
  <c r="A383" i="35"/>
  <c r="G382" i="35"/>
  <c r="E382" i="35"/>
  <c r="C382" i="35"/>
  <c r="B382" i="35"/>
  <c r="A382" i="35"/>
  <c r="G381" i="35"/>
  <c r="E381" i="35"/>
  <c r="C381" i="35"/>
  <c r="B381" i="35"/>
  <c r="A381" i="35"/>
  <c r="G380" i="35"/>
  <c r="E380" i="35"/>
  <c r="C380" i="35"/>
  <c r="B380" i="35"/>
  <c r="A380" i="35"/>
  <c r="G379" i="35"/>
  <c r="E379" i="35"/>
  <c r="C379" i="35"/>
  <c r="B379" i="35"/>
  <c r="A379" i="35"/>
  <c r="G378" i="35"/>
  <c r="E378" i="35"/>
  <c r="C378" i="35"/>
  <c r="B378" i="35"/>
  <c r="A378" i="35"/>
  <c r="G377" i="35"/>
  <c r="E377" i="35"/>
  <c r="C377" i="35"/>
  <c r="B377" i="35"/>
  <c r="A377" i="35"/>
  <c r="G376" i="35"/>
  <c r="E376" i="35"/>
  <c r="C376" i="35"/>
  <c r="B376" i="35"/>
  <c r="A376" i="35"/>
  <c r="G375" i="35"/>
  <c r="E375" i="35"/>
  <c r="C375" i="35"/>
  <c r="B375" i="35"/>
  <c r="A375" i="35"/>
  <c r="G374" i="35"/>
  <c r="E374" i="35"/>
  <c r="C374" i="35"/>
  <c r="B374" i="35"/>
  <c r="A374" i="35"/>
  <c r="G373" i="35"/>
  <c r="E373" i="35"/>
  <c r="C373" i="35"/>
  <c r="B373" i="35"/>
  <c r="A373" i="35"/>
  <c r="G372" i="35"/>
  <c r="E372" i="35"/>
  <c r="C372" i="35"/>
  <c r="B372" i="35"/>
  <c r="A372" i="35"/>
  <c r="G371" i="35"/>
  <c r="E371" i="35"/>
  <c r="C371" i="35"/>
  <c r="B371" i="35"/>
  <c r="A371" i="35"/>
  <c r="G370" i="35"/>
  <c r="E370" i="35"/>
  <c r="C370" i="35"/>
  <c r="B370" i="35"/>
  <c r="A370" i="35"/>
  <c r="G369" i="35"/>
  <c r="E369" i="35"/>
  <c r="C369" i="35"/>
  <c r="B369" i="35"/>
  <c r="A369" i="35"/>
  <c r="G368" i="35"/>
  <c r="E368" i="35"/>
  <c r="C368" i="35"/>
  <c r="B368" i="35"/>
  <c r="A368" i="35"/>
  <c r="G367" i="35"/>
  <c r="E367" i="35"/>
  <c r="C367" i="35"/>
  <c r="B367" i="35"/>
  <c r="A367" i="35"/>
  <c r="G366" i="35"/>
  <c r="E366" i="35"/>
  <c r="C366" i="35"/>
  <c r="B366" i="35"/>
  <c r="A366" i="35"/>
  <c r="G365" i="35"/>
  <c r="E365" i="35"/>
  <c r="C365" i="35"/>
  <c r="B365" i="35"/>
  <c r="A365" i="35"/>
  <c r="G364" i="35"/>
  <c r="E364" i="35"/>
  <c r="C364" i="35"/>
  <c r="B364" i="35"/>
  <c r="A364" i="35"/>
  <c r="G363" i="35"/>
  <c r="E363" i="35"/>
  <c r="C363" i="35"/>
  <c r="B363" i="35"/>
  <c r="A363" i="35"/>
  <c r="G362" i="35"/>
  <c r="E362" i="35"/>
  <c r="C362" i="35"/>
  <c r="B362" i="35"/>
  <c r="A362" i="35"/>
  <c r="G361" i="35"/>
  <c r="E361" i="35"/>
  <c r="C361" i="35"/>
  <c r="B361" i="35"/>
  <c r="A361" i="35"/>
  <c r="G360" i="35"/>
  <c r="E360" i="35"/>
  <c r="C360" i="35"/>
  <c r="B360" i="35"/>
  <c r="A360" i="35"/>
  <c r="G359" i="35"/>
  <c r="E359" i="35"/>
  <c r="C359" i="35"/>
  <c r="B359" i="35"/>
  <c r="A359" i="35"/>
  <c r="G358" i="35"/>
  <c r="E358" i="35"/>
  <c r="C358" i="35"/>
  <c r="B358" i="35"/>
  <c r="A358" i="35"/>
  <c r="G357" i="35"/>
  <c r="E357" i="35"/>
  <c r="C357" i="35"/>
  <c r="B357" i="35"/>
  <c r="A357" i="35"/>
  <c r="G356" i="35"/>
  <c r="E356" i="35"/>
  <c r="C356" i="35"/>
  <c r="B356" i="35"/>
  <c r="A356" i="35"/>
  <c r="G355" i="35"/>
  <c r="E355" i="35"/>
  <c r="C355" i="35"/>
  <c r="B355" i="35"/>
  <c r="A355" i="35"/>
  <c r="G354" i="35"/>
  <c r="E354" i="35"/>
  <c r="C354" i="35"/>
  <c r="B354" i="35"/>
  <c r="A354" i="35"/>
  <c r="G353" i="35"/>
  <c r="E353" i="35"/>
  <c r="C353" i="35"/>
  <c r="B353" i="35"/>
  <c r="A353" i="35"/>
  <c r="G352" i="35"/>
  <c r="E352" i="35"/>
  <c r="C352" i="35"/>
  <c r="B352" i="35"/>
  <c r="A352" i="35"/>
  <c r="G351" i="35"/>
  <c r="E351" i="35"/>
  <c r="C351" i="35"/>
  <c r="B351" i="35"/>
  <c r="A351" i="35"/>
  <c r="G350" i="35"/>
  <c r="E350" i="35"/>
  <c r="C350" i="35"/>
  <c r="B350" i="35"/>
  <c r="A350" i="35"/>
  <c r="G349" i="35"/>
  <c r="E349" i="35"/>
  <c r="C349" i="35"/>
  <c r="B349" i="35"/>
  <c r="A349" i="35"/>
  <c r="G348" i="35"/>
  <c r="E348" i="35"/>
  <c r="C348" i="35"/>
  <c r="B348" i="35"/>
  <c r="A348" i="35"/>
  <c r="G347" i="35"/>
  <c r="E347" i="35"/>
  <c r="C347" i="35"/>
  <c r="B347" i="35"/>
  <c r="A347" i="35"/>
  <c r="G346" i="35"/>
  <c r="E346" i="35"/>
  <c r="C346" i="35"/>
  <c r="B346" i="35"/>
  <c r="A346" i="35"/>
  <c r="G345" i="35"/>
  <c r="E345" i="35"/>
  <c r="C345" i="35"/>
  <c r="B345" i="35"/>
  <c r="A345" i="35"/>
  <c r="G344" i="35"/>
  <c r="E344" i="35"/>
  <c r="C344" i="35"/>
  <c r="B344" i="35"/>
  <c r="A344" i="35"/>
  <c r="G343" i="35"/>
  <c r="E343" i="35"/>
  <c r="C343" i="35"/>
  <c r="B343" i="35"/>
  <c r="A343" i="35"/>
  <c r="G342" i="35"/>
  <c r="E342" i="35"/>
  <c r="C342" i="35"/>
  <c r="B342" i="35"/>
  <c r="A342" i="35"/>
  <c r="G341" i="35"/>
  <c r="E341" i="35"/>
  <c r="C341" i="35"/>
  <c r="B341" i="35"/>
  <c r="A341" i="35"/>
  <c r="G340" i="35"/>
  <c r="E340" i="35"/>
  <c r="C340" i="35"/>
  <c r="B340" i="35"/>
  <c r="A340" i="35"/>
  <c r="G339" i="35"/>
  <c r="E339" i="35"/>
  <c r="C339" i="35"/>
  <c r="B339" i="35"/>
  <c r="A339" i="35"/>
  <c r="G338" i="35"/>
  <c r="E338" i="35"/>
  <c r="C338" i="35"/>
  <c r="B338" i="35"/>
  <c r="A338" i="35"/>
  <c r="G337" i="35"/>
  <c r="E337" i="35"/>
  <c r="C337" i="35"/>
  <c r="B337" i="35"/>
  <c r="A337" i="35"/>
  <c r="G336" i="35"/>
  <c r="E336" i="35"/>
  <c r="C336" i="35"/>
  <c r="B336" i="35"/>
  <c r="A336" i="35"/>
  <c r="G335" i="35"/>
  <c r="E335" i="35"/>
  <c r="C335" i="35"/>
  <c r="B335" i="35"/>
  <c r="A335" i="35"/>
  <c r="G334" i="35"/>
  <c r="E334" i="35"/>
  <c r="C334" i="35"/>
  <c r="B334" i="35"/>
  <c r="A334" i="35"/>
  <c r="G333" i="35"/>
  <c r="E333" i="35"/>
  <c r="C333" i="35"/>
  <c r="B333" i="35"/>
  <c r="A333" i="35"/>
  <c r="G332" i="35"/>
  <c r="E332" i="35"/>
  <c r="C332" i="35"/>
  <c r="B332" i="35"/>
  <c r="A332" i="35"/>
  <c r="G331" i="35"/>
  <c r="E331" i="35"/>
  <c r="C331" i="35"/>
  <c r="B331" i="35"/>
  <c r="A331" i="35"/>
  <c r="G330" i="35"/>
  <c r="E330" i="35"/>
  <c r="C330" i="35"/>
  <c r="B330" i="35"/>
  <c r="A330" i="35"/>
  <c r="G329" i="35"/>
  <c r="E329" i="35"/>
  <c r="C329" i="35"/>
  <c r="B329" i="35"/>
  <c r="A329" i="35"/>
  <c r="G328" i="35"/>
  <c r="E328" i="35"/>
  <c r="C328" i="35"/>
  <c r="B328" i="35"/>
  <c r="A328" i="35"/>
  <c r="G327" i="35"/>
  <c r="E327" i="35"/>
  <c r="C327" i="35"/>
  <c r="B327" i="35"/>
  <c r="A327" i="35"/>
  <c r="G326" i="35"/>
  <c r="E326" i="35"/>
  <c r="C326" i="35"/>
  <c r="B326" i="35"/>
  <c r="A326" i="35"/>
  <c r="G325" i="35"/>
  <c r="E325" i="35"/>
  <c r="C325" i="35"/>
  <c r="B325" i="35"/>
  <c r="A325" i="35"/>
  <c r="G324" i="35"/>
  <c r="E324" i="35"/>
  <c r="C324" i="35"/>
  <c r="B324" i="35"/>
  <c r="A324" i="35"/>
  <c r="G323" i="35"/>
  <c r="E323" i="35"/>
  <c r="C323" i="35"/>
  <c r="B323" i="35"/>
  <c r="A323" i="35"/>
  <c r="G322" i="35"/>
  <c r="E322" i="35"/>
  <c r="C322" i="35"/>
  <c r="B322" i="35"/>
  <c r="A322" i="35"/>
  <c r="G321" i="35"/>
  <c r="E321" i="35"/>
  <c r="C321" i="35"/>
  <c r="B321" i="35"/>
  <c r="A321" i="35"/>
  <c r="G320" i="35"/>
  <c r="E320" i="35"/>
  <c r="C320" i="35"/>
  <c r="B320" i="35"/>
  <c r="A320" i="35"/>
  <c r="G319" i="35"/>
  <c r="E319" i="35"/>
  <c r="C319" i="35"/>
  <c r="B319" i="35"/>
  <c r="A319" i="35"/>
  <c r="G318" i="35"/>
  <c r="E318" i="35"/>
  <c r="C318" i="35"/>
  <c r="B318" i="35"/>
  <c r="A318" i="35"/>
  <c r="G317" i="35"/>
  <c r="E317" i="35"/>
  <c r="C317" i="35"/>
  <c r="B317" i="35"/>
  <c r="A317" i="35"/>
  <c r="G316" i="35"/>
  <c r="E316" i="35"/>
  <c r="C316" i="35"/>
  <c r="B316" i="35"/>
  <c r="A316" i="35"/>
  <c r="G315" i="35"/>
  <c r="E315" i="35"/>
  <c r="C315" i="35"/>
  <c r="B315" i="35"/>
  <c r="A315" i="35"/>
  <c r="G314" i="35"/>
  <c r="E314" i="35"/>
  <c r="C314" i="35"/>
  <c r="B314" i="35"/>
  <c r="A314" i="35"/>
  <c r="G313" i="35"/>
  <c r="E313" i="35"/>
  <c r="C313" i="35"/>
  <c r="B313" i="35"/>
  <c r="A313" i="35"/>
  <c r="G312" i="35"/>
  <c r="E312" i="35"/>
  <c r="C312" i="35"/>
  <c r="B312" i="35"/>
  <c r="A312" i="35"/>
  <c r="G311" i="35"/>
  <c r="E311" i="35"/>
  <c r="C311" i="35"/>
  <c r="B311" i="35"/>
  <c r="A311" i="35"/>
  <c r="G310" i="35"/>
  <c r="E310" i="35"/>
  <c r="C310" i="35"/>
  <c r="B310" i="35"/>
  <c r="A310" i="35"/>
  <c r="G309" i="35"/>
  <c r="E309" i="35"/>
  <c r="C309" i="35"/>
  <c r="B309" i="35"/>
  <c r="A309" i="35"/>
  <c r="G308" i="35"/>
  <c r="E308" i="35"/>
  <c r="C308" i="35"/>
  <c r="B308" i="35"/>
  <c r="A308" i="35"/>
  <c r="G307" i="35"/>
  <c r="E307" i="35"/>
  <c r="C307" i="35"/>
  <c r="B307" i="35"/>
  <c r="A307" i="35"/>
  <c r="G306" i="35"/>
  <c r="E306" i="35"/>
  <c r="C306" i="35"/>
  <c r="B306" i="35"/>
  <c r="A306" i="35"/>
  <c r="G305" i="35"/>
  <c r="E305" i="35"/>
  <c r="C305" i="35"/>
  <c r="B305" i="35"/>
  <c r="A305" i="35"/>
  <c r="G304" i="35"/>
  <c r="E304" i="35"/>
  <c r="C304" i="35"/>
  <c r="B304" i="35"/>
  <c r="A304" i="35"/>
  <c r="G303" i="35"/>
  <c r="E303" i="35"/>
  <c r="C303" i="35"/>
  <c r="B303" i="35"/>
  <c r="A303" i="35"/>
  <c r="G302" i="35"/>
  <c r="E302" i="35"/>
  <c r="C302" i="35"/>
  <c r="B302" i="35"/>
  <c r="A302" i="35"/>
  <c r="E301" i="35"/>
  <c r="C301" i="35"/>
  <c r="B301" i="35"/>
  <c r="A301" i="35"/>
  <c r="G300" i="35"/>
  <c r="E300" i="35"/>
  <c r="C300" i="35"/>
  <c r="B300" i="35"/>
  <c r="A300" i="35"/>
  <c r="G299" i="35"/>
  <c r="E299" i="35"/>
  <c r="C299" i="35"/>
  <c r="B299" i="35"/>
  <c r="A299" i="35"/>
  <c r="G298" i="35"/>
  <c r="E298" i="35"/>
  <c r="C298" i="35"/>
  <c r="B298" i="35"/>
  <c r="A298" i="35"/>
  <c r="G297" i="35"/>
  <c r="E297" i="35"/>
  <c r="C297" i="35"/>
  <c r="B297" i="35"/>
  <c r="A297" i="35"/>
  <c r="G296" i="35"/>
  <c r="E296" i="35"/>
  <c r="C296" i="35"/>
  <c r="B296" i="35"/>
  <c r="A296" i="35"/>
  <c r="G295" i="35"/>
  <c r="E295" i="35"/>
  <c r="C295" i="35"/>
  <c r="B295" i="35"/>
  <c r="A295" i="35"/>
  <c r="G294" i="35"/>
  <c r="E294" i="35"/>
  <c r="C294" i="35"/>
  <c r="B294" i="35"/>
  <c r="A294" i="35"/>
  <c r="G293" i="35"/>
  <c r="E293" i="35"/>
  <c r="C293" i="35"/>
  <c r="B293" i="35"/>
  <c r="A293" i="35"/>
  <c r="G292" i="35"/>
  <c r="E292" i="35"/>
  <c r="C292" i="35"/>
  <c r="B292" i="35"/>
  <c r="A292" i="35"/>
  <c r="G291" i="35"/>
  <c r="E291" i="35"/>
  <c r="C291" i="35"/>
  <c r="B291" i="35"/>
  <c r="A291" i="35"/>
  <c r="G290" i="35"/>
  <c r="E290" i="35"/>
  <c r="C290" i="35"/>
  <c r="B290" i="35"/>
  <c r="A290" i="35"/>
  <c r="G289" i="35"/>
  <c r="E289" i="35"/>
  <c r="C289" i="35"/>
  <c r="B289" i="35"/>
  <c r="A289" i="35"/>
  <c r="G288" i="35"/>
  <c r="E288" i="35"/>
  <c r="C288" i="35"/>
  <c r="B288" i="35"/>
  <c r="A288" i="35"/>
  <c r="G287" i="35"/>
  <c r="E287" i="35"/>
  <c r="C287" i="35"/>
  <c r="B287" i="35"/>
  <c r="A287" i="35"/>
  <c r="G286" i="35"/>
  <c r="E286" i="35"/>
  <c r="C286" i="35"/>
  <c r="B286" i="35"/>
  <c r="A286" i="35"/>
  <c r="G285" i="35"/>
  <c r="E285" i="35"/>
  <c r="C285" i="35"/>
  <c r="B285" i="35"/>
  <c r="A285" i="35"/>
  <c r="G284" i="35"/>
  <c r="E284" i="35"/>
  <c r="C284" i="35"/>
  <c r="B284" i="35"/>
  <c r="A284" i="35"/>
  <c r="G283" i="35"/>
  <c r="E283" i="35"/>
  <c r="C283" i="35"/>
  <c r="B283" i="35"/>
  <c r="A283" i="35"/>
  <c r="G282" i="35"/>
  <c r="E282" i="35"/>
  <c r="C282" i="35"/>
  <c r="B282" i="35"/>
  <c r="A282" i="35"/>
  <c r="G281" i="35"/>
  <c r="E281" i="35"/>
  <c r="C281" i="35"/>
  <c r="B281" i="35"/>
  <c r="A281" i="35"/>
  <c r="G280" i="35"/>
  <c r="E280" i="35"/>
  <c r="C280" i="35"/>
  <c r="B280" i="35"/>
  <c r="A280" i="35"/>
  <c r="G279" i="35"/>
  <c r="E279" i="35"/>
  <c r="C279" i="35"/>
  <c r="B279" i="35"/>
  <c r="A279" i="35"/>
  <c r="G278" i="35"/>
  <c r="E278" i="35"/>
  <c r="C278" i="35"/>
  <c r="B278" i="35"/>
  <c r="A278" i="35"/>
  <c r="G277" i="35"/>
  <c r="E277" i="35"/>
  <c r="C277" i="35"/>
  <c r="B277" i="35"/>
  <c r="A277" i="35"/>
  <c r="G276" i="35"/>
  <c r="E276" i="35"/>
  <c r="C276" i="35"/>
  <c r="B276" i="35"/>
  <c r="A276" i="35"/>
  <c r="G275" i="35"/>
  <c r="E275" i="35"/>
  <c r="C275" i="35"/>
  <c r="B275" i="35"/>
  <c r="A275" i="35"/>
  <c r="G274" i="35"/>
  <c r="E274" i="35"/>
  <c r="C274" i="35"/>
  <c r="B274" i="35"/>
  <c r="A274" i="35"/>
  <c r="G273" i="35"/>
  <c r="E273" i="35"/>
  <c r="C273" i="35"/>
  <c r="B273" i="35"/>
  <c r="A273" i="35"/>
  <c r="G272" i="35"/>
  <c r="E272" i="35"/>
  <c r="C272" i="35"/>
  <c r="B272" i="35"/>
  <c r="A272" i="35"/>
  <c r="G271" i="35"/>
  <c r="E271" i="35"/>
  <c r="C271" i="35"/>
  <c r="B271" i="35"/>
  <c r="A271" i="35"/>
  <c r="G270" i="35"/>
  <c r="E270" i="35"/>
  <c r="C270" i="35"/>
  <c r="B270" i="35"/>
  <c r="A270" i="35"/>
  <c r="G269" i="35"/>
  <c r="E269" i="35"/>
  <c r="C269" i="35"/>
  <c r="B269" i="35"/>
  <c r="A269" i="35"/>
  <c r="G268" i="35"/>
  <c r="E268" i="35"/>
  <c r="C268" i="35"/>
  <c r="B268" i="35"/>
  <c r="A268" i="35"/>
  <c r="G267" i="35"/>
  <c r="E267" i="35"/>
  <c r="C267" i="35"/>
  <c r="B267" i="35"/>
  <c r="A267" i="35"/>
  <c r="G266" i="35"/>
  <c r="E266" i="35"/>
  <c r="C266" i="35"/>
  <c r="B266" i="35"/>
  <c r="A266" i="35"/>
  <c r="G265" i="35"/>
  <c r="E265" i="35"/>
  <c r="C265" i="35"/>
  <c r="B265" i="35"/>
  <c r="A265" i="35"/>
  <c r="G264" i="35"/>
  <c r="E264" i="35"/>
  <c r="C264" i="35"/>
  <c r="B264" i="35"/>
  <c r="A264" i="35"/>
  <c r="G263" i="35"/>
  <c r="E263" i="35"/>
  <c r="C263" i="35"/>
  <c r="B263" i="35"/>
  <c r="A263" i="35"/>
  <c r="G262" i="35"/>
  <c r="E262" i="35"/>
  <c r="C262" i="35"/>
  <c r="B262" i="35"/>
  <c r="A262" i="35"/>
  <c r="G261" i="35"/>
  <c r="E261" i="35"/>
  <c r="C261" i="35"/>
  <c r="B261" i="35"/>
  <c r="A261" i="35"/>
  <c r="G260" i="35"/>
  <c r="E260" i="35"/>
  <c r="C260" i="35"/>
  <c r="B260" i="35"/>
  <c r="A260" i="35"/>
  <c r="G259" i="35"/>
  <c r="E259" i="35"/>
  <c r="C259" i="35"/>
  <c r="B259" i="35"/>
  <c r="A259" i="35"/>
  <c r="G258" i="35"/>
  <c r="E258" i="35"/>
  <c r="C258" i="35"/>
  <c r="B258" i="35"/>
  <c r="A258" i="35"/>
  <c r="G257" i="35"/>
  <c r="E257" i="35"/>
  <c r="C257" i="35"/>
  <c r="B257" i="35"/>
  <c r="A257" i="35"/>
  <c r="G256" i="35"/>
  <c r="E256" i="35"/>
  <c r="C256" i="35"/>
  <c r="B256" i="35"/>
  <c r="A256" i="35"/>
  <c r="G255" i="35"/>
  <c r="E255" i="35"/>
  <c r="C255" i="35"/>
  <c r="B255" i="35"/>
  <c r="A255" i="35"/>
  <c r="G254" i="35"/>
  <c r="E254" i="35"/>
  <c r="C254" i="35"/>
  <c r="B254" i="35"/>
  <c r="A254" i="35"/>
  <c r="G253" i="35"/>
  <c r="E253" i="35"/>
  <c r="C253" i="35"/>
  <c r="B253" i="35"/>
  <c r="A253" i="35"/>
  <c r="G252" i="35"/>
  <c r="E252" i="35"/>
  <c r="C252" i="35"/>
  <c r="B252" i="35"/>
  <c r="A252" i="35"/>
  <c r="G251" i="35"/>
  <c r="E251" i="35"/>
  <c r="C251" i="35"/>
  <c r="B251" i="35"/>
  <c r="A251" i="35"/>
  <c r="G250" i="35"/>
  <c r="E250" i="35"/>
  <c r="C250" i="35"/>
  <c r="B250" i="35"/>
  <c r="A250" i="35"/>
  <c r="G249" i="35"/>
  <c r="E249" i="35"/>
  <c r="C249" i="35"/>
  <c r="B249" i="35"/>
  <c r="A249" i="35"/>
  <c r="G248" i="35"/>
  <c r="E248" i="35"/>
  <c r="C248" i="35"/>
  <c r="B248" i="35"/>
  <c r="A248" i="35"/>
  <c r="G247" i="35"/>
  <c r="E247" i="35"/>
  <c r="C247" i="35"/>
  <c r="B247" i="35"/>
  <c r="A247" i="35"/>
  <c r="G246" i="35"/>
  <c r="E246" i="35"/>
  <c r="C246" i="35"/>
  <c r="B246" i="35"/>
  <c r="A246" i="35"/>
  <c r="G245" i="35"/>
  <c r="E245" i="35"/>
  <c r="C245" i="35"/>
  <c r="B245" i="35"/>
  <c r="A245" i="35"/>
  <c r="G244" i="35"/>
  <c r="E244" i="35"/>
  <c r="C244" i="35"/>
  <c r="B244" i="35"/>
  <c r="A244" i="35"/>
  <c r="G243" i="35"/>
  <c r="E243" i="35"/>
  <c r="C243" i="35"/>
  <c r="B243" i="35"/>
  <c r="A243" i="35"/>
  <c r="G242" i="35"/>
  <c r="E242" i="35"/>
  <c r="C242" i="35"/>
  <c r="B242" i="35"/>
  <c r="A242" i="35"/>
  <c r="G241" i="35"/>
  <c r="E241" i="35"/>
  <c r="C241" i="35"/>
  <c r="B241" i="35"/>
  <c r="A241" i="35"/>
  <c r="G240" i="35"/>
  <c r="E240" i="35"/>
  <c r="C240" i="35"/>
  <c r="B240" i="35"/>
  <c r="A240" i="35"/>
  <c r="G239" i="35"/>
  <c r="E239" i="35"/>
  <c r="C239" i="35"/>
  <c r="B239" i="35"/>
  <c r="A239" i="35"/>
  <c r="G238" i="35"/>
  <c r="E238" i="35"/>
  <c r="C238" i="35"/>
  <c r="B238" i="35"/>
  <c r="A238" i="35"/>
  <c r="G237" i="35"/>
  <c r="E237" i="35"/>
  <c r="C237" i="35"/>
  <c r="B237" i="35"/>
  <c r="A237" i="35"/>
  <c r="G236" i="35"/>
  <c r="E236" i="35"/>
  <c r="C236" i="35"/>
  <c r="B236" i="35"/>
  <c r="A236" i="35"/>
  <c r="G235" i="35"/>
  <c r="E235" i="35"/>
  <c r="C235" i="35"/>
  <c r="B235" i="35"/>
  <c r="A235" i="35"/>
  <c r="G234" i="35"/>
  <c r="C234" i="35"/>
  <c r="B234" i="35"/>
  <c r="A234" i="35"/>
  <c r="G233" i="35"/>
  <c r="E233" i="35"/>
  <c r="C233" i="35"/>
  <c r="B233" i="35"/>
  <c r="A233" i="35"/>
  <c r="G232" i="35"/>
  <c r="C232" i="35"/>
  <c r="B232" i="35"/>
  <c r="A232" i="35"/>
  <c r="G231" i="35"/>
  <c r="C231" i="35"/>
  <c r="B231" i="35"/>
  <c r="A231" i="35"/>
  <c r="G230" i="35"/>
  <c r="E230" i="35"/>
  <c r="C230" i="35"/>
  <c r="B230" i="35"/>
  <c r="A230" i="35"/>
  <c r="G229" i="35"/>
  <c r="E229" i="35"/>
  <c r="C229" i="35"/>
  <c r="B229" i="35"/>
  <c r="A229" i="35"/>
  <c r="G228" i="35"/>
  <c r="E228" i="35"/>
  <c r="C228" i="35"/>
  <c r="B228" i="35"/>
  <c r="A228" i="35"/>
  <c r="G227" i="35"/>
  <c r="E227" i="35"/>
  <c r="C227" i="35"/>
  <c r="B227" i="35"/>
  <c r="A227" i="35"/>
  <c r="G226" i="35"/>
  <c r="E226" i="35"/>
  <c r="C226" i="35"/>
  <c r="B226" i="35"/>
  <c r="A226" i="35"/>
  <c r="G225" i="35"/>
  <c r="E225" i="35"/>
  <c r="C225" i="35"/>
  <c r="B225" i="35"/>
  <c r="A225" i="35"/>
  <c r="G224" i="35"/>
  <c r="E224" i="35"/>
  <c r="C224" i="35"/>
  <c r="B224" i="35"/>
  <c r="A224" i="35"/>
  <c r="G223" i="35"/>
  <c r="E223" i="35"/>
  <c r="C223" i="35"/>
  <c r="B223" i="35"/>
  <c r="A223" i="35"/>
  <c r="G222" i="35"/>
  <c r="E222" i="35"/>
  <c r="C222" i="35"/>
  <c r="B222" i="35"/>
  <c r="A222" i="35"/>
  <c r="G221" i="35"/>
  <c r="E221" i="35"/>
  <c r="C221" i="35"/>
  <c r="B221" i="35"/>
  <c r="A221" i="35"/>
  <c r="G220" i="35"/>
  <c r="E220" i="35"/>
  <c r="C220" i="35"/>
  <c r="B220" i="35"/>
  <c r="A220" i="35"/>
  <c r="G219" i="35"/>
  <c r="E219" i="35"/>
  <c r="C219" i="35"/>
  <c r="B219" i="35"/>
  <c r="A219" i="35"/>
  <c r="G218" i="35"/>
  <c r="E218" i="35"/>
  <c r="C218" i="35"/>
  <c r="B218" i="35"/>
  <c r="A218" i="35"/>
  <c r="G217" i="35"/>
  <c r="E217" i="35"/>
  <c r="C217" i="35"/>
  <c r="B217" i="35"/>
  <c r="A217" i="35"/>
  <c r="G216" i="35"/>
  <c r="E216" i="35"/>
  <c r="C216" i="35"/>
  <c r="B216" i="35"/>
  <c r="A216" i="35"/>
  <c r="G215" i="35"/>
  <c r="E215" i="35"/>
  <c r="C215" i="35"/>
  <c r="B215" i="35"/>
  <c r="A215" i="35"/>
  <c r="G214" i="35"/>
  <c r="E214" i="35"/>
  <c r="C214" i="35"/>
  <c r="B214" i="35"/>
  <c r="A214" i="35"/>
  <c r="G213" i="35"/>
  <c r="E213" i="35"/>
  <c r="C213" i="35"/>
  <c r="B213" i="35"/>
  <c r="A213" i="35"/>
  <c r="G212" i="35"/>
  <c r="E212" i="35"/>
  <c r="C212" i="35"/>
  <c r="B212" i="35"/>
  <c r="A212" i="35"/>
  <c r="G211" i="35"/>
  <c r="E211" i="35"/>
  <c r="C211" i="35"/>
  <c r="B211" i="35"/>
  <c r="A211" i="35"/>
  <c r="G210" i="35"/>
  <c r="E210" i="35"/>
  <c r="C210" i="35"/>
  <c r="B210" i="35"/>
  <c r="A210" i="35"/>
  <c r="G209" i="35"/>
  <c r="E209" i="35"/>
  <c r="C209" i="35"/>
  <c r="B209" i="35"/>
  <c r="A209" i="35"/>
  <c r="G208" i="35"/>
  <c r="E208" i="35"/>
  <c r="C208" i="35"/>
  <c r="B208" i="35"/>
  <c r="A208" i="35"/>
  <c r="G207" i="35"/>
  <c r="E207" i="35"/>
  <c r="C207" i="35"/>
  <c r="B207" i="35"/>
  <c r="A207" i="35"/>
  <c r="G206" i="35"/>
  <c r="E206" i="35"/>
  <c r="C206" i="35"/>
  <c r="B206" i="35"/>
  <c r="A206" i="35"/>
  <c r="G205" i="35"/>
  <c r="E205" i="35"/>
  <c r="C205" i="35"/>
  <c r="B205" i="35"/>
  <c r="A205" i="35"/>
  <c r="G204" i="35"/>
  <c r="E204" i="35"/>
  <c r="C204" i="35"/>
  <c r="B204" i="35"/>
  <c r="A204" i="35"/>
  <c r="G203" i="35"/>
  <c r="E203" i="35"/>
  <c r="C203" i="35"/>
  <c r="B203" i="35"/>
  <c r="A203" i="35"/>
  <c r="G202" i="35"/>
  <c r="E202" i="35"/>
  <c r="C202" i="35"/>
  <c r="B202" i="35"/>
  <c r="A202" i="35"/>
  <c r="G201" i="35"/>
  <c r="E201" i="35"/>
  <c r="C201" i="35"/>
  <c r="B201" i="35"/>
  <c r="A201" i="35"/>
  <c r="G200" i="35"/>
  <c r="E200" i="35"/>
  <c r="C200" i="35"/>
  <c r="B200" i="35"/>
  <c r="A200" i="35"/>
  <c r="G199" i="35"/>
  <c r="E199" i="35"/>
  <c r="C199" i="35"/>
  <c r="B199" i="35"/>
  <c r="A199" i="35"/>
  <c r="G198" i="35"/>
  <c r="E198" i="35"/>
  <c r="C198" i="35"/>
  <c r="B198" i="35"/>
  <c r="A198" i="35"/>
  <c r="G197" i="35"/>
  <c r="E197" i="35"/>
  <c r="C197" i="35"/>
  <c r="B197" i="35"/>
  <c r="A197" i="35"/>
  <c r="G196" i="35"/>
  <c r="E196" i="35"/>
  <c r="C196" i="35"/>
  <c r="B196" i="35"/>
  <c r="A196" i="35"/>
  <c r="G195" i="35"/>
  <c r="E195" i="35"/>
  <c r="C195" i="35"/>
  <c r="B195" i="35"/>
  <c r="A195" i="35"/>
  <c r="G194" i="35"/>
  <c r="E194" i="35"/>
  <c r="C194" i="35"/>
  <c r="B194" i="35"/>
  <c r="A194" i="35"/>
  <c r="G193" i="35"/>
  <c r="E193" i="35"/>
  <c r="C193" i="35"/>
  <c r="B193" i="35"/>
  <c r="A193" i="35"/>
  <c r="G192" i="35"/>
  <c r="E192" i="35"/>
  <c r="C192" i="35"/>
  <c r="B192" i="35"/>
  <c r="A192" i="35"/>
  <c r="G191" i="35"/>
  <c r="E191" i="35"/>
  <c r="C191" i="35"/>
  <c r="B191" i="35"/>
  <c r="A191" i="35"/>
  <c r="G190" i="35"/>
  <c r="E190" i="35"/>
  <c r="C190" i="35"/>
  <c r="B190" i="35"/>
  <c r="A190" i="35"/>
  <c r="G189" i="35"/>
  <c r="E189" i="35"/>
  <c r="C189" i="35"/>
  <c r="B189" i="35"/>
  <c r="A189" i="35"/>
  <c r="G188" i="35"/>
  <c r="E188" i="35"/>
  <c r="C188" i="35"/>
  <c r="B188" i="35"/>
  <c r="A188" i="35"/>
  <c r="G187" i="35"/>
  <c r="E187" i="35"/>
  <c r="C187" i="35"/>
  <c r="B187" i="35"/>
  <c r="A187" i="35"/>
  <c r="G186" i="35"/>
  <c r="E186" i="35"/>
  <c r="C186" i="35"/>
  <c r="B186" i="35"/>
  <c r="A186" i="35"/>
  <c r="G185" i="35"/>
  <c r="E185" i="35"/>
  <c r="C185" i="35"/>
  <c r="B185" i="35"/>
  <c r="A185" i="35"/>
  <c r="G184" i="35"/>
  <c r="E184" i="35"/>
  <c r="C184" i="35"/>
  <c r="B184" i="35"/>
  <c r="A184" i="35"/>
  <c r="G183" i="35"/>
  <c r="E183" i="35"/>
  <c r="C183" i="35"/>
  <c r="B183" i="35"/>
  <c r="A183" i="35"/>
  <c r="G182" i="35"/>
  <c r="E182" i="35"/>
  <c r="C182" i="35"/>
  <c r="B182" i="35"/>
  <c r="A182" i="35"/>
  <c r="G181" i="35"/>
  <c r="E181" i="35"/>
  <c r="C181" i="35"/>
  <c r="B181" i="35"/>
  <c r="A181" i="35"/>
  <c r="G180" i="35"/>
  <c r="E180" i="35"/>
  <c r="C180" i="35"/>
  <c r="B180" i="35"/>
  <c r="A180" i="35"/>
  <c r="G179" i="35"/>
  <c r="E179" i="35"/>
  <c r="C179" i="35"/>
  <c r="B179" i="35"/>
  <c r="A179" i="35"/>
  <c r="G178" i="35"/>
  <c r="E178" i="35"/>
  <c r="C178" i="35"/>
  <c r="B178" i="35"/>
  <c r="A178" i="35"/>
  <c r="G177" i="35"/>
  <c r="E177" i="35"/>
  <c r="C177" i="35"/>
  <c r="B177" i="35"/>
  <c r="A177" i="35"/>
  <c r="G176" i="35"/>
  <c r="E176" i="35"/>
  <c r="C176" i="35"/>
  <c r="B176" i="35"/>
  <c r="A176" i="35"/>
  <c r="G175" i="35"/>
  <c r="E175" i="35"/>
  <c r="C175" i="35"/>
  <c r="B175" i="35"/>
  <c r="A175" i="35"/>
  <c r="G174" i="35"/>
  <c r="E174" i="35"/>
  <c r="C174" i="35"/>
  <c r="B174" i="35"/>
  <c r="A174" i="35"/>
  <c r="G173" i="35"/>
  <c r="E173" i="35"/>
  <c r="C173" i="35"/>
  <c r="B173" i="35"/>
  <c r="A173" i="35"/>
  <c r="G172" i="35"/>
  <c r="E172" i="35"/>
  <c r="C172" i="35"/>
  <c r="B172" i="35"/>
  <c r="A172" i="35"/>
  <c r="G171" i="35"/>
  <c r="E171" i="35"/>
  <c r="C171" i="35"/>
  <c r="B171" i="35"/>
  <c r="A171" i="35"/>
  <c r="G170" i="35"/>
  <c r="E170" i="35"/>
  <c r="C170" i="35"/>
  <c r="B170" i="35"/>
  <c r="A170" i="35"/>
  <c r="G169" i="35"/>
  <c r="E169" i="35"/>
  <c r="C169" i="35"/>
  <c r="B169" i="35"/>
  <c r="A169" i="35"/>
  <c r="G168" i="35"/>
  <c r="E168" i="35"/>
  <c r="C168" i="35"/>
  <c r="B168" i="35"/>
  <c r="A168" i="35"/>
  <c r="G167" i="35"/>
  <c r="E167" i="35"/>
  <c r="C167" i="35"/>
  <c r="B167" i="35"/>
  <c r="A167" i="35"/>
  <c r="G166" i="35"/>
  <c r="E166" i="35"/>
  <c r="C166" i="35"/>
  <c r="B166" i="35"/>
  <c r="A166" i="35"/>
  <c r="G165" i="35"/>
  <c r="E165" i="35"/>
  <c r="C165" i="35"/>
  <c r="B165" i="35"/>
  <c r="A165" i="35"/>
  <c r="G164" i="35"/>
  <c r="E164" i="35"/>
  <c r="C164" i="35"/>
  <c r="B164" i="35"/>
  <c r="A164" i="35"/>
  <c r="G163" i="35"/>
  <c r="E163" i="35"/>
  <c r="C163" i="35"/>
  <c r="B163" i="35"/>
  <c r="A163" i="35"/>
  <c r="G162" i="35"/>
  <c r="E162" i="35"/>
  <c r="C162" i="35"/>
  <c r="B162" i="35"/>
  <c r="A162" i="35"/>
  <c r="G161" i="35"/>
  <c r="E161" i="35"/>
  <c r="C161" i="35"/>
  <c r="B161" i="35"/>
  <c r="A161" i="35"/>
  <c r="G160" i="35"/>
  <c r="E160" i="35"/>
  <c r="C160" i="35"/>
  <c r="B160" i="35"/>
  <c r="A160" i="35"/>
  <c r="G159" i="35"/>
  <c r="E159" i="35"/>
  <c r="C159" i="35"/>
  <c r="B159" i="35"/>
  <c r="A159" i="35"/>
  <c r="G158" i="35"/>
  <c r="E158" i="35"/>
  <c r="C158" i="35"/>
  <c r="B158" i="35"/>
  <c r="A158" i="35"/>
  <c r="G157" i="35"/>
  <c r="E157" i="35"/>
  <c r="C157" i="35"/>
  <c r="B157" i="35"/>
  <c r="A157" i="35"/>
  <c r="G156" i="35"/>
  <c r="E156" i="35"/>
  <c r="C156" i="35"/>
  <c r="B156" i="35"/>
  <c r="A156" i="35"/>
  <c r="G155" i="35"/>
  <c r="E155" i="35"/>
  <c r="C155" i="35"/>
  <c r="B155" i="35"/>
  <c r="A155" i="35"/>
  <c r="G154" i="35"/>
  <c r="E154" i="35"/>
  <c r="C154" i="35"/>
  <c r="B154" i="35"/>
  <c r="A154" i="35"/>
  <c r="G153" i="35"/>
  <c r="E153" i="35"/>
  <c r="C153" i="35"/>
  <c r="B153" i="35"/>
  <c r="A153" i="35"/>
  <c r="G152" i="35"/>
  <c r="E152" i="35"/>
  <c r="C152" i="35"/>
  <c r="B152" i="35"/>
  <c r="A152" i="35"/>
  <c r="G151" i="35"/>
  <c r="E151" i="35"/>
  <c r="C151" i="35"/>
  <c r="B151" i="35"/>
  <c r="A151" i="35"/>
  <c r="G150" i="35"/>
  <c r="E150" i="35"/>
  <c r="C150" i="35"/>
  <c r="B150" i="35"/>
  <c r="A150" i="35"/>
  <c r="G149" i="35"/>
  <c r="E149" i="35"/>
  <c r="C149" i="35"/>
  <c r="B149" i="35"/>
  <c r="A149" i="35"/>
  <c r="G148" i="35"/>
  <c r="E148" i="35"/>
  <c r="C148" i="35"/>
  <c r="B148" i="35"/>
  <c r="A148" i="35"/>
  <c r="G147" i="35"/>
  <c r="E147" i="35"/>
  <c r="C147" i="35"/>
  <c r="B147" i="35"/>
  <c r="A147" i="35"/>
  <c r="G146" i="35"/>
  <c r="E146" i="35"/>
  <c r="C146" i="35"/>
  <c r="B146" i="35"/>
  <c r="A146" i="35"/>
  <c r="G145" i="35"/>
  <c r="E145" i="35"/>
  <c r="C145" i="35"/>
  <c r="B145" i="35"/>
  <c r="A145" i="35"/>
  <c r="G144" i="35"/>
  <c r="E144" i="35"/>
  <c r="C144" i="35"/>
  <c r="B144" i="35"/>
  <c r="A144" i="35"/>
  <c r="G143" i="35"/>
  <c r="E143" i="35"/>
  <c r="C143" i="35"/>
  <c r="B143" i="35"/>
  <c r="A143" i="35"/>
  <c r="G142" i="35"/>
  <c r="C142" i="35"/>
  <c r="B142" i="35"/>
  <c r="A142" i="35"/>
  <c r="C141" i="35"/>
  <c r="B141" i="35"/>
  <c r="A141" i="35"/>
  <c r="G140" i="35"/>
  <c r="E140" i="35"/>
  <c r="C140" i="35"/>
  <c r="B140" i="35"/>
  <c r="A140" i="35"/>
  <c r="G139" i="35"/>
  <c r="E139" i="35"/>
  <c r="C139" i="35"/>
  <c r="B139" i="35"/>
  <c r="A139" i="35"/>
  <c r="G138" i="35"/>
  <c r="E138" i="35"/>
  <c r="C138" i="35"/>
  <c r="B138" i="35"/>
  <c r="A138" i="35"/>
  <c r="G137" i="35"/>
  <c r="C137" i="35"/>
  <c r="B137" i="35"/>
  <c r="A137" i="35"/>
  <c r="G136" i="35"/>
  <c r="C136" i="35"/>
  <c r="B136" i="35"/>
  <c r="A136" i="35"/>
  <c r="G135" i="35"/>
  <c r="E135" i="35"/>
  <c r="C135" i="35"/>
  <c r="B135" i="35"/>
  <c r="A135" i="35"/>
  <c r="G134" i="35"/>
  <c r="E134" i="35"/>
  <c r="C134" i="35"/>
  <c r="B134" i="35"/>
  <c r="A134" i="35"/>
  <c r="G133" i="35"/>
  <c r="E133" i="35"/>
  <c r="C133" i="35"/>
  <c r="B133" i="35"/>
  <c r="A133" i="35"/>
  <c r="G132" i="35"/>
  <c r="E132" i="35"/>
  <c r="C132" i="35"/>
  <c r="B132" i="35"/>
  <c r="A132" i="35"/>
  <c r="G131" i="35"/>
  <c r="E131" i="35"/>
  <c r="C131" i="35"/>
  <c r="B131" i="35"/>
  <c r="A131" i="35"/>
  <c r="G130" i="35"/>
  <c r="E130" i="35"/>
  <c r="C130" i="35"/>
  <c r="B130" i="35"/>
  <c r="A130" i="35"/>
  <c r="G129" i="35"/>
  <c r="E129" i="35"/>
  <c r="C129" i="35"/>
  <c r="B129" i="35"/>
  <c r="A129" i="35"/>
  <c r="G128" i="35"/>
  <c r="E128" i="35"/>
  <c r="C128" i="35"/>
  <c r="B128" i="35"/>
  <c r="A128" i="35"/>
  <c r="G127" i="35"/>
  <c r="E127" i="35"/>
  <c r="C127" i="35"/>
  <c r="B127" i="35"/>
  <c r="A127" i="35"/>
  <c r="G126" i="35"/>
  <c r="E126" i="35"/>
  <c r="C126" i="35"/>
  <c r="B126" i="35"/>
  <c r="A126" i="35"/>
  <c r="G125" i="35"/>
  <c r="E125" i="35"/>
  <c r="C125" i="35"/>
  <c r="B125" i="35"/>
  <c r="A125" i="35"/>
  <c r="G124" i="35"/>
  <c r="E124" i="35"/>
  <c r="C124" i="35"/>
  <c r="B124" i="35"/>
  <c r="A124" i="35"/>
  <c r="G123" i="35"/>
  <c r="E123" i="35"/>
  <c r="C123" i="35"/>
  <c r="B123" i="35"/>
  <c r="A123" i="35"/>
  <c r="G122" i="35"/>
  <c r="E122" i="35"/>
  <c r="C122" i="35"/>
  <c r="B122" i="35"/>
  <c r="A122" i="35"/>
  <c r="G121" i="35"/>
  <c r="E121" i="35"/>
  <c r="C121" i="35"/>
  <c r="B121" i="35"/>
  <c r="A121" i="35"/>
  <c r="G120" i="35"/>
  <c r="E120" i="35"/>
  <c r="C120" i="35"/>
  <c r="B120" i="35"/>
  <c r="A120" i="35"/>
  <c r="G119" i="35"/>
  <c r="E119" i="35"/>
  <c r="C119" i="35"/>
  <c r="B119" i="35"/>
  <c r="A119" i="35"/>
  <c r="G118" i="35"/>
  <c r="E118" i="35"/>
  <c r="C118" i="35"/>
  <c r="B118" i="35"/>
  <c r="A118" i="35"/>
  <c r="G117" i="35"/>
  <c r="E117" i="35"/>
  <c r="C117" i="35"/>
  <c r="B117" i="35"/>
  <c r="A117" i="35"/>
  <c r="G116" i="35"/>
  <c r="E116" i="35"/>
  <c r="C116" i="35"/>
  <c r="B116" i="35"/>
  <c r="A116" i="35"/>
  <c r="G115" i="35"/>
  <c r="E115" i="35"/>
  <c r="C115" i="35"/>
  <c r="B115" i="35"/>
  <c r="A115" i="35"/>
  <c r="G114" i="35"/>
  <c r="E114" i="35"/>
  <c r="C114" i="35"/>
  <c r="B114" i="35"/>
  <c r="A114" i="35"/>
  <c r="G113" i="35"/>
  <c r="E113" i="35"/>
  <c r="C113" i="35"/>
  <c r="B113" i="35"/>
  <c r="A113" i="35"/>
  <c r="G112" i="35"/>
  <c r="E112" i="35"/>
  <c r="C112" i="35"/>
  <c r="B112" i="35"/>
  <c r="A112" i="35"/>
  <c r="G111" i="35"/>
  <c r="E111" i="35"/>
  <c r="C111" i="35"/>
  <c r="B111" i="35"/>
  <c r="A111" i="35"/>
  <c r="G110" i="35"/>
  <c r="E110" i="35"/>
  <c r="C110" i="35"/>
  <c r="B110" i="35"/>
  <c r="A110" i="35"/>
  <c r="G109" i="35"/>
  <c r="E109" i="35"/>
  <c r="C109" i="35"/>
  <c r="B109" i="35"/>
  <c r="A109" i="35"/>
  <c r="G108" i="35"/>
  <c r="E108" i="35"/>
  <c r="C108" i="35"/>
  <c r="B108" i="35"/>
  <c r="A108" i="35"/>
  <c r="G107" i="35"/>
  <c r="E107" i="35"/>
  <c r="C107" i="35"/>
  <c r="B107" i="35"/>
  <c r="A107" i="35"/>
  <c r="G106" i="35"/>
  <c r="E106" i="35"/>
  <c r="C106" i="35"/>
  <c r="B106" i="35"/>
  <c r="A106" i="35"/>
  <c r="G105" i="35"/>
  <c r="E105" i="35"/>
  <c r="C105" i="35"/>
  <c r="B105" i="35"/>
  <c r="A105" i="35"/>
  <c r="G104" i="35"/>
  <c r="E104" i="35"/>
  <c r="C104" i="35"/>
  <c r="B104" i="35"/>
  <c r="A104" i="35"/>
  <c r="G103" i="35"/>
  <c r="E103" i="35"/>
  <c r="C103" i="35"/>
  <c r="B103" i="35"/>
  <c r="A103" i="35"/>
  <c r="G102" i="35"/>
  <c r="E102" i="35"/>
  <c r="C102" i="35"/>
  <c r="B102" i="35"/>
  <c r="A102" i="35"/>
  <c r="G101" i="35"/>
  <c r="E101" i="35"/>
  <c r="C101" i="35"/>
  <c r="B101" i="35"/>
  <c r="A101" i="35"/>
  <c r="G100" i="35"/>
  <c r="E100" i="35"/>
  <c r="C100" i="35"/>
  <c r="B100" i="35"/>
  <c r="A100" i="35"/>
  <c r="G99" i="35"/>
  <c r="E99" i="35"/>
  <c r="C99" i="35"/>
  <c r="B99" i="35"/>
  <c r="A99" i="35"/>
  <c r="G98" i="35"/>
  <c r="E98" i="35"/>
  <c r="C98" i="35"/>
  <c r="B98" i="35"/>
  <c r="A98" i="35"/>
  <c r="G97" i="35"/>
  <c r="E97" i="35"/>
  <c r="C97" i="35"/>
  <c r="B97" i="35"/>
  <c r="A97" i="35"/>
  <c r="G96" i="35"/>
  <c r="E96" i="35"/>
  <c r="C96" i="35"/>
  <c r="B96" i="35"/>
  <c r="A96" i="35"/>
  <c r="G95" i="35"/>
  <c r="E95" i="35"/>
  <c r="C95" i="35"/>
  <c r="B95" i="35"/>
  <c r="A95" i="35"/>
  <c r="G94" i="35"/>
  <c r="E94" i="35"/>
  <c r="C94" i="35"/>
  <c r="B94" i="35"/>
  <c r="A94" i="35"/>
  <c r="G93" i="35"/>
  <c r="E93" i="35"/>
  <c r="C93" i="35"/>
  <c r="B93" i="35"/>
  <c r="A93" i="35"/>
  <c r="G92" i="35"/>
  <c r="E92" i="35"/>
  <c r="C92" i="35"/>
  <c r="B92" i="35"/>
  <c r="A92" i="35"/>
  <c r="G91" i="35"/>
  <c r="E91" i="35"/>
  <c r="C91" i="35"/>
  <c r="B91" i="35"/>
  <c r="A91" i="35"/>
  <c r="G90" i="35"/>
  <c r="E90" i="35"/>
  <c r="C90" i="35"/>
  <c r="B90" i="35"/>
  <c r="A90" i="35"/>
  <c r="G89" i="35"/>
  <c r="E89" i="35"/>
  <c r="C89" i="35"/>
  <c r="B89" i="35"/>
  <c r="A89" i="35"/>
  <c r="G88" i="35"/>
  <c r="E88" i="35"/>
  <c r="C88" i="35"/>
  <c r="B88" i="35"/>
  <c r="A88" i="35"/>
  <c r="G87" i="35"/>
  <c r="E87" i="35"/>
  <c r="C87" i="35"/>
  <c r="B87" i="35"/>
  <c r="A87" i="35"/>
  <c r="G86" i="35"/>
  <c r="E86" i="35"/>
  <c r="C86" i="35"/>
  <c r="B86" i="35"/>
  <c r="A86" i="35"/>
  <c r="G85" i="35"/>
  <c r="E85" i="35"/>
  <c r="C85" i="35"/>
  <c r="B85" i="35"/>
  <c r="A85" i="35"/>
  <c r="G84" i="35"/>
  <c r="E84" i="35"/>
  <c r="C84" i="35"/>
  <c r="B84" i="35"/>
  <c r="A84" i="35"/>
  <c r="G83" i="35"/>
  <c r="E83" i="35"/>
  <c r="C83" i="35"/>
  <c r="B83" i="35"/>
  <c r="A83" i="35"/>
  <c r="G82" i="35"/>
  <c r="E82" i="35"/>
  <c r="C82" i="35"/>
  <c r="B82" i="35"/>
  <c r="A82" i="35"/>
  <c r="G81" i="35"/>
  <c r="E81" i="35"/>
  <c r="C81" i="35"/>
  <c r="B81" i="35"/>
  <c r="A81" i="35"/>
  <c r="G80" i="35"/>
  <c r="E80" i="35"/>
  <c r="C80" i="35"/>
  <c r="B80" i="35"/>
  <c r="A80" i="35"/>
  <c r="G79" i="35"/>
  <c r="E79" i="35"/>
  <c r="C79" i="35"/>
  <c r="B79" i="35"/>
  <c r="A79" i="35"/>
  <c r="G78" i="35"/>
  <c r="E78" i="35"/>
  <c r="C78" i="35"/>
  <c r="B78" i="35"/>
  <c r="A78" i="35"/>
  <c r="G77" i="35"/>
  <c r="E77" i="35"/>
  <c r="C77" i="35"/>
  <c r="B77" i="35"/>
  <c r="A77" i="35"/>
  <c r="G76" i="35"/>
  <c r="E76" i="35"/>
  <c r="C76" i="35"/>
  <c r="B76" i="35"/>
  <c r="A76" i="35"/>
  <c r="G75" i="35"/>
  <c r="E75" i="35"/>
  <c r="C75" i="35"/>
  <c r="B75" i="35"/>
  <c r="A75" i="35"/>
  <c r="G74" i="35"/>
  <c r="E74" i="35"/>
  <c r="C74" i="35"/>
  <c r="B74" i="35"/>
  <c r="A74" i="35"/>
  <c r="G73" i="35"/>
  <c r="E73" i="35"/>
  <c r="C73" i="35"/>
  <c r="B73" i="35"/>
  <c r="A73" i="35"/>
  <c r="G72" i="35"/>
  <c r="E72" i="35"/>
  <c r="C72" i="35"/>
  <c r="B72" i="35"/>
  <c r="A72" i="35"/>
  <c r="G71" i="35"/>
  <c r="E71" i="35"/>
  <c r="C71" i="35"/>
  <c r="B71" i="35"/>
  <c r="A71" i="35"/>
  <c r="G70" i="35"/>
  <c r="E70" i="35"/>
  <c r="C70" i="35"/>
  <c r="B70" i="35"/>
  <c r="A70" i="35"/>
  <c r="G69" i="35"/>
  <c r="E69" i="35"/>
  <c r="C69" i="35"/>
  <c r="B69" i="35"/>
  <c r="A69" i="35"/>
  <c r="G68" i="35"/>
  <c r="E68" i="35"/>
  <c r="C68" i="35"/>
  <c r="B68" i="35"/>
  <c r="A68" i="35"/>
  <c r="G67" i="35"/>
  <c r="E67" i="35"/>
  <c r="C67" i="35"/>
  <c r="B67" i="35"/>
  <c r="A67" i="35"/>
  <c r="G66" i="35"/>
  <c r="E66" i="35"/>
  <c r="C66" i="35"/>
  <c r="B66" i="35"/>
  <c r="A66" i="35"/>
  <c r="G65" i="35"/>
  <c r="E65" i="35"/>
  <c r="C65" i="35"/>
  <c r="B65" i="35"/>
  <c r="A65" i="35"/>
  <c r="G64" i="35"/>
  <c r="E64" i="35"/>
  <c r="C64" i="35"/>
  <c r="B64" i="35"/>
  <c r="A64" i="35"/>
  <c r="G63" i="35"/>
  <c r="E63" i="35"/>
  <c r="C63" i="35"/>
  <c r="B63" i="35"/>
  <c r="A63" i="35"/>
  <c r="G62" i="35"/>
  <c r="E62" i="35"/>
  <c r="C62" i="35"/>
  <c r="B62" i="35"/>
  <c r="A62" i="35"/>
  <c r="G61" i="35"/>
  <c r="E61" i="35"/>
  <c r="C61" i="35"/>
  <c r="B61" i="35"/>
  <c r="A61" i="35"/>
  <c r="G60" i="35"/>
  <c r="E60" i="35"/>
  <c r="C60" i="35"/>
  <c r="B60" i="35"/>
  <c r="A60" i="35"/>
  <c r="G59" i="35"/>
  <c r="E59" i="35"/>
  <c r="C59" i="35"/>
  <c r="B59" i="35"/>
  <c r="A59" i="35"/>
  <c r="G58" i="35"/>
  <c r="E58" i="35"/>
  <c r="C58" i="35"/>
  <c r="B58" i="35"/>
  <c r="A58" i="35"/>
  <c r="G57" i="35"/>
  <c r="E57" i="35"/>
  <c r="C57" i="35"/>
  <c r="B57" i="35"/>
  <c r="A57" i="35"/>
  <c r="G56" i="35"/>
  <c r="E56" i="35"/>
  <c r="C56" i="35"/>
  <c r="B56" i="35"/>
  <c r="A56" i="35"/>
  <c r="G55" i="35"/>
  <c r="E55" i="35"/>
  <c r="C55" i="35"/>
  <c r="B55" i="35"/>
  <c r="A55" i="35"/>
  <c r="G54" i="35"/>
  <c r="E54" i="35"/>
  <c r="C54" i="35"/>
  <c r="B54" i="35"/>
  <c r="A54" i="35"/>
  <c r="G53" i="35"/>
  <c r="E53" i="35"/>
  <c r="C53" i="35"/>
  <c r="B53" i="35"/>
  <c r="A53" i="35"/>
  <c r="G52" i="35"/>
  <c r="E52" i="35"/>
  <c r="C52" i="35"/>
  <c r="B52" i="35"/>
  <c r="A52" i="35"/>
  <c r="G51" i="35"/>
  <c r="E51" i="35"/>
  <c r="C51" i="35"/>
  <c r="B51" i="35"/>
  <c r="A51" i="35"/>
  <c r="G50" i="35"/>
  <c r="E50" i="35"/>
  <c r="C50" i="35"/>
  <c r="B50" i="35"/>
  <c r="A50" i="35"/>
  <c r="G49" i="35"/>
  <c r="E49" i="35"/>
  <c r="C49" i="35"/>
  <c r="B49" i="35"/>
  <c r="A49" i="35"/>
  <c r="G48" i="35"/>
  <c r="E48" i="35"/>
  <c r="C48" i="35"/>
  <c r="B48" i="35"/>
  <c r="A48" i="35"/>
  <c r="G47" i="35"/>
  <c r="E47" i="35"/>
  <c r="C47" i="35"/>
  <c r="B47" i="35"/>
  <c r="A47" i="35"/>
  <c r="G46" i="35"/>
  <c r="E46" i="35"/>
  <c r="C46" i="35"/>
  <c r="B46" i="35"/>
  <c r="A46" i="35"/>
  <c r="G45" i="35"/>
  <c r="E45" i="35"/>
  <c r="C45" i="35"/>
  <c r="B45" i="35"/>
  <c r="A45" i="35"/>
  <c r="G44" i="35"/>
  <c r="E44" i="35"/>
  <c r="C44" i="35"/>
  <c r="B44" i="35"/>
  <c r="A44" i="35"/>
  <c r="G43" i="35"/>
  <c r="E43" i="35"/>
  <c r="C43" i="35"/>
  <c r="B43" i="35"/>
  <c r="A43" i="35"/>
  <c r="G42" i="35"/>
  <c r="E42" i="35"/>
  <c r="C42" i="35"/>
  <c r="B42" i="35"/>
  <c r="A42" i="35"/>
  <c r="G41" i="35"/>
  <c r="E41" i="35"/>
  <c r="C41" i="35"/>
  <c r="B41" i="35"/>
  <c r="A41" i="35"/>
  <c r="G40" i="35"/>
  <c r="E40" i="35"/>
  <c r="C40" i="35"/>
  <c r="B40" i="35"/>
  <c r="A40" i="35"/>
  <c r="G39" i="35"/>
  <c r="E39" i="35"/>
  <c r="C39" i="35"/>
  <c r="B39" i="35"/>
  <c r="A39" i="35"/>
  <c r="G38" i="35"/>
  <c r="E38" i="35"/>
  <c r="C38" i="35"/>
  <c r="B38" i="35"/>
  <c r="A38" i="35"/>
  <c r="G37" i="35"/>
  <c r="E37" i="35"/>
  <c r="C37" i="35"/>
  <c r="B37" i="35"/>
  <c r="A37" i="35"/>
  <c r="G36" i="35"/>
  <c r="E36" i="35"/>
  <c r="C36" i="35"/>
  <c r="B36" i="35"/>
  <c r="A36" i="35"/>
  <c r="G35" i="35"/>
  <c r="E35" i="35"/>
  <c r="C35" i="35"/>
  <c r="B35" i="35"/>
  <c r="A35" i="35"/>
  <c r="G34" i="35"/>
  <c r="E34" i="35"/>
  <c r="C34" i="35"/>
  <c r="B34" i="35"/>
  <c r="A34" i="35"/>
  <c r="G33" i="35"/>
  <c r="E33" i="35"/>
  <c r="C33" i="35"/>
  <c r="B33" i="35"/>
  <c r="A33" i="35"/>
  <c r="G32" i="35"/>
  <c r="E32" i="35"/>
  <c r="C32" i="35"/>
  <c r="B32" i="35"/>
  <c r="A32" i="35"/>
  <c r="G31" i="35"/>
  <c r="E31" i="35"/>
  <c r="C31" i="35"/>
  <c r="B31" i="35"/>
  <c r="A31" i="35"/>
  <c r="G30" i="35"/>
  <c r="E30" i="35"/>
  <c r="C30" i="35"/>
  <c r="B30" i="35"/>
  <c r="A30" i="35"/>
  <c r="G29" i="35"/>
  <c r="E29" i="35"/>
  <c r="C29" i="35"/>
  <c r="B29" i="35"/>
  <c r="A29" i="35"/>
  <c r="G28" i="35"/>
  <c r="E28" i="35"/>
  <c r="C28" i="35"/>
  <c r="B28" i="35"/>
  <c r="A28" i="35"/>
  <c r="G27" i="35"/>
  <c r="E27" i="35"/>
  <c r="C27" i="35"/>
  <c r="B27" i="35"/>
  <c r="A27" i="35"/>
  <c r="G26" i="35"/>
  <c r="E26" i="35"/>
  <c r="C26" i="35"/>
  <c r="B26" i="35"/>
  <c r="A26" i="35"/>
  <c r="G25" i="35"/>
  <c r="E25" i="35"/>
  <c r="C25" i="35"/>
  <c r="B25" i="35"/>
  <c r="A25" i="35"/>
  <c r="G24" i="35"/>
  <c r="E24" i="35"/>
  <c r="C24" i="35"/>
  <c r="B24" i="35"/>
  <c r="A24" i="35"/>
  <c r="G23" i="35"/>
  <c r="E23" i="35"/>
  <c r="C23" i="35"/>
  <c r="B23" i="35"/>
  <c r="A23" i="35"/>
  <c r="G22" i="35"/>
  <c r="E22" i="35"/>
  <c r="C22" i="35"/>
  <c r="B22" i="35"/>
  <c r="A22" i="35"/>
  <c r="G21" i="35"/>
  <c r="E21" i="35"/>
  <c r="C21" i="35"/>
  <c r="B21" i="35"/>
  <c r="A21" i="35"/>
  <c r="G20" i="35"/>
  <c r="E20" i="35"/>
  <c r="C20" i="35"/>
  <c r="B20" i="35"/>
  <c r="A20" i="35"/>
  <c r="G19" i="35"/>
  <c r="E19" i="35"/>
  <c r="C19" i="35"/>
  <c r="B19" i="35"/>
  <c r="A19" i="35"/>
  <c r="G18" i="35"/>
  <c r="E18" i="35"/>
  <c r="C18" i="35"/>
  <c r="B18" i="35"/>
  <c r="A18" i="35"/>
  <c r="G17" i="35"/>
  <c r="E17" i="35"/>
  <c r="C17" i="35"/>
  <c r="B17" i="35"/>
  <c r="A17" i="35"/>
  <c r="G16" i="35"/>
  <c r="E16" i="35"/>
  <c r="C16" i="35"/>
  <c r="B16" i="35"/>
  <c r="A16" i="35"/>
  <c r="G15" i="35"/>
  <c r="E15" i="35"/>
  <c r="C15" i="35"/>
  <c r="B15" i="35"/>
  <c r="A15" i="35"/>
  <c r="G14" i="35"/>
  <c r="E14" i="35"/>
  <c r="C14" i="35"/>
  <c r="B14" i="35"/>
  <c r="A14" i="35"/>
  <c r="G13" i="35"/>
  <c r="E13" i="35"/>
  <c r="C13" i="35"/>
  <c r="B13" i="35"/>
  <c r="A13" i="35"/>
  <c r="G12" i="35"/>
  <c r="E12" i="35"/>
  <c r="C12" i="35"/>
  <c r="B12" i="35"/>
  <c r="A12" i="35"/>
  <c r="G11" i="35"/>
  <c r="E11" i="35"/>
  <c r="C11" i="35"/>
  <c r="B11" i="35"/>
  <c r="A11" i="35"/>
  <c r="G10" i="35"/>
  <c r="E10" i="35"/>
  <c r="C10" i="35"/>
  <c r="B10" i="35"/>
  <c r="A10" i="35"/>
  <c r="G9" i="35"/>
  <c r="E9" i="35"/>
  <c r="C9" i="35"/>
  <c r="B9" i="35"/>
  <c r="A9" i="35"/>
  <c r="G8" i="35"/>
  <c r="E8" i="35"/>
  <c r="C8" i="35"/>
  <c r="B8" i="35"/>
  <c r="A8" i="35"/>
  <c r="G7" i="35"/>
  <c r="E7" i="35"/>
  <c r="C7" i="35"/>
  <c r="B7" i="35"/>
  <c r="A7" i="35"/>
  <c r="G6" i="35"/>
  <c r="E6" i="35"/>
  <c r="C6" i="35"/>
  <c r="B6" i="35"/>
  <c r="A6" i="35"/>
  <c r="I51" i="14" l="1"/>
  <c r="I29" i="14"/>
  <c r="C51" i="14"/>
  <c r="C29" i="14"/>
  <c r="J56" i="14"/>
  <c r="J33" i="14"/>
  <c r="D56" i="14"/>
  <c r="D33" i="14"/>
  <c r="I56" i="14"/>
  <c r="I33" i="14"/>
  <c r="C56" i="14"/>
  <c r="C33" i="14"/>
  <c r="J51" i="14"/>
  <c r="J29" i="14"/>
  <c r="D51" i="14"/>
  <c r="D29" i="14"/>
  <c r="G52" i="16"/>
  <c r="G50" i="16"/>
  <c r="G43" i="16"/>
  <c r="G41" i="16"/>
  <c r="G39" i="16"/>
  <c r="G37" i="16"/>
  <c r="G30" i="16"/>
  <c r="G28" i="16"/>
  <c r="G26" i="16"/>
  <c r="G19" i="16"/>
  <c r="G17" i="16"/>
  <c r="G10" i="16"/>
  <c r="G8" i="16"/>
  <c r="G6" i="16"/>
  <c r="E52" i="16"/>
  <c r="E50" i="16"/>
  <c r="E43" i="16"/>
  <c r="E41" i="16"/>
  <c r="E39" i="16"/>
  <c r="E37" i="16"/>
  <c r="E30" i="16"/>
  <c r="E28" i="16"/>
  <c r="E26" i="16"/>
  <c r="E19" i="16"/>
  <c r="E17" i="16"/>
  <c r="E10" i="16"/>
  <c r="E8" i="16"/>
  <c r="G51" i="16"/>
  <c r="G49" i="16"/>
  <c r="G42" i="16"/>
  <c r="G40" i="16"/>
  <c r="G38" i="16"/>
  <c r="G36" i="16"/>
  <c r="G29" i="16"/>
  <c r="G27" i="16"/>
  <c r="G25" i="16"/>
  <c r="G18" i="16"/>
  <c r="G16" i="16"/>
  <c r="G9" i="16"/>
  <c r="G7" i="16"/>
  <c r="E51" i="16"/>
  <c r="E49" i="16"/>
  <c r="E42" i="16"/>
  <c r="E40" i="16"/>
  <c r="E38" i="16"/>
  <c r="E36" i="16"/>
  <c r="E29" i="16"/>
  <c r="E27" i="16"/>
  <c r="E25" i="16"/>
  <c r="E18" i="16"/>
  <c r="E16" i="16"/>
  <c r="E9" i="16"/>
  <c r="E7" i="16"/>
  <c r="E6" i="16"/>
  <c r="AA347" i="15"/>
  <c r="AA310" i="15"/>
  <c r="AA303" i="15"/>
  <c r="AA299" i="15"/>
  <c r="AA295" i="15"/>
  <c r="AA237" i="15"/>
  <c r="AA210" i="15"/>
  <c r="AA103" i="15"/>
  <c r="AA91" i="15"/>
  <c r="AA77" i="15"/>
  <c r="AA46" i="15"/>
  <c r="AA36" i="15"/>
  <c r="AA23" i="15"/>
  <c r="Q343" i="15"/>
  <c r="E343" i="15"/>
  <c r="I342" i="15"/>
  <c r="Q341" i="15"/>
  <c r="E341" i="15"/>
  <c r="I340" i="15"/>
  <c r="Q339" i="15"/>
  <c r="E339" i="15"/>
  <c r="I338" i="15"/>
  <c r="E333" i="15"/>
  <c r="I329" i="15"/>
  <c r="E328" i="15"/>
  <c r="I310" i="15"/>
  <c r="E309" i="15"/>
  <c r="I308" i="15"/>
  <c r="Q304" i="15"/>
  <c r="E304" i="15"/>
  <c r="I303" i="15"/>
  <c r="E302" i="15"/>
  <c r="I301" i="15"/>
  <c r="E300" i="15"/>
  <c r="I299" i="15"/>
  <c r="Q298" i="15"/>
  <c r="E298" i="15"/>
  <c r="I297" i="15"/>
  <c r="E296" i="15"/>
  <c r="I295" i="15"/>
  <c r="E294" i="15"/>
  <c r="I293" i="15"/>
  <c r="E292" i="15"/>
  <c r="I237" i="15"/>
  <c r="Q227" i="15"/>
  <c r="E227" i="15"/>
  <c r="I220" i="15"/>
  <c r="Q218" i="15"/>
  <c r="E218" i="15"/>
  <c r="I210" i="15"/>
  <c r="Q200" i="15"/>
  <c r="E200" i="15"/>
  <c r="I111" i="15"/>
  <c r="Q104" i="15"/>
  <c r="E104" i="15"/>
  <c r="I103" i="15"/>
  <c r="Q101" i="15"/>
  <c r="E101" i="15"/>
  <c r="I99" i="15"/>
  <c r="Q94" i="15"/>
  <c r="E94" i="15"/>
  <c r="I91" i="15"/>
  <c r="Q89" i="15"/>
  <c r="E89" i="15"/>
  <c r="I87" i="15"/>
  <c r="Q85" i="15"/>
  <c r="E85" i="15"/>
  <c r="I77" i="15"/>
  <c r="Q73" i="15"/>
  <c r="E73" i="15"/>
  <c r="I70" i="15"/>
  <c r="Q65" i="15"/>
  <c r="E65" i="15"/>
  <c r="I46" i="15"/>
  <c r="AA329" i="15"/>
  <c r="AA308" i="15"/>
  <c r="AA301" i="15"/>
  <c r="AA297" i="15"/>
  <c r="AA293" i="15"/>
  <c r="AA220" i="15"/>
  <c r="AA111" i="15"/>
  <c r="AA99" i="15"/>
  <c r="AA87" i="15"/>
  <c r="AA70" i="15"/>
  <c r="AA39" i="15"/>
  <c r="AA33" i="15"/>
  <c r="AA12" i="15"/>
  <c r="I343" i="15"/>
  <c r="Q342" i="15"/>
  <c r="E342" i="15"/>
  <c r="I341" i="15"/>
  <c r="Q340" i="15"/>
  <c r="E340" i="15"/>
  <c r="I339" i="15"/>
  <c r="Q338" i="15"/>
  <c r="E338" i="15"/>
  <c r="I333" i="15"/>
  <c r="E329" i="15"/>
  <c r="I328" i="15"/>
  <c r="E310" i="15"/>
  <c r="I309" i="15"/>
  <c r="E308" i="15"/>
  <c r="I304" i="15"/>
  <c r="Q303" i="15"/>
  <c r="E303" i="15"/>
  <c r="I302" i="15"/>
  <c r="E301" i="15"/>
  <c r="I300" i="15"/>
  <c r="Q299" i="15"/>
  <c r="E299" i="15"/>
  <c r="I298" i="15"/>
  <c r="E297" i="15"/>
  <c r="I296" i="15"/>
  <c r="E295" i="15"/>
  <c r="I294" i="15"/>
  <c r="Q293" i="15"/>
  <c r="E293" i="15"/>
  <c r="I292" i="15"/>
  <c r="Q237" i="15"/>
  <c r="E237" i="15"/>
  <c r="I227" i="15"/>
  <c r="Q220" i="15"/>
  <c r="E220" i="15"/>
  <c r="I218" i="15"/>
  <c r="Q210" i="15"/>
  <c r="E210" i="15"/>
  <c r="I200" i="15"/>
  <c r="Q111" i="15"/>
  <c r="E111" i="15"/>
  <c r="I104" i="15"/>
  <c r="Q103" i="15"/>
  <c r="E103" i="15"/>
  <c r="I101" i="15"/>
  <c r="Q99" i="15"/>
  <c r="E99" i="15"/>
  <c r="I94" i="15"/>
  <c r="Q91" i="15"/>
  <c r="E91" i="15"/>
  <c r="I89" i="15"/>
  <c r="Q87" i="15"/>
  <c r="E87" i="15"/>
  <c r="I85" i="15"/>
  <c r="Q77" i="15"/>
  <c r="E77" i="15"/>
  <c r="I73" i="15"/>
  <c r="Q70" i="15"/>
  <c r="E70" i="15"/>
  <c r="I65" i="15"/>
  <c r="E46" i="15"/>
  <c r="I45" i="15"/>
  <c r="Q39" i="15"/>
  <c r="E39" i="15"/>
  <c r="AA333" i="15"/>
  <c r="AA302" i="15"/>
  <c r="AA294" i="15"/>
  <c r="AA200" i="15"/>
  <c r="AA89" i="15"/>
  <c r="AA45" i="15"/>
  <c r="AA22" i="15"/>
  <c r="S342" i="15"/>
  <c r="K341" i="15"/>
  <c r="G340" i="15"/>
  <c r="S338" i="15"/>
  <c r="K333" i="15"/>
  <c r="G329" i="15"/>
  <c r="K309" i="15"/>
  <c r="G308" i="15"/>
  <c r="S303" i="15"/>
  <c r="K302" i="15"/>
  <c r="G301" i="15"/>
  <c r="S299" i="15"/>
  <c r="K298" i="15"/>
  <c r="G297" i="15"/>
  <c r="K294" i="15"/>
  <c r="G293" i="15"/>
  <c r="S237" i="15"/>
  <c r="K227" i="15"/>
  <c r="G220" i="15"/>
  <c r="S210" i="15"/>
  <c r="K200" i="15"/>
  <c r="G111" i="15"/>
  <c r="S103" i="15"/>
  <c r="K101" i="15"/>
  <c r="G99" i="15"/>
  <c r="S91" i="15"/>
  <c r="K89" i="15"/>
  <c r="G87" i="15"/>
  <c r="S77" i="15"/>
  <c r="K73" i="15"/>
  <c r="G70" i="15"/>
  <c r="S46" i="15"/>
  <c r="Q45" i="15"/>
  <c r="S39" i="15"/>
  <c r="S37" i="15"/>
  <c r="G37" i="15"/>
  <c r="K36" i="15"/>
  <c r="S35" i="15"/>
  <c r="G35" i="15"/>
  <c r="K33" i="15"/>
  <c r="S27" i="15"/>
  <c r="G27" i="15"/>
  <c r="K23" i="15"/>
  <c r="S22" i="15"/>
  <c r="G22" i="15"/>
  <c r="K12" i="15"/>
  <c r="AA328" i="15"/>
  <c r="AA300" i="15"/>
  <c r="AA292" i="15"/>
  <c r="AA104" i="15"/>
  <c r="AA85" i="15"/>
  <c r="AA37" i="15"/>
  <c r="S343" i="15"/>
  <c r="K342" i="15"/>
  <c r="G341" i="15"/>
  <c r="S339" i="15"/>
  <c r="K338" i="15"/>
  <c r="G333" i="15"/>
  <c r="S328" i="15"/>
  <c r="K310" i="15"/>
  <c r="G309" i="15"/>
  <c r="S304" i="15"/>
  <c r="K303" i="15"/>
  <c r="G302" i="15"/>
  <c r="K299" i="15"/>
  <c r="G298" i="15"/>
  <c r="K295" i="15"/>
  <c r="G294" i="15"/>
  <c r="K237" i="15"/>
  <c r="G227" i="15"/>
  <c r="S218" i="15"/>
  <c r="K210" i="15"/>
  <c r="G200" i="15"/>
  <c r="AA309" i="15"/>
  <c r="AA298" i="15"/>
  <c r="AA227" i="15"/>
  <c r="AA101" i="15"/>
  <c r="AA73" i="15"/>
  <c r="AA35" i="15"/>
  <c r="K343" i="15"/>
  <c r="G342" i="15"/>
  <c r="S340" i="15"/>
  <c r="K339" i="15"/>
  <c r="G338" i="15"/>
  <c r="S329" i="15"/>
  <c r="K328" i="15"/>
  <c r="G310" i="15"/>
  <c r="K304" i="15"/>
  <c r="G303" i="15"/>
  <c r="K300" i="15"/>
  <c r="G299" i="15"/>
  <c r="K296" i="15"/>
  <c r="G295" i="15"/>
  <c r="S293" i="15"/>
  <c r="K292" i="15"/>
  <c r="G237" i="15"/>
  <c r="S220" i="15"/>
  <c r="K218" i="15"/>
  <c r="G210" i="15"/>
  <c r="S111" i="15"/>
  <c r="K104" i="15"/>
  <c r="G103" i="15"/>
  <c r="S99" i="15"/>
  <c r="K94" i="15"/>
  <c r="G91" i="15"/>
  <c r="S87" i="15"/>
  <c r="K85" i="15"/>
  <c r="G77" i="15"/>
  <c r="S70" i="15"/>
  <c r="K65" i="15"/>
  <c r="G46" i="15"/>
  <c r="G45" i="15"/>
  <c r="I39" i="15"/>
  <c r="K37" i="15"/>
  <c r="S36" i="15"/>
  <c r="G36" i="15"/>
  <c r="K35" i="15"/>
  <c r="S33" i="15"/>
  <c r="G33" i="15"/>
  <c r="K27" i="15"/>
  <c r="S23" i="15"/>
  <c r="G23" i="15"/>
  <c r="K22" i="15"/>
  <c r="S12" i="15"/>
  <c r="G12" i="15"/>
  <c r="AA304" i="15"/>
  <c r="AA296" i="15"/>
  <c r="AA218" i="15"/>
  <c r="AA94" i="15"/>
  <c r="AA65" i="15"/>
  <c r="AA27" i="15"/>
  <c r="G343" i="15"/>
  <c r="S341" i="15"/>
  <c r="K340" i="15"/>
  <c r="G339" i="15"/>
  <c r="S333" i="15"/>
  <c r="K329" i="15"/>
  <c r="G328" i="15"/>
  <c r="K308" i="15"/>
  <c r="G304" i="15"/>
  <c r="M304" i="15" s="1"/>
  <c r="K301" i="15"/>
  <c r="G300" i="15"/>
  <c r="S298" i="15"/>
  <c r="K297" i="15"/>
  <c r="G296" i="15"/>
  <c r="K293" i="15"/>
  <c r="G292" i="15"/>
  <c r="S227" i="15"/>
  <c r="K220" i="15"/>
  <c r="G218" i="15"/>
  <c r="S200" i="15"/>
  <c r="K111" i="15"/>
  <c r="S104" i="15"/>
  <c r="G101" i="15"/>
  <c r="K91" i="15"/>
  <c r="S85" i="15"/>
  <c r="G73" i="15"/>
  <c r="K46" i="15"/>
  <c r="K39" i="15"/>
  <c r="E37" i="15"/>
  <c r="Q35" i="15"/>
  <c r="I33" i="15"/>
  <c r="E27" i="15"/>
  <c r="Q22" i="15"/>
  <c r="I12" i="15"/>
  <c r="G104" i="15"/>
  <c r="K99" i="15"/>
  <c r="S89" i="15"/>
  <c r="G85" i="15"/>
  <c r="K70" i="15"/>
  <c r="S45" i="15"/>
  <c r="G39" i="15"/>
  <c r="Q36" i="15"/>
  <c r="I35" i="15"/>
  <c r="E33" i="15"/>
  <c r="I22" i="15"/>
  <c r="E12" i="15"/>
  <c r="K103" i="15"/>
  <c r="S94" i="15"/>
  <c r="G89" i="15"/>
  <c r="K77" i="15"/>
  <c r="S65" i="15"/>
  <c r="K45" i="15"/>
  <c r="Q37" i="15"/>
  <c r="I36" i="15"/>
  <c r="E35" i="15"/>
  <c r="Q27" i="15"/>
  <c r="I23" i="15"/>
  <c r="E22" i="15"/>
  <c r="S101" i="15"/>
  <c r="G94" i="15"/>
  <c r="K87" i="15"/>
  <c r="S73" i="15"/>
  <c r="G65" i="15"/>
  <c r="E45" i="15"/>
  <c r="I37" i="15"/>
  <c r="E36" i="15"/>
  <c r="Q33" i="15"/>
  <c r="I27" i="15"/>
  <c r="E23" i="15"/>
  <c r="Q12" i="15"/>
  <c r="Q23" i="15"/>
  <c r="C22" i="29"/>
  <c r="C22" i="33"/>
  <c r="O304" i="15" l="1"/>
  <c r="M65" i="15"/>
  <c r="O65" i="15" s="1"/>
  <c r="M218" i="15"/>
  <c r="O218" i="15" s="1"/>
  <c r="M341" i="15"/>
  <c r="O341" i="15" s="1"/>
  <c r="M104" i="15"/>
  <c r="O104" i="15" s="1"/>
  <c r="M298" i="15"/>
  <c r="O298" i="15" s="1"/>
  <c r="M101" i="15"/>
  <c r="O101" i="15" s="1"/>
  <c r="M91" i="15"/>
  <c r="O91" i="15" s="1"/>
  <c r="M12" i="15"/>
  <c r="O12" i="15" s="1"/>
  <c r="M295" i="15"/>
  <c r="O295" i="15" s="1"/>
  <c r="M338" i="15"/>
  <c r="O338" i="15" s="1"/>
  <c r="M220" i="15"/>
  <c r="O220" i="15" s="1"/>
  <c r="M308" i="15"/>
  <c r="O308" i="15" s="1"/>
  <c r="M85" i="15"/>
  <c r="O85" i="15" s="1"/>
  <c r="M111" i="15"/>
  <c r="O111" i="15" s="1"/>
  <c r="M301" i="15"/>
  <c r="O301" i="15" s="1"/>
  <c r="D53" i="14"/>
  <c r="M94" i="15"/>
  <c r="O94" i="15" s="1"/>
  <c r="M292" i="15"/>
  <c r="O292" i="15" s="1"/>
  <c r="M328" i="15"/>
  <c r="O328" i="15" s="1"/>
  <c r="M299" i="15"/>
  <c r="O299" i="15" s="1"/>
  <c r="M342" i="15"/>
  <c r="O342" i="15" s="1"/>
  <c r="M200" i="15"/>
  <c r="O200" i="15" s="1"/>
  <c r="M302" i="15"/>
  <c r="O302" i="15" s="1"/>
  <c r="M87" i="15"/>
  <c r="O87" i="15" s="1"/>
  <c r="M35" i="15"/>
  <c r="O35" i="15" s="1"/>
  <c r="M73" i="15"/>
  <c r="O73" i="15" s="1"/>
  <c r="M36" i="15"/>
  <c r="O36" i="15" s="1"/>
  <c r="M333" i="15"/>
  <c r="O333" i="15" s="1"/>
  <c r="C53" i="14"/>
  <c r="M70" i="15"/>
  <c r="O70" i="15" s="1"/>
  <c r="M300" i="15"/>
  <c r="O300" i="15" s="1"/>
  <c r="M343" i="15"/>
  <c r="O343" i="15" s="1"/>
  <c r="M45" i="15"/>
  <c r="O45" i="15" s="1"/>
  <c r="M77" i="15"/>
  <c r="O77" i="15" s="1"/>
  <c r="M237" i="15"/>
  <c r="O237" i="15" s="1"/>
  <c r="M310" i="15"/>
  <c r="O310" i="15" s="1"/>
  <c r="M294" i="15"/>
  <c r="O294" i="15" s="1"/>
  <c r="M27" i="15"/>
  <c r="O27" i="15" s="1"/>
  <c r="M89" i="15"/>
  <c r="O89" i="15" s="1"/>
  <c r="M39" i="15"/>
  <c r="O39" i="15" s="1"/>
  <c r="M296" i="15"/>
  <c r="O296" i="15" s="1"/>
  <c r="M339" i="15"/>
  <c r="O339" i="15" s="1"/>
  <c r="M33" i="15"/>
  <c r="O33" i="15" s="1"/>
  <c r="M46" i="15"/>
  <c r="O46" i="15" s="1"/>
  <c r="M210" i="15"/>
  <c r="O210" i="15" s="1"/>
  <c r="M303" i="15"/>
  <c r="O303" i="15" s="1"/>
  <c r="M227" i="15"/>
  <c r="O227" i="15" s="1"/>
  <c r="M309" i="15"/>
  <c r="O309" i="15" s="1"/>
  <c r="M22" i="15"/>
  <c r="O22" i="15" s="1"/>
  <c r="M99" i="15"/>
  <c r="O99" i="15" s="1"/>
  <c r="M297" i="15"/>
  <c r="O297" i="15" s="1"/>
  <c r="M340" i="15"/>
  <c r="O340" i="15" s="1"/>
  <c r="M23" i="15"/>
  <c r="O23" i="15" s="1"/>
  <c r="M103" i="15"/>
  <c r="O103" i="15" s="1"/>
  <c r="M37" i="15"/>
  <c r="O37" i="15" s="1"/>
  <c r="M293" i="15"/>
  <c r="O293" i="15" s="1"/>
  <c r="M329" i="15"/>
  <c r="O329" i="15" s="1"/>
  <c r="J53" i="14"/>
  <c r="I53" i="14"/>
  <c r="C16" i="29"/>
  <c r="C15" i="29"/>
  <c r="C16" i="33"/>
  <c r="C15" i="33"/>
  <c r="F859" i="1" l="1"/>
  <c r="Y1283" i="1" l="1"/>
  <c r="T1285" i="1"/>
  <c r="C29" i="33" l="1"/>
  <c r="T1292" i="1"/>
  <c r="Y1032" i="1" l="1"/>
  <c r="Y1056" i="1"/>
  <c r="N376" i="36" l="1"/>
  <c r="D355" i="15" l="1"/>
  <c r="D320" i="15"/>
  <c r="D283" i="15"/>
  <c r="U505" i="35" l="1"/>
  <c r="V383" i="35"/>
  <c r="U142" i="35"/>
  <c r="U143" i="35"/>
  <c r="U144" i="35"/>
  <c r="V113" i="35"/>
  <c r="A12" i="46" l="1"/>
  <c r="A13" i="46" s="1"/>
  <c r="A14" i="46" s="1"/>
  <c r="A11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Q12" i="46" l="1"/>
  <c r="A12" i="30" l="1"/>
  <c r="A13" i="30" s="1"/>
  <c r="A14" i="30" s="1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Q13" i="30" l="1"/>
  <c r="C56" i="21" l="1"/>
  <c r="C54" i="21"/>
  <c r="D51" i="21"/>
  <c r="C51" i="21"/>
  <c r="D50" i="21"/>
  <c r="C50" i="21"/>
  <c r="D49" i="21"/>
  <c r="C49" i="21"/>
  <c r="D48" i="21"/>
  <c r="C48" i="21"/>
  <c r="D47" i="21"/>
  <c r="C47" i="21"/>
  <c r="C44" i="21"/>
  <c r="D38" i="19"/>
  <c r="D36" i="19"/>
  <c r="D35" i="19"/>
  <c r="D34" i="19"/>
  <c r="D32" i="19"/>
  <c r="D31" i="19"/>
  <c r="C31" i="19"/>
  <c r="D30" i="19"/>
  <c r="C30" i="19"/>
  <c r="D29" i="19"/>
  <c r="E27" i="19"/>
  <c r="D27" i="19"/>
  <c r="E26" i="19"/>
  <c r="D26" i="19"/>
  <c r="E25" i="19"/>
  <c r="D25" i="19"/>
  <c r="F18" i="19"/>
  <c r="F17" i="19"/>
  <c r="F16" i="19"/>
  <c r="F15" i="19"/>
  <c r="D15" i="19"/>
  <c r="D14" i="19"/>
  <c r="F11" i="19"/>
  <c r="B38" i="11"/>
  <c r="D37" i="11"/>
  <c r="B37" i="11"/>
  <c r="D36" i="11"/>
  <c r="B36" i="11"/>
  <c r="D35" i="11"/>
  <c r="B35" i="11"/>
  <c r="O19" i="11"/>
  <c r="P19" i="11" s="1"/>
  <c r="J19" i="11" s="1"/>
  <c r="X849" i="1" s="1"/>
  <c r="N19" i="11"/>
  <c r="L19" i="11"/>
  <c r="H19" i="11"/>
  <c r="X838" i="1" s="1"/>
  <c r="F19" i="11"/>
  <c r="X844" i="1" s="1"/>
  <c r="D19" i="11"/>
  <c r="O18" i="11"/>
  <c r="N18" i="11"/>
  <c r="L18" i="11"/>
  <c r="H18" i="11"/>
  <c r="F18" i="11"/>
  <c r="D18" i="11"/>
  <c r="O17" i="11"/>
  <c r="P17" i="11" s="1"/>
  <c r="J17" i="11" s="1"/>
  <c r="N17" i="11"/>
  <c r="L17" i="11"/>
  <c r="H17" i="11"/>
  <c r="F17" i="11"/>
  <c r="D17" i="11"/>
  <c r="O16" i="11"/>
  <c r="N16" i="11"/>
  <c r="L16" i="11"/>
  <c r="H16" i="11"/>
  <c r="F16" i="11"/>
  <c r="D16" i="11"/>
  <c r="O15" i="11"/>
  <c r="P15" i="11" s="1"/>
  <c r="J15" i="11" s="1"/>
  <c r="N15" i="11"/>
  <c r="L15" i="11"/>
  <c r="H15" i="11"/>
  <c r="F15" i="11"/>
  <c r="D15" i="11"/>
  <c r="O14" i="11"/>
  <c r="N14" i="11"/>
  <c r="L14" i="11"/>
  <c r="H14" i="11"/>
  <c r="F14" i="11"/>
  <c r="D14" i="11"/>
  <c r="O13" i="11"/>
  <c r="P13" i="11" s="1"/>
  <c r="J13" i="11" s="1"/>
  <c r="N13" i="11"/>
  <c r="L13" i="11"/>
  <c r="H13" i="11"/>
  <c r="F13" i="11"/>
  <c r="D13" i="11"/>
  <c r="O12" i="11"/>
  <c r="N12" i="11"/>
  <c r="L12" i="11"/>
  <c r="H12" i="11"/>
  <c r="F12" i="11"/>
  <c r="D12" i="11"/>
  <c r="O11" i="11"/>
  <c r="P11" i="11" s="1"/>
  <c r="J11" i="11" s="1"/>
  <c r="N11" i="11"/>
  <c r="L11" i="11"/>
  <c r="H11" i="11"/>
  <c r="F11" i="11"/>
  <c r="D11" i="11"/>
  <c r="O10" i="11"/>
  <c r="N10" i="11"/>
  <c r="L10" i="11"/>
  <c r="H10" i="11"/>
  <c r="F10" i="11"/>
  <c r="D10" i="11"/>
  <c r="O9" i="11"/>
  <c r="P9" i="11" s="1"/>
  <c r="J9" i="11" s="1"/>
  <c r="N9" i="11"/>
  <c r="L9" i="11"/>
  <c r="H9" i="11"/>
  <c r="F9" i="11"/>
  <c r="D9" i="11"/>
  <c r="O8" i="11"/>
  <c r="N8" i="11"/>
  <c r="L8" i="11"/>
  <c r="H8" i="11"/>
  <c r="F8" i="11"/>
  <c r="D8" i="11"/>
  <c r="O7" i="11"/>
  <c r="P7" i="11" s="1"/>
  <c r="J7" i="11" s="1"/>
  <c r="N7" i="11"/>
  <c r="L7" i="11"/>
  <c r="H7" i="11"/>
  <c r="H21" i="11" s="1"/>
  <c r="H22" i="11" s="1"/>
  <c r="T838" i="1" s="1"/>
  <c r="F7" i="11"/>
  <c r="F21" i="11" s="1"/>
  <c r="F22" i="11" s="1"/>
  <c r="T844" i="1" s="1"/>
  <c r="D7" i="11"/>
  <c r="AG112" i="48"/>
  <c r="AF112" i="48"/>
  <c r="AE112" i="48"/>
  <c r="AD112" i="48"/>
  <c r="AC112" i="48"/>
  <c r="AB112" i="48"/>
  <c r="AA112" i="48"/>
  <c r="Z112" i="48"/>
  <c r="Y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AG111" i="48"/>
  <c r="AF111" i="48"/>
  <c r="AE111" i="48"/>
  <c r="AD111" i="48"/>
  <c r="AC111" i="48"/>
  <c r="AB111" i="48"/>
  <c r="AA111" i="48"/>
  <c r="Z111" i="48"/>
  <c r="Y111" i="48"/>
  <c r="X111" i="48"/>
  <c r="W111" i="48"/>
  <c r="V111" i="48"/>
  <c r="U111" i="48"/>
  <c r="T111" i="48"/>
  <c r="S111" i="48"/>
  <c r="R111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D111" i="48"/>
  <c r="AG110" i="48"/>
  <c r="AF110" i="48"/>
  <c r="AE110" i="48"/>
  <c r="AD110" i="48"/>
  <c r="AC110" i="48"/>
  <c r="AB110" i="48"/>
  <c r="AA110" i="48"/>
  <c r="Z110" i="48"/>
  <c r="Y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AG109" i="48"/>
  <c r="AF109" i="48"/>
  <c r="AE109" i="48"/>
  <c r="AD109" i="48"/>
  <c r="AC109" i="48"/>
  <c r="AB109" i="48"/>
  <c r="AA109" i="48"/>
  <c r="Z109" i="48"/>
  <c r="Y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D108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D104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AG99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AG98" i="48"/>
  <c r="AF98" i="48"/>
  <c r="AE98" i="48"/>
  <c r="AD98" i="48"/>
  <c r="AC98" i="48"/>
  <c r="AB98" i="48"/>
  <c r="AA98" i="48"/>
  <c r="Z98" i="48"/>
  <c r="Y98" i="48"/>
  <c r="X98" i="48"/>
  <c r="W98" i="48"/>
  <c r="V98" i="48"/>
  <c r="U98" i="48"/>
  <c r="T98" i="48"/>
  <c r="S98" i="48"/>
  <c r="R98" i="48"/>
  <c r="Q98" i="48"/>
  <c r="P98" i="48"/>
  <c r="O98" i="48"/>
  <c r="N98" i="48"/>
  <c r="M98" i="48"/>
  <c r="L98" i="48"/>
  <c r="K98" i="48"/>
  <c r="J98" i="48"/>
  <c r="I98" i="48"/>
  <c r="H98" i="48"/>
  <c r="G98" i="48"/>
  <c r="F98" i="48"/>
  <c r="E98" i="48"/>
  <c r="D98" i="48"/>
  <c r="AG97" i="48"/>
  <c r="AF97" i="48"/>
  <c r="AE97" i="48"/>
  <c r="AD97" i="48"/>
  <c r="AC97" i="48"/>
  <c r="AB97" i="48"/>
  <c r="AA97" i="48"/>
  <c r="Z97" i="48"/>
  <c r="Y97" i="48"/>
  <c r="X97" i="48"/>
  <c r="W97" i="48"/>
  <c r="V97" i="48"/>
  <c r="U97" i="48"/>
  <c r="T97" i="48"/>
  <c r="S97" i="48"/>
  <c r="R97" i="48"/>
  <c r="Q97" i="48"/>
  <c r="P97" i="48"/>
  <c r="O97" i="48"/>
  <c r="N97" i="48"/>
  <c r="M97" i="48"/>
  <c r="L97" i="48"/>
  <c r="K97" i="48"/>
  <c r="J97" i="48"/>
  <c r="I97" i="48"/>
  <c r="H97" i="48"/>
  <c r="G97" i="48"/>
  <c r="F97" i="48"/>
  <c r="E97" i="48"/>
  <c r="D97" i="48"/>
  <c r="AG96" i="48"/>
  <c r="AF96" i="48"/>
  <c r="AE96" i="48"/>
  <c r="AD96" i="48"/>
  <c r="AC96" i="48"/>
  <c r="AB96" i="48"/>
  <c r="AA96" i="48"/>
  <c r="Z96" i="48"/>
  <c r="Y96" i="48"/>
  <c r="X96" i="48"/>
  <c r="W96" i="48"/>
  <c r="V96" i="48"/>
  <c r="U96" i="48"/>
  <c r="T96" i="48"/>
  <c r="S96" i="48"/>
  <c r="R96" i="48"/>
  <c r="Q96" i="48"/>
  <c r="P96" i="48"/>
  <c r="O96" i="48"/>
  <c r="N96" i="48"/>
  <c r="M96" i="48"/>
  <c r="L96" i="48"/>
  <c r="K96" i="48"/>
  <c r="J96" i="48"/>
  <c r="I96" i="48"/>
  <c r="H96" i="48"/>
  <c r="G96" i="48"/>
  <c r="F96" i="48"/>
  <c r="E96" i="48"/>
  <c r="D96" i="48"/>
  <c r="AG95" i="48"/>
  <c r="AF95" i="48"/>
  <c r="AE95" i="48"/>
  <c r="AD95" i="48"/>
  <c r="AC95" i="48"/>
  <c r="AB95" i="48"/>
  <c r="AA95" i="48"/>
  <c r="Z95" i="48"/>
  <c r="Y95" i="48"/>
  <c r="X95" i="48"/>
  <c r="W95" i="48"/>
  <c r="V95" i="48"/>
  <c r="U95" i="48"/>
  <c r="T95" i="48"/>
  <c r="S95" i="48"/>
  <c r="R95" i="48"/>
  <c r="Q95" i="48"/>
  <c r="P95" i="48"/>
  <c r="O95" i="48"/>
  <c r="N95" i="48"/>
  <c r="M95" i="48"/>
  <c r="L95" i="48"/>
  <c r="K95" i="48"/>
  <c r="J95" i="48"/>
  <c r="I95" i="48"/>
  <c r="H95" i="48"/>
  <c r="G95" i="48"/>
  <c r="F95" i="48"/>
  <c r="E95" i="48"/>
  <c r="D95" i="48"/>
  <c r="AG94" i="48"/>
  <c r="AF94" i="48"/>
  <c r="AE94" i="48"/>
  <c r="AD94" i="48"/>
  <c r="AC94" i="48"/>
  <c r="AB94" i="48"/>
  <c r="AA94" i="48"/>
  <c r="Z94" i="48"/>
  <c r="Y94" i="48"/>
  <c r="X94" i="48"/>
  <c r="W94" i="48"/>
  <c r="V94" i="48"/>
  <c r="U94" i="48"/>
  <c r="T94" i="48"/>
  <c r="S94" i="48"/>
  <c r="R94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E94" i="48"/>
  <c r="D94" i="48"/>
  <c r="AG93" i="48"/>
  <c r="AF93" i="48"/>
  <c r="AE93" i="48"/>
  <c r="AD93" i="48"/>
  <c r="AC93" i="48"/>
  <c r="AB93" i="48"/>
  <c r="AA93" i="48"/>
  <c r="Z93" i="48"/>
  <c r="Y93" i="48"/>
  <c r="X93" i="48"/>
  <c r="W93" i="48"/>
  <c r="V93" i="48"/>
  <c r="U93" i="48"/>
  <c r="T93" i="48"/>
  <c r="S93" i="48"/>
  <c r="R93" i="48"/>
  <c r="Q93" i="48"/>
  <c r="P93" i="48"/>
  <c r="O93" i="48"/>
  <c r="N93" i="48"/>
  <c r="M93" i="48"/>
  <c r="L93" i="48"/>
  <c r="K93" i="48"/>
  <c r="J93" i="48"/>
  <c r="I93" i="48"/>
  <c r="H93" i="48"/>
  <c r="G93" i="48"/>
  <c r="F93" i="48"/>
  <c r="E93" i="48"/>
  <c r="D93" i="48"/>
  <c r="AG92" i="48"/>
  <c r="AF92" i="48"/>
  <c r="AE92" i="48"/>
  <c r="AD92" i="48"/>
  <c r="AC92" i="48"/>
  <c r="AB92" i="48"/>
  <c r="AA92" i="48"/>
  <c r="Z92" i="48"/>
  <c r="Y92" i="48"/>
  <c r="X92" i="48"/>
  <c r="W92" i="48"/>
  <c r="V92" i="48"/>
  <c r="U92" i="48"/>
  <c r="T92" i="48"/>
  <c r="S92" i="48"/>
  <c r="R92" i="48"/>
  <c r="Q92" i="48"/>
  <c r="P92" i="48"/>
  <c r="O92" i="48"/>
  <c r="N92" i="48"/>
  <c r="M92" i="48"/>
  <c r="L92" i="48"/>
  <c r="K92" i="48"/>
  <c r="J92" i="48"/>
  <c r="I92" i="48"/>
  <c r="H92" i="48"/>
  <c r="G92" i="48"/>
  <c r="F92" i="48"/>
  <c r="E92" i="48"/>
  <c r="D92" i="48"/>
  <c r="AG91" i="48"/>
  <c r="AF91" i="48"/>
  <c r="AE91" i="48"/>
  <c r="AD91" i="48"/>
  <c r="AC91" i="48"/>
  <c r="AB91" i="48"/>
  <c r="AA91" i="48"/>
  <c r="Z91" i="48"/>
  <c r="Y91" i="48"/>
  <c r="X91" i="48"/>
  <c r="W91" i="48"/>
  <c r="V91" i="48"/>
  <c r="U91" i="48"/>
  <c r="T91" i="48"/>
  <c r="S91" i="48"/>
  <c r="R91" i="48"/>
  <c r="Q91" i="48"/>
  <c r="P91" i="48"/>
  <c r="O91" i="48"/>
  <c r="N91" i="48"/>
  <c r="M91" i="48"/>
  <c r="L91" i="48"/>
  <c r="K91" i="48"/>
  <c r="J91" i="48"/>
  <c r="I91" i="48"/>
  <c r="H91" i="48"/>
  <c r="G91" i="48"/>
  <c r="F91" i="48"/>
  <c r="E91" i="48"/>
  <c r="D91" i="48"/>
  <c r="AG90" i="48"/>
  <c r="AF90" i="48"/>
  <c r="AE90" i="48"/>
  <c r="AD90" i="48"/>
  <c r="AC90" i="48"/>
  <c r="AB90" i="48"/>
  <c r="AA90" i="48"/>
  <c r="Z90" i="48"/>
  <c r="Y90" i="48"/>
  <c r="X90" i="48"/>
  <c r="W90" i="48"/>
  <c r="V90" i="48"/>
  <c r="U90" i="48"/>
  <c r="T90" i="48"/>
  <c r="S90" i="48"/>
  <c r="R90" i="48"/>
  <c r="Q90" i="48"/>
  <c r="P90" i="48"/>
  <c r="O90" i="48"/>
  <c r="N90" i="48"/>
  <c r="M90" i="48"/>
  <c r="L90" i="48"/>
  <c r="K90" i="48"/>
  <c r="J90" i="48"/>
  <c r="I90" i="48"/>
  <c r="H90" i="48"/>
  <c r="G90" i="48"/>
  <c r="F90" i="48"/>
  <c r="E90" i="48"/>
  <c r="D90" i="48"/>
  <c r="AG89" i="48"/>
  <c r="AF89" i="48"/>
  <c r="AE89" i="48"/>
  <c r="AD89" i="48"/>
  <c r="AC89" i="48"/>
  <c r="AB89" i="48"/>
  <c r="AA89" i="48"/>
  <c r="Z89" i="48"/>
  <c r="Y89" i="48"/>
  <c r="X89" i="48"/>
  <c r="W89" i="48"/>
  <c r="V89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G89" i="48"/>
  <c r="F89" i="48"/>
  <c r="E89" i="48"/>
  <c r="D89" i="48"/>
  <c r="AG88" i="48"/>
  <c r="P88" i="48"/>
  <c r="AG86" i="48"/>
  <c r="AF86" i="48"/>
  <c r="AE86" i="48"/>
  <c r="AD86" i="48"/>
  <c r="AC86" i="48"/>
  <c r="AB86" i="48"/>
  <c r="AA86" i="48"/>
  <c r="Z86" i="48"/>
  <c r="Y86" i="48"/>
  <c r="X86" i="48"/>
  <c r="W86" i="48"/>
  <c r="V86" i="48"/>
  <c r="U86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H86" i="48"/>
  <c r="G86" i="48"/>
  <c r="F86" i="48"/>
  <c r="E86" i="48"/>
  <c r="D86" i="48"/>
  <c r="AG85" i="48"/>
  <c r="AF85" i="48"/>
  <c r="AE85" i="48"/>
  <c r="AD85" i="48"/>
  <c r="AC85" i="48"/>
  <c r="AB85" i="48"/>
  <c r="AA85" i="48"/>
  <c r="Z85" i="48"/>
  <c r="Y85" i="48"/>
  <c r="X85" i="48"/>
  <c r="W85" i="48"/>
  <c r="V85" i="48"/>
  <c r="U85" i="48"/>
  <c r="T85" i="48"/>
  <c r="S85" i="48"/>
  <c r="R85" i="48"/>
  <c r="Q85" i="48"/>
  <c r="P85" i="48"/>
  <c r="O85" i="48"/>
  <c r="N85" i="48"/>
  <c r="M85" i="48"/>
  <c r="L85" i="48"/>
  <c r="K85" i="48"/>
  <c r="J85" i="48"/>
  <c r="I85" i="48"/>
  <c r="H85" i="48"/>
  <c r="G85" i="48"/>
  <c r="F85" i="48"/>
  <c r="E85" i="48"/>
  <c r="D85" i="48"/>
  <c r="AG84" i="48"/>
  <c r="AF84" i="48"/>
  <c r="AE84" i="48"/>
  <c r="AD84" i="48"/>
  <c r="AC84" i="48"/>
  <c r="AB84" i="48"/>
  <c r="AA84" i="48"/>
  <c r="Z84" i="48"/>
  <c r="Y84" i="48"/>
  <c r="X84" i="48"/>
  <c r="W84" i="48"/>
  <c r="V84" i="48"/>
  <c r="U84" i="48"/>
  <c r="T84" i="48"/>
  <c r="S84" i="48"/>
  <c r="R84" i="48"/>
  <c r="Q84" i="48"/>
  <c r="P84" i="48"/>
  <c r="O84" i="48"/>
  <c r="N84" i="48"/>
  <c r="M84" i="48"/>
  <c r="L84" i="48"/>
  <c r="K84" i="48"/>
  <c r="J84" i="48"/>
  <c r="I84" i="48"/>
  <c r="H84" i="48"/>
  <c r="G84" i="48"/>
  <c r="F84" i="48"/>
  <c r="E84" i="48"/>
  <c r="D84" i="48"/>
  <c r="AG83" i="48"/>
  <c r="AF83" i="48"/>
  <c r="AE83" i="48"/>
  <c r="AD83" i="48"/>
  <c r="AC83" i="48"/>
  <c r="AB83" i="48"/>
  <c r="AA83" i="48"/>
  <c r="Z83" i="48"/>
  <c r="Y83" i="48"/>
  <c r="X83" i="48"/>
  <c r="W83" i="48"/>
  <c r="V83" i="48"/>
  <c r="U83" i="48"/>
  <c r="T83" i="48"/>
  <c r="S83" i="48"/>
  <c r="R83" i="48"/>
  <c r="Q83" i="48"/>
  <c r="P83" i="48"/>
  <c r="O83" i="48"/>
  <c r="N83" i="48"/>
  <c r="M83" i="48"/>
  <c r="L83" i="48"/>
  <c r="K83" i="48"/>
  <c r="J83" i="48"/>
  <c r="I83" i="48"/>
  <c r="H83" i="48"/>
  <c r="G83" i="48"/>
  <c r="F83" i="48"/>
  <c r="E83" i="48"/>
  <c r="D83" i="48"/>
  <c r="AG82" i="48"/>
  <c r="AF82" i="48"/>
  <c r="AE82" i="48"/>
  <c r="AD82" i="48"/>
  <c r="AC82" i="48"/>
  <c r="AB82" i="48"/>
  <c r="AA82" i="48"/>
  <c r="Z82" i="48"/>
  <c r="Y82" i="48"/>
  <c r="X82" i="48"/>
  <c r="W82" i="48"/>
  <c r="V82" i="48"/>
  <c r="U82" i="48"/>
  <c r="T82" i="48"/>
  <c r="S82" i="48"/>
  <c r="R82" i="48"/>
  <c r="Q82" i="48"/>
  <c r="P82" i="48"/>
  <c r="O82" i="48"/>
  <c r="N82" i="48"/>
  <c r="M82" i="48"/>
  <c r="L82" i="48"/>
  <c r="K82" i="48"/>
  <c r="J82" i="48"/>
  <c r="I82" i="48"/>
  <c r="H82" i="48"/>
  <c r="G82" i="48"/>
  <c r="F82" i="48"/>
  <c r="E82" i="48"/>
  <c r="D82" i="48"/>
  <c r="AG81" i="48"/>
  <c r="AF81" i="48"/>
  <c r="AE81" i="48"/>
  <c r="AD81" i="48"/>
  <c r="AC81" i="48"/>
  <c r="AB81" i="48"/>
  <c r="AA81" i="48"/>
  <c r="Z81" i="48"/>
  <c r="Y81" i="48"/>
  <c r="X81" i="48"/>
  <c r="W81" i="48"/>
  <c r="V81" i="48"/>
  <c r="U81" i="48"/>
  <c r="T81" i="48"/>
  <c r="S81" i="48"/>
  <c r="R81" i="48"/>
  <c r="Q81" i="48"/>
  <c r="P81" i="48"/>
  <c r="O81" i="48"/>
  <c r="N81" i="48"/>
  <c r="M81" i="48"/>
  <c r="L81" i="48"/>
  <c r="K81" i="48"/>
  <c r="J81" i="48"/>
  <c r="I81" i="48"/>
  <c r="H81" i="48"/>
  <c r="G81" i="48"/>
  <c r="F81" i="48"/>
  <c r="E81" i="48"/>
  <c r="D81" i="48"/>
  <c r="AG80" i="48"/>
  <c r="AF80" i="48"/>
  <c r="AE80" i="48"/>
  <c r="AD80" i="48"/>
  <c r="AC80" i="48"/>
  <c r="AB80" i="48"/>
  <c r="AA80" i="48"/>
  <c r="Z80" i="48"/>
  <c r="Y80" i="48"/>
  <c r="X80" i="48"/>
  <c r="W80" i="48"/>
  <c r="V80" i="48"/>
  <c r="U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D80" i="48"/>
  <c r="AG79" i="48"/>
  <c r="AF79" i="48"/>
  <c r="AE79" i="48"/>
  <c r="AD79" i="48"/>
  <c r="AC79" i="48"/>
  <c r="AB79" i="48"/>
  <c r="AA79" i="48"/>
  <c r="Z79" i="48"/>
  <c r="Y79" i="48"/>
  <c r="X79" i="48"/>
  <c r="W79" i="48"/>
  <c r="V79" i="48"/>
  <c r="U79" i="48"/>
  <c r="T79" i="48"/>
  <c r="S79" i="48"/>
  <c r="R79" i="48"/>
  <c r="Q79" i="48"/>
  <c r="P79" i="48"/>
  <c r="O79" i="48"/>
  <c r="N79" i="48"/>
  <c r="M79" i="48"/>
  <c r="L79" i="48"/>
  <c r="K79" i="48"/>
  <c r="J79" i="48"/>
  <c r="I79" i="48"/>
  <c r="H79" i="48"/>
  <c r="G79" i="48"/>
  <c r="F79" i="48"/>
  <c r="E79" i="48"/>
  <c r="D79" i="48"/>
  <c r="AG78" i="48"/>
  <c r="AF78" i="48"/>
  <c r="AE78" i="48"/>
  <c r="AD78" i="48"/>
  <c r="AC78" i="48"/>
  <c r="AB78" i="48"/>
  <c r="AA78" i="48"/>
  <c r="Z78" i="48"/>
  <c r="Y78" i="48"/>
  <c r="X78" i="48"/>
  <c r="W78" i="48"/>
  <c r="V78" i="48"/>
  <c r="U78" i="48"/>
  <c r="T78" i="48"/>
  <c r="S78" i="48"/>
  <c r="R78" i="48"/>
  <c r="Q78" i="48"/>
  <c r="P78" i="48"/>
  <c r="O78" i="48"/>
  <c r="N78" i="48"/>
  <c r="M78" i="48"/>
  <c r="L78" i="48"/>
  <c r="K78" i="48"/>
  <c r="J78" i="48"/>
  <c r="I78" i="48"/>
  <c r="H78" i="48"/>
  <c r="G78" i="48"/>
  <c r="F78" i="48"/>
  <c r="E78" i="48"/>
  <c r="D78" i="48"/>
  <c r="AG77" i="48"/>
  <c r="AF77" i="48"/>
  <c r="AE77" i="48"/>
  <c r="AD77" i="48"/>
  <c r="AC77" i="48"/>
  <c r="AB77" i="48"/>
  <c r="AA77" i="48"/>
  <c r="Z77" i="48"/>
  <c r="Y77" i="48"/>
  <c r="X77" i="48"/>
  <c r="W77" i="48"/>
  <c r="V77" i="48"/>
  <c r="U77" i="48"/>
  <c r="T77" i="48"/>
  <c r="S77" i="48"/>
  <c r="R77" i="48"/>
  <c r="Q77" i="48"/>
  <c r="P77" i="48"/>
  <c r="O77" i="48"/>
  <c r="N77" i="48"/>
  <c r="M77" i="48"/>
  <c r="L77" i="48"/>
  <c r="K77" i="48"/>
  <c r="J77" i="48"/>
  <c r="I77" i="48"/>
  <c r="H77" i="48"/>
  <c r="G77" i="48"/>
  <c r="F77" i="48"/>
  <c r="E77" i="48"/>
  <c r="D77" i="48"/>
  <c r="AG76" i="48"/>
  <c r="AF76" i="48"/>
  <c r="AE76" i="48"/>
  <c r="AD76" i="48"/>
  <c r="AC76" i="48"/>
  <c r="AB76" i="48"/>
  <c r="AA76" i="48"/>
  <c r="Z76" i="48"/>
  <c r="Y76" i="48"/>
  <c r="X76" i="48"/>
  <c r="W76" i="48"/>
  <c r="V76" i="48"/>
  <c r="U76" i="48"/>
  <c r="T76" i="48"/>
  <c r="S76" i="48"/>
  <c r="R76" i="48"/>
  <c r="Q76" i="48"/>
  <c r="P76" i="48"/>
  <c r="O76" i="48"/>
  <c r="N76" i="48"/>
  <c r="M76" i="48"/>
  <c r="L76" i="48"/>
  <c r="K76" i="48"/>
  <c r="J76" i="48"/>
  <c r="I76" i="48"/>
  <c r="H76" i="48"/>
  <c r="G76" i="48"/>
  <c r="F76" i="48"/>
  <c r="E76" i="48"/>
  <c r="D76" i="48"/>
  <c r="AG75" i="48"/>
  <c r="P75" i="48"/>
  <c r="AG73" i="48"/>
  <c r="AF73" i="48"/>
  <c r="AE73" i="48"/>
  <c r="AD73" i="48"/>
  <c r="AC73" i="48"/>
  <c r="AB73" i="48"/>
  <c r="AA73" i="48"/>
  <c r="Z73" i="48"/>
  <c r="Y73" i="48"/>
  <c r="X73" i="48"/>
  <c r="W73" i="48"/>
  <c r="V73" i="48"/>
  <c r="U73" i="48"/>
  <c r="T73" i="48"/>
  <c r="S73" i="48"/>
  <c r="R73" i="48"/>
  <c r="Q73" i="48"/>
  <c r="P73" i="48"/>
  <c r="O73" i="48"/>
  <c r="N73" i="48"/>
  <c r="M73" i="48"/>
  <c r="L73" i="48"/>
  <c r="K73" i="48"/>
  <c r="J73" i="48"/>
  <c r="I73" i="48"/>
  <c r="H73" i="48"/>
  <c r="G73" i="48"/>
  <c r="F73" i="48"/>
  <c r="E73" i="48"/>
  <c r="D73" i="48"/>
  <c r="AG72" i="48"/>
  <c r="AF72" i="48"/>
  <c r="AE72" i="48"/>
  <c r="AD72" i="48"/>
  <c r="AC72" i="48"/>
  <c r="AB72" i="48"/>
  <c r="AA72" i="48"/>
  <c r="Z72" i="48"/>
  <c r="Y72" i="48"/>
  <c r="X72" i="48"/>
  <c r="W72" i="48"/>
  <c r="V72" i="48"/>
  <c r="U72" i="48"/>
  <c r="T72" i="48"/>
  <c r="S72" i="48"/>
  <c r="R72" i="48"/>
  <c r="Q72" i="48"/>
  <c r="P72" i="48"/>
  <c r="O72" i="48"/>
  <c r="N72" i="48"/>
  <c r="M72" i="48"/>
  <c r="L72" i="48"/>
  <c r="K72" i="48"/>
  <c r="J72" i="48"/>
  <c r="I72" i="48"/>
  <c r="H72" i="48"/>
  <c r="G72" i="48"/>
  <c r="F72" i="48"/>
  <c r="E72" i="48"/>
  <c r="D72" i="48"/>
  <c r="AG71" i="48"/>
  <c r="AF71" i="48"/>
  <c r="AE71" i="48"/>
  <c r="AD71" i="48"/>
  <c r="AC71" i="48"/>
  <c r="AB71" i="48"/>
  <c r="AA71" i="48"/>
  <c r="Z71" i="48"/>
  <c r="Y71" i="48"/>
  <c r="X71" i="48"/>
  <c r="W71" i="48"/>
  <c r="V71" i="48"/>
  <c r="U71" i="48"/>
  <c r="T71" i="48"/>
  <c r="S71" i="48"/>
  <c r="R71" i="48"/>
  <c r="Q71" i="48"/>
  <c r="P71" i="48"/>
  <c r="O71" i="48"/>
  <c r="N71" i="48"/>
  <c r="M71" i="48"/>
  <c r="L71" i="48"/>
  <c r="K71" i="48"/>
  <c r="J71" i="48"/>
  <c r="I71" i="48"/>
  <c r="H71" i="48"/>
  <c r="G71" i="48"/>
  <c r="F71" i="48"/>
  <c r="E71" i="48"/>
  <c r="D71" i="48"/>
  <c r="AG70" i="48"/>
  <c r="AF70" i="48"/>
  <c r="AE70" i="48"/>
  <c r="AD70" i="48"/>
  <c r="AC70" i="48"/>
  <c r="AB70" i="48"/>
  <c r="AA70" i="48"/>
  <c r="Z70" i="48"/>
  <c r="Y70" i="48"/>
  <c r="X70" i="48"/>
  <c r="W70" i="48"/>
  <c r="V70" i="48"/>
  <c r="U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D70" i="48"/>
  <c r="AG69" i="48"/>
  <c r="AF69" i="48"/>
  <c r="AE69" i="48"/>
  <c r="AD69" i="48"/>
  <c r="AC69" i="48"/>
  <c r="AB69" i="48"/>
  <c r="AA69" i="48"/>
  <c r="Z69" i="48"/>
  <c r="Y69" i="48"/>
  <c r="X69" i="48"/>
  <c r="W69" i="48"/>
  <c r="V69" i="48"/>
  <c r="U69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H69" i="48"/>
  <c r="G69" i="48"/>
  <c r="F69" i="48"/>
  <c r="E69" i="48"/>
  <c r="D69" i="48"/>
  <c r="AG68" i="48"/>
  <c r="AF68" i="48"/>
  <c r="AE68" i="48"/>
  <c r="AD68" i="48"/>
  <c r="AC68" i="48"/>
  <c r="AB68" i="48"/>
  <c r="AA68" i="48"/>
  <c r="Z68" i="48"/>
  <c r="Y68" i="48"/>
  <c r="X68" i="48"/>
  <c r="W68" i="48"/>
  <c r="V68" i="48"/>
  <c r="U68" i="48"/>
  <c r="T68" i="48"/>
  <c r="S68" i="48"/>
  <c r="R68" i="48"/>
  <c r="Q68" i="48"/>
  <c r="P68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AG67" i="48"/>
  <c r="AF67" i="48"/>
  <c r="AE67" i="48"/>
  <c r="AD67" i="48"/>
  <c r="AC67" i="48"/>
  <c r="AB67" i="48"/>
  <c r="AA67" i="48"/>
  <c r="Z67" i="48"/>
  <c r="Y67" i="48"/>
  <c r="X67" i="48"/>
  <c r="W67" i="48"/>
  <c r="V67" i="48"/>
  <c r="U67" i="48"/>
  <c r="T67" i="48"/>
  <c r="S67" i="48"/>
  <c r="R67" i="48"/>
  <c r="Q67" i="48"/>
  <c r="P67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AG66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AG65" i="48"/>
  <c r="AF65" i="48"/>
  <c r="AE65" i="48"/>
  <c r="AD65" i="48"/>
  <c r="AC65" i="48"/>
  <c r="AB65" i="48"/>
  <c r="AA65" i="48"/>
  <c r="Z65" i="48"/>
  <c r="Y65" i="48"/>
  <c r="X65" i="48"/>
  <c r="W65" i="48"/>
  <c r="V65" i="48"/>
  <c r="U65" i="48"/>
  <c r="T65" i="48"/>
  <c r="S65" i="48"/>
  <c r="R65" i="48"/>
  <c r="Q65" i="48"/>
  <c r="P65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AG64" i="48"/>
  <c r="AF64" i="48"/>
  <c r="AE64" i="48"/>
  <c r="AD64" i="48"/>
  <c r="AC64" i="48"/>
  <c r="AB64" i="48"/>
  <c r="AA64" i="48"/>
  <c r="Z64" i="48"/>
  <c r="Y64" i="48"/>
  <c r="X64" i="48"/>
  <c r="W64" i="48"/>
  <c r="V64" i="48"/>
  <c r="U64" i="48"/>
  <c r="T64" i="48"/>
  <c r="S64" i="48"/>
  <c r="R64" i="48"/>
  <c r="Q64" i="48"/>
  <c r="P64" i="48"/>
  <c r="O64" i="48"/>
  <c r="N64" i="48"/>
  <c r="M64" i="48"/>
  <c r="L64" i="48"/>
  <c r="K64" i="48"/>
  <c r="J64" i="48"/>
  <c r="I64" i="48"/>
  <c r="H64" i="48"/>
  <c r="G64" i="48"/>
  <c r="F64" i="48"/>
  <c r="E64" i="48"/>
  <c r="D64" i="48"/>
  <c r="AG63" i="48"/>
  <c r="AF63" i="48"/>
  <c r="AE63" i="48"/>
  <c r="AD63" i="48"/>
  <c r="AC63" i="48"/>
  <c r="AB63" i="48"/>
  <c r="AA63" i="48"/>
  <c r="Z63" i="48"/>
  <c r="Y63" i="48"/>
  <c r="X63" i="48"/>
  <c r="W63" i="48"/>
  <c r="V63" i="48"/>
  <c r="U63" i="48"/>
  <c r="T63" i="48"/>
  <c r="S63" i="48"/>
  <c r="R63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AG62" i="48"/>
  <c r="P62" i="48"/>
  <c r="AG60" i="48"/>
  <c r="AF60" i="48"/>
  <c r="AE60" i="48"/>
  <c r="AD60" i="48"/>
  <c r="AC60" i="48"/>
  <c r="AB60" i="48"/>
  <c r="AA60" i="48"/>
  <c r="Z60" i="48"/>
  <c r="Y60" i="48"/>
  <c r="X60" i="48"/>
  <c r="W60" i="48"/>
  <c r="V60" i="48"/>
  <c r="U60" i="48"/>
  <c r="T60" i="48"/>
  <c r="S60" i="48"/>
  <c r="R60" i="48"/>
  <c r="Q60" i="48"/>
  <c r="P60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AG59" i="48"/>
  <c r="P59" i="48"/>
  <c r="AG58" i="48"/>
  <c r="P58" i="48"/>
  <c r="AG57" i="48"/>
  <c r="P57" i="48"/>
  <c r="AG56" i="48"/>
  <c r="P56" i="48"/>
  <c r="AG55" i="48"/>
  <c r="P55" i="48"/>
  <c r="AG54" i="48"/>
  <c r="P54" i="48"/>
  <c r="AG53" i="48"/>
  <c r="P53" i="48"/>
  <c r="AG52" i="48"/>
  <c r="P52" i="48"/>
  <c r="AG51" i="48"/>
  <c r="P51" i="48"/>
  <c r="AG50" i="48"/>
  <c r="P50" i="48"/>
  <c r="AG49" i="48"/>
  <c r="P49" i="48"/>
  <c r="AG48" i="48"/>
  <c r="P48" i="48"/>
  <c r="AG47" i="48"/>
  <c r="P47" i="48"/>
  <c r="AG46" i="48"/>
  <c r="P46" i="48"/>
  <c r="AG45" i="48"/>
  <c r="P45" i="48"/>
  <c r="AG44" i="48"/>
  <c r="AF44" i="48"/>
  <c r="AE44" i="48"/>
  <c r="AD44" i="48"/>
  <c r="AC44" i="48"/>
  <c r="AB44" i="48"/>
  <c r="AA44" i="48"/>
  <c r="Z44" i="48"/>
  <c r="Y44" i="48"/>
  <c r="X44" i="48"/>
  <c r="W44" i="48"/>
  <c r="V44" i="48"/>
  <c r="U44" i="48"/>
  <c r="T44" i="48"/>
  <c r="S44" i="48"/>
  <c r="R44" i="48"/>
  <c r="Q44" i="48"/>
  <c r="P44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AG43" i="48"/>
  <c r="P43" i="48"/>
  <c r="AG42" i="48"/>
  <c r="P42" i="48"/>
  <c r="AG41" i="48"/>
  <c r="P41" i="48"/>
  <c r="AG40" i="48"/>
  <c r="P40" i="48"/>
  <c r="AG39" i="48"/>
  <c r="P39" i="48"/>
  <c r="AG38" i="48"/>
  <c r="P38" i="48"/>
  <c r="AG37" i="48"/>
  <c r="P37" i="48"/>
  <c r="AG36" i="48"/>
  <c r="P36" i="48"/>
  <c r="AG35" i="48"/>
  <c r="P35" i="48"/>
  <c r="AG34" i="48"/>
  <c r="P34" i="48"/>
  <c r="AG33" i="48"/>
  <c r="P33" i="48"/>
  <c r="AG32" i="48"/>
  <c r="P32" i="48"/>
  <c r="AG31" i="48"/>
  <c r="AF31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AG30" i="48"/>
  <c r="P30" i="48"/>
  <c r="AG29" i="48"/>
  <c r="AF29" i="48"/>
  <c r="AE29" i="48"/>
  <c r="AD29" i="48"/>
  <c r="AC29" i="48"/>
  <c r="AB29" i="48"/>
  <c r="AA29" i="48"/>
  <c r="Z29" i="48"/>
  <c r="Y29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AG28" i="48"/>
  <c r="P28" i="48"/>
  <c r="AG27" i="48"/>
  <c r="P27" i="48"/>
  <c r="AG26" i="48"/>
  <c r="P26" i="48"/>
  <c r="AG25" i="48"/>
  <c r="P25" i="48"/>
  <c r="AG24" i="48"/>
  <c r="P24" i="48"/>
  <c r="AG23" i="48"/>
  <c r="P23" i="48"/>
  <c r="AG22" i="48"/>
  <c r="P22" i="48"/>
  <c r="AG21" i="48"/>
  <c r="P21" i="48"/>
  <c r="AG20" i="48"/>
  <c r="P20" i="48"/>
  <c r="AG19" i="48"/>
  <c r="P19" i="48"/>
  <c r="AG18" i="48"/>
  <c r="P18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AG16" i="48"/>
  <c r="P16" i="48"/>
  <c r="AG15" i="48"/>
  <c r="P15" i="48"/>
  <c r="AG14" i="48"/>
  <c r="P14" i="48"/>
  <c r="AG13" i="48"/>
  <c r="P13" i="48"/>
  <c r="AG12" i="48"/>
  <c r="P12" i="48"/>
  <c r="AG11" i="48"/>
  <c r="P11" i="48"/>
  <c r="AG10" i="48"/>
  <c r="P10" i="48"/>
  <c r="AG9" i="48"/>
  <c r="P9" i="48"/>
  <c r="AG8" i="48"/>
  <c r="P8" i="48"/>
  <c r="AG7" i="48"/>
  <c r="P7" i="48"/>
  <c r="N52" i="28"/>
  <c r="M52" i="28"/>
  <c r="L52" i="28"/>
  <c r="K52" i="28"/>
  <c r="C52" i="28"/>
  <c r="L51" i="28"/>
  <c r="C51" i="28"/>
  <c r="L50" i="28"/>
  <c r="C50" i="28"/>
  <c r="L49" i="28"/>
  <c r="C49" i="28"/>
  <c r="L48" i="28"/>
  <c r="C48" i="28"/>
  <c r="L47" i="28"/>
  <c r="C47" i="28"/>
  <c r="L46" i="28"/>
  <c r="C46" i="28"/>
  <c r="L45" i="28"/>
  <c r="C45" i="28"/>
  <c r="L44" i="28"/>
  <c r="C44" i="28"/>
  <c r="L43" i="28"/>
  <c r="C43" i="28"/>
  <c r="L42" i="28"/>
  <c r="C42" i="28"/>
  <c r="N39" i="28"/>
  <c r="M39" i="28"/>
  <c r="L39" i="28"/>
  <c r="K39" i="28"/>
  <c r="C39" i="28"/>
  <c r="L38" i="28"/>
  <c r="C38" i="28"/>
  <c r="L37" i="28"/>
  <c r="C37" i="28"/>
  <c r="L36" i="28"/>
  <c r="C36" i="28"/>
  <c r="L35" i="28"/>
  <c r="C35" i="28"/>
  <c r="L34" i="28"/>
  <c r="C34" i="28"/>
  <c r="L33" i="28"/>
  <c r="C33" i="28"/>
  <c r="L32" i="28"/>
  <c r="C32" i="28"/>
  <c r="L31" i="28"/>
  <c r="C31" i="28"/>
  <c r="L30" i="28"/>
  <c r="C30" i="28"/>
  <c r="L29" i="28"/>
  <c r="C29" i="28"/>
  <c r="N26" i="28"/>
  <c r="M26" i="28"/>
  <c r="L26" i="28"/>
  <c r="K26" i="28"/>
  <c r="C26" i="28"/>
  <c r="L25" i="28"/>
  <c r="C25" i="28"/>
  <c r="L24" i="28"/>
  <c r="C24" i="28"/>
  <c r="L23" i="28"/>
  <c r="C23" i="28"/>
  <c r="L22" i="28"/>
  <c r="C22" i="28"/>
  <c r="L21" i="28"/>
  <c r="C21" i="28"/>
  <c r="L20" i="28"/>
  <c r="C20" i="28"/>
  <c r="L19" i="28"/>
  <c r="C19" i="28"/>
  <c r="L18" i="28"/>
  <c r="C18" i="28"/>
  <c r="L17" i="28"/>
  <c r="C17" i="28"/>
  <c r="L16" i="28"/>
  <c r="C16" i="28"/>
  <c r="N13" i="28"/>
  <c r="M13" i="28"/>
  <c r="L13" i="28"/>
  <c r="K13" i="28"/>
  <c r="C13" i="28"/>
  <c r="N12" i="28"/>
  <c r="L12" i="28"/>
  <c r="C12" i="28"/>
  <c r="N11" i="28"/>
  <c r="L11" i="28"/>
  <c r="C11" i="28"/>
  <c r="N10" i="28"/>
  <c r="L10" i="28"/>
  <c r="C10" i="28"/>
  <c r="N9" i="28"/>
  <c r="L9" i="28"/>
  <c r="C9" i="28"/>
  <c r="N8" i="28"/>
  <c r="L8" i="28"/>
  <c r="C8" i="28"/>
  <c r="N7" i="28"/>
  <c r="L7" i="28"/>
  <c r="C7" i="28"/>
  <c r="N6" i="28"/>
  <c r="L6" i="28"/>
  <c r="C6" i="28"/>
  <c r="N5" i="28"/>
  <c r="L5" i="28"/>
  <c r="C5" i="28"/>
  <c r="N4" i="28"/>
  <c r="L4" i="28"/>
  <c r="C4" i="28"/>
  <c r="N3" i="28"/>
  <c r="L3" i="28"/>
  <c r="C3" i="28"/>
  <c r="AE7" i="42"/>
  <c r="AD7" i="42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AE6" i="42"/>
  <c r="N6" i="42"/>
  <c r="AE5" i="42"/>
  <c r="N5" i="42"/>
  <c r="AE4" i="42"/>
  <c r="N4" i="42"/>
  <c r="AD3" i="42"/>
  <c r="AC3" i="42"/>
  <c r="AB3" i="42"/>
  <c r="AA3" i="42"/>
  <c r="Z3" i="42"/>
  <c r="Y3" i="42"/>
  <c r="X3" i="42"/>
  <c r="W3" i="42"/>
  <c r="V3" i="42"/>
  <c r="U3" i="42"/>
  <c r="T3" i="42"/>
  <c r="S3" i="42"/>
  <c r="R3" i="42"/>
  <c r="Q3" i="42"/>
  <c r="P3" i="42"/>
  <c r="O3" i="42"/>
  <c r="M3" i="42"/>
  <c r="L3" i="42"/>
  <c r="K3" i="42"/>
  <c r="J3" i="42"/>
  <c r="I3" i="42"/>
  <c r="H3" i="42"/>
  <c r="G3" i="42"/>
  <c r="F3" i="42"/>
  <c r="E3" i="42"/>
  <c r="D3" i="42"/>
  <c r="C3" i="42"/>
  <c r="D104" i="39"/>
  <c r="C104" i="39"/>
  <c r="B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E89" i="39"/>
  <c r="E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E45" i="39"/>
  <c r="E44" i="39"/>
  <c r="E43" i="39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104" i="39" s="1"/>
  <c r="F93" i="12" s="1"/>
  <c r="E93" i="12"/>
  <c r="D93" i="12"/>
  <c r="C93" i="12"/>
  <c r="E88" i="12"/>
  <c r="D88" i="12"/>
  <c r="C88" i="12"/>
  <c r="G88" i="12" s="1"/>
  <c r="W1437" i="1" s="1"/>
  <c r="E87" i="12"/>
  <c r="D87" i="12"/>
  <c r="F87" i="12" s="1"/>
  <c r="W1106" i="1" s="1"/>
  <c r="C87" i="12"/>
  <c r="G87" i="12" s="1"/>
  <c r="W1436" i="1" s="1"/>
  <c r="E86" i="12"/>
  <c r="D86" i="12"/>
  <c r="C86" i="12"/>
  <c r="F86" i="12" s="1"/>
  <c r="E85" i="12"/>
  <c r="D85" i="12"/>
  <c r="C85" i="12"/>
  <c r="G85" i="12" s="1"/>
  <c r="E84" i="12"/>
  <c r="D84" i="12"/>
  <c r="C84" i="12"/>
  <c r="G84" i="12" s="1"/>
  <c r="W1435" i="1" s="1"/>
  <c r="E83" i="12"/>
  <c r="D83" i="12"/>
  <c r="C83" i="12"/>
  <c r="G83" i="12" s="1"/>
  <c r="W1434" i="1" s="1"/>
  <c r="E82" i="12"/>
  <c r="D82" i="12"/>
  <c r="C82" i="12"/>
  <c r="F82" i="12" s="1"/>
  <c r="E81" i="12"/>
  <c r="D81" i="12"/>
  <c r="C81" i="12"/>
  <c r="G81" i="12" s="1"/>
  <c r="W1433" i="1" s="1"/>
  <c r="E80" i="12"/>
  <c r="D80" i="12"/>
  <c r="C80" i="12"/>
  <c r="G80" i="12" s="1"/>
  <c r="W1432" i="1" s="1"/>
  <c r="E79" i="12"/>
  <c r="D79" i="12"/>
  <c r="C79" i="12"/>
  <c r="G79" i="12" s="1"/>
  <c r="W1431" i="1" s="1"/>
  <c r="E78" i="12"/>
  <c r="D78" i="12"/>
  <c r="C78" i="12"/>
  <c r="F78" i="12" s="1"/>
  <c r="W1090" i="1" s="1"/>
  <c r="E77" i="12"/>
  <c r="D77" i="12"/>
  <c r="F77" i="12" s="1"/>
  <c r="W1097" i="1" s="1"/>
  <c r="C77" i="12"/>
  <c r="G77" i="12" s="1"/>
  <c r="W1429" i="1" s="1"/>
  <c r="E76" i="12"/>
  <c r="D76" i="12"/>
  <c r="C76" i="12"/>
  <c r="G76" i="12" s="1"/>
  <c r="W1428" i="1" s="1"/>
  <c r="E75" i="12"/>
  <c r="D75" i="12"/>
  <c r="C75" i="12"/>
  <c r="G75" i="12" s="1"/>
  <c r="W1427" i="1" s="1"/>
  <c r="E74" i="12"/>
  <c r="D74" i="12"/>
  <c r="C74" i="12"/>
  <c r="F74" i="12" s="1"/>
  <c r="W1094" i="1" s="1"/>
  <c r="E73" i="12"/>
  <c r="D73" i="12"/>
  <c r="F73" i="12" s="1"/>
  <c r="W1083" i="1" s="1"/>
  <c r="C73" i="12"/>
  <c r="G73" i="12" s="1"/>
  <c r="W1418" i="1" s="1"/>
  <c r="E72" i="12"/>
  <c r="D72" i="12"/>
  <c r="C72" i="12"/>
  <c r="G72" i="12" s="1"/>
  <c r="W1417" i="1" s="1"/>
  <c r="E71" i="12"/>
  <c r="D71" i="12"/>
  <c r="C71" i="12"/>
  <c r="G71" i="12" s="1"/>
  <c r="W1416" i="1" s="1"/>
  <c r="E70" i="12"/>
  <c r="D70" i="12"/>
  <c r="C70" i="12"/>
  <c r="F70" i="12" s="1"/>
  <c r="W1076" i="1" s="1"/>
  <c r="E69" i="12"/>
  <c r="D69" i="12"/>
  <c r="C69" i="12"/>
  <c r="G69" i="12" s="1"/>
  <c r="W1414" i="1" s="1"/>
  <c r="E68" i="12"/>
  <c r="D68" i="12"/>
  <c r="C68" i="12"/>
  <c r="G68" i="12" s="1"/>
  <c r="W1413" i="1" s="1"/>
  <c r="E67" i="12"/>
  <c r="D67" i="12"/>
  <c r="F67" i="12" s="1"/>
  <c r="W1070" i="1" s="1"/>
  <c r="X1070" i="1" s="1"/>
  <c r="C67" i="12"/>
  <c r="G67" i="12" s="1"/>
  <c r="W1408" i="1" s="1"/>
  <c r="E66" i="12"/>
  <c r="D66" i="12"/>
  <c r="C66" i="12"/>
  <c r="F66" i="12" s="1"/>
  <c r="W1069" i="1" s="1"/>
  <c r="X1069" i="1" s="1"/>
  <c r="E65" i="12"/>
  <c r="D65" i="12"/>
  <c r="C65" i="12"/>
  <c r="G65" i="12" s="1"/>
  <c r="W1406" i="1" s="1"/>
  <c r="E64" i="12"/>
  <c r="D64" i="12"/>
  <c r="C64" i="12"/>
  <c r="G64" i="12" s="1"/>
  <c r="W1405" i="1" s="1"/>
  <c r="E63" i="12"/>
  <c r="D63" i="12"/>
  <c r="C63" i="12"/>
  <c r="G63" i="12" s="1"/>
  <c r="W1404" i="1" s="1"/>
  <c r="E62" i="12"/>
  <c r="D62" i="12"/>
  <c r="C62" i="12"/>
  <c r="F62" i="12" s="1"/>
  <c r="W1057" i="1" s="1"/>
  <c r="E61" i="12"/>
  <c r="D61" i="12"/>
  <c r="F61" i="12" s="1"/>
  <c r="W1055" i="1" s="1"/>
  <c r="C61" i="12"/>
  <c r="G61" i="12" s="1"/>
  <c r="W1392" i="1" s="1"/>
  <c r="E60" i="12"/>
  <c r="D60" i="12"/>
  <c r="C60" i="12"/>
  <c r="G60" i="12" s="1"/>
  <c r="W1391" i="1" s="1"/>
  <c r="E59" i="12"/>
  <c r="D59" i="12"/>
  <c r="C59" i="12"/>
  <c r="G59" i="12" s="1"/>
  <c r="W1390" i="1" s="1"/>
  <c r="E58" i="12"/>
  <c r="D58" i="12"/>
  <c r="C58" i="12"/>
  <c r="F58" i="12" s="1"/>
  <c r="W1052" i="1" s="1"/>
  <c r="T1052" i="1" s="1"/>
  <c r="E57" i="12"/>
  <c r="D57" i="12"/>
  <c r="F57" i="12" s="1"/>
  <c r="W1051" i="1" s="1"/>
  <c r="C57" i="12"/>
  <c r="G57" i="12" s="1"/>
  <c r="W1388" i="1" s="1"/>
  <c r="E56" i="12"/>
  <c r="D56" i="12"/>
  <c r="C56" i="12"/>
  <c r="G56" i="12" s="1"/>
  <c r="W1386" i="1" s="1"/>
  <c r="E55" i="12"/>
  <c r="D55" i="12"/>
  <c r="C55" i="12"/>
  <c r="G55" i="12" s="1"/>
  <c r="W1385" i="1" s="1"/>
  <c r="E54" i="12"/>
  <c r="D54" i="12"/>
  <c r="C54" i="12"/>
  <c r="F54" i="12" s="1"/>
  <c r="W1046" i="1" s="1"/>
  <c r="E53" i="12"/>
  <c r="D53" i="12"/>
  <c r="F53" i="12" s="1"/>
  <c r="W1045" i="1" s="1"/>
  <c r="C53" i="12"/>
  <c r="G53" i="12" s="1"/>
  <c r="W1383" i="1" s="1"/>
  <c r="E52" i="12"/>
  <c r="D52" i="12"/>
  <c r="C52" i="12"/>
  <c r="G52" i="12" s="1"/>
  <c r="W1382" i="1" s="1"/>
  <c r="E51" i="12"/>
  <c r="D51" i="12"/>
  <c r="F51" i="12" s="1"/>
  <c r="W1043" i="1" s="1"/>
  <c r="C51" i="12"/>
  <c r="G51" i="12" s="1"/>
  <c r="W1381" i="1" s="1"/>
  <c r="E50" i="12"/>
  <c r="D50" i="12"/>
  <c r="C50" i="12"/>
  <c r="F50" i="12" s="1"/>
  <c r="W1042" i="1" s="1"/>
  <c r="E49" i="12"/>
  <c r="D49" i="12"/>
  <c r="C49" i="12"/>
  <c r="G49" i="12" s="1"/>
  <c r="W1379" i="1" s="1"/>
  <c r="E48" i="12"/>
  <c r="D48" i="12"/>
  <c r="C48" i="12"/>
  <c r="G48" i="12" s="1"/>
  <c r="W1378" i="1" s="1"/>
  <c r="E47" i="12"/>
  <c r="D47" i="12"/>
  <c r="C47" i="12"/>
  <c r="G47" i="12" s="1"/>
  <c r="W1377" i="1" s="1"/>
  <c r="E46" i="12"/>
  <c r="D46" i="12"/>
  <c r="C46" i="12"/>
  <c r="F46" i="12" s="1"/>
  <c r="W1038" i="1" s="1"/>
  <c r="E45" i="12"/>
  <c r="D45" i="12"/>
  <c r="C45" i="12"/>
  <c r="G45" i="12" s="1"/>
  <c r="E44" i="12"/>
  <c r="D44" i="12"/>
  <c r="C44" i="12"/>
  <c r="G44" i="12" s="1"/>
  <c r="W1371" i="1" s="1"/>
  <c r="E43" i="12"/>
  <c r="D43" i="12"/>
  <c r="F43" i="12" s="1"/>
  <c r="W1030" i="1" s="1"/>
  <c r="T1030" i="1" s="1"/>
  <c r="C43" i="12"/>
  <c r="G43" i="12" s="1"/>
  <c r="W1369" i="1" s="1"/>
  <c r="E42" i="12"/>
  <c r="D42" i="12"/>
  <c r="C42" i="12"/>
  <c r="F42" i="12" s="1"/>
  <c r="W1029" i="1" s="1"/>
  <c r="E41" i="12"/>
  <c r="D41" i="12"/>
  <c r="C41" i="12"/>
  <c r="F41" i="12" s="1"/>
  <c r="W1028" i="1" s="1"/>
  <c r="E40" i="12"/>
  <c r="D40" i="12"/>
  <c r="F40" i="12" s="1"/>
  <c r="W1024" i="1" s="1"/>
  <c r="C40" i="12"/>
  <c r="G40" i="12" s="1"/>
  <c r="W1366" i="1" s="1"/>
  <c r="E39" i="12"/>
  <c r="D39" i="12"/>
  <c r="C39" i="12"/>
  <c r="G39" i="12" s="1"/>
  <c r="W1365" i="1" s="1"/>
  <c r="E38" i="12"/>
  <c r="D38" i="12"/>
  <c r="F38" i="12" s="1"/>
  <c r="W1022" i="1" s="1"/>
  <c r="C38" i="12"/>
  <c r="G38" i="12" s="1"/>
  <c r="W1364" i="1" s="1"/>
  <c r="E37" i="12"/>
  <c r="D37" i="12"/>
  <c r="C37" i="12"/>
  <c r="F37" i="12" s="1"/>
  <c r="W1020" i="1" s="1"/>
  <c r="J36" i="12"/>
  <c r="E36" i="12"/>
  <c r="D36" i="12"/>
  <c r="C36" i="12"/>
  <c r="G36" i="12" s="1"/>
  <c r="W1362" i="1" s="1"/>
  <c r="E35" i="12"/>
  <c r="D35" i="12"/>
  <c r="F35" i="12" s="1"/>
  <c r="W1018" i="1" s="1"/>
  <c r="C35" i="12"/>
  <c r="G35" i="12" s="1"/>
  <c r="W1361" i="1" s="1"/>
  <c r="E34" i="12"/>
  <c r="D34" i="12"/>
  <c r="C34" i="12"/>
  <c r="F34" i="12" s="1"/>
  <c r="W1017" i="1" s="1"/>
  <c r="F33" i="12"/>
  <c r="E33" i="12"/>
  <c r="D33" i="12"/>
  <c r="C33" i="12"/>
  <c r="G33" i="12" s="1"/>
  <c r="W1350" i="1" s="1"/>
  <c r="E32" i="12"/>
  <c r="D32" i="12"/>
  <c r="C32" i="12"/>
  <c r="G32" i="12" s="1"/>
  <c r="W1349" i="1" s="1"/>
  <c r="E31" i="12"/>
  <c r="D31" i="12"/>
  <c r="F31" i="12" s="1"/>
  <c r="C31" i="12"/>
  <c r="G31" i="12" s="1"/>
  <c r="W1348" i="1" s="1"/>
  <c r="E30" i="12"/>
  <c r="D30" i="12"/>
  <c r="C30" i="12"/>
  <c r="F30" i="12" s="1"/>
  <c r="W997" i="1" s="1"/>
  <c r="F29" i="12"/>
  <c r="E29" i="12"/>
  <c r="D29" i="12"/>
  <c r="C29" i="12"/>
  <c r="G29" i="12" s="1"/>
  <c r="W1346" i="1" s="1"/>
  <c r="E28" i="12"/>
  <c r="D28" i="12"/>
  <c r="C28" i="12"/>
  <c r="G28" i="12" s="1"/>
  <c r="W1345" i="1" s="1"/>
  <c r="E27" i="12"/>
  <c r="D27" i="12"/>
  <c r="F27" i="12" s="1"/>
  <c r="W994" i="1" s="1"/>
  <c r="T994" i="1" s="1"/>
  <c r="C27" i="12"/>
  <c r="G27" i="12" s="1"/>
  <c r="W1344" i="1" s="1"/>
  <c r="E26" i="12"/>
  <c r="D26" i="12"/>
  <c r="C26" i="12"/>
  <c r="F26" i="12" s="1"/>
  <c r="W992" i="1" s="1"/>
  <c r="F25" i="12"/>
  <c r="E25" i="12"/>
  <c r="D25" i="12"/>
  <c r="C25" i="12"/>
  <c r="G25" i="12" s="1"/>
  <c r="W1342" i="1" s="1"/>
  <c r="E24" i="12"/>
  <c r="D24" i="12"/>
  <c r="C24" i="12"/>
  <c r="G24" i="12" s="1"/>
  <c r="W1341" i="1" s="1"/>
  <c r="E23" i="12"/>
  <c r="D23" i="12"/>
  <c r="C23" i="12"/>
  <c r="G23" i="12" s="1"/>
  <c r="W1320" i="1" s="1"/>
  <c r="E22" i="12"/>
  <c r="D22" i="12"/>
  <c r="C22" i="12"/>
  <c r="F22" i="12" s="1"/>
  <c r="F21" i="12"/>
  <c r="E21" i="12"/>
  <c r="D21" i="12"/>
  <c r="C21" i="12"/>
  <c r="G21" i="12" s="1"/>
  <c r="W1339" i="1" s="1"/>
  <c r="E20" i="12"/>
  <c r="D20" i="12"/>
  <c r="C20" i="12"/>
  <c r="G20" i="12" s="1"/>
  <c r="W1338" i="1" s="1"/>
  <c r="E19" i="12"/>
  <c r="D19" i="12"/>
  <c r="F19" i="12" s="1"/>
  <c r="C19" i="12"/>
  <c r="G19" i="12" s="1"/>
  <c r="W1337" i="1" s="1"/>
  <c r="E18" i="12"/>
  <c r="D18" i="12"/>
  <c r="C18" i="12"/>
  <c r="F18" i="12" s="1"/>
  <c r="F17" i="12"/>
  <c r="E17" i="12"/>
  <c r="D17" i="12"/>
  <c r="C17" i="12"/>
  <c r="G17" i="12" s="1"/>
  <c r="W1335" i="1" s="1"/>
  <c r="E16" i="12"/>
  <c r="D16" i="12"/>
  <c r="C16" i="12"/>
  <c r="G16" i="12" s="1"/>
  <c r="W1334" i="1" s="1"/>
  <c r="E15" i="12"/>
  <c r="D15" i="12"/>
  <c r="C15" i="12"/>
  <c r="G15" i="12" s="1"/>
  <c r="W1332" i="1" s="1"/>
  <c r="E14" i="12"/>
  <c r="D14" i="12"/>
  <c r="C14" i="12"/>
  <c r="F14" i="12" s="1"/>
  <c r="F13" i="12"/>
  <c r="E13" i="12"/>
  <c r="D13" i="12"/>
  <c r="C13" i="12"/>
  <c r="G13" i="12" s="1"/>
  <c r="W1319" i="1" s="1"/>
  <c r="E12" i="12"/>
  <c r="D12" i="12"/>
  <c r="C12" i="12"/>
  <c r="G12" i="12" s="1"/>
  <c r="W1318" i="1" s="1"/>
  <c r="E11" i="12"/>
  <c r="D11" i="12"/>
  <c r="F11" i="12" s="1"/>
  <c r="C11" i="12"/>
  <c r="G11" i="12" s="1"/>
  <c r="W1330" i="1" s="1"/>
  <c r="E10" i="12"/>
  <c r="D10" i="12"/>
  <c r="C10" i="12"/>
  <c r="F10" i="12" s="1"/>
  <c r="F9" i="12"/>
  <c r="E9" i="12"/>
  <c r="D9" i="12"/>
  <c r="C9" i="12"/>
  <c r="G9" i="12" s="1"/>
  <c r="W1329" i="1" s="1"/>
  <c r="E8" i="12"/>
  <c r="D8" i="12"/>
  <c r="C8" i="12"/>
  <c r="G8" i="12" s="1"/>
  <c r="E7" i="12"/>
  <c r="D7" i="12"/>
  <c r="F7" i="12" s="1"/>
  <c r="C7" i="12"/>
  <c r="G7" i="12" s="1"/>
  <c r="W1328" i="1" s="1"/>
  <c r="E6" i="12"/>
  <c r="D6" i="12"/>
  <c r="C6" i="12"/>
  <c r="F6" i="12" s="1"/>
  <c r="F5" i="12"/>
  <c r="E5" i="12"/>
  <c r="D5" i="12"/>
  <c r="C5" i="12"/>
  <c r="G5" i="12" s="1"/>
  <c r="W1326" i="1" s="1"/>
  <c r="E4" i="12"/>
  <c r="D4" i="12"/>
  <c r="C4" i="12"/>
  <c r="G4" i="12" s="1"/>
  <c r="W1316" i="1" s="1"/>
  <c r="E3" i="12"/>
  <c r="E92" i="12" s="1"/>
  <c r="E94" i="12" s="1"/>
  <c r="D3" i="12"/>
  <c r="D92" i="12" s="1"/>
  <c r="D94" i="12" s="1"/>
  <c r="C3" i="12"/>
  <c r="C92" i="12" s="1"/>
  <c r="C94" i="12" s="1"/>
  <c r="G1" i="12"/>
  <c r="R51" i="38"/>
  <c r="R50" i="38"/>
  <c r="R49" i="38"/>
  <c r="R48" i="38"/>
  <c r="R47" i="38"/>
  <c r="R46" i="38"/>
  <c r="R45" i="38"/>
  <c r="R44" i="38"/>
  <c r="R43" i="38"/>
  <c r="R42" i="38"/>
  <c r="R41" i="38"/>
  <c r="R40" i="38"/>
  <c r="R39" i="38"/>
  <c r="R38" i="38"/>
  <c r="H18" i="8"/>
  <c r="H16" i="8"/>
  <c r="H14" i="8"/>
  <c r="H12" i="8"/>
  <c r="H10" i="8"/>
  <c r="H8" i="8"/>
  <c r="R36" i="38"/>
  <c r="R35" i="38"/>
  <c r="R34" i="38"/>
  <c r="R33" i="38"/>
  <c r="R32" i="38"/>
  <c r="R31" i="38"/>
  <c r="R30" i="38"/>
  <c r="R19" i="38"/>
  <c r="F59" i="8" s="1"/>
  <c r="R18" i="38"/>
  <c r="R17" i="38"/>
  <c r="R16" i="38"/>
  <c r="R15" i="38"/>
  <c r="R14" i="38"/>
  <c r="R13" i="38"/>
  <c r="R12" i="38"/>
  <c r="R11" i="38"/>
  <c r="R10" i="38"/>
  <c r="R9" i="38"/>
  <c r="F66" i="8" s="1"/>
  <c r="R8" i="38"/>
  <c r="R7" i="38"/>
  <c r="R6" i="38"/>
  <c r="F79" i="8"/>
  <c r="F43" i="8"/>
  <c r="A43" i="8"/>
  <c r="F42" i="8"/>
  <c r="A42" i="8"/>
  <c r="F41" i="8"/>
  <c r="A41" i="8"/>
  <c r="F40" i="8"/>
  <c r="A40" i="8"/>
  <c r="F39" i="8"/>
  <c r="A39" i="8"/>
  <c r="F38" i="8"/>
  <c r="A38" i="8"/>
  <c r="F37" i="8"/>
  <c r="A37" i="8"/>
  <c r="F36" i="8"/>
  <c r="A36" i="8"/>
  <c r="F35" i="8"/>
  <c r="A35" i="8"/>
  <c r="F34" i="8"/>
  <c r="A34" i="8"/>
  <c r="F33" i="8"/>
  <c r="A33" i="8"/>
  <c r="F32" i="8"/>
  <c r="A32" i="8"/>
  <c r="H31" i="8"/>
  <c r="A31" i="8"/>
  <c r="H19" i="8"/>
  <c r="H17" i="8"/>
  <c r="H15" i="8"/>
  <c r="H13" i="8"/>
  <c r="H11" i="8"/>
  <c r="H9" i="8"/>
  <c r="H7" i="8"/>
  <c r="D4" i="5"/>
  <c r="C18" i="26"/>
  <c r="P272" i="37"/>
  <c r="P271" i="37"/>
  <c r="P270" i="37"/>
  <c r="P269" i="37"/>
  <c r="P268" i="37"/>
  <c r="P267" i="37"/>
  <c r="P266" i="37"/>
  <c r="T902" i="1" s="1"/>
  <c r="D902" i="1" s="1"/>
  <c r="P265" i="37"/>
  <c r="P264" i="37"/>
  <c r="P263" i="37"/>
  <c r="P262" i="37"/>
  <c r="P261" i="37"/>
  <c r="P260" i="37"/>
  <c r="P259" i="37"/>
  <c r="P258" i="37"/>
  <c r="P257" i="37"/>
  <c r="P256" i="37"/>
  <c r="P255" i="37"/>
  <c r="P254" i="37"/>
  <c r="P253" i="37"/>
  <c r="P252" i="37"/>
  <c r="P251" i="37"/>
  <c r="P250" i="37"/>
  <c r="P249" i="37"/>
  <c r="P248" i="37"/>
  <c r="P247" i="37"/>
  <c r="P246" i="37"/>
  <c r="P245" i="37"/>
  <c r="P244" i="37"/>
  <c r="P243" i="37"/>
  <c r="P242" i="37"/>
  <c r="P241" i="37"/>
  <c r="T899" i="1" s="1"/>
  <c r="P240" i="37"/>
  <c r="P239" i="37"/>
  <c r="P238" i="37"/>
  <c r="P237" i="37"/>
  <c r="P236" i="37"/>
  <c r="P235" i="37"/>
  <c r="P234" i="37"/>
  <c r="P233" i="37"/>
  <c r="P232" i="37"/>
  <c r="P231" i="37"/>
  <c r="P230" i="37"/>
  <c r="P229" i="37"/>
  <c r="P228" i="37"/>
  <c r="P227" i="37"/>
  <c r="P226" i="37"/>
  <c r="P225" i="37"/>
  <c r="P224" i="37"/>
  <c r="P223" i="37"/>
  <c r="P222" i="37"/>
  <c r="P221" i="37"/>
  <c r="P220" i="37"/>
  <c r="P219" i="37"/>
  <c r="P218" i="37"/>
  <c r="P217" i="37"/>
  <c r="P216" i="37"/>
  <c r="P215" i="37"/>
  <c r="P214" i="37"/>
  <c r="P213" i="37"/>
  <c r="P212" i="37"/>
  <c r="P211" i="37"/>
  <c r="P210" i="37"/>
  <c r="P209" i="37"/>
  <c r="P208" i="37"/>
  <c r="P207" i="37"/>
  <c r="P206" i="37"/>
  <c r="P205" i="37"/>
  <c r="P204" i="37"/>
  <c r="P203" i="37"/>
  <c r="P202" i="37"/>
  <c r="P201" i="37"/>
  <c r="P200" i="37"/>
  <c r="P199" i="37"/>
  <c r="P198" i="37"/>
  <c r="P197" i="37"/>
  <c r="P196" i="37"/>
  <c r="P195" i="37"/>
  <c r="T900" i="1" s="1"/>
  <c r="D900" i="1" s="1"/>
  <c r="P194" i="37"/>
  <c r="P193" i="37"/>
  <c r="P192" i="37"/>
  <c r="P191" i="37"/>
  <c r="P190" i="37"/>
  <c r="P189" i="37"/>
  <c r="P188" i="37"/>
  <c r="P187" i="37"/>
  <c r="P186" i="37"/>
  <c r="P185" i="37"/>
  <c r="P184" i="37"/>
  <c r="P183" i="37"/>
  <c r="P182" i="37"/>
  <c r="P181" i="37"/>
  <c r="P180" i="37"/>
  <c r="P179" i="37"/>
  <c r="P178" i="37"/>
  <c r="P177" i="37"/>
  <c r="P176" i="37"/>
  <c r="P175" i="37"/>
  <c r="P174" i="37"/>
  <c r="P173" i="37"/>
  <c r="P172" i="37"/>
  <c r="P171" i="37"/>
  <c r="P170" i="37"/>
  <c r="P169" i="37"/>
  <c r="P168" i="37"/>
  <c r="P167" i="37"/>
  <c r="P166" i="37"/>
  <c r="P165" i="37"/>
  <c r="P164" i="37"/>
  <c r="P163" i="37"/>
  <c r="P162" i="37"/>
  <c r="P161" i="37"/>
  <c r="P160" i="37"/>
  <c r="P159" i="37"/>
  <c r="P158" i="37"/>
  <c r="P157" i="37"/>
  <c r="P156" i="37"/>
  <c r="P155" i="37"/>
  <c r="P154" i="37"/>
  <c r="P153" i="37"/>
  <c r="P152" i="37"/>
  <c r="P151" i="37"/>
  <c r="P150" i="37"/>
  <c r="P149" i="37"/>
  <c r="P148" i="37"/>
  <c r="P147" i="37"/>
  <c r="P146" i="37"/>
  <c r="P145" i="37"/>
  <c r="P144" i="37"/>
  <c r="P143" i="37"/>
  <c r="P142" i="37"/>
  <c r="P141" i="37"/>
  <c r="P140" i="37"/>
  <c r="P139" i="37"/>
  <c r="P138" i="37"/>
  <c r="P137" i="37"/>
  <c r="P136" i="37"/>
  <c r="P135" i="37"/>
  <c r="P134" i="37"/>
  <c r="P133" i="37"/>
  <c r="P132" i="37"/>
  <c r="P131" i="37"/>
  <c r="P130" i="37"/>
  <c r="P129" i="37"/>
  <c r="P128" i="37"/>
  <c r="P127" i="37"/>
  <c r="P126" i="37"/>
  <c r="P125" i="37"/>
  <c r="P124" i="37"/>
  <c r="P123" i="37"/>
  <c r="P122" i="37"/>
  <c r="P121" i="37"/>
  <c r="P120" i="37"/>
  <c r="P119" i="37"/>
  <c r="P118" i="37"/>
  <c r="P117" i="37"/>
  <c r="P116" i="37"/>
  <c r="P115" i="37"/>
  <c r="P114" i="37"/>
  <c r="P113" i="37"/>
  <c r="P112" i="37"/>
  <c r="P111" i="37"/>
  <c r="P110" i="37"/>
  <c r="P109" i="37"/>
  <c r="P108" i="37"/>
  <c r="P107" i="37"/>
  <c r="P106" i="37"/>
  <c r="P105" i="37"/>
  <c r="P104" i="37"/>
  <c r="P103" i="37"/>
  <c r="P102" i="37"/>
  <c r="P101" i="37"/>
  <c r="P100" i="37"/>
  <c r="P99" i="37"/>
  <c r="P98" i="37"/>
  <c r="P97" i="37"/>
  <c r="P96" i="37"/>
  <c r="P95" i="37"/>
  <c r="P94" i="37"/>
  <c r="P93" i="37"/>
  <c r="P92" i="37"/>
  <c r="P91" i="37"/>
  <c r="P90" i="37"/>
  <c r="P89" i="37"/>
  <c r="P88" i="37"/>
  <c r="P87" i="37"/>
  <c r="P86" i="37"/>
  <c r="P85" i="37"/>
  <c r="P84" i="37"/>
  <c r="P83" i="37"/>
  <c r="P82" i="37"/>
  <c r="P81" i="37"/>
  <c r="P80" i="37"/>
  <c r="P79" i="37"/>
  <c r="P78" i="37"/>
  <c r="P77" i="37"/>
  <c r="P76" i="37"/>
  <c r="P75" i="37"/>
  <c r="P74" i="37"/>
  <c r="P73" i="37"/>
  <c r="P72" i="37"/>
  <c r="P71" i="37"/>
  <c r="P70" i="37"/>
  <c r="P69" i="37"/>
  <c r="P68" i="37"/>
  <c r="P67" i="37"/>
  <c r="P66" i="37"/>
  <c r="P65" i="37"/>
  <c r="P64" i="37"/>
  <c r="P63" i="37"/>
  <c r="P62" i="37"/>
  <c r="P61" i="37"/>
  <c r="P60" i="37"/>
  <c r="P59" i="37"/>
  <c r="P58" i="37"/>
  <c r="P57" i="37"/>
  <c r="P56" i="37"/>
  <c r="P55" i="37"/>
  <c r="P54" i="37"/>
  <c r="P53" i="37"/>
  <c r="P52" i="37"/>
  <c r="P51" i="37"/>
  <c r="P50" i="37"/>
  <c r="P49" i="37"/>
  <c r="P48" i="37"/>
  <c r="P47" i="37"/>
  <c r="P46" i="37"/>
  <c r="P45" i="37"/>
  <c r="P44" i="37"/>
  <c r="P43" i="37"/>
  <c r="P42" i="37"/>
  <c r="P41" i="37"/>
  <c r="P40" i="37"/>
  <c r="P39" i="37"/>
  <c r="P38" i="37"/>
  <c r="P37" i="37"/>
  <c r="P36" i="37"/>
  <c r="P35" i="37"/>
  <c r="P34" i="37"/>
  <c r="P33" i="37"/>
  <c r="P32" i="37"/>
  <c r="P31" i="37"/>
  <c r="P30" i="37"/>
  <c r="P29" i="37"/>
  <c r="P28" i="37"/>
  <c r="P27" i="37"/>
  <c r="P26" i="37"/>
  <c r="P25" i="37"/>
  <c r="P24" i="37"/>
  <c r="P23" i="37"/>
  <c r="P22" i="37"/>
  <c r="P21" i="37"/>
  <c r="P20" i="37"/>
  <c r="P19" i="37"/>
  <c r="P18" i="37"/>
  <c r="P17" i="37"/>
  <c r="P16" i="37"/>
  <c r="P15" i="37"/>
  <c r="P14" i="37"/>
  <c r="P13" i="37"/>
  <c r="P12" i="37"/>
  <c r="P11" i="37"/>
  <c r="P10" i="37"/>
  <c r="N439" i="36"/>
  <c r="N438" i="36"/>
  <c r="N437" i="36"/>
  <c r="N436" i="36"/>
  <c r="N435" i="36"/>
  <c r="N434" i="36"/>
  <c r="N433" i="36"/>
  <c r="N432" i="36"/>
  <c r="T1269" i="1" s="1"/>
  <c r="N431" i="36"/>
  <c r="N430" i="36"/>
  <c r="N429" i="36"/>
  <c r="N428" i="36"/>
  <c r="N427" i="36"/>
  <c r="N426" i="36"/>
  <c r="N425" i="36"/>
  <c r="N424" i="36"/>
  <c r="N423" i="36"/>
  <c r="N422" i="36"/>
  <c r="N421" i="36"/>
  <c r="N420" i="36"/>
  <c r="N419" i="36"/>
  <c r="N418" i="36"/>
  <c r="N417" i="36"/>
  <c r="N416" i="36"/>
  <c r="N415" i="36"/>
  <c r="N414" i="36"/>
  <c r="N413" i="36"/>
  <c r="N412" i="36"/>
  <c r="N411" i="36"/>
  <c r="N410" i="36"/>
  <c r="N409" i="36"/>
  <c r="N408" i="36"/>
  <c r="N407" i="36"/>
  <c r="N406" i="36"/>
  <c r="N405" i="36"/>
  <c r="N404" i="36"/>
  <c r="N403" i="36"/>
  <c r="N402" i="36"/>
  <c r="N401" i="36"/>
  <c r="N400" i="36"/>
  <c r="N399" i="36"/>
  <c r="N398" i="36"/>
  <c r="N397" i="36"/>
  <c r="N396" i="36"/>
  <c r="N395" i="36"/>
  <c r="N394" i="36"/>
  <c r="N393" i="36"/>
  <c r="N392" i="36"/>
  <c r="N391" i="36"/>
  <c r="N390" i="36"/>
  <c r="N389" i="36"/>
  <c r="N388" i="36"/>
  <c r="N387" i="36"/>
  <c r="N386" i="36"/>
  <c r="N385" i="36"/>
  <c r="N384" i="36"/>
  <c r="N383" i="36"/>
  <c r="N382" i="36"/>
  <c r="N381" i="36"/>
  <c r="N380" i="36"/>
  <c r="N379" i="36"/>
  <c r="N378" i="36"/>
  <c r="N377" i="36"/>
  <c r="N375" i="36"/>
  <c r="O376" i="36" s="1"/>
  <c r="N374" i="36"/>
  <c r="N373" i="36"/>
  <c r="N372" i="36"/>
  <c r="N371" i="36"/>
  <c r="N370" i="36"/>
  <c r="T1232" i="1" s="1"/>
  <c r="N369" i="36"/>
  <c r="N368" i="36"/>
  <c r="N367" i="36"/>
  <c r="N366" i="36"/>
  <c r="N365" i="36"/>
  <c r="N364" i="36"/>
  <c r="N363" i="36"/>
  <c r="C36" i="29" s="1"/>
  <c r="N362" i="36"/>
  <c r="N361" i="36"/>
  <c r="N360" i="36"/>
  <c r="N359" i="36"/>
  <c r="N358" i="36"/>
  <c r="N357" i="36"/>
  <c r="N356" i="36"/>
  <c r="N355" i="36"/>
  <c r="N354" i="36"/>
  <c r="O362" i="36" s="1"/>
  <c r="N353" i="36"/>
  <c r="N352" i="36"/>
  <c r="N351" i="36"/>
  <c r="Y1178" i="1" s="1"/>
  <c r="N350" i="36"/>
  <c r="N349" i="36"/>
  <c r="N348" i="36"/>
  <c r="N347" i="36"/>
  <c r="N346" i="36"/>
  <c r="N345" i="36"/>
  <c r="N344" i="36"/>
  <c r="N343" i="36"/>
  <c r="N342" i="36"/>
  <c r="N341" i="36"/>
  <c r="N340" i="36"/>
  <c r="N339" i="36"/>
  <c r="N338" i="36"/>
  <c r="N337" i="36"/>
  <c r="N336" i="36"/>
  <c r="N335" i="36"/>
  <c r="N334" i="36"/>
  <c r="N333" i="36"/>
  <c r="N332" i="36"/>
  <c r="N331" i="36"/>
  <c r="N330" i="36"/>
  <c r="N329" i="36"/>
  <c r="N328" i="36"/>
  <c r="N327" i="36"/>
  <c r="N326" i="36"/>
  <c r="N325" i="36"/>
  <c r="N324" i="36"/>
  <c r="N323" i="36"/>
  <c r="N322" i="36"/>
  <c r="N321" i="36"/>
  <c r="N320" i="36"/>
  <c r="N319" i="36"/>
  <c r="N318" i="36"/>
  <c r="N317" i="36"/>
  <c r="N316" i="36"/>
  <c r="N315" i="36"/>
  <c r="N314" i="36"/>
  <c r="N313" i="36"/>
  <c r="N312" i="36"/>
  <c r="N311" i="36"/>
  <c r="N310" i="36"/>
  <c r="N309" i="36"/>
  <c r="N308" i="36"/>
  <c r="N307" i="36"/>
  <c r="N306" i="36"/>
  <c r="N305" i="36"/>
  <c r="N304" i="36"/>
  <c r="N303" i="36"/>
  <c r="N302" i="36"/>
  <c r="N301" i="36"/>
  <c r="N300" i="36"/>
  <c r="N299" i="36"/>
  <c r="N298" i="36"/>
  <c r="N297" i="36"/>
  <c r="N296" i="36"/>
  <c r="N295" i="36"/>
  <c r="N294" i="36"/>
  <c r="N293" i="36"/>
  <c r="N292" i="36"/>
  <c r="N291" i="36"/>
  <c r="N290" i="36"/>
  <c r="N289" i="36"/>
  <c r="N288" i="36"/>
  <c r="N287" i="36"/>
  <c r="N286" i="36"/>
  <c r="N285" i="36"/>
  <c r="N284" i="36"/>
  <c r="N283" i="36"/>
  <c r="N282" i="36"/>
  <c r="N281" i="36"/>
  <c r="N280" i="36"/>
  <c r="N279" i="36"/>
  <c r="N278" i="36"/>
  <c r="N277" i="36"/>
  <c r="N276" i="36"/>
  <c r="N275" i="36"/>
  <c r="N274" i="36"/>
  <c r="N273" i="36"/>
  <c r="N272" i="36"/>
  <c r="N271" i="36"/>
  <c r="N270" i="36"/>
  <c r="N269" i="36"/>
  <c r="N268" i="36"/>
  <c r="N267" i="36"/>
  <c r="N266" i="36"/>
  <c r="N265" i="36"/>
  <c r="N264" i="36"/>
  <c r="N263" i="36"/>
  <c r="N262" i="36"/>
  <c r="N261" i="36"/>
  <c r="N260" i="36"/>
  <c r="N259" i="36"/>
  <c r="N258" i="36"/>
  <c r="N257" i="36"/>
  <c r="N256" i="36"/>
  <c r="N254" i="36"/>
  <c r="N253" i="36"/>
  <c r="N252" i="36"/>
  <c r="N251" i="36"/>
  <c r="N250" i="36"/>
  <c r="N249" i="36"/>
  <c r="N248" i="36"/>
  <c r="N247" i="36"/>
  <c r="N246" i="36"/>
  <c r="N245" i="36"/>
  <c r="N244" i="36"/>
  <c r="N243" i="36"/>
  <c r="N242" i="36"/>
  <c r="N241" i="36"/>
  <c r="N240" i="36"/>
  <c r="N239" i="36"/>
  <c r="N238" i="36"/>
  <c r="N237" i="36"/>
  <c r="N236" i="36"/>
  <c r="N235" i="36"/>
  <c r="N234" i="36"/>
  <c r="N233" i="36"/>
  <c r="N232" i="36"/>
  <c r="N231" i="36"/>
  <c r="N230" i="36"/>
  <c r="N229" i="36"/>
  <c r="N228" i="36"/>
  <c r="N227" i="36"/>
  <c r="N226" i="36"/>
  <c r="N225" i="36"/>
  <c r="N224" i="36"/>
  <c r="N223" i="36"/>
  <c r="N222" i="36"/>
  <c r="N221" i="36"/>
  <c r="N220" i="36"/>
  <c r="N219" i="36"/>
  <c r="N218" i="36"/>
  <c r="N217" i="36"/>
  <c r="N216" i="36"/>
  <c r="N215" i="36"/>
  <c r="N214" i="36"/>
  <c r="N213" i="36"/>
  <c r="N212" i="36"/>
  <c r="N211" i="36"/>
  <c r="N210" i="36"/>
  <c r="N209" i="36"/>
  <c r="N208" i="36"/>
  <c r="N207" i="36"/>
  <c r="N206" i="36"/>
  <c r="N205" i="36"/>
  <c r="N204" i="36"/>
  <c r="N203" i="36"/>
  <c r="N202" i="36"/>
  <c r="N201" i="36"/>
  <c r="N200" i="36"/>
  <c r="N199" i="36"/>
  <c r="N198" i="36"/>
  <c r="N197" i="36"/>
  <c r="N196" i="36"/>
  <c r="N195" i="36"/>
  <c r="N194" i="36"/>
  <c r="N193" i="36"/>
  <c r="N192" i="36"/>
  <c r="N191" i="36"/>
  <c r="N190" i="36"/>
  <c r="N189" i="36"/>
  <c r="N188" i="36"/>
  <c r="N187" i="36"/>
  <c r="N186" i="36"/>
  <c r="N185" i="36"/>
  <c r="N184" i="36"/>
  <c r="N183" i="36"/>
  <c r="N182" i="36"/>
  <c r="N181" i="36"/>
  <c r="N180" i="36"/>
  <c r="N179" i="36"/>
  <c r="N178" i="36"/>
  <c r="N177" i="36"/>
  <c r="N176" i="36"/>
  <c r="N175" i="36"/>
  <c r="N174" i="36"/>
  <c r="N173" i="36"/>
  <c r="N172" i="36"/>
  <c r="N171" i="36"/>
  <c r="N170" i="36"/>
  <c r="N169" i="36"/>
  <c r="N168" i="36"/>
  <c r="N167" i="36"/>
  <c r="N166" i="36"/>
  <c r="N165" i="36"/>
  <c r="N164" i="36"/>
  <c r="N163" i="36"/>
  <c r="N162" i="36"/>
  <c r="N161" i="36"/>
  <c r="N160" i="36"/>
  <c r="N159" i="36"/>
  <c r="N158" i="36"/>
  <c r="N157" i="36"/>
  <c r="N156" i="36"/>
  <c r="N155" i="36"/>
  <c r="N154" i="36"/>
  <c r="N153" i="36"/>
  <c r="N152" i="36"/>
  <c r="N151" i="36"/>
  <c r="N150" i="36"/>
  <c r="N149" i="36"/>
  <c r="N148" i="36"/>
  <c r="N147" i="36"/>
  <c r="N146" i="36"/>
  <c r="N145" i="36"/>
  <c r="N144" i="36"/>
  <c r="N143" i="36"/>
  <c r="N142" i="36"/>
  <c r="N141" i="36"/>
  <c r="N140" i="36"/>
  <c r="N139" i="36"/>
  <c r="N138" i="36"/>
  <c r="N137" i="36"/>
  <c r="N136" i="36"/>
  <c r="N135" i="36"/>
  <c r="N134" i="36"/>
  <c r="N133" i="36"/>
  <c r="N132" i="36"/>
  <c r="N131" i="36"/>
  <c r="N130" i="36"/>
  <c r="N129" i="36"/>
  <c r="N128" i="36"/>
  <c r="N127" i="36"/>
  <c r="N126" i="36"/>
  <c r="N125" i="36"/>
  <c r="N124" i="36"/>
  <c r="N123" i="36"/>
  <c r="N122" i="36"/>
  <c r="N121" i="36"/>
  <c r="N120" i="36"/>
  <c r="N119" i="36"/>
  <c r="N118" i="36"/>
  <c r="N117" i="36"/>
  <c r="N116" i="36"/>
  <c r="N115" i="36"/>
  <c r="N114" i="36"/>
  <c r="N113" i="36"/>
  <c r="N112" i="36"/>
  <c r="N111" i="36"/>
  <c r="N110" i="36"/>
  <c r="N109" i="36"/>
  <c r="N108" i="36"/>
  <c r="N107" i="36"/>
  <c r="N106" i="36"/>
  <c r="N105" i="36"/>
  <c r="N104" i="36"/>
  <c r="N103" i="36"/>
  <c r="N102" i="36"/>
  <c r="N101" i="36"/>
  <c r="N100" i="36"/>
  <c r="N99" i="36"/>
  <c r="N98" i="36"/>
  <c r="N97" i="36"/>
  <c r="N96" i="36"/>
  <c r="N95" i="36"/>
  <c r="N94" i="36"/>
  <c r="N93" i="36"/>
  <c r="N92" i="36"/>
  <c r="N91" i="36"/>
  <c r="N90" i="36"/>
  <c r="N89" i="36"/>
  <c r="N88" i="36"/>
  <c r="N87" i="36"/>
  <c r="N86" i="36"/>
  <c r="N85" i="36"/>
  <c r="N84" i="36"/>
  <c r="N83" i="36"/>
  <c r="N82" i="36"/>
  <c r="N81" i="36"/>
  <c r="N80" i="36"/>
  <c r="N79" i="36"/>
  <c r="N78" i="36"/>
  <c r="N77" i="36"/>
  <c r="N76" i="36"/>
  <c r="N75" i="36"/>
  <c r="N74" i="36"/>
  <c r="N73" i="36"/>
  <c r="N72" i="36"/>
  <c r="N71" i="36"/>
  <c r="N70" i="36"/>
  <c r="N69" i="36"/>
  <c r="N68" i="36"/>
  <c r="N67" i="36"/>
  <c r="N66" i="36"/>
  <c r="N65" i="36"/>
  <c r="N64" i="36"/>
  <c r="N63" i="36"/>
  <c r="N62" i="36"/>
  <c r="N61" i="36"/>
  <c r="N60" i="36"/>
  <c r="N59" i="36"/>
  <c r="N58" i="36"/>
  <c r="N57" i="36"/>
  <c r="N56" i="36"/>
  <c r="N55" i="36"/>
  <c r="N54" i="36"/>
  <c r="N53" i="36"/>
  <c r="N52" i="36"/>
  <c r="N51" i="36"/>
  <c r="N50" i="36"/>
  <c r="N49" i="36"/>
  <c r="N48" i="36"/>
  <c r="N47" i="36"/>
  <c r="N46" i="36"/>
  <c r="N45" i="36"/>
  <c r="N44" i="36"/>
  <c r="N43" i="36"/>
  <c r="N42" i="36"/>
  <c r="N41" i="36"/>
  <c r="N40" i="36"/>
  <c r="N39" i="36"/>
  <c r="N38" i="36"/>
  <c r="N37" i="36"/>
  <c r="B40" i="40" s="1"/>
  <c r="C45" i="5"/>
  <c r="T784" i="1" s="1"/>
  <c r="V629" i="35"/>
  <c r="C38" i="5" s="1"/>
  <c r="T778" i="1" s="1"/>
  <c r="V628" i="35"/>
  <c r="V627" i="35"/>
  <c r="V626" i="35"/>
  <c r="V625" i="35"/>
  <c r="V624" i="35"/>
  <c r="V623" i="35"/>
  <c r="V622" i="35"/>
  <c r="V620" i="35"/>
  <c r="V619" i="35"/>
  <c r="C44" i="5" s="1"/>
  <c r="T783" i="1" s="1"/>
  <c r="C37" i="5"/>
  <c r="T777" i="1" s="1"/>
  <c r="U613" i="35"/>
  <c r="T1155" i="1" s="1"/>
  <c r="U612" i="35"/>
  <c r="T1146" i="1" s="1"/>
  <c r="U611" i="35"/>
  <c r="U610" i="35"/>
  <c r="U609" i="35"/>
  <c r="U608" i="35"/>
  <c r="U607" i="35"/>
  <c r="U606" i="35"/>
  <c r="U605" i="35"/>
  <c r="U604" i="35"/>
  <c r="U602" i="35"/>
  <c r="U601" i="35"/>
  <c r="T1145" i="1" s="1"/>
  <c r="U600" i="35"/>
  <c r="T1139" i="1" s="1"/>
  <c r="U599" i="35"/>
  <c r="T1133" i="1" s="1"/>
  <c r="V596" i="35"/>
  <c r="V595" i="35"/>
  <c r="V594" i="35"/>
  <c r="V593" i="35"/>
  <c r="V592" i="35"/>
  <c r="V591" i="35"/>
  <c r="V590" i="35"/>
  <c r="V589" i="35"/>
  <c r="V588" i="35"/>
  <c r="V587" i="35"/>
  <c r="V586" i="35"/>
  <c r="V585" i="35"/>
  <c r="V584" i="35"/>
  <c r="V583" i="35"/>
  <c r="V582" i="35"/>
  <c r="V581" i="35"/>
  <c r="V580" i="35"/>
  <c r="V579" i="35"/>
  <c r="V578" i="35"/>
  <c r="V577" i="35"/>
  <c r="V576" i="35"/>
  <c r="V575" i="35"/>
  <c r="V574" i="35"/>
  <c r="V573" i="35"/>
  <c r="V572" i="35"/>
  <c r="V571" i="35"/>
  <c r="V570" i="35"/>
  <c r="V569" i="35"/>
  <c r="V565" i="35"/>
  <c r="V564" i="35"/>
  <c r="V563" i="35"/>
  <c r="V562" i="35"/>
  <c r="V561" i="35"/>
  <c r="V560" i="35"/>
  <c r="V559" i="35"/>
  <c r="V558" i="35"/>
  <c r="V557" i="35"/>
  <c r="V556" i="35"/>
  <c r="V555" i="35"/>
  <c r="V554" i="35"/>
  <c r="V553" i="35"/>
  <c r="V546" i="35"/>
  <c r="U541" i="35"/>
  <c r="U540" i="35"/>
  <c r="U539" i="35"/>
  <c r="U538" i="35"/>
  <c r="U537" i="35"/>
  <c r="U536" i="35"/>
  <c r="U535" i="35"/>
  <c r="U534" i="35"/>
  <c r="U533" i="35"/>
  <c r="U532" i="35"/>
  <c r="T1164" i="1" s="1"/>
  <c r="U526" i="35"/>
  <c r="U525" i="35"/>
  <c r="U524" i="35"/>
  <c r="U523" i="35"/>
  <c r="U522" i="35"/>
  <c r="U521" i="35"/>
  <c r="U520" i="35"/>
  <c r="U519" i="35"/>
  <c r="U518" i="35"/>
  <c r="U517" i="35"/>
  <c r="U516" i="35"/>
  <c r="U515" i="35"/>
  <c r="U514" i="35"/>
  <c r="U513" i="35"/>
  <c r="U512" i="35"/>
  <c r="U511" i="35"/>
  <c r="U510" i="35"/>
  <c r="U509" i="35"/>
  <c r="U508" i="35"/>
  <c r="U507" i="35"/>
  <c r="U506" i="35"/>
  <c r="U504" i="35"/>
  <c r="U503" i="35"/>
  <c r="U502" i="35"/>
  <c r="U501" i="35"/>
  <c r="U500" i="35"/>
  <c r="U499" i="35"/>
  <c r="U498" i="35"/>
  <c r="U497" i="35"/>
  <c r="U496" i="35"/>
  <c r="U495" i="35"/>
  <c r="U494" i="35"/>
  <c r="U493" i="35"/>
  <c r="U492" i="35"/>
  <c r="U491" i="35"/>
  <c r="U490" i="35"/>
  <c r="U489" i="35"/>
  <c r="U488" i="35"/>
  <c r="U487" i="35"/>
  <c r="U486" i="35"/>
  <c r="U485" i="35"/>
  <c r="U484" i="35"/>
  <c r="U483" i="35"/>
  <c r="U482" i="35"/>
  <c r="U481" i="35"/>
  <c r="U480" i="35"/>
  <c r="U479" i="35"/>
  <c r="U478" i="35"/>
  <c r="T1153" i="1" s="1"/>
  <c r="U477" i="35"/>
  <c r="U476" i="35"/>
  <c r="U475" i="35"/>
  <c r="U474" i="35"/>
  <c r="U473" i="35"/>
  <c r="U472" i="35"/>
  <c r="U471" i="35"/>
  <c r="U470" i="35"/>
  <c r="U469" i="35"/>
  <c r="U468" i="35"/>
  <c r="U467" i="35"/>
  <c r="U466" i="35"/>
  <c r="U465" i="35"/>
  <c r="U464" i="35"/>
  <c r="U463" i="35"/>
  <c r="U462" i="35"/>
  <c r="U461" i="35"/>
  <c r="U460" i="35"/>
  <c r="U459" i="35"/>
  <c r="U458" i="35"/>
  <c r="U457" i="35"/>
  <c r="U456" i="35"/>
  <c r="U455" i="35"/>
  <c r="U454" i="35"/>
  <c r="U453" i="35"/>
  <c r="U452" i="35"/>
  <c r="U451" i="35"/>
  <c r="U450" i="35"/>
  <c r="T1141" i="1" s="1"/>
  <c r="U449" i="35"/>
  <c r="U448" i="35"/>
  <c r="U447" i="35"/>
  <c r="U446" i="35"/>
  <c r="U445" i="35"/>
  <c r="U444" i="35"/>
  <c r="U443" i="35"/>
  <c r="U442" i="35"/>
  <c r="U441" i="35"/>
  <c r="U440" i="35"/>
  <c r="U439" i="35"/>
  <c r="U438" i="35"/>
  <c r="U437" i="35"/>
  <c r="U436" i="35"/>
  <c r="U435" i="35"/>
  <c r="U434" i="35"/>
  <c r="U433" i="35"/>
  <c r="U432" i="35"/>
  <c r="T1168" i="1" s="1"/>
  <c r="U431" i="35"/>
  <c r="U430" i="35"/>
  <c r="V405" i="35"/>
  <c r="V404" i="35"/>
  <c r="V403" i="35"/>
  <c r="V402" i="35"/>
  <c r="S302" i="15" s="1"/>
  <c r="V401" i="35"/>
  <c r="V400" i="35"/>
  <c r="V399" i="35"/>
  <c r="V398" i="35"/>
  <c r="S301" i="15" s="1"/>
  <c r="V397" i="35"/>
  <c r="V396" i="35"/>
  <c r="V395" i="35"/>
  <c r="V394" i="35"/>
  <c r="V393" i="35"/>
  <c r="V392" i="35"/>
  <c r="V391" i="35"/>
  <c r="V390" i="35"/>
  <c r="V389" i="35"/>
  <c r="V388" i="35"/>
  <c r="V387" i="35"/>
  <c r="V386" i="35"/>
  <c r="V385" i="35"/>
  <c r="V384" i="35"/>
  <c r="V382" i="35"/>
  <c r="S296" i="15" s="1"/>
  <c r="V381" i="35"/>
  <c r="V380" i="35"/>
  <c r="V379" i="35"/>
  <c r="V378" i="35"/>
  <c r="V377" i="35"/>
  <c r="V376" i="35"/>
  <c r="V375" i="35"/>
  <c r="V374" i="35"/>
  <c r="V373" i="35"/>
  <c r="S292" i="15" s="1"/>
  <c r="V372" i="35"/>
  <c r="V371" i="35"/>
  <c r="V370" i="35"/>
  <c r="V369" i="35"/>
  <c r="V368" i="35"/>
  <c r="V367" i="35"/>
  <c r="S310" i="15" s="1"/>
  <c r="V366" i="35"/>
  <c r="V365" i="35"/>
  <c r="V364" i="35"/>
  <c r="V363" i="35"/>
  <c r="V362" i="35"/>
  <c r="V361" i="35"/>
  <c r="V360" i="35"/>
  <c r="V359" i="35"/>
  <c r="V358" i="35"/>
  <c r="V357" i="35"/>
  <c r="V356" i="35"/>
  <c r="V355" i="35"/>
  <c r="V354" i="35"/>
  <c r="V353" i="35"/>
  <c r="S308" i="15" s="1"/>
  <c r="V352" i="35"/>
  <c r="V351" i="35"/>
  <c r="V350" i="35"/>
  <c r="V349" i="35"/>
  <c r="V348" i="35"/>
  <c r="V347" i="35"/>
  <c r="V346" i="35"/>
  <c r="V345" i="35"/>
  <c r="V344" i="35"/>
  <c r="V343" i="35"/>
  <c r="V342" i="35"/>
  <c r="V341" i="35"/>
  <c r="V340" i="35"/>
  <c r="V339" i="35"/>
  <c r="V338" i="35"/>
  <c r="V337" i="35"/>
  <c r="V336" i="35"/>
  <c r="V335" i="35"/>
  <c r="V334" i="35"/>
  <c r="V333" i="35"/>
  <c r="V332" i="35"/>
  <c r="V331" i="35"/>
  <c r="V330" i="35"/>
  <c r="V329" i="35"/>
  <c r="V328" i="35"/>
  <c r="V327" i="35"/>
  <c r="V326" i="35"/>
  <c r="V325" i="35"/>
  <c r="V324" i="35"/>
  <c r="V323" i="35"/>
  <c r="V322" i="35"/>
  <c r="V321" i="35"/>
  <c r="V320" i="35"/>
  <c r="V319" i="35"/>
  <c r="V318" i="35"/>
  <c r="V317" i="35"/>
  <c r="V316" i="35"/>
  <c r="V315" i="35"/>
  <c r="V314" i="35"/>
  <c r="V313" i="35"/>
  <c r="V312" i="35"/>
  <c r="V311" i="35"/>
  <c r="V310" i="35"/>
  <c r="V309" i="35"/>
  <c r="V308" i="35"/>
  <c r="V307" i="35"/>
  <c r="V306" i="35"/>
  <c r="V305" i="35"/>
  <c r="V304" i="35"/>
  <c r="V303" i="35"/>
  <c r="V302" i="35"/>
  <c r="V301" i="35"/>
  <c r="V300" i="35"/>
  <c r="V299" i="35"/>
  <c r="V298" i="35"/>
  <c r="V297" i="35"/>
  <c r="V296" i="35"/>
  <c r="V295" i="35"/>
  <c r="V294" i="35"/>
  <c r="V293" i="35"/>
  <c r="V292" i="35"/>
  <c r="V291" i="35"/>
  <c r="V290" i="35"/>
  <c r="V289" i="35"/>
  <c r="V288" i="35"/>
  <c r="V139" i="35"/>
  <c r="V138" i="35"/>
  <c r="V137" i="35"/>
  <c r="Q46" i="15" s="1"/>
  <c r="V136" i="35"/>
  <c r="V135" i="35"/>
  <c r="V134" i="35"/>
  <c r="V133" i="35"/>
  <c r="V132" i="35"/>
  <c r="V131" i="35"/>
  <c r="V130" i="35"/>
  <c r="V129" i="35"/>
  <c r="V128" i="35"/>
  <c r="V127" i="35"/>
  <c r="V126" i="35"/>
  <c r="V125" i="35"/>
  <c r="V124" i="35"/>
  <c r="V123" i="35"/>
  <c r="V122" i="35"/>
  <c r="V121" i="35"/>
  <c r="V120" i="35"/>
  <c r="V119" i="35"/>
  <c r="V118" i="35"/>
  <c r="V117" i="35"/>
  <c r="V116" i="35"/>
  <c r="V115" i="35"/>
  <c r="V114" i="35"/>
  <c r="V112" i="35"/>
  <c r="V111" i="35"/>
  <c r="V110" i="35"/>
  <c r="V109" i="35"/>
  <c r="V108" i="35"/>
  <c r="V107" i="35"/>
  <c r="V106" i="35"/>
  <c r="V105" i="35"/>
  <c r="V104" i="35"/>
  <c r="Q300" i="15" s="1"/>
  <c r="V103" i="35"/>
  <c r="V102" i="35"/>
  <c r="V101" i="35"/>
  <c r="V100" i="35"/>
  <c r="V99" i="35"/>
  <c r="V98" i="35"/>
  <c r="V97" i="35"/>
  <c r="V96" i="35"/>
  <c r="Q297" i="15" s="1"/>
  <c r="V95" i="35"/>
  <c r="V94" i="35"/>
  <c r="V93" i="35"/>
  <c r="V92" i="35"/>
  <c r="Q296" i="15" s="1"/>
  <c r="V91" i="35"/>
  <c r="V90" i="35"/>
  <c r="V89" i="35"/>
  <c r="V88" i="35"/>
  <c r="Q295" i="15" s="1"/>
  <c r="V87" i="35"/>
  <c r="V86" i="35"/>
  <c r="V85" i="35"/>
  <c r="V84" i="35"/>
  <c r="V83" i="35"/>
  <c r="V82" i="35"/>
  <c r="Q292" i="15" s="1"/>
  <c r="V81" i="35"/>
  <c r="V80" i="35"/>
  <c r="Q329" i="15" s="1"/>
  <c r="V79" i="35"/>
  <c r="Q328" i="15" s="1"/>
  <c r="V78" i="35"/>
  <c r="V77" i="35"/>
  <c r="V76" i="35"/>
  <c r="V75" i="35"/>
  <c r="V74" i="35"/>
  <c r="Q310" i="15" s="1"/>
  <c r="V73" i="35"/>
  <c r="V72" i="35"/>
  <c r="V71" i="35"/>
  <c r="Q309" i="15" s="1"/>
  <c r="V70" i="35"/>
  <c r="V69" i="35"/>
  <c r="V68" i="35"/>
  <c r="V67" i="35"/>
  <c r="V66" i="35"/>
  <c r="V65" i="35"/>
  <c r="V64" i="35"/>
  <c r="V63" i="35"/>
  <c r="V62" i="35"/>
  <c r="V61" i="35"/>
  <c r="V60" i="35"/>
  <c r="Q308" i="15" s="1"/>
  <c r="V59" i="35"/>
  <c r="V58" i="35"/>
  <c r="V57" i="35"/>
  <c r="V56" i="35"/>
  <c r="V55" i="35"/>
  <c r="V54" i="35"/>
  <c r="V53" i="35"/>
  <c r="V52" i="35"/>
  <c r="V51" i="35"/>
  <c r="V50" i="35"/>
  <c r="V49" i="35"/>
  <c r="V48" i="35"/>
  <c r="V47" i="35"/>
  <c r="V46" i="35"/>
  <c r="V45" i="35"/>
  <c r="V44" i="35"/>
  <c r="V43" i="35"/>
  <c r="V42" i="35"/>
  <c r="V41" i="35"/>
  <c r="V40" i="35"/>
  <c r="V39" i="35"/>
  <c r="V38" i="35"/>
  <c r="Q333" i="15" s="1"/>
  <c r="V37" i="35"/>
  <c r="V36" i="35"/>
  <c r="V35" i="35"/>
  <c r="V34" i="35"/>
  <c r="V33" i="35"/>
  <c r="V32" i="35"/>
  <c r="V31" i="35"/>
  <c r="V30" i="35"/>
  <c r="V29" i="35"/>
  <c r="V28" i="35"/>
  <c r="V27" i="35"/>
  <c r="V26" i="35"/>
  <c r="V25" i="35"/>
  <c r="V24" i="35"/>
  <c r="V23" i="35"/>
  <c r="V22" i="35"/>
  <c r="V21" i="35"/>
  <c r="V20" i="35"/>
  <c r="V19" i="35"/>
  <c r="V18" i="35"/>
  <c r="V17" i="35"/>
  <c r="V16" i="35"/>
  <c r="V15" i="35"/>
  <c r="V14" i="35"/>
  <c r="V13" i="35"/>
  <c r="V12" i="35"/>
  <c r="V11" i="35"/>
  <c r="V10" i="35"/>
  <c r="V9" i="35"/>
  <c r="V8" i="35"/>
  <c r="V7" i="35"/>
  <c r="V6" i="35"/>
  <c r="AB369" i="15"/>
  <c r="AB368" i="15"/>
  <c r="AB367" i="15"/>
  <c r="AB366" i="15"/>
  <c r="AB365" i="15"/>
  <c r="AB364" i="15"/>
  <c r="AA348" i="15"/>
  <c r="C347" i="15"/>
  <c r="AA334" i="15"/>
  <c r="C333" i="15"/>
  <c r="AB329" i="15"/>
  <c r="C329" i="15"/>
  <c r="AB328" i="15"/>
  <c r="C328" i="15"/>
  <c r="AA322" i="15"/>
  <c r="Q322" i="15"/>
  <c r="O322" i="15"/>
  <c r="E322" i="15"/>
  <c r="W314" i="15"/>
  <c r="Z311" i="15"/>
  <c r="C310" i="15"/>
  <c r="C309" i="15"/>
  <c r="C308" i="15"/>
  <c r="Z305" i="15"/>
  <c r="C304" i="15"/>
  <c r="C302" i="15"/>
  <c r="C301" i="15"/>
  <c r="C300" i="15"/>
  <c r="C299" i="15"/>
  <c r="C298" i="15"/>
  <c r="C297" i="15"/>
  <c r="C296" i="15"/>
  <c r="C295" i="15"/>
  <c r="C294" i="15"/>
  <c r="C292" i="15"/>
  <c r="AA286" i="15"/>
  <c r="Q286" i="15"/>
  <c r="O286" i="15"/>
  <c r="E286" i="15"/>
  <c r="Z245" i="15"/>
  <c r="C244" i="15"/>
  <c r="C243" i="15"/>
  <c r="C242" i="15"/>
  <c r="C241" i="15"/>
  <c r="C240" i="15"/>
  <c r="C239" i="15"/>
  <c r="C238" i="15"/>
  <c r="C236" i="15"/>
  <c r="Z233" i="15"/>
  <c r="Y233" i="15"/>
  <c r="C232" i="15"/>
  <c r="Z229" i="15"/>
  <c r="C228" i="15"/>
  <c r="C226" i="15"/>
  <c r="C225" i="15"/>
  <c r="C224" i="15"/>
  <c r="C223" i="15"/>
  <c r="C222" i="15"/>
  <c r="C221" i="15"/>
  <c r="C219" i="15"/>
  <c r="C217" i="15"/>
  <c r="C216" i="15"/>
  <c r="Z213" i="15"/>
  <c r="C212" i="15"/>
  <c r="C211" i="15"/>
  <c r="C209" i="15"/>
  <c r="C208" i="15"/>
  <c r="C207" i="15"/>
  <c r="C206" i="15"/>
  <c r="C205" i="15"/>
  <c r="C204" i="15"/>
  <c r="C203" i="15"/>
  <c r="C202" i="15"/>
  <c r="C201" i="15"/>
  <c r="C199" i="15"/>
  <c r="AA193" i="15"/>
  <c r="Q193" i="15"/>
  <c r="O193" i="15"/>
  <c r="E193" i="15"/>
  <c r="Z112" i="15"/>
  <c r="C110" i="15"/>
  <c r="C109" i="15"/>
  <c r="C108" i="15"/>
  <c r="C107" i="15"/>
  <c r="C106" i="15"/>
  <c r="C105" i="15"/>
  <c r="C102" i="15"/>
  <c r="C100" i="15"/>
  <c r="C98" i="15"/>
  <c r="C96" i="15"/>
  <c r="Z95" i="15"/>
  <c r="C93" i="15"/>
  <c r="C92" i="15"/>
  <c r="C90" i="15"/>
  <c r="C88" i="15"/>
  <c r="C86" i="15"/>
  <c r="C84" i="15"/>
  <c r="C83" i="15"/>
  <c r="Z80" i="15"/>
  <c r="C79" i="15"/>
  <c r="C78" i="15"/>
  <c r="C76" i="15"/>
  <c r="C75" i="15"/>
  <c r="C74" i="15"/>
  <c r="C72" i="15"/>
  <c r="C71" i="15"/>
  <c r="C69" i="15"/>
  <c r="C64" i="15"/>
  <c r="C63" i="15"/>
  <c r="C62" i="15"/>
  <c r="Z59" i="15"/>
  <c r="C58" i="15"/>
  <c r="C57" i="15"/>
  <c r="C56" i="15"/>
  <c r="C55" i="15"/>
  <c r="C54" i="15"/>
  <c r="C53" i="15"/>
  <c r="C52" i="15"/>
  <c r="C51" i="15"/>
  <c r="C47" i="15"/>
  <c r="C44" i="15"/>
  <c r="C43" i="15"/>
  <c r="C42" i="15"/>
  <c r="C41" i="15"/>
  <c r="C40" i="15"/>
  <c r="C38" i="15"/>
  <c r="C34" i="15"/>
  <c r="C32" i="15"/>
  <c r="C31" i="15"/>
  <c r="C26" i="15"/>
  <c r="C25" i="15"/>
  <c r="C24" i="15"/>
  <c r="C21" i="15"/>
  <c r="C20" i="15"/>
  <c r="C19" i="15"/>
  <c r="C18" i="15"/>
  <c r="C17" i="15"/>
  <c r="C16" i="15"/>
  <c r="C15" i="15"/>
  <c r="C14" i="15"/>
  <c r="C13" i="15"/>
  <c r="C11" i="15"/>
  <c r="M27" i="41"/>
  <c r="L27" i="41"/>
  <c r="K27" i="41"/>
  <c r="J27" i="41"/>
  <c r="I27" i="41"/>
  <c r="H27" i="41"/>
  <c r="G27" i="41"/>
  <c r="F27" i="41"/>
  <c r="E27" i="41"/>
  <c r="D27" i="41"/>
  <c r="C27" i="41"/>
  <c r="B27" i="41"/>
  <c r="M25" i="41"/>
  <c r="M28" i="41" s="1"/>
  <c r="L25" i="41"/>
  <c r="L28" i="41" s="1"/>
  <c r="K25" i="41"/>
  <c r="K28" i="41" s="1"/>
  <c r="J25" i="41"/>
  <c r="J28" i="41" s="1"/>
  <c r="I25" i="41"/>
  <c r="I28" i="41" s="1"/>
  <c r="H25" i="41"/>
  <c r="H28" i="41" s="1"/>
  <c r="G25" i="41"/>
  <c r="G28" i="41" s="1"/>
  <c r="F25" i="41"/>
  <c r="F28" i="41" s="1"/>
  <c r="E25" i="41"/>
  <c r="E28" i="41" s="1"/>
  <c r="D25" i="41"/>
  <c r="D28" i="41" s="1"/>
  <c r="C25" i="41"/>
  <c r="C28" i="41" s="1"/>
  <c r="B25" i="41"/>
  <c r="B28" i="41" s="1"/>
  <c r="N23" i="41"/>
  <c r="T942" i="1" s="1"/>
  <c r="N22" i="41"/>
  <c r="W943" i="1" s="1"/>
  <c r="H943" i="1" s="1"/>
  <c r="H416" i="3" s="1"/>
  <c r="N21" i="41"/>
  <c r="N20" i="41"/>
  <c r="N19" i="41"/>
  <c r="F74" i="1" s="1"/>
  <c r="N18" i="41"/>
  <c r="T940" i="1" s="1"/>
  <c r="N17" i="41"/>
  <c r="N16" i="41"/>
  <c r="N15" i="41"/>
  <c r="T937" i="1" s="1"/>
  <c r="N14" i="41"/>
  <c r="W936" i="1" s="1"/>
  <c r="H936" i="1" s="1"/>
  <c r="H409" i="3" s="1"/>
  <c r="N13" i="41"/>
  <c r="N12" i="41"/>
  <c r="N11" i="41"/>
  <c r="N10" i="41"/>
  <c r="T935" i="1" s="1"/>
  <c r="N9" i="41"/>
  <c r="N8" i="41"/>
  <c r="N7" i="41"/>
  <c r="T934" i="1" s="1"/>
  <c r="N6" i="41"/>
  <c r="T932" i="1" s="1"/>
  <c r="N5" i="41"/>
  <c r="N4" i="41"/>
  <c r="N3" i="41"/>
  <c r="N2" i="41"/>
  <c r="B37" i="40"/>
  <c r="B25" i="40"/>
  <c r="B39" i="40" s="1"/>
  <c r="B14" i="40"/>
  <c r="B15" i="40" s="1"/>
  <c r="B8" i="40"/>
  <c r="B9" i="40" s="1"/>
  <c r="E16" i="45"/>
  <c r="E62" i="45" s="1"/>
  <c r="AC44" i="30"/>
  <c r="AA44" i="30"/>
  <c r="AC43" i="30"/>
  <c r="AA43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W20" i="30"/>
  <c r="U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A15" i="30"/>
  <c r="A17" i="30" s="1"/>
  <c r="A22" i="30" s="1"/>
  <c r="A23" i="30" s="1"/>
  <c r="A24" i="30" s="1"/>
  <c r="A25" i="30" s="1"/>
  <c r="A26" i="30" s="1"/>
  <c r="A27" i="30" s="1"/>
  <c r="A28" i="30" s="1"/>
  <c r="A30" i="30" s="1"/>
  <c r="A32" i="30" s="1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A11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A10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A73" i="29"/>
  <c r="A71" i="29"/>
  <c r="A69" i="29"/>
  <c r="Q67" i="29"/>
  <c r="O67" i="29"/>
  <c r="K67" i="29"/>
  <c r="I67" i="29"/>
  <c r="G67" i="29"/>
  <c r="A67" i="29"/>
  <c r="Q65" i="29"/>
  <c r="O65" i="29"/>
  <c r="K65" i="29"/>
  <c r="I65" i="29"/>
  <c r="G65" i="29"/>
  <c r="A65" i="29"/>
  <c r="A63" i="29"/>
  <c r="O61" i="29"/>
  <c r="M61" i="29"/>
  <c r="K61" i="29"/>
  <c r="A61" i="29"/>
  <c r="O59" i="29"/>
  <c r="K59" i="29"/>
  <c r="A59" i="29"/>
  <c r="O57" i="29"/>
  <c r="M57" i="29"/>
  <c r="K57" i="29"/>
  <c r="A57" i="29"/>
  <c r="O55" i="29"/>
  <c r="M55" i="29"/>
  <c r="K55" i="29"/>
  <c r="C55" i="29"/>
  <c r="G55" i="29" s="1"/>
  <c r="I55" i="29" s="1"/>
  <c r="Q55" i="29" s="1"/>
  <c r="A55" i="29"/>
  <c r="O53" i="29"/>
  <c r="K53" i="29"/>
  <c r="A53" i="29"/>
  <c r="O51" i="29"/>
  <c r="M51" i="29"/>
  <c r="K51" i="29"/>
  <c r="C51" i="29"/>
  <c r="A51" i="29"/>
  <c r="O49" i="29"/>
  <c r="M49" i="29"/>
  <c r="K49" i="29"/>
  <c r="A49" i="29"/>
  <c r="O47" i="29"/>
  <c r="M47" i="29"/>
  <c r="K47" i="29"/>
  <c r="A47" i="29"/>
  <c r="O45" i="29"/>
  <c r="M45" i="29"/>
  <c r="K45" i="29"/>
  <c r="A45" i="29"/>
  <c r="A43" i="29"/>
  <c r="O42" i="29"/>
  <c r="K42" i="29"/>
  <c r="A42" i="29"/>
  <c r="O41" i="29"/>
  <c r="K41" i="29"/>
  <c r="A41" i="29"/>
  <c r="O40" i="29"/>
  <c r="K40" i="29"/>
  <c r="A40" i="29"/>
  <c r="A39" i="29"/>
  <c r="A37" i="29"/>
  <c r="O36" i="29"/>
  <c r="K36" i="29"/>
  <c r="A36" i="29"/>
  <c r="O35" i="29"/>
  <c r="K35" i="29"/>
  <c r="C35" i="29"/>
  <c r="A35" i="29"/>
  <c r="O34" i="29"/>
  <c r="K34" i="29"/>
  <c r="A34" i="29"/>
  <c r="A33" i="29"/>
  <c r="A31" i="29"/>
  <c r="O30" i="29"/>
  <c r="K30" i="29"/>
  <c r="A30" i="29"/>
  <c r="Q29" i="29"/>
  <c r="O29" i="29"/>
  <c r="K29" i="29"/>
  <c r="I29" i="29"/>
  <c r="G29" i="29"/>
  <c r="A29" i="29"/>
  <c r="O28" i="29"/>
  <c r="K28" i="29"/>
  <c r="A28" i="29"/>
  <c r="O27" i="29"/>
  <c r="K27" i="29"/>
  <c r="A27" i="29"/>
  <c r="A26" i="29"/>
  <c r="A24" i="29"/>
  <c r="O23" i="29"/>
  <c r="K23" i="29"/>
  <c r="I23" i="29"/>
  <c r="Q23" i="29" s="1"/>
  <c r="E23" i="29"/>
  <c r="A23" i="29"/>
  <c r="O22" i="29"/>
  <c r="K22" i="29"/>
  <c r="A22" i="29"/>
  <c r="O21" i="29"/>
  <c r="K21" i="29"/>
  <c r="A21" i="29"/>
  <c r="O20" i="29"/>
  <c r="K20" i="29"/>
  <c r="A20" i="29"/>
  <c r="O19" i="29"/>
  <c r="K19" i="29"/>
  <c r="A19" i="29"/>
  <c r="O18" i="29"/>
  <c r="K18" i="29"/>
  <c r="A18" i="29"/>
  <c r="O17" i="29"/>
  <c r="K17" i="29"/>
  <c r="A17" i="29"/>
  <c r="O16" i="29"/>
  <c r="K16" i="29"/>
  <c r="A16" i="29"/>
  <c r="O15" i="29"/>
  <c r="K15" i="29"/>
  <c r="A15" i="29"/>
  <c r="O14" i="29"/>
  <c r="K14" i="29"/>
  <c r="A14" i="29"/>
  <c r="O13" i="29"/>
  <c r="K13" i="29"/>
  <c r="A13" i="29"/>
  <c r="O12" i="29"/>
  <c r="K12" i="29"/>
  <c r="A12" i="29"/>
  <c r="O11" i="29"/>
  <c r="K11" i="29"/>
  <c r="A11" i="29"/>
  <c r="O10" i="29"/>
  <c r="K10" i="29"/>
  <c r="A10" i="29"/>
  <c r="O9" i="29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W19" i="46"/>
  <c r="U19" i="46"/>
  <c r="S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A10" i="46"/>
  <c r="A16" i="46" s="1"/>
  <c r="A21" i="46" s="1"/>
  <c r="A22" i="46" s="1"/>
  <c r="A23" i="46" s="1"/>
  <c r="A24" i="46" s="1"/>
  <c r="A25" i="46" s="1"/>
  <c r="A26" i="46" s="1"/>
  <c r="A27" i="46" s="1"/>
  <c r="A29" i="46" s="1"/>
  <c r="A31" i="46" s="1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A75" i="33"/>
  <c r="A73" i="33"/>
  <c r="A71" i="33"/>
  <c r="M69" i="33"/>
  <c r="I69" i="33"/>
  <c r="G69" i="33"/>
  <c r="A69" i="33"/>
  <c r="M67" i="33"/>
  <c r="I67" i="33"/>
  <c r="G67" i="33"/>
  <c r="A67" i="33"/>
  <c r="M65" i="33"/>
  <c r="I65" i="33"/>
  <c r="G65" i="33"/>
  <c r="A65" i="33"/>
  <c r="A63" i="33"/>
  <c r="A61" i="33"/>
  <c r="M59" i="33"/>
  <c r="A59" i="33"/>
  <c r="A57" i="33"/>
  <c r="C55" i="33"/>
  <c r="G55" i="33" s="1"/>
  <c r="I55" i="33" s="1"/>
  <c r="A55" i="33"/>
  <c r="O53" i="33"/>
  <c r="M53" i="33"/>
  <c r="A53" i="33"/>
  <c r="C51" i="33"/>
  <c r="A51" i="33"/>
  <c r="A49" i="33"/>
  <c r="A47" i="33"/>
  <c r="A45" i="33"/>
  <c r="A43" i="33"/>
  <c r="M42" i="33"/>
  <c r="A42" i="33"/>
  <c r="M41" i="33"/>
  <c r="A41" i="33"/>
  <c r="M40" i="33"/>
  <c r="A40" i="33"/>
  <c r="A39" i="33"/>
  <c r="A37" i="33"/>
  <c r="M36" i="33"/>
  <c r="C36" i="33"/>
  <c r="A36" i="33"/>
  <c r="M35" i="33"/>
  <c r="C35" i="33"/>
  <c r="A35" i="33"/>
  <c r="M34" i="33"/>
  <c r="A34" i="33"/>
  <c r="A33" i="33"/>
  <c r="A31" i="33"/>
  <c r="A30" i="33"/>
  <c r="A29" i="33"/>
  <c r="A28" i="33"/>
  <c r="A27" i="33"/>
  <c r="A26" i="33"/>
  <c r="A24" i="33"/>
  <c r="M23" i="33"/>
  <c r="I23" i="33"/>
  <c r="E23" i="33"/>
  <c r="A23" i="33"/>
  <c r="M22" i="33"/>
  <c r="A22" i="33"/>
  <c r="M21" i="33"/>
  <c r="A21" i="33"/>
  <c r="M20" i="33"/>
  <c r="A20" i="33"/>
  <c r="M19" i="33"/>
  <c r="A19" i="33"/>
  <c r="M18" i="33"/>
  <c r="A18" i="33"/>
  <c r="M17" i="33"/>
  <c r="A17" i="33"/>
  <c r="M16" i="33"/>
  <c r="A16" i="33"/>
  <c r="M15" i="33"/>
  <c r="A15" i="33"/>
  <c r="M14" i="33"/>
  <c r="A14" i="33"/>
  <c r="M13" i="33"/>
  <c r="A13" i="33"/>
  <c r="M12" i="33"/>
  <c r="A12" i="33"/>
  <c r="M11" i="33"/>
  <c r="A11" i="33"/>
  <c r="M10" i="33"/>
  <c r="A10" i="33"/>
  <c r="M9" i="33"/>
  <c r="P1347" i="3"/>
  <c r="O1347" i="3"/>
  <c r="N1347" i="3"/>
  <c r="M1347" i="3"/>
  <c r="L1347" i="3"/>
  <c r="K1347" i="3"/>
  <c r="J1347" i="3"/>
  <c r="I1347" i="3"/>
  <c r="H1347" i="3"/>
  <c r="G1347" i="3"/>
  <c r="F1347" i="3"/>
  <c r="E1347" i="3"/>
  <c r="D1347" i="3"/>
  <c r="C1347" i="3"/>
  <c r="B1347" i="3"/>
  <c r="A1347" i="3"/>
  <c r="P1346" i="3"/>
  <c r="O1346" i="3"/>
  <c r="N1346" i="3"/>
  <c r="M1346" i="3"/>
  <c r="L1346" i="3"/>
  <c r="K1346" i="3"/>
  <c r="J1346" i="3"/>
  <c r="I1346" i="3"/>
  <c r="H1346" i="3"/>
  <c r="G1346" i="3"/>
  <c r="F1346" i="3"/>
  <c r="E1346" i="3"/>
  <c r="D1346" i="3"/>
  <c r="C1346" i="3"/>
  <c r="B1346" i="3"/>
  <c r="A1346" i="3"/>
  <c r="P1345" i="3"/>
  <c r="O1345" i="3"/>
  <c r="N1345" i="3"/>
  <c r="M1345" i="3"/>
  <c r="L1345" i="3"/>
  <c r="K1345" i="3"/>
  <c r="J1345" i="3"/>
  <c r="I1345" i="3"/>
  <c r="H1345" i="3"/>
  <c r="G1345" i="3"/>
  <c r="F1345" i="3"/>
  <c r="E1345" i="3"/>
  <c r="D1345" i="3"/>
  <c r="C1345" i="3"/>
  <c r="B1345" i="3"/>
  <c r="A1345" i="3"/>
  <c r="M1344" i="3"/>
  <c r="K1344" i="3"/>
  <c r="J1344" i="3"/>
  <c r="G1344" i="3"/>
  <c r="E1344" i="3"/>
  <c r="C1344" i="3"/>
  <c r="B1344" i="3"/>
  <c r="A1344" i="3"/>
  <c r="M1343" i="3"/>
  <c r="K1343" i="3"/>
  <c r="J1343" i="3"/>
  <c r="G1343" i="3"/>
  <c r="E1343" i="3"/>
  <c r="C1343" i="3"/>
  <c r="B1343" i="3"/>
  <c r="A1343" i="3"/>
  <c r="M1342" i="3"/>
  <c r="K1342" i="3"/>
  <c r="J1342" i="3"/>
  <c r="G1342" i="3"/>
  <c r="E1342" i="3"/>
  <c r="C1342" i="3"/>
  <c r="B1342" i="3"/>
  <c r="A1342" i="3"/>
  <c r="M1341" i="3"/>
  <c r="K1341" i="3"/>
  <c r="J1341" i="3"/>
  <c r="G1341" i="3"/>
  <c r="E1341" i="3"/>
  <c r="C1341" i="3"/>
  <c r="B1341" i="3"/>
  <c r="A1341" i="3"/>
  <c r="M1340" i="3"/>
  <c r="K1340" i="3"/>
  <c r="J1340" i="3"/>
  <c r="G1340" i="3"/>
  <c r="E1340" i="3"/>
  <c r="C1340" i="3"/>
  <c r="B1340" i="3"/>
  <c r="A1340" i="3"/>
  <c r="M1339" i="3"/>
  <c r="K1339" i="3"/>
  <c r="J1339" i="3"/>
  <c r="G1339" i="3"/>
  <c r="E1339" i="3"/>
  <c r="C1339" i="3"/>
  <c r="B1339" i="3"/>
  <c r="A1339" i="3"/>
  <c r="M1338" i="3"/>
  <c r="L1338" i="3"/>
  <c r="K1338" i="3"/>
  <c r="J1338" i="3"/>
  <c r="G1338" i="3"/>
  <c r="E1338" i="3"/>
  <c r="C1338" i="3"/>
  <c r="B1338" i="3"/>
  <c r="A1338" i="3"/>
  <c r="M1337" i="3"/>
  <c r="K1337" i="3"/>
  <c r="J1337" i="3"/>
  <c r="G1337" i="3"/>
  <c r="E1337" i="3"/>
  <c r="C1337" i="3"/>
  <c r="B1337" i="3"/>
  <c r="A1337" i="3"/>
  <c r="M1336" i="3"/>
  <c r="K1336" i="3"/>
  <c r="J1336" i="3"/>
  <c r="G1336" i="3"/>
  <c r="E1336" i="3"/>
  <c r="C1336" i="3"/>
  <c r="B1336" i="3"/>
  <c r="A1336" i="3"/>
  <c r="M1335" i="3"/>
  <c r="K1335" i="3"/>
  <c r="J1335" i="3"/>
  <c r="G1335" i="3"/>
  <c r="E1335" i="3"/>
  <c r="C1335" i="3"/>
  <c r="B1335" i="3"/>
  <c r="A1335" i="3"/>
  <c r="P1334" i="3"/>
  <c r="O1334" i="3"/>
  <c r="N1334" i="3"/>
  <c r="M1334" i="3"/>
  <c r="L1334" i="3"/>
  <c r="K1334" i="3"/>
  <c r="J1334" i="3"/>
  <c r="I1334" i="3"/>
  <c r="H1334" i="3"/>
  <c r="G1334" i="3"/>
  <c r="F1334" i="3"/>
  <c r="E1334" i="3"/>
  <c r="D1334" i="3"/>
  <c r="C1334" i="3"/>
  <c r="B1334" i="3"/>
  <c r="A1334" i="3"/>
  <c r="P1333" i="3"/>
  <c r="O1333" i="3"/>
  <c r="N1333" i="3"/>
  <c r="M1333" i="3"/>
  <c r="L1333" i="3"/>
  <c r="K1333" i="3"/>
  <c r="J1333" i="3"/>
  <c r="I1333" i="3"/>
  <c r="H1333" i="3"/>
  <c r="G1333" i="3"/>
  <c r="F1333" i="3"/>
  <c r="E1333" i="3"/>
  <c r="D1333" i="3"/>
  <c r="C1333" i="3"/>
  <c r="B1333" i="3"/>
  <c r="A1333" i="3"/>
  <c r="P1332" i="3"/>
  <c r="O1332" i="3"/>
  <c r="N1332" i="3"/>
  <c r="M1332" i="3"/>
  <c r="L1332" i="3"/>
  <c r="K1332" i="3"/>
  <c r="J1332" i="3"/>
  <c r="I1332" i="3"/>
  <c r="H1332" i="3"/>
  <c r="G1332" i="3"/>
  <c r="F1332" i="3"/>
  <c r="E1332" i="3"/>
  <c r="D1332" i="3"/>
  <c r="C1332" i="3"/>
  <c r="B1332" i="3"/>
  <c r="A1332" i="3"/>
  <c r="M1331" i="3"/>
  <c r="K1331" i="3"/>
  <c r="J1331" i="3"/>
  <c r="G1331" i="3"/>
  <c r="E1331" i="3"/>
  <c r="C1331" i="3"/>
  <c r="B1331" i="3"/>
  <c r="A1331" i="3"/>
  <c r="M1330" i="3"/>
  <c r="K1330" i="3"/>
  <c r="J1330" i="3"/>
  <c r="G1330" i="3"/>
  <c r="E1330" i="3"/>
  <c r="C1330" i="3"/>
  <c r="B1330" i="3"/>
  <c r="A1330" i="3"/>
  <c r="M1329" i="3"/>
  <c r="K1329" i="3"/>
  <c r="J1329" i="3"/>
  <c r="G1329" i="3"/>
  <c r="E1329" i="3"/>
  <c r="C1329" i="3"/>
  <c r="B1329" i="3"/>
  <c r="A1329" i="3"/>
  <c r="M1328" i="3"/>
  <c r="K1328" i="3"/>
  <c r="J1328" i="3"/>
  <c r="G1328" i="3"/>
  <c r="E1328" i="3"/>
  <c r="C1328" i="3"/>
  <c r="B1328" i="3"/>
  <c r="A1328" i="3"/>
  <c r="M1327" i="3"/>
  <c r="K1327" i="3"/>
  <c r="J1327" i="3"/>
  <c r="G1327" i="3"/>
  <c r="E1327" i="3"/>
  <c r="C1327" i="3"/>
  <c r="B1327" i="3"/>
  <c r="A1327" i="3"/>
  <c r="M1326" i="3"/>
  <c r="K1326" i="3"/>
  <c r="J1326" i="3"/>
  <c r="G1326" i="3"/>
  <c r="E1326" i="3"/>
  <c r="C1326" i="3"/>
  <c r="B1326" i="3"/>
  <c r="A1326" i="3"/>
  <c r="M1325" i="3"/>
  <c r="K1325" i="3"/>
  <c r="J1325" i="3"/>
  <c r="G1325" i="3"/>
  <c r="E1325" i="3"/>
  <c r="C1325" i="3"/>
  <c r="B1325" i="3"/>
  <c r="A1325" i="3"/>
  <c r="M1324" i="3"/>
  <c r="K1324" i="3"/>
  <c r="J1324" i="3"/>
  <c r="G1324" i="3"/>
  <c r="E1324" i="3"/>
  <c r="C1324" i="3"/>
  <c r="B1324" i="3"/>
  <c r="A1324" i="3"/>
  <c r="M1323" i="3"/>
  <c r="K1323" i="3"/>
  <c r="J1323" i="3"/>
  <c r="G1323" i="3"/>
  <c r="E1323" i="3"/>
  <c r="C1323" i="3"/>
  <c r="B1323" i="3"/>
  <c r="A1323" i="3"/>
  <c r="M1322" i="3"/>
  <c r="K1322" i="3"/>
  <c r="J1322" i="3"/>
  <c r="G1322" i="3"/>
  <c r="E1322" i="3"/>
  <c r="C1322" i="3"/>
  <c r="B1322" i="3"/>
  <c r="A1322" i="3"/>
  <c r="M1321" i="3"/>
  <c r="K1321" i="3"/>
  <c r="J1321" i="3"/>
  <c r="G1321" i="3"/>
  <c r="E1321" i="3"/>
  <c r="C1321" i="3"/>
  <c r="B1321" i="3"/>
  <c r="A1321" i="3"/>
  <c r="M1320" i="3"/>
  <c r="K1320" i="3"/>
  <c r="J1320" i="3"/>
  <c r="G1320" i="3"/>
  <c r="E1320" i="3"/>
  <c r="C1320" i="3"/>
  <c r="B1320" i="3"/>
  <c r="A1320" i="3"/>
  <c r="M1319" i="3"/>
  <c r="K1319" i="3"/>
  <c r="J1319" i="3"/>
  <c r="G1319" i="3"/>
  <c r="E1319" i="3"/>
  <c r="C1319" i="3"/>
  <c r="B1319" i="3"/>
  <c r="A1319" i="3"/>
  <c r="M1318" i="3"/>
  <c r="K1318" i="3"/>
  <c r="J1318" i="3"/>
  <c r="G1318" i="3"/>
  <c r="E1318" i="3"/>
  <c r="C1318" i="3"/>
  <c r="B1318" i="3"/>
  <c r="A1318" i="3"/>
  <c r="M1317" i="3"/>
  <c r="K1317" i="3"/>
  <c r="J1317" i="3"/>
  <c r="G1317" i="3"/>
  <c r="E1317" i="3"/>
  <c r="C1317" i="3"/>
  <c r="B1317" i="3"/>
  <c r="A1317" i="3"/>
  <c r="M1316" i="3"/>
  <c r="K1316" i="3"/>
  <c r="J1316" i="3"/>
  <c r="G1316" i="3"/>
  <c r="E1316" i="3"/>
  <c r="C1316" i="3"/>
  <c r="B1316" i="3"/>
  <c r="A1316" i="3"/>
  <c r="M1315" i="3"/>
  <c r="K1315" i="3"/>
  <c r="J1315" i="3"/>
  <c r="G1315" i="3"/>
  <c r="E1315" i="3"/>
  <c r="C1315" i="3"/>
  <c r="B1315" i="3"/>
  <c r="A1315" i="3"/>
  <c r="M1314" i="3"/>
  <c r="K1314" i="3"/>
  <c r="J1314" i="3"/>
  <c r="G1314" i="3"/>
  <c r="E1314" i="3"/>
  <c r="C1314" i="3"/>
  <c r="B1314" i="3"/>
  <c r="A1314" i="3"/>
  <c r="M1313" i="3"/>
  <c r="K1313" i="3"/>
  <c r="J1313" i="3"/>
  <c r="G1313" i="3"/>
  <c r="E1313" i="3"/>
  <c r="C1313" i="3"/>
  <c r="B1313" i="3"/>
  <c r="A1313" i="3"/>
  <c r="M1312" i="3"/>
  <c r="K1312" i="3"/>
  <c r="J1312" i="3"/>
  <c r="G1312" i="3"/>
  <c r="E1312" i="3"/>
  <c r="C1312" i="3"/>
  <c r="B1312" i="3"/>
  <c r="A1312" i="3"/>
  <c r="M1311" i="3"/>
  <c r="K1311" i="3"/>
  <c r="J1311" i="3"/>
  <c r="G1311" i="3"/>
  <c r="E1311" i="3"/>
  <c r="C1311" i="3"/>
  <c r="B1311" i="3"/>
  <c r="A1311" i="3"/>
  <c r="M1310" i="3"/>
  <c r="K1310" i="3"/>
  <c r="J1310" i="3"/>
  <c r="G1310" i="3"/>
  <c r="E1310" i="3"/>
  <c r="C1310" i="3"/>
  <c r="B1310" i="3"/>
  <c r="A1310" i="3"/>
  <c r="M1309" i="3"/>
  <c r="K1309" i="3"/>
  <c r="J1309" i="3"/>
  <c r="G1309" i="3"/>
  <c r="E1309" i="3"/>
  <c r="C1309" i="3"/>
  <c r="B1309" i="3"/>
  <c r="A1309" i="3"/>
  <c r="M1308" i="3"/>
  <c r="K1308" i="3"/>
  <c r="J1308" i="3"/>
  <c r="G1308" i="3"/>
  <c r="E1308" i="3"/>
  <c r="C1308" i="3"/>
  <c r="B1308" i="3"/>
  <c r="A1308" i="3"/>
  <c r="M1307" i="3"/>
  <c r="K1307" i="3"/>
  <c r="J1307" i="3"/>
  <c r="G1307" i="3"/>
  <c r="E1307" i="3"/>
  <c r="C1307" i="3"/>
  <c r="B1307" i="3"/>
  <c r="A1307" i="3"/>
  <c r="M1306" i="3"/>
  <c r="K1306" i="3"/>
  <c r="J1306" i="3"/>
  <c r="G1306" i="3"/>
  <c r="E1306" i="3"/>
  <c r="C1306" i="3"/>
  <c r="B1306" i="3"/>
  <c r="A1306" i="3"/>
  <c r="M1305" i="3"/>
  <c r="K1305" i="3"/>
  <c r="J1305" i="3"/>
  <c r="G1305" i="3"/>
  <c r="E1305" i="3"/>
  <c r="C1305" i="3"/>
  <c r="B1305" i="3"/>
  <c r="A1305" i="3"/>
  <c r="M1304" i="3"/>
  <c r="K1304" i="3"/>
  <c r="J1304" i="3"/>
  <c r="G1304" i="3"/>
  <c r="E1304" i="3"/>
  <c r="C1304" i="3"/>
  <c r="B1304" i="3"/>
  <c r="A1304" i="3"/>
  <c r="M1303" i="3"/>
  <c r="K1303" i="3"/>
  <c r="J1303" i="3"/>
  <c r="G1303" i="3"/>
  <c r="E1303" i="3"/>
  <c r="C1303" i="3"/>
  <c r="B1303" i="3"/>
  <c r="A1303" i="3"/>
  <c r="M1302" i="3"/>
  <c r="K1302" i="3"/>
  <c r="J1302" i="3"/>
  <c r="G1302" i="3"/>
  <c r="E1302" i="3"/>
  <c r="C1302" i="3"/>
  <c r="B1302" i="3"/>
  <c r="A1302" i="3"/>
  <c r="M1301" i="3"/>
  <c r="K1301" i="3"/>
  <c r="J1301" i="3"/>
  <c r="G1301" i="3"/>
  <c r="E1301" i="3"/>
  <c r="C1301" i="3"/>
  <c r="B1301" i="3"/>
  <c r="A1301" i="3"/>
  <c r="M1300" i="3"/>
  <c r="K1300" i="3"/>
  <c r="J1300" i="3"/>
  <c r="G1300" i="3"/>
  <c r="E1300" i="3"/>
  <c r="C1300" i="3"/>
  <c r="B1300" i="3"/>
  <c r="A1300" i="3"/>
  <c r="M1299" i="3"/>
  <c r="K1299" i="3"/>
  <c r="J1299" i="3"/>
  <c r="G1299" i="3"/>
  <c r="E1299" i="3"/>
  <c r="C1299" i="3"/>
  <c r="B1299" i="3"/>
  <c r="A1299" i="3"/>
  <c r="M1298" i="3"/>
  <c r="K1298" i="3"/>
  <c r="J1298" i="3"/>
  <c r="G1298" i="3"/>
  <c r="E1298" i="3"/>
  <c r="C1298" i="3"/>
  <c r="B1298" i="3"/>
  <c r="A1298" i="3"/>
  <c r="M1297" i="3"/>
  <c r="K1297" i="3"/>
  <c r="J1297" i="3"/>
  <c r="G1297" i="3"/>
  <c r="E1297" i="3"/>
  <c r="C1297" i="3"/>
  <c r="B1297" i="3"/>
  <c r="A1297" i="3"/>
  <c r="M1296" i="3"/>
  <c r="K1296" i="3"/>
  <c r="J1296" i="3"/>
  <c r="G1296" i="3"/>
  <c r="E1296" i="3"/>
  <c r="C1296" i="3"/>
  <c r="B1296" i="3"/>
  <c r="A1296" i="3"/>
  <c r="M1295" i="3"/>
  <c r="K1295" i="3"/>
  <c r="J1295" i="3"/>
  <c r="G1295" i="3"/>
  <c r="E1295" i="3"/>
  <c r="C1295" i="3"/>
  <c r="B1295" i="3"/>
  <c r="A1295" i="3"/>
  <c r="M1294" i="3"/>
  <c r="K1294" i="3"/>
  <c r="J1294" i="3"/>
  <c r="G1294" i="3"/>
  <c r="E1294" i="3"/>
  <c r="C1294" i="3"/>
  <c r="B1294" i="3"/>
  <c r="A1294" i="3"/>
  <c r="M1293" i="3"/>
  <c r="K1293" i="3"/>
  <c r="J1293" i="3"/>
  <c r="G1293" i="3"/>
  <c r="E1293" i="3"/>
  <c r="C1293" i="3"/>
  <c r="B1293" i="3"/>
  <c r="A1293" i="3"/>
  <c r="M1292" i="3"/>
  <c r="K1292" i="3"/>
  <c r="J1292" i="3"/>
  <c r="G1292" i="3"/>
  <c r="E1292" i="3"/>
  <c r="C1292" i="3"/>
  <c r="B1292" i="3"/>
  <c r="A1292" i="3"/>
  <c r="P1291" i="3"/>
  <c r="O1291" i="3"/>
  <c r="N1291" i="3"/>
  <c r="M1291" i="3"/>
  <c r="L1291" i="3"/>
  <c r="K1291" i="3"/>
  <c r="J1291" i="3"/>
  <c r="I1291" i="3"/>
  <c r="H1291" i="3"/>
  <c r="G1291" i="3"/>
  <c r="F1291" i="3"/>
  <c r="E1291" i="3"/>
  <c r="D1291" i="3"/>
  <c r="C1291" i="3"/>
  <c r="B1291" i="3"/>
  <c r="A1291" i="3"/>
  <c r="P1290" i="3"/>
  <c r="O1290" i="3"/>
  <c r="N1290" i="3"/>
  <c r="M1290" i="3"/>
  <c r="L1290" i="3"/>
  <c r="K1290" i="3"/>
  <c r="J1290" i="3"/>
  <c r="I1290" i="3"/>
  <c r="H1290" i="3"/>
  <c r="G1290" i="3"/>
  <c r="F1290" i="3"/>
  <c r="E1290" i="3"/>
  <c r="D1290" i="3"/>
  <c r="C1290" i="3"/>
  <c r="B1290" i="3"/>
  <c r="A1290" i="3"/>
  <c r="M1289" i="3"/>
  <c r="K1289" i="3"/>
  <c r="J1289" i="3"/>
  <c r="G1289" i="3"/>
  <c r="E1289" i="3"/>
  <c r="C1289" i="3"/>
  <c r="B1289" i="3"/>
  <c r="A1289" i="3"/>
  <c r="M1288" i="3"/>
  <c r="K1288" i="3"/>
  <c r="J1288" i="3"/>
  <c r="G1288" i="3"/>
  <c r="E1288" i="3"/>
  <c r="C1288" i="3"/>
  <c r="B1288" i="3"/>
  <c r="A1288" i="3"/>
  <c r="M1287" i="3"/>
  <c r="K1287" i="3"/>
  <c r="J1287" i="3"/>
  <c r="G1287" i="3"/>
  <c r="E1287" i="3"/>
  <c r="C1287" i="3"/>
  <c r="B1287" i="3"/>
  <c r="A1287" i="3"/>
  <c r="M1286" i="3"/>
  <c r="K1286" i="3"/>
  <c r="J1286" i="3"/>
  <c r="G1286" i="3"/>
  <c r="E1286" i="3"/>
  <c r="C1286" i="3"/>
  <c r="B1286" i="3"/>
  <c r="A1286" i="3"/>
  <c r="M1285" i="3"/>
  <c r="K1285" i="3"/>
  <c r="J1285" i="3"/>
  <c r="G1285" i="3"/>
  <c r="E1285" i="3"/>
  <c r="C1285" i="3"/>
  <c r="B1285" i="3"/>
  <c r="A1285" i="3"/>
  <c r="M1284" i="3"/>
  <c r="K1284" i="3"/>
  <c r="J1284" i="3"/>
  <c r="G1284" i="3"/>
  <c r="E1284" i="3"/>
  <c r="C1284" i="3"/>
  <c r="B1284" i="3"/>
  <c r="A1284" i="3"/>
  <c r="M1283" i="3"/>
  <c r="K1283" i="3"/>
  <c r="J1283" i="3"/>
  <c r="G1283" i="3"/>
  <c r="E1283" i="3"/>
  <c r="C1283" i="3"/>
  <c r="B1283" i="3"/>
  <c r="A1283" i="3"/>
  <c r="M1282" i="3"/>
  <c r="K1282" i="3"/>
  <c r="J1282" i="3"/>
  <c r="G1282" i="3"/>
  <c r="E1282" i="3"/>
  <c r="C1282" i="3"/>
  <c r="B1282" i="3"/>
  <c r="A1282" i="3"/>
  <c r="M1281" i="3"/>
  <c r="K1281" i="3"/>
  <c r="J1281" i="3"/>
  <c r="G1281" i="3"/>
  <c r="E1281" i="3"/>
  <c r="C1281" i="3"/>
  <c r="B1281" i="3"/>
  <c r="A1281" i="3"/>
  <c r="M1280" i="3"/>
  <c r="K1280" i="3"/>
  <c r="J1280" i="3"/>
  <c r="G1280" i="3"/>
  <c r="E1280" i="3"/>
  <c r="C1280" i="3"/>
  <c r="B1280" i="3"/>
  <c r="A1280" i="3"/>
  <c r="M1279" i="3"/>
  <c r="K1279" i="3"/>
  <c r="J1279" i="3"/>
  <c r="G1279" i="3"/>
  <c r="E1279" i="3"/>
  <c r="C1279" i="3"/>
  <c r="B1279" i="3"/>
  <c r="A1279" i="3"/>
  <c r="M1278" i="3"/>
  <c r="K1278" i="3"/>
  <c r="J1278" i="3"/>
  <c r="G1278" i="3"/>
  <c r="E1278" i="3"/>
  <c r="C1278" i="3"/>
  <c r="B1278" i="3"/>
  <c r="A1278" i="3"/>
  <c r="M1277" i="3"/>
  <c r="K1277" i="3"/>
  <c r="J1277" i="3"/>
  <c r="G1277" i="3"/>
  <c r="E1277" i="3"/>
  <c r="C1277" i="3"/>
  <c r="B1277" i="3"/>
  <c r="A1277" i="3"/>
  <c r="M1276" i="3"/>
  <c r="K1276" i="3"/>
  <c r="J1276" i="3"/>
  <c r="G1276" i="3"/>
  <c r="E1276" i="3"/>
  <c r="C1276" i="3"/>
  <c r="B1276" i="3"/>
  <c r="A1276" i="3"/>
  <c r="M1275" i="3"/>
  <c r="K1275" i="3"/>
  <c r="J1275" i="3"/>
  <c r="G1275" i="3"/>
  <c r="E1275" i="3"/>
  <c r="C1275" i="3"/>
  <c r="B1275" i="3"/>
  <c r="A1275" i="3"/>
  <c r="M1274" i="3"/>
  <c r="K1274" i="3"/>
  <c r="J1274" i="3"/>
  <c r="G1274" i="3"/>
  <c r="E1274" i="3"/>
  <c r="C1274" i="3"/>
  <c r="B1274" i="3"/>
  <c r="A1274" i="3"/>
  <c r="M1273" i="3"/>
  <c r="K1273" i="3"/>
  <c r="J1273" i="3"/>
  <c r="G1273" i="3"/>
  <c r="E1273" i="3"/>
  <c r="C1273" i="3"/>
  <c r="B1273" i="3"/>
  <c r="A1273" i="3"/>
  <c r="M1272" i="3"/>
  <c r="K1272" i="3"/>
  <c r="J1272" i="3"/>
  <c r="G1272" i="3"/>
  <c r="E1272" i="3"/>
  <c r="C1272" i="3"/>
  <c r="B1272" i="3"/>
  <c r="A1272" i="3"/>
  <c r="M1271" i="3"/>
  <c r="K1271" i="3"/>
  <c r="J1271" i="3"/>
  <c r="G1271" i="3"/>
  <c r="E1271" i="3"/>
  <c r="C1271" i="3"/>
  <c r="B1271" i="3"/>
  <c r="A1271" i="3"/>
  <c r="M1270" i="3"/>
  <c r="K1270" i="3"/>
  <c r="J1270" i="3"/>
  <c r="G1270" i="3"/>
  <c r="E1270" i="3"/>
  <c r="C1270" i="3"/>
  <c r="B1270" i="3"/>
  <c r="A1270" i="3"/>
  <c r="M1269" i="3"/>
  <c r="K1269" i="3"/>
  <c r="J1269" i="3"/>
  <c r="G1269" i="3"/>
  <c r="E1269" i="3"/>
  <c r="C1269" i="3"/>
  <c r="B1269" i="3"/>
  <c r="A1269" i="3"/>
  <c r="M1268" i="3"/>
  <c r="K1268" i="3"/>
  <c r="J1268" i="3"/>
  <c r="G1268" i="3"/>
  <c r="E1268" i="3"/>
  <c r="C1268" i="3"/>
  <c r="B1268" i="3"/>
  <c r="A1268" i="3"/>
  <c r="M1267" i="3"/>
  <c r="K1267" i="3"/>
  <c r="J1267" i="3"/>
  <c r="G1267" i="3"/>
  <c r="E1267" i="3"/>
  <c r="C1267" i="3"/>
  <c r="B1267" i="3"/>
  <c r="A1267" i="3"/>
  <c r="M1266" i="3"/>
  <c r="K1266" i="3"/>
  <c r="J1266" i="3"/>
  <c r="G1266" i="3"/>
  <c r="E1266" i="3"/>
  <c r="C1266" i="3"/>
  <c r="B1266" i="3"/>
  <c r="A1266" i="3"/>
  <c r="M1265" i="3"/>
  <c r="K1265" i="3"/>
  <c r="J1265" i="3"/>
  <c r="G1265" i="3"/>
  <c r="E1265" i="3"/>
  <c r="C1265" i="3"/>
  <c r="B1265" i="3"/>
  <c r="A1265" i="3"/>
  <c r="M1264" i="3"/>
  <c r="K1264" i="3"/>
  <c r="J1264" i="3"/>
  <c r="G1264" i="3"/>
  <c r="E1264" i="3"/>
  <c r="C1264" i="3"/>
  <c r="B1264" i="3"/>
  <c r="A1264" i="3"/>
  <c r="M1263" i="3"/>
  <c r="K1263" i="3"/>
  <c r="J1263" i="3"/>
  <c r="G1263" i="3"/>
  <c r="E1263" i="3"/>
  <c r="C1263" i="3"/>
  <c r="B1263" i="3"/>
  <c r="A1263" i="3"/>
  <c r="M1262" i="3"/>
  <c r="K1262" i="3"/>
  <c r="J1262" i="3"/>
  <c r="G1262" i="3"/>
  <c r="E1262" i="3"/>
  <c r="C1262" i="3"/>
  <c r="B1262" i="3"/>
  <c r="A1262" i="3"/>
  <c r="M1261" i="3"/>
  <c r="K1261" i="3"/>
  <c r="J1261" i="3"/>
  <c r="G1261" i="3"/>
  <c r="E1261" i="3"/>
  <c r="C1261" i="3"/>
  <c r="B1261" i="3"/>
  <c r="A1261" i="3"/>
  <c r="M1260" i="3"/>
  <c r="K1260" i="3"/>
  <c r="J1260" i="3"/>
  <c r="G1260" i="3"/>
  <c r="E1260" i="3"/>
  <c r="C1260" i="3"/>
  <c r="B1260" i="3"/>
  <c r="A1260" i="3"/>
  <c r="M1259" i="3"/>
  <c r="K1259" i="3"/>
  <c r="J1259" i="3"/>
  <c r="G1259" i="3"/>
  <c r="E1259" i="3"/>
  <c r="C1259" i="3"/>
  <c r="B1259" i="3"/>
  <c r="A1259" i="3"/>
  <c r="M1258" i="3"/>
  <c r="K1258" i="3"/>
  <c r="J1258" i="3"/>
  <c r="G1258" i="3"/>
  <c r="E1258" i="3"/>
  <c r="C1258" i="3"/>
  <c r="B1258" i="3"/>
  <c r="A1258" i="3"/>
  <c r="M1257" i="3"/>
  <c r="K1257" i="3"/>
  <c r="J1257" i="3"/>
  <c r="G1257" i="3"/>
  <c r="E1257" i="3"/>
  <c r="C1257" i="3"/>
  <c r="B1257" i="3"/>
  <c r="A1257" i="3"/>
  <c r="M1256" i="3"/>
  <c r="K1256" i="3"/>
  <c r="J1256" i="3"/>
  <c r="G1256" i="3"/>
  <c r="E1256" i="3"/>
  <c r="C1256" i="3"/>
  <c r="B1256" i="3"/>
  <c r="A1256" i="3"/>
  <c r="M1255" i="3"/>
  <c r="K1255" i="3"/>
  <c r="J1255" i="3"/>
  <c r="G1255" i="3"/>
  <c r="E1255" i="3"/>
  <c r="C1255" i="3"/>
  <c r="B1255" i="3"/>
  <c r="A1255" i="3"/>
  <c r="M1254" i="3"/>
  <c r="K1254" i="3"/>
  <c r="J1254" i="3"/>
  <c r="G1254" i="3"/>
  <c r="E1254" i="3"/>
  <c r="C1254" i="3"/>
  <c r="B1254" i="3"/>
  <c r="A1254" i="3"/>
  <c r="M1253" i="3"/>
  <c r="K1253" i="3"/>
  <c r="J1253" i="3"/>
  <c r="G1253" i="3"/>
  <c r="E1253" i="3"/>
  <c r="C1253" i="3"/>
  <c r="B1253" i="3"/>
  <c r="A1253" i="3"/>
  <c r="M1252" i="3"/>
  <c r="K1252" i="3"/>
  <c r="J1252" i="3"/>
  <c r="G1252" i="3"/>
  <c r="E1252" i="3"/>
  <c r="C1252" i="3"/>
  <c r="B1252" i="3"/>
  <c r="A1252" i="3"/>
  <c r="M1251" i="3"/>
  <c r="K1251" i="3"/>
  <c r="J1251" i="3"/>
  <c r="G1251" i="3"/>
  <c r="E1251" i="3"/>
  <c r="C1251" i="3"/>
  <c r="B1251" i="3"/>
  <c r="A1251" i="3"/>
  <c r="M1250" i="3"/>
  <c r="K1250" i="3"/>
  <c r="J1250" i="3"/>
  <c r="G1250" i="3"/>
  <c r="E1250" i="3"/>
  <c r="C1250" i="3"/>
  <c r="B1250" i="3"/>
  <c r="A1250" i="3"/>
  <c r="M1249" i="3"/>
  <c r="K1249" i="3"/>
  <c r="J1249" i="3"/>
  <c r="G1249" i="3"/>
  <c r="E1249" i="3"/>
  <c r="C1249" i="3"/>
  <c r="B1249" i="3"/>
  <c r="A1249" i="3"/>
  <c r="M1248" i="3"/>
  <c r="K1248" i="3"/>
  <c r="J1248" i="3"/>
  <c r="G1248" i="3"/>
  <c r="E1248" i="3"/>
  <c r="C1248" i="3"/>
  <c r="B1248" i="3"/>
  <c r="A1248" i="3"/>
  <c r="M1247" i="3"/>
  <c r="K1247" i="3"/>
  <c r="J1247" i="3"/>
  <c r="G1247" i="3"/>
  <c r="E1247" i="3"/>
  <c r="C1247" i="3"/>
  <c r="B1247" i="3"/>
  <c r="A1247" i="3"/>
  <c r="M1246" i="3"/>
  <c r="K1246" i="3"/>
  <c r="J1246" i="3"/>
  <c r="G1246" i="3"/>
  <c r="E1246" i="3"/>
  <c r="C1246" i="3"/>
  <c r="B1246" i="3"/>
  <c r="A1246" i="3"/>
  <c r="M1245" i="3"/>
  <c r="K1245" i="3"/>
  <c r="J1245" i="3"/>
  <c r="G1245" i="3"/>
  <c r="E1245" i="3"/>
  <c r="C1245" i="3"/>
  <c r="B1245" i="3"/>
  <c r="A1245" i="3"/>
  <c r="P1244" i="3"/>
  <c r="O1244" i="3"/>
  <c r="N1244" i="3"/>
  <c r="M1244" i="3"/>
  <c r="L1244" i="3"/>
  <c r="K1244" i="3"/>
  <c r="J1244" i="3"/>
  <c r="I1244" i="3"/>
  <c r="H1244" i="3"/>
  <c r="G1244" i="3"/>
  <c r="F1244" i="3"/>
  <c r="E1244" i="3"/>
  <c r="D1244" i="3"/>
  <c r="C1244" i="3"/>
  <c r="B1244" i="3"/>
  <c r="A1244" i="3"/>
  <c r="P1243" i="3"/>
  <c r="O1243" i="3"/>
  <c r="N1243" i="3"/>
  <c r="M1243" i="3"/>
  <c r="L1243" i="3"/>
  <c r="K1243" i="3"/>
  <c r="J1243" i="3"/>
  <c r="I1243" i="3"/>
  <c r="H1243" i="3"/>
  <c r="G1243" i="3"/>
  <c r="F1243" i="3"/>
  <c r="E1243" i="3"/>
  <c r="D1243" i="3"/>
  <c r="C1243" i="3"/>
  <c r="B1243" i="3"/>
  <c r="A1243" i="3"/>
  <c r="P1242" i="3"/>
  <c r="O1242" i="3"/>
  <c r="N1242" i="3"/>
  <c r="M1242" i="3"/>
  <c r="L1242" i="3"/>
  <c r="K1242" i="3"/>
  <c r="J1242" i="3"/>
  <c r="I1242" i="3"/>
  <c r="H1242" i="3"/>
  <c r="G1242" i="3"/>
  <c r="F1242" i="3"/>
  <c r="E1242" i="3"/>
  <c r="D1242" i="3"/>
  <c r="C1242" i="3"/>
  <c r="B1242" i="3"/>
  <c r="A1242" i="3"/>
  <c r="P1241" i="3"/>
  <c r="O1241" i="3"/>
  <c r="N1241" i="3"/>
  <c r="M1241" i="3"/>
  <c r="L1241" i="3"/>
  <c r="K1241" i="3"/>
  <c r="J1241" i="3"/>
  <c r="I1241" i="3"/>
  <c r="H1241" i="3"/>
  <c r="G1241" i="3"/>
  <c r="F1241" i="3"/>
  <c r="E1241" i="3"/>
  <c r="D1241" i="3"/>
  <c r="C1241" i="3"/>
  <c r="B1241" i="3"/>
  <c r="A1241" i="3"/>
  <c r="P1240" i="3"/>
  <c r="O1240" i="3"/>
  <c r="N1240" i="3"/>
  <c r="M1240" i="3"/>
  <c r="L1240" i="3"/>
  <c r="K1240" i="3"/>
  <c r="J1240" i="3"/>
  <c r="I1240" i="3"/>
  <c r="H1240" i="3"/>
  <c r="G1240" i="3"/>
  <c r="F1240" i="3"/>
  <c r="E1240" i="3"/>
  <c r="D1240" i="3"/>
  <c r="C1240" i="3"/>
  <c r="B1240" i="3"/>
  <c r="A1240" i="3"/>
  <c r="P1239" i="3"/>
  <c r="O1239" i="3"/>
  <c r="N1239" i="3"/>
  <c r="M1239" i="3"/>
  <c r="L1239" i="3"/>
  <c r="K1239" i="3"/>
  <c r="J1239" i="3"/>
  <c r="I1239" i="3"/>
  <c r="H1239" i="3"/>
  <c r="G1239" i="3"/>
  <c r="F1239" i="3"/>
  <c r="E1239" i="3"/>
  <c r="D1239" i="3"/>
  <c r="C1239" i="3"/>
  <c r="B1239" i="3"/>
  <c r="A1239" i="3"/>
  <c r="P1238" i="3"/>
  <c r="O1238" i="3"/>
  <c r="N1238" i="3"/>
  <c r="M1238" i="3"/>
  <c r="L1238" i="3"/>
  <c r="K1238" i="3"/>
  <c r="J1238" i="3"/>
  <c r="I1238" i="3"/>
  <c r="H1238" i="3"/>
  <c r="G1238" i="3"/>
  <c r="F1238" i="3"/>
  <c r="E1238" i="3"/>
  <c r="D1238" i="3"/>
  <c r="C1238" i="3"/>
  <c r="B1238" i="3"/>
  <c r="A1238" i="3"/>
  <c r="P1237" i="3"/>
  <c r="O1237" i="3"/>
  <c r="N1237" i="3"/>
  <c r="M1237" i="3"/>
  <c r="L1237" i="3"/>
  <c r="K1237" i="3"/>
  <c r="J1237" i="3"/>
  <c r="I1237" i="3"/>
  <c r="H1237" i="3"/>
  <c r="G1237" i="3"/>
  <c r="F1237" i="3"/>
  <c r="E1237" i="3"/>
  <c r="D1237" i="3"/>
  <c r="C1237" i="3"/>
  <c r="B1237" i="3"/>
  <c r="A1237" i="3"/>
  <c r="M1236" i="3"/>
  <c r="K1236" i="3"/>
  <c r="J1236" i="3"/>
  <c r="G1236" i="3"/>
  <c r="E1236" i="3"/>
  <c r="C1236" i="3"/>
  <c r="B1236" i="3"/>
  <c r="A1236" i="3"/>
  <c r="M1235" i="3"/>
  <c r="K1235" i="3"/>
  <c r="J1235" i="3"/>
  <c r="G1235" i="3"/>
  <c r="E1235" i="3"/>
  <c r="C1235" i="3"/>
  <c r="B1235" i="3"/>
  <c r="A1235" i="3"/>
  <c r="M1234" i="3"/>
  <c r="K1234" i="3"/>
  <c r="J1234" i="3"/>
  <c r="G1234" i="3"/>
  <c r="E1234" i="3"/>
  <c r="C1234" i="3"/>
  <c r="B1234" i="3"/>
  <c r="A1234" i="3"/>
  <c r="M1233" i="3"/>
  <c r="K1233" i="3"/>
  <c r="J1233" i="3"/>
  <c r="G1233" i="3"/>
  <c r="E1233" i="3"/>
  <c r="C1233" i="3"/>
  <c r="B1233" i="3"/>
  <c r="A1233" i="3"/>
  <c r="M1232" i="3"/>
  <c r="K1232" i="3"/>
  <c r="J1232" i="3"/>
  <c r="G1232" i="3"/>
  <c r="E1232" i="3"/>
  <c r="C1232" i="3"/>
  <c r="B1232" i="3"/>
  <c r="A1232" i="3"/>
  <c r="M1231" i="3"/>
  <c r="K1231" i="3"/>
  <c r="J1231" i="3"/>
  <c r="G1231" i="3"/>
  <c r="E1231" i="3"/>
  <c r="C1231" i="3"/>
  <c r="B1231" i="3"/>
  <c r="A1231" i="3"/>
  <c r="M1230" i="3"/>
  <c r="K1230" i="3"/>
  <c r="J1230" i="3"/>
  <c r="G1230" i="3"/>
  <c r="E1230" i="3"/>
  <c r="C1230" i="3"/>
  <c r="B1230" i="3"/>
  <c r="A1230" i="3"/>
  <c r="M1229" i="3"/>
  <c r="K1229" i="3"/>
  <c r="J1229" i="3"/>
  <c r="G1229" i="3"/>
  <c r="E1229" i="3"/>
  <c r="C1229" i="3"/>
  <c r="B1229" i="3"/>
  <c r="A1229" i="3"/>
  <c r="M1228" i="3"/>
  <c r="K1228" i="3"/>
  <c r="J1228" i="3"/>
  <c r="G1228" i="3"/>
  <c r="E1228" i="3"/>
  <c r="C1228" i="3"/>
  <c r="B1228" i="3"/>
  <c r="A1228" i="3"/>
  <c r="M1227" i="3"/>
  <c r="K1227" i="3"/>
  <c r="J1227" i="3"/>
  <c r="G1227" i="3"/>
  <c r="E1227" i="3"/>
  <c r="C1227" i="3"/>
  <c r="B1227" i="3"/>
  <c r="A1227" i="3"/>
  <c r="M1226" i="3"/>
  <c r="K1226" i="3"/>
  <c r="J1226" i="3"/>
  <c r="G1226" i="3"/>
  <c r="E1226" i="3"/>
  <c r="C1226" i="3"/>
  <c r="B1226" i="3"/>
  <c r="A1226" i="3"/>
  <c r="M1225" i="3"/>
  <c r="K1225" i="3"/>
  <c r="J1225" i="3"/>
  <c r="G1225" i="3"/>
  <c r="E1225" i="3"/>
  <c r="C1225" i="3"/>
  <c r="B1225" i="3"/>
  <c r="A1225" i="3"/>
  <c r="M1224" i="3"/>
  <c r="K1224" i="3"/>
  <c r="J1224" i="3"/>
  <c r="G1224" i="3"/>
  <c r="E1224" i="3"/>
  <c r="C1224" i="3"/>
  <c r="B1224" i="3"/>
  <c r="A1224" i="3"/>
  <c r="M1223" i="3"/>
  <c r="K1223" i="3"/>
  <c r="J1223" i="3"/>
  <c r="G1223" i="3"/>
  <c r="E1223" i="3"/>
  <c r="C1223" i="3"/>
  <c r="B1223" i="3"/>
  <c r="A1223" i="3"/>
  <c r="M1222" i="3"/>
  <c r="K1222" i="3"/>
  <c r="J1222" i="3"/>
  <c r="G1222" i="3"/>
  <c r="E1222" i="3"/>
  <c r="C1222" i="3"/>
  <c r="B1222" i="3"/>
  <c r="A1222" i="3"/>
  <c r="M1221" i="3"/>
  <c r="K1221" i="3"/>
  <c r="J1221" i="3"/>
  <c r="G1221" i="3"/>
  <c r="E1221" i="3"/>
  <c r="C1221" i="3"/>
  <c r="B1221" i="3"/>
  <c r="A1221" i="3"/>
  <c r="M1220" i="3"/>
  <c r="K1220" i="3"/>
  <c r="J1220" i="3"/>
  <c r="G1220" i="3"/>
  <c r="E1220" i="3"/>
  <c r="C1220" i="3"/>
  <c r="B1220" i="3"/>
  <c r="A1220" i="3"/>
  <c r="M1219" i="3"/>
  <c r="K1219" i="3"/>
  <c r="J1219" i="3"/>
  <c r="G1219" i="3"/>
  <c r="E1219" i="3"/>
  <c r="C1219" i="3"/>
  <c r="B1219" i="3"/>
  <c r="A1219" i="3"/>
  <c r="M1218" i="3"/>
  <c r="K1218" i="3"/>
  <c r="J1218" i="3"/>
  <c r="G1218" i="3"/>
  <c r="E1218" i="3"/>
  <c r="C1218" i="3"/>
  <c r="B1218" i="3"/>
  <c r="A1218" i="3"/>
  <c r="M1217" i="3"/>
  <c r="K1217" i="3"/>
  <c r="J1217" i="3"/>
  <c r="G1217" i="3"/>
  <c r="E1217" i="3"/>
  <c r="C1217" i="3"/>
  <c r="B1217" i="3"/>
  <c r="A1217" i="3"/>
  <c r="P1216" i="3"/>
  <c r="O1216" i="3"/>
  <c r="N1216" i="3"/>
  <c r="M1216" i="3"/>
  <c r="L1216" i="3"/>
  <c r="K1216" i="3"/>
  <c r="J1216" i="3"/>
  <c r="I1216" i="3"/>
  <c r="H1216" i="3"/>
  <c r="G1216" i="3"/>
  <c r="F1216" i="3"/>
  <c r="E1216" i="3"/>
  <c r="D1216" i="3"/>
  <c r="C1216" i="3"/>
  <c r="B1216" i="3"/>
  <c r="A1216" i="3"/>
  <c r="P1215" i="3"/>
  <c r="O1215" i="3"/>
  <c r="N1215" i="3"/>
  <c r="M1215" i="3"/>
  <c r="L1215" i="3"/>
  <c r="K1215" i="3"/>
  <c r="J1215" i="3"/>
  <c r="I1215" i="3"/>
  <c r="H1215" i="3"/>
  <c r="G1215" i="3"/>
  <c r="F1215" i="3"/>
  <c r="E1215" i="3"/>
  <c r="D1215" i="3"/>
  <c r="C1215" i="3"/>
  <c r="B1215" i="3"/>
  <c r="A1215" i="3"/>
  <c r="P1214" i="3"/>
  <c r="O1214" i="3"/>
  <c r="N1214" i="3"/>
  <c r="M1214" i="3"/>
  <c r="L1214" i="3"/>
  <c r="K1214" i="3"/>
  <c r="J1214" i="3"/>
  <c r="I1214" i="3"/>
  <c r="H1214" i="3"/>
  <c r="G1214" i="3"/>
  <c r="F1214" i="3"/>
  <c r="E1214" i="3"/>
  <c r="D1214" i="3"/>
  <c r="C1214" i="3"/>
  <c r="B1214" i="3"/>
  <c r="A1214" i="3"/>
  <c r="P1213" i="3"/>
  <c r="O1213" i="3"/>
  <c r="N1213" i="3"/>
  <c r="M1213" i="3"/>
  <c r="L1213" i="3"/>
  <c r="K1213" i="3"/>
  <c r="J1213" i="3"/>
  <c r="I1213" i="3"/>
  <c r="H1213" i="3"/>
  <c r="G1213" i="3"/>
  <c r="F1213" i="3"/>
  <c r="E1213" i="3"/>
  <c r="D1213" i="3"/>
  <c r="C1213" i="3"/>
  <c r="B1213" i="3"/>
  <c r="A1213" i="3"/>
  <c r="P1212" i="3"/>
  <c r="O1212" i="3"/>
  <c r="N1212" i="3"/>
  <c r="M1212" i="3"/>
  <c r="L1212" i="3"/>
  <c r="K1212" i="3"/>
  <c r="J1212" i="3"/>
  <c r="I1212" i="3"/>
  <c r="H1212" i="3"/>
  <c r="G1212" i="3"/>
  <c r="F1212" i="3"/>
  <c r="E1212" i="3"/>
  <c r="D1212" i="3"/>
  <c r="C1212" i="3"/>
  <c r="B1212" i="3"/>
  <c r="A1212" i="3"/>
  <c r="M1211" i="3"/>
  <c r="K1211" i="3"/>
  <c r="J1211" i="3"/>
  <c r="G1211" i="3"/>
  <c r="E1211" i="3"/>
  <c r="C1211" i="3"/>
  <c r="B1211" i="3"/>
  <c r="A1211" i="3"/>
  <c r="M1210" i="3"/>
  <c r="K1210" i="3"/>
  <c r="J1210" i="3"/>
  <c r="G1210" i="3"/>
  <c r="E1210" i="3"/>
  <c r="C1210" i="3"/>
  <c r="B1210" i="3"/>
  <c r="A1210" i="3"/>
  <c r="P1209" i="3"/>
  <c r="O1209" i="3"/>
  <c r="N1209" i="3"/>
  <c r="M1209" i="3"/>
  <c r="L1209" i="3"/>
  <c r="K1209" i="3"/>
  <c r="J1209" i="3"/>
  <c r="I1209" i="3"/>
  <c r="H1209" i="3"/>
  <c r="G1209" i="3"/>
  <c r="F1209" i="3"/>
  <c r="E1209" i="3"/>
  <c r="D1209" i="3"/>
  <c r="C1209" i="3"/>
  <c r="B1209" i="3"/>
  <c r="A1209" i="3"/>
  <c r="P1208" i="3"/>
  <c r="O1208" i="3"/>
  <c r="N1208" i="3"/>
  <c r="M1208" i="3"/>
  <c r="L1208" i="3"/>
  <c r="K1208" i="3"/>
  <c r="J1208" i="3"/>
  <c r="I1208" i="3"/>
  <c r="H1208" i="3"/>
  <c r="G1208" i="3"/>
  <c r="F1208" i="3"/>
  <c r="E1208" i="3"/>
  <c r="D1208" i="3"/>
  <c r="C1208" i="3"/>
  <c r="B1208" i="3"/>
  <c r="A1208" i="3"/>
  <c r="P1207" i="3"/>
  <c r="O1207" i="3"/>
  <c r="N1207" i="3"/>
  <c r="M1207" i="3"/>
  <c r="L1207" i="3"/>
  <c r="K1207" i="3"/>
  <c r="J1207" i="3"/>
  <c r="I1207" i="3"/>
  <c r="H1207" i="3"/>
  <c r="G1207" i="3"/>
  <c r="F1207" i="3"/>
  <c r="E1207" i="3"/>
  <c r="D1207" i="3"/>
  <c r="C1207" i="3"/>
  <c r="B1207" i="3"/>
  <c r="A1207" i="3"/>
  <c r="P1206" i="3"/>
  <c r="O1206" i="3"/>
  <c r="N1206" i="3"/>
  <c r="M1206" i="3"/>
  <c r="L1206" i="3"/>
  <c r="K1206" i="3"/>
  <c r="J1206" i="3"/>
  <c r="I1206" i="3"/>
  <c r="H1206" i="3"/>
  <c r="G1206" i="3"/>
  <c r="F1206" i="3"/>
  <c r="E1206" i="3"/>
  <c r="D1206" i="3"/>
  <c r="C1206" i="3"/>
  <c r="B1206" i="3"/>
  <c r="A1206" i="3"/>
  <c r="M1205" i="3"/>
  <c r="K1205" i="3"/>
  <c r="J1205" i="3"/>
  <c r="G1205" i="3"/>
  <c r="E1205" i="3"/>
  <c r="C1205" i="3"/>
  <c r="B1205" i="3"/>
  <c r="A1205" i="3"/>
  <c r="M1204" i="3"/>
  <c r="K1204" i="3"/>
  <c r="J1204" i="3"/>
  <c r="G1204" i="3"/>
  <c r="E1204" i="3"/>
  <c r="C1204" i="3"/>
  <c r="B1204" i="3"/>
  <c r="A1204" i="3"/>
  <c r="M1203" i="3"/>
  <c r="K1203" i="3"/>
  <c r="J1203" i="3"/>
  <c r="G1203" i="3"/>
  <c r="E1203" i="3"/>
  <c r="C1203" i="3"/>
  <c r="B1203" i="3"/>
  <c r="A1203" i="3"/>
  <c r="M1202" i="3"/>
  <c r="K1202" i="3"/>
  <c r="J1202" i="3"/>
  <c r="G1202" i="3"/>
  <c r="E1202" i="3"/>
  <c r="C1202" i="3"/>
  <c r="B1202" i="3"/>
  <c r="A1202" i="3"/>
  <c r="M1201" i="3"/>
  <c r="K1201" i="3"/>
  <c r="J1201" i="3"/>
  <c r="G1201" i="3"/>
  <c r="E1201" i="3"/>
  <c r="C1201" i="3"/>
  <c r="B1201" i="3"/>
  <c r="A1201" i="3"/>
  <c r="M1200" i="3"/>
  <c r="K1200" i="3"/>
  <c r="J1200" i="3"/>
  <c r="G1200" i="3"/>
  <c r="E1200" i="3"/>
  <c r="C1200" i="3"/>
  <c r="B1200" i="3"/>
  <c r="A1200" i="3"/>
  <c r="M1199" i="3"/>
  <c r="K1199" i="3"/>
  <c r="J1199" i="3"/>
  <c r="G1199" i="3"/>
  <c r="E1199" i="3"/>
  <c r="C1199" i="3"/>
  <c r="B1199" i="3"/>
  <c r="A1199" i="3"/>
  <c r="M1198" i="3"/>
  <c r="K1198" i="3"/>
  <c r="J1198" i="3"/>
  <c r="G1198" i="3"/>
  <c r="E1198" i="3"/>
  <c r="C1198" i="3"/>
  <c r="B1198" i="3"/>
  <c r="A1198" i="3"/>
  <c r="M1197" i="3"/>
  <c r="K1197" i="3"/>
  <c r="J1197" i="3"/>
  <c r="G1197" i="3"/>
  <c r="E1197" i="3"/>
  <c r="C1197" i="3"/>
  <c r="B1197" i="3"/>
  <c r="A1197" i="3"/>
  <c r="M1196" i="3"/>
  <c r="K1196" i="3"/>
  <c r="J1196" i="3"/>
  <c r="G1196" i="3"/>
  <c r="E1196" i="3"/>
  <c r="C1196" i="3"/>
  <c r="B1196" i="3"/>
  <c r="A1196" i="3"/>
  <c r="M1195" i="3"/>
  <c r="K1195" i="3"/>
  <c r="J1195" i="3"/>
  <c r="G1195" i="3"/>
  <c r="E1195" i="3"/>
  <c r="C1195" i="3"/>
  <c r="B1195" i="3"/>
  <c r="A1195" i="3"/>
  <c r="M1194" i="3"/>
  <c r="K1194" i="3"/>
  <c r="J1194" i="3"/>
  <c r="G1194" i="3"/>
  <c r="E1194" i="3"/>
  <c r="C1194" i="3"/>
  <c r="B1194" i="3"/>
  <c r="A1194" i="3"/>
  <c r="M1193" i="3"/>
  <c r="K1193" i="3"/>
  <c r="J1193" i="3"/>
  <c r="G1193" i="3"/>
  <c r="E1193" i="3"/>
  <c r="C1193" i="3"/>
  <c r="B1193" i="3"/>
  <c r="A1193" i="3"/>
  <c r="M1192" i="3"/>
  <c r="K1192" i="3"/>
  <c r="J1192" i="3"/>
  <c r="G1192" i="3"/>
  <c r="E1192" i="3"/>
  <c r="C1192" i="3"/>
  <c r="B1192" i="3"/>
  <c r="A1192" i="3"/>
  <c r="M1191" i="3"/>
  <c r="K1191" i="3"/>
  <c r="J1191" i="3"/>
  <c r="G1191" i="3"/>
  <c r="E1191" i="3"/>
  <c r="C1191" i="3"/>
  <c r="B1191" i="3"/>
  <c r="A1191" i="3"/>
  <c r="M1190" i="3"/>
  <c r="K1190" i="3"/>
  <c r="J1190" i="3"/>
  <c r="G1190" i="3"/>
  <c r="E1190" i="3"/>
  <c r="C1190" i="3"/>
  <c r="B1190" i="3"/>
  <c r="A1190" i="3"/>
  <c r="M1189" i="3"/>
  <c r="K1189" i="3"/>
  <c r="J1189" i="3"/>
  <c r="G1189" i="3"/>
  <c r="E1189" i="3"/>
  <c r="C1189" i="3"/>
  <c r="B1189" i="3"/>
  <c r="A1189" i="3"/>
  <c r="M1188" i="3"/>
  <c r="K1188" i="3"/>
  <c r="J1188" i="3"/>
  <c r="G1188" i="3"/>
  <c r="E1188" i="3"/>
  <c r="C1188" i="3"/>
  <c r="B1188" i="3"/>
  <c r="A1188" i="3"/>
  <c r="M1187" i="3"/>
  <c r="K1187" i="3"/>
  <c r="J1187" i="3"/>
  <c r="G1187" i="3"/>
  <c r="E1187" i="3"/>
  <c r="C1187" i="3"/>
  <c r="B1187" i="3"/>
  <c r="A1187" i="3"/>
  <c r="M1186" i="3"/>
  <c r="K1186" i="3"/>
  <c r="J1186" i="3"/>
  <c r="G1186" i="3"/>
  <c r="E1186" i="3"/>
  <c r="C1186" i="3"/>
  <c r="B1186" i="3"/>
  <c r="A1186" i="3"/>
  <c r="M1185" i="3"/>
  <c r="K1185" i="3"/>
  <c r="J1185" i="3"/>
  <c r="G1185" i="3"/>
  <c r="E1185" i="3"/>
  <c r="C1185" i="3"/>
  <c r="B1185" i="3"/>
  <c r="A1185" i="3"/>
  <c r="M1184" i="3"/>
  <c r="K1184" i="3"/>
  <c r="J1184" i="3"/>
  <c r="G1184" i="3"/>
  <c r="E1184" i="3"/>
  <c r="C1184" i="3"/>
  <c r="B1184" i="3"/>
  <c r="A1184" i="3"/>
  <c r="M1183" i="3"/>
  <c r="K1183" i="3"/>
  <c r="J1183" i="3"/>
  <c r="G1183" i="3"/>
  <c r="E1183" i="3"/>
  <c r="C1183" i="3"/>
  <c r="B1183" i="3"/>
  <c r="A1183" i="3"/>
  <c r="M1182" i="3"/>
  <c r="K1182" i="3"/>
  <c r="J1182" i="3"/>
  <c r="G1182" i="3"/>
  <c r="E1182" i="3"/>
  <c r="C1182" i="3"/>
  <c r="B1182" i="3"/>
  <c r="A1182" i="3"/>
  <c r="M1181" i="3"/>
  <c r="K1181" i="3"/>
  <c r="J1181" i="3"/>
  <c r="G1181" i="3"/>
  <c r="E1181" i="3"/>
  <c r="C1181" i="3"/>
  <c r="B1181" i="3"/>
  <c r="A1181" i="3"/>
  <c r="M1180" i="3"/>
  <c r="K1180" i="3"/>
  <c r="J1180" i="3"/>
  <c r="G1180" i="3"/>
  <c r="E1180" i="3"/>
  <c r="C1180" i="3"/>
  <c r="B1180" i="3"/>
  <c r="A1180" i="3"/>
  <c r="M1179" i="3"/>
  <c r="K1179" i="3"/>
  <c r="J1179" i="3"/>
  <c r="G1179" i="3"/>
  <c r="E1179" i="3"/>
  <c r="C1179" i="3"/>
  <c r="B1179" i="3"/>
  <c r="A1179" i="3"/>
  <c r="M1178" i="3"/>
  <c r="K1178" i="3"/>
  <c r="J1178" i="3"/>
  <c r="G1178" i="3"/>
  <c r="E1178" i="3"/>
  <c r="C1178" i="3"/>
  <c r="B1178" i="3"/>
  <c r="A1178" i="3"/>
  <c r="M1177" i="3"/>
  <c r="K1177" i="3"/>
  <c r="J1177" i="3"/>
  <c r="G1177" i="3"/>
  <c r="E1177" i="3"/>
  <c r="C1177" i="3"/>
  <c r="B1177" i="3"/>
  <c r="A1177" i="3"/>
  <c r="M1176" i="3"/>
  <c r="K1176" i="3"/>
  <c r="J1176" i="3"/>
  <c r="G1176" i="3"/>
  <c r="E1176" i="3"/>
  <c r="C1176" i="3"/>
  <c r="B1176" i="3"/>
  <c r="A1176" i="3"/>
  <c r="M1175" i="3"/>
  <c r="K1175" i="3"/>
  <c r="J1175" i="3"/>
  <c r="G1175" i="3"/>
  <c r="E1175" i="3"/>
  <c r="C1175" i="3"/>
  <c r="B1175" i="3"/>
  <c r="A1175" i="3"/>
  <c r="M1174" i="3"/>
  <c r="K1174" i="3"/>
  <c r="J1174" i="3"/>
  <c r="G1174" i="3"/>
  <c r="E1174" i="3"/>
  <c r="C1174" i="3"/>
  <c r="B1174" i="3"/>
  <c r="A1174" i="3"/>
  <c r="M1173" i="3"/>
  <c r="K1173" i="3"/>
  <c r="J1173" i="3"/>
  <c r="G1173" i="3"/>
  <c r="E1173" i="3"/>
  <c r="C1173" i="3"/>
  <c r="B1173" i="3"/>
  <c r="A1173" i="3"/>
  <c r="M1172" i="3"/>
  <c r="K1172" i="3"/>
  <c r="J1172" i="3"/>
  <c r="G1172" i="3"/>
  <c r="E1172" i="3"/>
  <c r="C1172" i="3"/>
  <c r="B1172" i="3"/>
  <c r="A1172" i="3"/>
  <c r="M1171" i="3"/>
  <c r="K1171" i="3"/>
  <c r="J1171" i="3"/>
  <c r="G1171" i="3"/>
  <c r="E1171" i="3"/>
  <c r="C1171" i="3"/>
  <c r="B1171" i="3"/>
  <c r="A1171" i="3"/>
  <c r="M1170" i="3"/>
  <c r="K1170" i="3"/>
  <c r="J1170" i="3"/>
  <c r="G1170" i="3"/>
  <c r="E1170" i="3"/>
  <c r="C1170" i="3"/>
  <c r="B1170" i="3"/>
  <c r="A1170" i="3"/>
  <c r="M1169" i="3"/>
  <c r="K1169" i="3"/>
  <c r="J1169" i="3"/>
  <c r="G1169" i="3"/>
  <c r="E1169" i="3"/>
  <c r="C1169" i="3"/>
  <c r="B1169" i="3"/>
  <c r="A1169" i="3"/>
  <c r="M1168" i="3"/>
  <c r="K1168" i="3"/>
  <c r="J1168" i="3"/>
  <c r="G1168" i="3"/>
  <c r="E1168" i="3"/>
  <c r="C1168" i="3"/>
  <c r="B1168" i="3"/>
  <c r="A1168" i="3"/>
  <c r="M1167" i="3"/>
  <c r="K1167" i="3"/>
  <c r="J1167" i="3"/>
  <c r="G1167" i="3"/>
  <c r="E1167" i="3"/>
  <c r="C1167" i="3"/>
  <c r="B1167" i="3"/>
  <c r="A1167" i="3"/>
  <c r="P1166" i="3"/>
  <c r="O1166" i="3"/>
  <c r="N1166" i="3"/>
  <c r="M1166" i="3"/>
  <c r="L1166" i="3"/>
  <c r="K1166" i="3"/>
  <c r="J1166" i="3"/>
  <c r="I1166" i="3"/>
  <c r="H1166" i="3"/>
  <c r="G1166" i="3"/>
  <c r="F1166" i="3"/>
  <c r="E1166" i="3"/>
  <c r="D1166" i="3"/>
  <c r="C1166" i="3"/>
  <c r="B1166" i="3"/>
  <c r="A1166" i="3"/>
  <c r="P1165" i="3"/>
  <c r="O1165" i="3"/>
  <c r="N1165" i="3"/>
  <c r="M1165" i="3"/>
  <c r="L1165" i="3"/>
  <c r="K1165" i="3"/>
  <c r="J1165" i="3"/>
  <c r="I1165" i="3"/>
  <c r="H1165" i="3"/>
  <c r="G1165" i="3"/>
  <c r="F1165" i="3"/>
  <c r="E1165" i="3"/>
  <c r="D1165" i="3"/>
  <c r="C1165" i="3"/>
  <c r="B1165" i="3"/>
  <c r="A1165" i="3"/>
  <c r="M1164" i="3"/>
  <c r="K1164" i="3"/>
  <c r="J1164" i="3"/>
  <c r="G1164" i="3"/>
  <c r="E1164" i="3"/>
  <c r="C1164" i="3"/>
  <c r="B1164" i="3"/>
  <c r="A1164" i="3"/>
  <c r="M1163" i="3"/>
  <c r="K1163" i="3"/>
  <c r="J1163" i="3"/>
  <c r="G1163" i="3"/>
  <c r="E1163" i="3"/>
  <c r="C1163" i="3"/>
  <c r="B1163" i="3"/>
  <c r="A1163" i="3"/>
  <c r="M1162" i="3"/>
  <c r="K1162" i="3"/>
  <c r="J1162" i="3"/>
  <c r="G1162" i="3"/>
  <c r="E1162" i="3"/>
  <c r="C1162" i="3"/>
  <c r="B1162" i="3"/>
  <c r="A1162" i="3"/>
  <c r="M1161" i="3"/>
  <c r="K1161" i="3"/>
  <c r="J1161" i="3"/>
  <c r="G1161" i="3"/>
  <c r="E1161" i="3"/>
  <c r="C1161" i="3"/>
  <c r="B1161" i="3"/>
  <c r="A1161" i="3"/>
  <c r="M1160" i="3"/>
  <c r="K1160" i="3"/>
  <c r="J1160" i="3"/>
  <c r="G1160" i="3"/>
  <c r="E1160" i="3"/>
  <c r="C1160" i="3"/>
  <c r="B1160" i="3"/>
  <c r="A1160" i="3"/>
  <c r="P1159" i="3"/>
  <c r="O1159" i="3"/>
  <c r="N1159" i="3"/>
  <c r="M1159" i="3"/>
  <c r="L1159" i="3"/>
  <c r="K1159" i="3"/>
  <c r="J1159" i="3"/>
  <c r="I1159" i="3"/>
  <c r="H1159" i="3"/>
  <c r="G1159" i="3"/>
  <c r="F1159" i="3"/>
  <c r="E1159" i="3"/>
  <c r="D1159" i="3"/>
  <c r="C1159" i="3"/>
  <c r="B1159" i="3"/>
  <c r="A1159" i="3"/>
  <c r="M1158" i="3"/>
  <c r="K1158" i="3"/>
  <c r="J1158" i="3"/>
  <c r="G1158" i="3"/>
  <c r="E1158" i="3"/>
  <c r="C1158" i="3"/>
  <c r="B1158" i="3"/>
  <c r="A1158" i="3"/>
  <c r="M1157" i="3"/>
  <c r="K1157" i="3"/>
  <c r="J1157" i="3"/>
  <c r="G1157" i="3"/>
  <c r="E1157" i="3"/>
  <c r="C1157" i="3"/>
  <c r="B1157" i="3"/>
  <c r="A1157" i="3"/>
  <c r="M1156" i="3"/>
  <c r="K1156" i="3"/>
  <c r="J1156" i="3"/>
  <c r="G1156" i="3"/>
  <c r="E1156" i="3"/>
  <c r="C1156" i="3"/>
  <c r="B1156" i="3"/>
  <c r="A1156" i="3"/>
  <c r="M1155" i="3"/>
  <c r="L1155" i="3"/>
  <c r="K1155" i="3"/>
  <c r="J1155" i="3"/>
  <c r="G1155" i="3"/>
  <c r="E1155" i="3"/>
  <c r="C1155" i="3"/>
  <c r="B1155" i="3"/>
  <c r="A1155" i="3"/>
  <c r="M1154" i="3"/>
  <c r="K1154" i="3"/>
  <c r="J1154" i="3"/>
  <c r="G1154" i="3"/>
  <c r="E1154" i="3"/>
  <c r="C1154" i="3"/>
  <c r="B1154" i="3"/>
  <c r="A1154" i="3"/>
  <c r="M1153" i="3"/>
  <c r="K1153" i="3"/>
  <c r="J1153" i="3"/>
  <c r="G1153" i="3"/>
  <c r="E1153" i="3"/>
  <c r="C1153" i="3"/>
  <c r="B1153" i="3"/>
  <c r="A1153" i="3"/>
  <c r="P1152" i="3"/>
  <c r="O1152" i="3"/>
  <c r="N1152" i="3"/>
  <c r="M1152" i="3"/>
  <c r="L1152" i="3"/>
  <c r="K1152" i="3"/>
  <c r="J1152" i="3"/>
  <c r="I1152" i="3"/>
  <c r="H1152" i="3"/>
  <c r="G1152" i="3"/>
  <c r="F1152" i="3"/>
  <c r="E1152" i="3"/>
  <c r="D1152" i="3"/>
  <c r="C1152" i="3"/>
  <c r="B1152" i="3"/>
  <c r="A1152" i="3"/>
  <c r="P1151" i="3"/>
  <c r="O1151" i="3"/>
  <c r="N1151" i="3"/>
  <c r="M1151" i="3"/>
  <c r="L1151" i="3"/>
  <c r="K1151" i="3"/>
  <c r="J1151" i="3"/>
  <c r="I1151" i="3"/>
  <c r="H1151" i="3"/>
  <c r="G1151" i="3"/>
  <c r="F1151" i="3"/>
  <c r="E1151" i="3"/>
  <c r="D1151" i="3"/>
  <c r="C1151" i="3"/>
  <c r="B1151" i="3"/>
  <c r="A1151" i="3"/>
  <c r="P1150" i="3"/>
  <c r="O1150" i="3"/>
  <c r="N1150" i="3"/>
  <c r="M1150" i="3"/>
  <c r="L1150" i="3"/>
  <c r="K1150" i="3"/>
  <c r="J1150" i="3"/>
  <c r="I1150" i="3"/>
  <c r="H1150" i="3"/>
  <c r="G1150" i="3"/>
  <c r="F1150" i="3"/>
  <c r="E1150" i="3"/>
  <c r="D1150" i="3"/>
  <c r="C1150" i="3"/>
  <c r="B1150" i="3"/>
  <c r="A1150" i="3"/>
  <c r="P1149" i="3"/>
  <c r="O1149" i="3"/>
  <c r="N1149" i="3"/>
  <c r="M1149" i="3"/>
  <c r="L1149" i="3"/>
  <c r="K1149" i="3"/>
  <c r="J1149" i="3"/>
  <c r="I1149" i="3"/>
  <c r="H1149" i="3"/>
  <c r="G1149" i="3"/>
  <c r="F1149" i="3"/>
  <c r="E1149" i="3"/>
  <c r="D1149" i="3"/>
  <c r="C1149" i="3"/>
  <c r="B1149" i="3"/>
  <c r="A1149" i="3"/>
  <c r="P1148" i="3"/>
  <c r="O1148" i="3"/>
  <c r="N1148" i="3"/>
  <c r="M1148" i="3"/>
  <c r="L1148" i="3"/>
  <c r="K1148" i="3"/>
  <c r="J1148" i="3"/>
  <c r="I1148" i="3"/>
  <c r="H1148" i="3"/>
  <c r="G1148" i="3"/>
  <c r="F1148" i="3"/>
  <c r="E1148" i="3"/>
  <c r="D1148" i="3"/>
  <c r="C1148" i="3"/>
  <c r="B1148" i="3"/>
  <c r="A1148" i="3"/>
  <c r="P1147" i="3"/>
  <c r="O1147" i="3"/>
  <c r="N1147" i="3"/>
  <c r="M1147" i="3"/>
  <c r="L1147" i="3"/>
  <c r="K1147" i="3"/>
  <c r="J1147" i="3"/>
  <c r="I1147" i="3"/>
  <c r="H1147" i="3"/>
  <c r="G1147" i="3"/>
  <c r="F1147" i="3"/>
  <c r="E1147" i="3"/>
  <c r="D1147" i="3"/>
  <c r="C1147" i="3"/>
  <c r="B1147" i="3"/>
  <c r="A1147" i="3"/>
  <c r="P1146" i="3"/>
  <c r="O1146" i="3"/>
  <c r="N1146" i="3"/>
  <c r="M1146" i="3"/>
  <c r="L1146" i="3"/>
  <c r="K1146" i="3"/>
  <c r="J1146" i="3"/>
  <c r="I1146" i="3"/>
  <c r="H1146" i="3"/>
  <c r="G1146" i="3"/>
  <c r="F1146" i="3"/>
  <c r="E1146" i="3"/>
  <c r="D1146" i="3"/>
  <c r="C1146" i="3"/>
  <c r="B1146" i="3"/>
  <c r="A1146" i="3"/>
  <c r="P1145" i="3"/>
  <c r="O1145" i="3"/>
  <c r="N1145" i="3"/>
  <c r="M1145" i="3"/>
  <c r="L1145" i="3"/>
  <c r="K1145" i="3"/>
  <c r="J1145" i="3"/>
  <c r="I1145" i="3"/>
  <c r="H1145" i="3"/>
  <c r="G1145" i="3"/>
  <c r="F1145" i="3"/>
  <c r="E1145" i="3"/>
  <c r="D1145" i="3"/>
  <c r="C1145" i="3"/>
  <c r="B1145" i="3"/>
  <c r="A1145" i="3"/>
  <c r="P1144" i="3"/>
  <c r="O1144" i="3"/>
  <c r="N1144" i="3"/>
  <c r="M1144" i="3"/>
  <c r="L1144" i="3"/>
  <c r="K1144" i="3"/>
  <c r="J1144" i="3"/>
  <c r="I1144" i="3"/>
  <c r="H1144" i="3"/>
  <c r="G1144" i="3"/>
  <c r="F1144" i="3"/>
  <c r="E1144" i="3"/>
  <c r="D1144" i="3"/>
  <c r="C1144" i="3"/>
  <c r="B1144" i="3"/>
  <c r="A1144" i="3"/>
  <c r="P1143" i="3"/>
  <c r="O1143" i="3"/>
  <c r="N1143" i="3"/>
  <c r="M1143" i="3"/>
  <c r="L1143" i="3"/>
  <c r="K1143" i="3"/>
  <c r="J1143" i="3"/>
  <c r="I1143" i="3"/>
  <c r="H1143" i="3"/>
  <c r="G1143" i="3"/>
  <c r="F1143" i="3"/>
  <c r="E1143" i="3"/>
  <c r="D1143" i="3"/>
  <c r="C1143" i="3"/>
  <c r="B1143" i="3"/>
  <c r="A1143" i="3"/>
  <c r="P1142" i="3"/>
  <c r="O1142" i="3"/>
  <c r="N1142" i="3"/>
  <c r="M1142" i="3"/>
  <c r="L1142" i="3"/>
  <c r="K1142" i="3"/>
  <c r="J1142" i="3"/>
  <c r="I1142" i="3"/>
  <c r="H1142" i="3"/>
  <c r="G1142" i="3"/>
  <c r="F1142" i="3"/>
  <c r="E1142" i="3"/>
  <c r="D1142" i="3"/>
  <c r="C1142" i="3"/>
  <c r="B1142" i="3"/>
  <c r="A1142" i="3"/>
  <c r="P1141" i="3"/>
  <c r="O1141" i="3"/>
  <c r="N1141" i="3"/>
  <c r="M1141" i="3"/>
  <c r="L1141" i="3"/>
  <c r="K1141" i="3"/>
  <c r="J1141" i="3"/>
  <c r="I1141" i="3"/>
  <c r="H1141" i="3"/>
  <c r="G1141" i="3"/>
  <c r="F1141" i="3"/>
  <c r="E1141" i="3"/>
  <c r="D1141" i="3"/>
  <c r="C1141" i="3"/>
  <c r="B1141" i="3"/>
  <c r="A1141" i="3"/>
  <c r="P1140" i="3"/>
  <c r="O1140" i="3"/>
  <c r="M1140" i="3"/>
  <c r="L1140" i="3"/>
  <c r="K1140" i="3"/>
  <c r="J1140" i="3"/>
  <c r="H1140" i="3"/>
  <c r="G1140" i="3"/>
  <c r="F1140" i="3"/>
  <c r="E1140" i="3"/>
  <c r="C1140" i="3"/>
  <c r="B1140" i="3"/>
  <c r="A1140" i="3"/>
  <c r="P1139" i="3"/>
  <c r="O1139" i="3"/>
  <c r="M1139" i="3"/>
  <c r="L1139" i="3"/>
  <c r="K1139" i="3"/>
  <c r="J1139" i="3"/>
  <c r="H1139" i="3"/>
  <c r="G1139" i="3"/>
  <c r="F1139" i="3"/>
  <c r="E1139" i="3"/>
  <c r="C1139" i="3"/>
  <c r="B1139" i="3"/>
  <c r="A1139" i="3"/>
  <c r="M1138" i="3"/>
  <c r="L1138" i="3"/>
  <c r="K1138" i="3"/>
  <c r="J1138" i="3"/>
  <c r="H1138" i="3"/>
  <c r="G1138" i="3"/>
  <c r="F1138" i="3"/>
  <c r="E1138" i="3"/>
  <c r="C1138" i="3"/>
  <c r="B1138" i="3"/>
  <c r="A1138" i="3"/>
  <c r="P1137" i="3"/>
  <c r="O1137" i="3"/>
  <c r="M1137" i="3"/>
  <c r="L1137" i="3"/>
  <c r="K1137" i="3"/>
  <c r="J1137" i="3"/>
  <c r="H1137" i="3"/>
  <c r="G1137" i="3"/>
  <c r="F1137" i="3"/>
  <c r="E1137" i="3"/>
  <c r="C1137" i="3"/>
  <c r="B1137" i="3"/>
  <c r="A1137" i="3"/>
  <c r="P1136" i="3"/>
  <c r="O1136" i="3"/>
  <c r="M1136" i="3"/>
  <c r="L1136" i="3"/>
  <c r="K1136" i="3"/>
  <c r="J1136" i="3"/>
  <c r="G1136" i="3"/>
  <c r="E1136" i="3"/>
  <c r="C1136" i="3"/>
  <c r="B1136" i="3"/>
  <c r="A1136" i="3"/>
  <c r="P1135" i="3"/>
  <c r="O1135" i="3"/>
  <c r="M1135" i="3"/>
  <c r="L1135" i="3"/>
  <c r="K1135" i="3"/>
  <c r="J1135" i="3"/>
  <c r="G1135" i="3"/>
  <c r="E1135" i="3"/>
  <c r="C1135" i="3"/>
  <c r="B1135" i="3"/>
  <c r="A1135" i="3"/>
  <c r="P1134" i="3"/>
  <c r="O1134" i="3"/>
  <c r="M1134" i="3"/>
  <c r="L1134" i="3"/>
  <c r="K1134" i="3"/>
  <c r="J1134" i="3"/>
  <c r="H1134" i="3"/>
  <c r="G1134" i="3"/>
  <c r="F1134" i="3"/>
  <c r="E1134" i="3"/>
  <c r="C1134" i="3"/>
  <c r="B1134" i="3"/>
  <c r="A1134" i="3"/>
  <c r="P1133" i="3"/>
  <c r="O1133" i="3"/>
  <c r="M1133" i="3"/>
  <c r="L1133" i="3"/>
  <c r="K1133" i="3"/>
  <c r="J1133" i="3"/>
  <c r="G1133" i="3"/>
  <c r="E1133" i="3"/>
  <c r="C1133" i="3"/>
  <c r="B1133" i="3"/>
  <c r="A1133" i="3"/>
  <c r="P1132" i="3"/>
  <c r="O1132" i="3"/>
  <c r="M1132" i="3"/>
  <c r="L1132" i="3"/>
  <c r="K1132" i="3"/>
  <c r="J1132" i="3"/>
  <c r="H1132" i="3"/>
  <c r="G1132" i="3"/>
  <c r="F1132" i="3"/>
  <c r="E1132" i="3"/>
  <c r="C1132" i="3"/>
  <c r="B1132" i="3"/>
  <c r="A1132" i="3"/>
  <c r="P1131" i="3"/>
  <c r="O1131" i="3"/>
  <c r="M1131" i="3"/>
  <c r="L1131" i="3"/>
  <c r="K1131" i="3"/>
  <c r="J1131" i="3"/>
  <c r="G1131" i="3"/>
  <c r="E1131" i="3"/>
  <c r="C1131" i="3"/>
  <c r="B1131" i="3"/>
  <c r="A1131" i="3"/>
  <c r="P1130" i="3"/>
  <c r="O1130" i="3"/>
  <c r="M1130" i="3"/>
  <c r="K1130" i="3"/>
  <c r="J1130" i="3"/>
  <c r="G1130" i="3"/>
  <c r="E1130" i="3"/>
  <c r="C1130" i="3"/>
  <c r="B1130" i="3"/>
  <c r="A1130" i="3"/>
  <c r="P1129" i="3"/>
  <c r="O1129" i="3"/>
  <c r="N1129" i="3"/>
  <c r="M1129" i="3"/>
  <c r="L1129" i="3"/>
  <c r="K1129" i="3"/>
  <c r="J1129" i="3"/>
  <c r="I1129" i="3"/>
  <c r="H1129" i="3"/>
  <c r="G1129" i="3"/>
  <c r="F1129" i="3"/>
  <c r="E1129" i="3"/>
  <c r="D1129" i="3"/>
  <c r="C1129" i="3"/>
  <c r="B1129" i="3"/>
  <c r="A1129" i="3"/>
  <c r="P1128" i="3"/>
  <c r="O1128" i="3"/>
  <c r="N1128" i="3"/>
  <c r="M1128" i="3"/>
  <c r="L1128" i="3"/>
  <c r="K1128" i="3"/>
  <c r="J1128" i="3"/>
  <c r="I1128" i="3"/>
  <c r="H1128" i="3"/>
  <c r="G1128" i="3"/>
  <c r="F1128" i="3"/>
  <c r="E1128" i="3"/>
  <c r="D1128" i="3"/>
  <c r="C1128" i="3"/>
  <c r="B1128" i="3"/>
  <c r="A1128" i="3"/>
  <c r="P1127" i="3"/>
  <c r="O1127" i="3"/>
  <c r="N1127" i="3"/>
  <c r="M1127" i="3"/>
  <c r="L1127" i="3"/>
  <c r="K1127" i="3"/>
  <c r="J1127" i="3"/>
  <c r="I1127" i="3"/>
  <c r="H1127" i="3"/>
  <c r="G1127" i="3"/>
  <c r="F1127" i="3"/>
  <c r="E1127" i="3"/>
  <c r="D1127" i="3"/>
  <c r="C1127" i="3"/>
  <c r="B1127" i="3"/>
  <c r="A1127" i="3"/>
  <c r="P1126" i="3"/>
  <c r="O1126" i="3"/>
  <c r="N1126" i="3"/>
  <c r="M1126" i="3"/>
  <c r="L1126" i="3"/>
  <c r="K1126" i="3"/>
  <c r="J1126" i="3"/>
  <c r="I1126" i="3"/>
  <c r="H1126" i="3"/>
  <c r="G1126" i="3"/>
  <c r="F1126" i="3"/>
  <c r="E1126" i="3"/>
  <c r="D1126" i="3"/>
  <c r="C1126" i="3"/>
  <c r="B1126" i="3"/>
  <c r="A1126" i="3"/>
  <c r="P1125" i="3"/>
  <c r="O1125" i="3"/>
  <c r="N1125" i="3"/>
  <c r="M1125" i="3"/>
  <c r="L1125" i="3"/>
  <c r="K1125" i="3"/>
  <c r="J1125" i="3"/>
  <c r="I1125" i="3"/>
  <c r="H1125" i="3"/>
  <c r="G1125" i="3"/>
  <c r="F1125" i="3"/>
  <c r="E1125" i="3"/>
  <c r="D1125" i="3"/>
  <c r="C1125" i="3"/>
  <c r="B1125" i="3"/>
  <c r="A1125" i="3"/>
  <c r="P1124" i="3"/>
  <c r="O1124" i="3"/>
  <c r="N1124" i="3"/>
  <c r="M1124" i="3"/>
  <c r="L1124" i="3"/>
  <c r="K1124" i="3"/>
  <c r="J1124" i="3"/>
  <c r="I1124" i="3"/>
  <c r="H1124" i="3"/>
  <c r="G1124" i="3"/>
  <c r="F1124" i="3"/>
  <c r="E1124" i="3"/>
  <c r="D1124" i="3"/>
  <c r="C1124" i="3"/>
  <c r="B1124" i="3"/>
  <c r="A1124" i="3"/>
  <c r="P1123" i="3"/>
  <c r="O1123" i="3"/>
  <c r="N1123" i="3"/>
  <c r="M1123" i="3"/>
  <c r="L1123" i="3"/>
  <c r="K1123" i="3"/>
  <c r="J1123" i="3"/>
  <c r="I1123" i="3"/>
  <c r="H1123" i="3"/>
  <c r="G1123" i="3"/>
  <c r="F1123" i="3"/>
  <c r="E1123" i="3"/>
  <c r="D1123" i="3"/>
  <c r="C1123" i="3"/>
  <c r="B1123" i="3"/>
  <c r="A1123" i="3"/>
  <c r="P1122" i="3"/>
  <c r="O1122" i="3"/>
  <c r="N1122" i="3"/>
  <c r="M1122" i="3"/>
  <c r="L1122" i="3"/>
  <c r="K1122" i="3"/>
  <c r="J1122" i="3"/>
  <c r="I1122" i="3"/>
  <c r="H1122" i="3"/>
  <c r="G1122" i="3"/>
  <c r="F1122" i="3"/>
  <c r="E1122" i="3"/>
  <c r="D1122" i="3"/>
  <c r="C1122" i="3"/>
  <c r="B1122" i="3"/>
  <c r="A1122" i="3"/>
  <c r="P1121" i="3"/>
  <c r="O1121" i="3"/>
  <c r="N1121" i="3"/>
  <c r="M1121" i="3"/>
  <c r="L1121" i="3"/>
  <c r="K1121" i="3"/>
  <c r="J1121" i="3"/>
  <c r="I1121" i="3"/>
  <c r="H1121" i="3"/>
  <c r="G1121" i="3"/>
  <c r="F1121" i="3"/>
  <c r="E1121" i="3"/>
  <c r="D1121" i="3"/>
  <c r="C1121" i="3"/>
  <c r="B1121" i="3"/>
  <c r="A1121" i="3"/>
  <c r="P1120" i="3"/>
  <c r="O1120" i="3"/>
  <c r="N1120" i="3"/>
  <c r="M1120" i="3"/>
  <c r="L1120" i="3"/>
  <c r="K1120" i="3"/>
  <c r="J1120" i="3"/>
  <c r="I1120" i="3"/>
  <c r="H1120" i="3"/>
  <c r="G1120" i="3"/>
  <c r="F1120" i="3"/>
  <c r="E1120" i="3"/>
  <c r="D1120" i="3"/>
  <c r="C1120" i="3"/>
  <c r="B1120" i="3"/>
  <c r="A1120" i="3"/>
  <c r="P1119" i="3"/>
  <c r="O1119" i="3"/>
  <c r="N1119" i="3"/>
  <c r="M1119" i="3"/>
  <c r="L1119" i="3"/>
  <c r="K1119" i="3"/>
  <c r="J1119" i="3"/>
  <c r="I1119" i="3"/>
  <c r="H1119" i="3"/>
  <c r="G1119" i="3"/>
  <c r="F1119" i="3"/>
  <c r="E1119" i="3"/>
  <c r="D1119" i="3"/>
  <c r="C1119" i="3"/>
  <c r="B1119" i="3"/>
  <c r="A1119" i="3"/>
  <c r="P1118" i="3"/>
  <c r="O1118" i="3"/>
  <c r="N1118" i="3"/>
  <c r="M1118" i="3"/>
  <c r="L1118" i="3"/>
  <c r="K1118" i="3"/>
  <c r="J1118" i="3"/>
  <c r="I1118" i="3"/>
  <c r="H1118" i="3"/>
  <c r="G1118" i="3"/>
  <c r="F1118" i="3"/>
  <c r="E1118" i="3"/>
  <c r="D1118" i="3"/>
  <c r="C1118" i="3"/>
  <c r="B1118" i="3"/>
  <c r="A1118" i="3"/>
  <c r="P1117" i="3"/>
  <c r="O1117" i="3"/>
  <c r="N1117" i="3"/>
  <c r="M1117" i="3"/>
  <c r="L1117" i="3"/>
  <c r="K1117" i="3"/>
  <c r="J1117" i="3"/>
  <c r="I1117" i="3"/>
  <c r="H1117" i="3"/>
  <c r="G1117" i="3"/>
  <c r="F1117" i="3"/>
  <c r="E1117" i="3"/>
  <c r="D1117" i="3"/>
  <c r="C1117" i="3"/>
  <c r="B1117" i="3"/>
  <c r="A1117" i="3"/>
  <c r="P1116" i="3"/>
  <c r="O1116" i="3"/>
  <c r="N1116" i="3"/>
  <c r="M1116" i="3"/>
  <c r="L1116" i="3"/>
  <c r="K1116" i="3"/>
  <c r="J1116" i="3"/>
  <c r="I1116" i="3"/>
  <c r="H1116" i="3"/>
  <c r="G1116" i="3"/>
  <c r="F1116" i="3"/>
  <c r="E1116" i="3"/>
  <c r="D1116" i="3"/>
  <c r="C1116" i="3"/>
  <c r="B1116" i="3"/>
  <c r="A1116" i="3"/>
  <c r="P1115" i="3"/>
  <c r="O1115" i="3"/>
  <c r="N1115" i="3"/>
  <c r="M1115" i="3"/>
  <c r="L1115" i="3"/>
  <c r="K1115" i="3"/>
  <c r="J1115" i="3"/>
  <c r="I1115" i="3"/>
  <c r="H1115" i="3"/>
  <c r="G1115" i="3"/>
  <c r="F1115" i="3"/>
  <c r="E1115" i="3"/>
  <c r="D1115" i="3"/>
  <c r="C1115" i="3"/>
  <c r="B1115" i="3"/>
  <c r="A1115" i="3"/>
  <c r="P1114" i="3"/>
  <c r="O1114" i="3"/>
  <c r="N1114" i="3"/>
  <c r="M1114" i="3"/>
  <c r="L1114" i="3"/>
  <c r="K1114" i="3"/>
  <c r="J1114" i="3"/>
  <c r="I1114" i="3"/>
  <c r="H1114" i="3"/>
  <c r="G1114" i="3"/>
  <c r="F1114" i="3"/>
  <c r="E1114" i="3"/>
  <c r="D1114" i="3"/>
  <c r="C1114" i="3"/>
  <c r="B1114" i="3"/>
  <c r="A1114" i="3"/>
  <c r="P1113" i="3"/>
  <c r="O1113" i="3"/>
  <c r="N1113" i="3"/>
  <c r="M1113" i="3"/>
  <c r="L1113" i="3"/>
  <c r="K1113" i="3"/>
  <c r="J1113" i="3"/>
  <c r="I1113" i="3"/>
  <c r="H1113" i="3"/>
  <c r="G1113" i="3"/>
  <c r="F1113" i="3"/>
  <c r="E1113" i="3"/>
  <c r="D1113" i="3"/>
  <c r="C1113" i="3"/>
  <c r="B1113" i="3"/>
  <c r="A1113" i="3"/>
  <c r="P1112" i="3"/>
  <c r="O1112" i="3"/>
  <c r="N1112" i="3"/>
  <c r="M1112" i="3"/>
  <c r="L1112" i="3"/>
  <c r="K1112" i="3"/>
  <c r="J1112" i="3"/>
  <c r="I1112" i="3"/>
  <c r="H1112" i="3"/>
  <c r="G1112" i="3"/>
  <c r="F1112" i="3"/>
  <c r="E1112" i="3"/>
  <c r="D1112" i="3"/>
  <c r="C1112" i="3"/>
  <c r="B1112" i="3"/>
  <c r="A1112" i="3"/>
  <c r="P1111" i="3"/>
  <c r="O1111" i="3"/>
  <c r="N1111" i="3"/>
  <c r="M1111" i="3"/>
  <c r="L1111" i="3"/>
  <c r="K1111" i="3"/>
  <c r="J1111" i="3"/>
  <c r="I1111" i="3"/>
  <c r="H1111" i="3"/>
  <c r="G1111" i="3"/>
  <c r="F1111" i="3"/>
  <c r="E1111" i="3"/>
  <c r="D1111" i="3"/>
  <c r="C1111" i="3"/>
  <c r="B1111" i="3"/>
  <c r="A1111" i="3"/>
  <c r="P1110" i="3"/>
  <c r="O1110" i="3"/>
  <c r="N1110" i="3"/>
  <c r="M1110" i="3"/>
  <c r="L1110" i="3"/>
  <c r="K1110" i="3"/>
  <c r="J1110" i="3"/>
  <c r="I1110" i="3"/>
  <c r="H1110" i="3"/>
  <c r="G1110" i="3"/>
  <c r="F1110" i="3"/>
  <c r="E1110" i="3"/>
  <c r="D1110" i="3"/>
  <c r="C1110" i="3"/>
  <c r="B1110" i="3"/>
  <c r="A1110" i="3"/>
  <c r="P1109" i="3"/>
  <c r="O1109" i="3"/>
  <c r="N1109" i="3"/>
  <c r="M1109" i="3"/>
  <c r="L1109" i="3"/>
  <c r="K1109" i="3"/>
  <c r="J1109" i="3"/>
  <c r="I1109" i="3"/>
  <c r="H1109" i="3"/>
  <c r="G1109" i="3"/>
  <c r="F1109" i="3"/>
  <c r="E1109" i="3"/>
  <c r="D1109" i="3"/>
  <c r="C1109" i="3"/>
  <c r="B1109" i="3"/>
  <c r="A1109" i="3"/>
  <c r="P1108" i="3"/>
  <c r="O1108" i="3"/>
  <c r="N1108" i="3"/>
  <c r="M1108" i="3"/>
  <c r="L1108" i="3"/>
  <c r="K1108" i="3"/>
  <c r="J1108" i="3"/>
  <c r="I1108" i="3"/>
  <c r="H1108" i="3"/>
  <c r="G1108" i="3"/>
  <c r="F1108" i="3"/>
  <c r="E1108" i="3"/>
  <c r="D1108" i="3"/>
  <c r="C1108" i="3"/>
  <c r="B1108" i="3"/>
  <c r="A1108" i="3"/>
  <c r="P1107" i="3"/>
  <c r="O1107" i="3"/>
  <c r="N1107" i="3"/>
  <c r="M1107" i="3"/>
  <c r="L1107" i="3"/>
  <c r="K1107" i="3"/>
  <c r="J1107" i="3"/>
  <c r="I1107" i="3"/>
  <c r="H1107" i="3"/>
  <c r="G1107" i="3"/>
  <c r="F1107" i="3"/>
  <c r="E1107" i="3"/>
  <c r="D1107" i="3"/>
  <c r="C1107" i="3"/>
  <c r="B1107" i="3"/>
  <c r="A1107" i="3"/>
  <c r="P1106" i="3"/>
  <c r="O1106" i="3"/>
  <c r="M1106" i="3"/>
  <c r="K1106" i="3"/>
  <c r="J1106" i="3"/>
  <c r="G1106" i="3"/>
  <c r="E1106" i="3"/>
  <c r="C1106" i="3"/>
  <c r="B1106" i="3"/>
  <c r="A1106" i="3"/>
  <c r="P1105" i="3"/>
  <c r="O1105" i="3"/>
  <c r="M1105" i="3"/>
  <c r="K1105" i="3"/>
  <c r="J1105" i="3"/>
  <c r="G1105" i="3"/>
  <c r="E1105" i="3"/>
  <c r="C1105" i="3"/>
  <c r="B1105" i="3"/>
  <c r="A1105" i="3"/>
  <c r="M1104" i="3"/>
  <c r="K1104" i="3"/>
  <c r="J1104" i="3"/>
  <c r="G1104" i="3"/>
  <c r="E1104" i="3"/>
  <c r="C1104" i="3"/>
  <c r="B1104" i="3"/>
  <c r="A1104" i="3"/>
  <c r="M1103" i="3"/>
  <c r="L1103" i="3"/>
  <c r="K1103" i="3"/>
  <c r="J1103" i="3"/>
  <c r="H1103" i="3"/>
  <c r="G1103" i="3"/>
  <c r="F1103" i="3"/>
  <c r="E1103" i="3"/>
  <c r="C1103" i="3"/>
  <c r="B1103" i="3"/>
  <c r="A1103" i="3"/>
  <c r="P1102" i="3"/>
  <c r="O1102" i="3"/>
  <c r="M1102" i="3"/>
  <c r="L1102" i="3"/>
  <c r="K1102" i="3"/>
  <c r="J1102" i="3"/>
  <c r="H1102" i="3"/>
  <c r="G1102" i="3"/>
  <c r="F1102" i="3"/>
  <c r="E1102" i="3"/>
  <c r="C1102" i="3"/>
  <c r="B1102" i="3"/>
  <c r="A1102" i="3"/>
  <c r="P1101" i="3"/>
  <c r="O1101" i="3"/>
  <c r="M1101" i="3"/>
  <c r="L1101" i="3"/>
  <c r="K1101" i="3"/>
  <c r="J1101" i="3"/>
  <c r="G1101" i="3"/>
  <c r="F1101" i="3"/>
  <c r="E1101" i="3"/>
  <c r="C1101" i="3"/>
  <c r="B1101" i="3"/>
  <c r="A1101" i="3"/>
  <c r="P1100" i="3"/>
  <c r="O1100" i="3"/>
  <c r="M1100" i="3"/>
  <c r="L1100" i="3"/>
  <c r="K1100" i="3"/>
  <c r="J1100" i="3"/>
  <c r="H1100" i="3"/>
  <c r="G1100" i="3"/>
  <c r="E1100" i="3"/>
  <c r="C1100" i="3"/>
  <c r="B1100" i="3"/>
  <c r="A1100" i="3"/>
  <c r="M1099" i="3"/>
  <c r="K1099" i="3"/>
  <c r="J1099" i="3"/>
  <c r="G1099" i="3"/>
  <c r="E1099" i="3"/>
  <c r="C1099" i="3"/>
  <c r="B1099" i="3"/>
  <c r="A1099" i="3"/>
  <c r="M1098" i="3"/>
  <c r="K1098" i="3"/>
  <c r="J1098" i="3"/>
  <c r="G1098" i="3"/>
  <c r="E1098" i="3"/>
  <c r="C1098" i="3"/>
  <c r="B1098" i="3"/>
  <c r="A1098" i="3"/>
  <c r="M1097" i="3"/>
  <c r="K1097" i="3"/>
  <c r="J1097" i="3"/>
  <c r="G1097" i="3"/>
  <c r="E1097" i="3"/>
  <c r="C1097" i="3"/>
  <c r="B1097" i="3"/>
  <c r="A1097" i="3"/>
  <c r="P1096" i="3"/>
  <c r="O1096" i="3"/>
  <c r="N1096" i="3"/>
  <c r="M1096" i="3"/>
  <c r="L1096" i="3"/>
  <c r="K1096" i="3"/>
  <c r="J1096" i="3"/>
  <c r="I1096" i="3"/>
  <c r="H1096" i="3"/>
  <c r="G1096" i="3"/>
  <c r="F1096" i="3"/>
  <c r="E1096" i="3"/>
  <c r="D1096" i="3"/>
  <c r="C1096" i="3"/>
  <c r="B1096" i="3"/>
  <c r="A1096" i="3"/>
  <c r="P1095" i="3"/>
  <c r="O1095" i="3"/>
  <c r="N1095" i="3"/>
  <c r="M1095" i="3"/>
  <c r="L1095" i="3"/>
  <c r="K1095" i="3"/>
  <c r="J1095" i="3"/>
  <c r="I1095" i="3"/>
  <c r="H1095" i="3"/>
  <c r="G1095" i="3"/>
  <c r="F1095" i="3"/>
  <c r="E1095" i="3"/>
  <c r="D1095" i="3"/>
  <c r="C1095" i="3"/>
  <c r="B1095" i="3"/>
  <c r="A1095" i="3"/>
  <c r="P1094" i="3"/>
  <c r="O1094" i="3"/>
  <c r="N1094" i="3"/>
  <c r="M1094" i="3"/>
  <c r="L1094" i="3"/>
  <c r="K1094" i="3"/>
  <c r="J1094" i="3"/>
  <c r="I1094" i="3"/>
  <c r="H1094" i="3"/>
  <c r="G1094" i="3"/>
  <c r="F1094" i="3"/>
  <c r="E1094" i="3"/>
  <c r="D1094" i="3"/>
  <c r="C1094" i="3"/>
  <c r="B1094" i="3"/>
  <c r="A1094" i="3"/>
  <c r="M1093" i="3"/>
  <c r="K1093" i="3"/>
  <c r="J1093" i="3"/>
  <c r="G1093" i="3"/>
  <c r="E1093" i="3"/>
  <c r="C1093" i="3"/>
  <c r="B1093" i="3"/>
  <c r="A1093" i="3"/>
  <c r="M1092" i="3"/>
  <c r="K1092" i="3"/>
  <c r="J1092" i="3"/>
  <c r="G1092" i="3"/>
  <c r="E1092" i="3"/>
  <c r="C1092" i="3"/>
  <c r="B1092" i="3"/>
  <c r="A1092" i="3"/>
  <c r="M1091" i="3"/>
  <c r="K1091" i="3"/>
  <c r="J1091" i="3"/>
  <c r="G1091" i="3"/>
  <c r="E1091" i="3"/>
  <c r="C1091" i="3"/>
  <c r="B1091" i="3"/>
  <c r="A1091" i="3"/>
  <c r="M1090" i="3"/>
  <c r="K1090" i="3"/>
  <c r="J1090" i="3"/>
  <c r="G1090" i="3"/>
  <c r="E1090" i="3"/>
  <c r="C1090" i="3"/>
  <c r="B1090" i="3"/>
  <c r="A1090" i="3"/>
  <c r="M1089" i="3"/>
  <c r="K1089" i="3"/>
  <c r="J1089" i="3"/>
  <c r="G1089" i="3"/>
  <c r="E1089" i="3"/>
  <c r="C1089" i="3"/>
  <c r="B1089" i="3"/>
  <c r="A1089" i="3"/>
  <c r="M1088" i="3"/>
  <c r="K1088" i="3"/>
  <c r="J1088" i="3"/>
  <c r="G1088" i="3"/>
  <c r="E1088" i="3"/>
  <c r="C1088" i="3"/>
  <c r="B1088" i="3"/>
  <c r="A1088" i="3"/>
  <c r="M1087" i="3"/>
  <c r="K1087" i="3"/>
  <c r="J1087" i="3"/>
  <c r="G1087" i="3"/>
  <c r="E1087" i="3"/>
  <c r="C1087" i="3"/>
  <c r="B1087" i="3"/>
  <c r="A1087" i="3"/>
  <c r="M1086" i="3"/>
  <c r="K1086" i="3"/>
  <c r="J1086" i="3"/>
  <c r="G1086" i="3"/>
  <c r="E1086" i="3"/>
  <c r="C1086" i="3"/>
  <c r="B1086" i="3"/>
  <c r="A1086" i="3"/>
  <c r="M1085" i="3"/>
  <c r="K1085" i="3"/>
  <c r="J1085" i="3"/>
  <c r="G1085" i="3"/>
  <c r="E1085" i="3"/>
  <c r="C1085" i="3"/>
  <c r="B1085" i="3"/>
  <c r="A1085" i="3"/>
  <c r="M1084" i="3"/>
  <c r="K1084" i="3"/>
  <c r="J1084" i="3"/>
  <c r="G1084" i="3"/>
  <c r="E1084" i="3"/>
  <c r="C1084" i="3"/>
  <c r="B1084" i="3"/>
  <c r="A1084" i="3"/>
  <c r="M1083" i="3"/>
  <c r="K1083" i="3"/>
  <c r="J1083" i="3"/>
  <c r="G1083" i="3"/>
  <c r="E1083" i="3"/>
  <c r="C1083" i="3"/>
  <c r="B1083" i="3"/>
  <c r="A1083" i="3"/>
  <c r="M1082" i="3"/>
  <c r="K1082" i="3"/>
  <c r="J1082" i="3"/>
  <c r="G1082" i="3"/>
  <c r="E1082" i="3"/>
  <c r="C1082" i="3"/>
  <c r="B1082" i="3"/>
  <c r="A1082" i="3"/>
  <c r="M1081" i="3"/>
  <c r="K1081" i="3"/>
  <c r="J1081" i="3"/>
  <c r="G1081" i="3"/>
  <c r="E1081" i="3"/>
  <c r="C1081" i="3"/>
  <c r="B1081" i="3"/>
  <c r="A1081" i="3"/>
  <c r="M1080" i="3"/>
  <c r="K1080" i="3"/>
  <c r="J1080" i="3"/>
  <c r="G1080" i="3"/>
  <c r="E1080" i="3"/>
  <c r="C1080" i="3"/>
  <c r="B1080" i="3"/>
  <c r="A1080" i="3"/>
  <c r="M1079" i="3"/>
  <c r="K1079" i="3"/>
  <c r="J1079" i="3"/>
  <c r="G1079" i="3"/>
  <c r="E1079" i="3"/>
  <c r="C1079" i="3"/>
  <c r="B1079" i="3"/>
  <c r="A1079" i="3"/>
  <c r="M1078" i="3"/>
  <c r="K1078" i="3"/>
  <c r="J1078" i="3"/>
  <c r="G1078" i="3"/>
  <c r="E1078" i="3"/>
  <c r="C1078" i="3"/>
  <c r="B1078" i="3"/>
  <c r="A1078" i="3"/>
  <c r="M1077" i="3"/>
  <c r="K1077" i="3"/>
  <c r="J1077" i="3"/>
  <c r="G1077" i="3"/>
  <c r="E1077" i="3"/>
  <c r="C1077" i="3"/>
  <c r="B1077" i="3"/>
  <c r="A1077" i="3"/>
  <c r="M1076" i="3"/>
  <c r="K1076" i="3"/>
  <c r="J1076" i="3"/>
  <c r="G1076" i="3"/>
  <c r="E1076" i="3"/>
  <c r="C1076" i="3"/>
  <c r="B1076" i="3"/>
  <c r="A1076" i="3"/>
  <c r="M1075" i="3"/>
  <c r="K1075" i="3"/>
  <c r="J1075" i="3"/>
  <c r="G1075" i="3"/>
  <c r="E1075" i="3"/>
  <c r="C1075" i="3"/>
  <c r="B1075" i="3"/>
  <c r="A1075" i="3"/>
  <c r="M1074" i="3"/>
  <c r="K1074" i="3"/>
  <c r="J1074" i="3"/>
  <c r="G1074" i="3"/>
  <c r="E1074" i="3"/>
  <c r="C1074" i="3"/>
  <c r="B1074" i="3"/>
  <c r="A1074" i="3"/>
  <c r="M1073" i="3"/>
  <c r="K1073" i="3"/>
  <c r="J1073" i="3"/>
  <c r="G1073" i="3"/>
  <c r="E1073" i="3"/>
  <c r="C1073" i="3"/>
  <c r="B1073" i="3"/>
  <c r="A1073" i="3"/>
  <c r="M1072" i="3"/>
  <c r="K1072" i="3"/>
  <c r="J1072" i="3"/>
  <c r="G1072" i="3"/>
  <c r="E1072" i="3"/>
  <c r="C1072" i="3"/>
  <c r="B1072" i="3"/>
  <c r="A1072" i="3"/>
  <c r="M1071" i="3"/>
  <c r="K1071" i="3"/>
  <c r="J1071" i="3"/>
  <c r="G1071" i="3"/>
  <c r="E1071" i="3"/>
  <c r="C1071" i="3"/>
  <c r="B1071" i="3"/>
  <c r="A1071" i="3"/>
  <c r="M1070" i="3"/>
  <c r="K1070" i="3"/>
  <c r="J1070" i="3"/>
  <c r="G1070" i="3"/>
  <c r="E1070" i="3"/>
  <c r="C1070" i="3"/>
  <c r="B1070" i="3"/>
  <c r="A1070" i="3"/>
  <c r="M1069" i="3"/>
  <c r="K1069" i="3"/>
  <c r="J1069" i="3"/>
  <c r="G1069" i="3"/>
  <c r="E1069" i="3"/>
  <c r="C1069" i="3"/>
  <c r="B1069" i="3"/>
  <c r="A1069" i="3"/>
  <c r="M1068" i="3"/>
  <c r="K1068" i="3"/>
  <c r="J1068" i="3"/>
  <c r="G1068" i="3"/>
  <c r="E1068" i="3"/>
  <c r="C1068" i="3"/>
  <c r="B1068" i="3"/>
  <c r="A1068" i="3"/>
  <c r="M1067" i="3"/>
  <c r="K1067" i="3"/>
  <c r="J1067" i="3"/>
  <c r="G1067" i="3"/>
  <c r="E1067" i="3"/>
  <c r="C1067" i="3"/>
  <c r="B1067" i="3"/>
  <c r="A1067" i="3"/>
  <c r="M1066" i="3"/>
  <c r="K1066" i="3"/>
  <c r="J1066" i="3"/>
  <c r="G1066" i="3"/>
  <c r="E1066" i="3"/>
  <c r="C1066" i="3"/>
  <c r="B1066" i="3"/>
  <c r="A1066" i="3"/>
  <c r="M1065" i="3"/>
  <c r="K1065" i="3"/>
  <c r="J1065" i="3"/>
  <c r="G1065" i="3"/>
  <c r="E1065" i="3"/>
  <c r="C1065" i="3"/>
  <c r="B1065" i="3"/>
  <c r="A1065" i="3"/>
  <c r="M1064" i="3"/>
  <c r="K1064" i="3"/>
  <c r="J1064" i="3"/>
  <c r="G1064" i="3"/>
  <c r="E1064" i="3"/>
  <c r="C1064" i="3"/>
  <c r="B1064" i="3"/>
  <c r="A1064" i="3"/>
  <c r="M1063" i="3"/>
  <c r="K1063" i="3"/>
  <c r="J1063" i="3"/>
  <c r="G1063" i="3"/>
  <c r="E1063" i="3"/>
  <c r="C1063" i="3"/>
  <c r="B1063" i="3"/>
  <c r="A1063" i="3"/>
  <c r="M1062" i="3"/>
  <c r="K1062" i="3"/>
  <c r="J1062" i="3"/>
  <c r="G1062" i="3"/>
  <c r="E1062" i="3"/>
  <c r="C1062" i="3"/>
  <c r="B1062" i="3"/>
  <c r="A1062" i="3"/>
  <c r="M1061" i="3"/>
  <c r="K1061" i="3"/>
  <c r="J1061" i="3"/>
  <c r="G1061" i="3"/>
  <c r="E1061" i="3"/>
  <c r="C1061" i="3"/>
  <c r="B1061" i="3"/>
  <c r="A1061" i="3"/>
  <c r="M1060" i="3"/>
  <c r="K1060" i="3"/>
  <c r="J1060" i="3"/>
  <c r="G1060" i="3"/>
  <c r="E1060" i="3"/>
  <c r="C1060" i="3"/>
  <c r="B1060" i="3"/>
  <c r="A1060" i="3"/>
  <c r="P1059" i="3"/>
  <c r="O1059" i="3"/>
  <c r="M1059" i="3"/>
  <c r="K1059" i="3"/>
  <c r="J1059" i="3"/>
  <c r="G1059" i="3"/>
  <c r="E1059" i="3"/>
  <c r="C1059" i="3"/>
  <c r="B1059" i="3"/>
  <c r="A1059" i="3"/>
  <c r="P1058" i="3"/>
  <c r="O1058" i="3"/>
  <c r="M1058" i="3"/>
  <c r="L1058" i="3"/>
  <c r="K1058" i="3"/>
  <c r="J1058" i="3"/>
  <c r="H1058" i="3"/>
  <c r="G1058" i="3"/>
  <c r="F1058" i="3"/>
  <c r="E1058" i="3"/>
  <c r="C1058" i="3"/>
  <c r="B1058" i="3"/>
  <c r="A1058" i="3"/>
  <c r="M1057" i="3"/>
  <c r="K1057" i="3"/>
  <c r="J1057" i="3"/>
  <c r="G1057" i="3"/>
  <c r="E1057" i="3"/>
  <c r="C1057" i="3"/>
  <c r="B1057" i="3"/>
  <c r="A1057" i="3"/>
  <c r="P1056" i="3"/>
  <c r="O1056" i="3"/>
  <c r="M1056" i="3"/>
  <c r="L1056" i="3"/>
  <c r="K1056" i="3"/>
  <c r="J1056" i="3"/>
  <c r="G1056" i="3"/>
  <c r="F1056" i="3"/>
  <c r="E1056" i="3"/>
  <c r="C1056" i="3"/>
  <c r="B1056" i="3"/>
  <c r="A1056" i="3"/>
  <c r="M1055" i="3"/>
  <c r="L1055" i="3"/>
  <c r="K1055" i="3"/>
  <c r="J1055" i="3"/>
  <c r="H1055" i="3"/>
  <c r="G1055" i="3"/>
  <c r="F1055" i="3"/>
  <c r="E1055" i="3"/>
  <c r="C1055" i="3"/>
  <c r="B1055" i="3"/>
  <c r="A1055" i="3"/>
  <c r="M1054" i="3"/>
  <c r="K1054" i="3"/>
  <c r="J1054" i="3"/>
  <c r="G1054" i="3"/>
  <c r="E1054" i="3"/>
  <c r="C1054" i="3"/>
  <c r="B1054" i="3"/>
  <c r="A1054" i="3"/>
  <c r="P1053" i="3"/>
  <c r="O1053" i="3"/>
  <c r="N1053" i="3"/>
  <c r="M1053" i="3"/>
  <c r="L1053" i="3"/>
  <c r="K1053" i="3"/>
  <c r="J1053" i="3"/>
  <c r="I1053" i="3"/>
  <c r="H1053" i="3"/>
  <c r="G1053" i="3"/>
  <c r="F1053" i="3"/>
  <c r="E1053" i="3"/>
  <c r="D1053" i="3"/>
  <c r="C1053" i="3"/>
  <c r="B1053" i="3"/>
  <c r="A1053" i="3"/>
  <c r="P1052" i="3"/>
  <c r="O1052" i="3"/>
  <c r="N1052" i="3"/>
  <c r="M1052" i="3"/>
  <c r="L1052" i="3"/>
  <c r="K1052" i="3"/>
  <c r="J1052" i="3"/>
  <c r="I1052" i="3"/>
  <c r="H1052" i="3"/>
  <c r="G1052" i="3"/>
  <c r="F1052" i="3"/>
  <c r="E1052" i="3"/>
  <c r="D1052" i="3"/>
  <c r="C1052" i="3"/>
  <c r="B1052" i="3"/>
  <c r="A1052" i="3"/>
  <c r="P1051" i="3"/>
  <c r="O1051" i="3"/>
  <c r="N1051" i="3"/>
  <c r="M1051" i="3"/>
  <c r="L1051" i="3"/>
  <c r="K1051" i="3"/>
  <c r="J1051" i="3"/>
  <c r="I1051" i="3"/>
  <c r="H1051" i="3"/>
  <c r="G1051" i="3"/>
  <c r="F1051" i="3"/>
  <c r="E1051" i="3"/>
  <c r="D1051" i="3"/>
  <c r="C1051" i="3"/>
  <c r="B1051" i="3"/>
  <c r="A1051" i="3"/>
  <c r="M1050" i="3"/>
  <c r="K1050" i="3"/>
  <c r="J1050" i="3"/>
  <c r="G1050" i="3"/>
  <c r="E1050" i="3"/>
  <c r="C1050" i="3"/>
  <c r="B1050" i="3"/>
  <c r="A1050" i="3"/>
  <c r="M1049" i="3"/>
  <c r="K1049" i="3"/>
  <c r="J1049" i="3"/>
  <c r="G1049" i="3"/>
  <c r="E1049" i="3"/>
  <c r="C1049" i="3"/>
  <c r="B1049" i="3"/>
  <c r="A1049" i="3"/>
  <c r="M1048" i="3"/>
  <c r="K1048" i="3"/>
  <c r="J1048" i="3"/>
  <c r="G1048" i="3"/>
  <c r="E1048" i="3"/>
  <c r="C1048" i="3"/>
  <c r="B1048" i="3"/>
  <c r="A1048" i="3"/>
  <c r="M1047" i="3"/>
  <c r="K1047" i="3"/>
  <c r="J1047" i="3"/>
  <c r="G1047" i="3"/>
  <c r="E1047" i="3"/>
  <c r="C1047" i="3"/>
  <c r="B1047" i="3"/>
  <c r="A1047" i="3"/>
  <c r="M1046" i="3"/>
  <c r="K1046" i="3"/>
  <c r="J1046" i="3"/>
  <c r="G1046" i="3"/>
  <c r="E1046" i="3"/>
  <c r="C1046" i="3"/>
  <c r="B1046" i="3"/>
  <c r="A1046" i="3"/>
  <c r="M1045" i="3"/>
  <c r="K1045" i="3"/>
  <c r="J1045" i="3"/>
  <c r="G1045" i="3"/>
  <c r="E1045" i="3"/>
  <c r="C1045" i="3"/>
  <c r="B1045" i="3"/>
  <c r="A1045" i="3"/>
  <c r="M1044" i="3"/>
  <c r="K1044" i="3"/>
  <c r="J1044" i="3"/>
  <c r="G1044" i="3"/>
  <c r="E1044" i="3"/>
  <c r="C1044" i="3"/>
  <c r="B1044" i="3"/>
  <c r="A1044" i="3"/>
  <c r="M1043" i="3"/>
  <c r="K1043" i="3"/>
  <c r="J1043" i="3"/>
  <c r="G1043" i="3"/>
  <c r="E1043" i="3"/>
  <c r="C1043" i="3"/>
  <c r="B1043" i="3"/>
  <c r="A1043" i="3"/>
  <c r="M1042" i="3"/>
  <c r="K1042" i="3"/>
  <c r="J1042" i="3"/>
  <c r="G1042" i="3"/>
  <c r="E1042" i="3"/>
  <c r="C1042" i="3"/>
  <c r="B1042" i="3"/>
  <c r="A1042" i="3"/>
  <c r="M1041" i="3"/>
  <c r="K1041" i="3"/>
  <c r="J1041" i="3"/>
  <c r="G1041" i="3"/>
  <c r="E1041" i="3"/>
  <c r="C1041" i="3"/>
  <c r="B1041" i="3"/>
  <c r="A1041" i="3"/>
  <c r="M1040" i="3"/>
  <c r="K1040" i="3"/>
  <c r="J1040" i="3"/>
  <c r="G1040" i="3"/>
  <c r="E1040" i="3"/>
  <c r="C1040" i="3"/>
  <c r="B1040" i="3"/>
  <c r="A1040" i="3"/>
  <c r="M1039" i="3"/>
  <c r="K1039" i="3"/>
  <c r="J1039" i="3"/>
  <c r="G1039" i="3"/>
  <c r="E1039" i="3"/>
  <c r="C1039" i="3"/>
  <c r="B1039" i="3"/>
  <c r="A1039" i="3"/>
  <c r="P1038" i="3"/>
  <c r="O1038" i="3"/>
  <c r="M1038" i="3"/>
  <c r="L1038" i="3"/>
  <c r="K1038" i="3"/>
  <c r="J1038" i="3"/>
  <c r="G1038" i="3"/>
  <c r="F1038" i="3"/>
  <c r="E1038" i="3"/>
  <c r="C1038" i="3"/>
  <c r="B1038" i="3"/>
  <c r="A1038" i="3"/>
  <c r="M1037" i="3"/>
  <c r="K1037" i="3"/>
  <c r="J1037" i="3"/>
  <c r="H1037" i="3"/>
  <c r="G1037" i="3"/>
  <c r="E1037" i="3"/>
  <c r="C1037" i="3"/>
  <c r="B1037" i="3"/>
  <c r="A1037" i="3"/>
  <c r="P1036" i="3"/>
  <c r="O1036" i="3"/>
  <c r="M1036" i="3"/>
  <c r="L1036" i="3"/>
  <c r="K1036" i="3"/>
  <c r="J1036" i="3"/>
  <c r="H1036" i="3"/>
  <c r="G1036" i="3"/>
  <c r="E1036" i="3"/>
  <c r="C1036" i="3"/>
  <c r="B1036" i="3"/>
  <c r="A1036" i="3"/>
  <c r="M1035" i="3"/>
  <c r="K1035" i="3"/>
  <c r="J1035" i="3"/>
  <c r="G1035" i="3"/>
  <c r="E1035" i="3"/>
  <c r="C1035" i="3"/>
  <c r="B1035" i="3"/>
  <c r="A1035" i="3"/>
  <c r="M1034" i="3"/>
  <c r="K1034" i="3"/>
  <c r="J1034" i="3"/>
  <c r="G1034" i="3"/>
  <c r="E1034" i="3"/>
  <c r="C1034" i="3"/>
  <c r="B1034" i="3"/>
  <c r="A1034" i="3"/>
  <c r="M1033" i="3"/>
  <c r="K1033" i="3"/>
  <c r="J1033" i="3"/>
  <c r="G1033" i="3"/>
  <c r="E1033" i="3"/>
  <c r="C1033" i="3"/>
  <c r="B1033" i="3"/>
  <c r="A1033" i="3"/>
  <c r="M1032" i="3"/>
  <c r="K1032" i="3"/>
  <c r="J1032" i="3"/>
  <c r="G1032" i="3"/>
  <c r="E1032" i="3"/>
  <c r="C1032" i="3"/>
  <c r="B1032" i="3"/>
  <c r="A1032" i="3"/>
  <c r="M1031" i="3"/>
  <c r="L1031" i="3"/>
  <c r="K1031" i="3"/>
  <c r="J1031" i="3"/>
  <c r="H1031" i="3"/>
  <c r="G1031" i="3"/>
  <c r="F1031" i="3"/>
  <c r="E1031" i="3"/>
  <c r="C1031" i="3"/>
  <c r="B1031" i="3"/>
  <c r="A1031" i="3"/>
  <c r="M1030" i="3"/>
  <c r="L1030" i="3"/>
  <c r="K1030" i="3"/>
  <c r="J1030" i="3"/>
  <c r="H1030" i="3"/>
  <c r="G1030" i="3"/>
  <c r="F1030" i="3"/>
  <c r="E1030" i="3"/>
  <c r="C1030" i="3"/>
  <c r="B1030" i="3"/>
  <c r="A1030" i="3"/>
  <c r="M1029" i="3"/>
  <c r="L1029" i="3"/>
  <c r="K1029" i="3"/>
  <c r="J1029" i="3"/>
  <c r="H1029" i="3"/>
  <c r="G1029" i="3"/>
  <c r="F1029" i="3"/>
  <c r="E1029" i="3"/>
  <c r="C1029" i="3"/>
  <c r="B1029" i="3"/>
  <c r="A1029" i="3"/>
  <c r="M1028" i="3"/>
  <c r="L1028" i="3"/>
  <c r="K1028" i="3"/>
  <c r="J1028" i="3"/>
  <c r="H1028" i="3"/>
  <c r="G1028" i="3"/>
  <c r="F1028" i="3"/>
  <c r="E1028" i="3"/>
  <c r="C1028" i="3"/>
  <c r="B1028" i="3"/>
  <c r="A1028" i="3"/>
  <c r="P1027" i="3"/>
  <c r="O1027" i="3"/>
  <c r="M1027" i="3"/>
  <c r="L1027" i="3"/>
  <c r="K1027" i="3"/>
  <c r="J1027" i="3"/>
  <c r="H1027" i="3"/>
  <c r="G1027" i="3"/>
  <c r="E1027" i="3"/>
  <c r="C1027" i="3"/>
  <c r="B1027" i="3"/>
  <c r="A1027" i="3"/>
  <c r="M1026" i="3"/>
  <c r="K1026" i="3"/>
  <c r="J1026" i="3"/>
  <c r="G1026" i="3"/>
  <c r="E1026" i="3"/>
  <c r="C1026" i="3"/>
  <c r="B1026" i="3"/>
  <c r="A1026" i="3"/>
  <c r="M1025" i="3"/>
  <c r="K1025" i="3"/>
  <c r="J1025" i="3"/>
  <c r="G1025" i="3"/>
  <c r="E1025" i="3"/>
  <c r="C1025" i="3"/>
  <c r="B1025" i="3"/>
  <c r="A1025" i="3"/>
  <c r="P1024" i="3"/>
  <c r="O1024" i="3"/>
  <c r="M1024" i="3"/>
  <c r="K1024" i="3"/>
  <c r="J1024" i="3"/>
  <c r="G1024" i="3"/>
  <c r="E1024" i="3"/>
  <c r="C1024" i="3"/>
  <c r="B1024" i="3"/>
  <c r="A1024" i="3"/>
  <c r="M1023" i="3"/>
  <c r="K1023" i="3"/>
  <c r="J1023" i="3"/>
  <c r="G1023" i="3"/>
  <c r="E1023" i="3"/>
  <c r="C1023" i="3"/>
  <c r="B1023" i="3"/>
  <c r="A1023" i="3"/>
  <c r="M1022" i="3"/>
  <c r="K1022" i="3"/>
  <c r="J1022" i="3"/>
  <c r="G1022" i="3"/>
  <c r="E1022" i="3"/>
  <c r="C1022" i="3"/>
  <c r="B1022" i="3"/>
  <c r="A1022" i="3"/>
  <c r="M1021" i="3"/>
  <c r="K1021" i="3"/>
  <c r="J1021" i="3"/>
  <c r="G1021" i="3"/>
  <c r="E1021" i="3"/>
  <c r="C1021" i="3"/>
  <c r="B1021" i="3"/>
  <c r="A1021" i="3"/>
  <c r="M1020" i="3"/>
  <c r="K1020" i="3"/>
  <c r="J1020" i="3"/>
  <c r="G1020" i="3"/>
  <c r="E1020" i="3"/>
  <c r="C1020" i="3"/>
  <c r="B1020" i="3"/>
  <c r="A1020" i="3"/>
  <c r="M1019" i="3"/>
  <c r="K1019" i="3"/>
  <c r="J1019" i="3"/>
  <c r="G1019" i="3"/>
  <c r="E1019" i="3"/>
  <c r="C1019" i="3"/>
  <c r="B1019" i="3"/>
  <c r="A1019" i="3"/>
  <c r="M1018" i="3"/>
  <c r="K1018" i="3"/>
  <c r="J1018" i="3"/>
  <c r="G1018" i="3"/>
  <c r="E1018" i="3"/>
  <c r="C1018" i="3"/>
  <c r="B1018" i="3"/>
  <c r="A1018" i="3"/>
  <c r="M1017" i="3"/>
  <c r="K1017" i="3"/>
  <c r="J1017" i="3"/>
  <c r="G1017" i="3"/>
  <c r="E1017" i="3"/>
  <c r="C1017" i="3"/>
  <c r="B1017" i="3"/>
  <c r="A1017" i="3"/>
  <c r="M1016" i="3"/>
  <c r="K1016" i="3"/>
  <c r="J1016" i="3"/>
  <c r="G1016" i="3"/>
  <c r="E1016" i="3"/>
  <c r="C1016" i="3"/>
  <c r="B1016" i="3"/>
  <c r="A1016" i="3"/>
  <c r="M1015" i="3"/>
  <c r="K1015" i="3"/>
  <c r="J1015" i="3"/>
  <c r="G1015" i="3"/>
  <c r="E1015" i="3"/>
  <c r="C1015" i="3"/>
  <c r="B1015" i="3"/>
  <c r="A1015" i="3"/>
  <c r="M1014" i="3"/>
  <c r="K1014" i="3"/>
  <c r="J1014" i="3"/>
  <c r="G1014" i="3"/>
  <c r="E1014" i="3"/>
  <c r="C1014" i="3"/>
  <c r="B1014" i="3"/>
  <c r="A1014" i="3"/>
  <c r="M1013" i="3"/>
  <c r="K1013" i="3"/>
  <c r="J1013" i="3"/>
  <c r="G1013" i="3"/>
  <c r="E1013" i="3"/>
  <c r="C1013" i="3"/>
  <c r="B1013" i="3"/>
  <c r="A1013" i="3"/>
  <c r="M1012" i="3"/>
  <c r="K1012" i="3"/>
  <c r="J1012" i="3"/>
  <c r="G1012" i="3"/>
  <c r="E1012" i="3"/>
  <c r="C1012" i="3"/>
  <c r="B1012" i="3"/>
  <c r="A1012" i="3"/>
  <c r="M1011" i="3"/>
  <c r="K1011" i="3"/>
  <c r="J1011" i="3"/>
  <c r="G1011" i="3"/>
  <c r="E1011" i="3"/>
  <c r="C1011" i="3"/>
  <c r="B1011" i="3"/>
  <c r="A1011" i="3"/>
  <c r="M1010" i="3"/>
  <c r="K1010" i="3"/>
  <c r="J1010" i="3"/>
  <c r="G1010" i="3"/>
  <c r="E1010" i="3"/>
  <c r="C1010" i="3"/>
  <c r="B1010" i="3"/>
  <c r="A1010" i="3"/>
  <c r="M1009" i="3"/>
  <c r="K1009" i="3"/>
  <c r="J1009" i="3"/>
  <c r="G1009" i="3"/>
  <c r="E1009" i="3"/>
  <c r="C1009" i="3"/>
  <c r="B1009" i="3"/>
  <c r="A1009" i="3"/>
  <c r="M1008" i="3"/>
  <c r="K1008" i="3"/>
  <c r="J1008" i="3"/>
  <c r="G1008" i="3"/>
  <c r="E1008" i="3"/>
  <c r="C1008" i="3"/>
  <c r="B1008" i="3"/>
  <c r="A1008" i="3"/>
  <c r="P1007" i="3"/>
  <c r="O1007" i="3"/>
  <c r="M1007" i="3"/>
  <c r="L1007" i="3"/>
  <c r="K1007" i="3"/>
  <c r="J1007" i="3"/>
  <c r="H1007" i="3"/>
  <c r="G1007" i="3"/>
  <c r="E1007" i="3"/>
  <c r="C1007" i="3"/>
  <c r="B1007" i="3"/>
  <c r="A1007" i="3"/>
  <c r="M1006" i="3"/>
  <c r="K1006" i="3"/>
  <c r="J1006" i="3"/>
  <c r="G1006" i="3"/>
  <c r="E1006" i="3"/>
  <c r="C1006" i="3"/>
  <c r="B1006" i="3"/>
  <c r="A1006" i="3"/>
  <c r="P1005" i="3"/>
  <c r="O1005" i="3"/>
  <c r="N1005" i="3"/>
  <c r="M1005" i="3"/>
  <c r="L1005" i="3"/>
  <c r="K1005" i="3"/>
  <c r="J1005" i="3"/>
  <c r="I1005" i="3"/>
  <c r="H1005" i="3"/>
  <c r="G1005" i="3"/>
  <c r="F1005" i="3"/>
  <c r="E1005" i="3"/>
  <c r="D1005" i="3"/>
  <c r="C1005" i="3"/>
  <c r="B1005" i="3"/>
  <c r="A1005" i="3"/>
  <c r="P1004" i="3"/>
  <c r="O1004" i="3"/>
  <c r="N1004" i="3"/>
  <c r="M1004" i="3"/>
  <c r="L1004" i="3"/>
  <c r="K1004" i="3"/>
  <c r="J1004" i="3"/>
  <c r="I1004" i="3"/>
  <c r="H1004" i="3"/>
  <c r="G1004" i="3"/>
  <c r="F1004" i="3"/>
  <c r="E1004" i="3"/>
  <c r="D1004" i="3"/>
  <c r="C1004" i="3"/>
  <c r="B1004" i="3"/>
  <c r="A1004" i="3"/>
  <c r="P1003" i="3"/>
  <c r="O1003" i="3"/>
  <c r="N1003" i="3"/>
  <c r="M1003" i="3"/>
  <c r="L1003" i="3"/>
  <c r="K1003" i="3"/>
  <c r="J1003" i="3"/>
  <c r="I1003" i="3"/>
  <c r="H1003" i="3"/>
  <c r="G1003" i="3"/>
  <c r="F1003" i="3"/>
  <c r="E1003" i="3"/>
  <c r="D1003" i="3"/>
  <c r="C1003" i="3"/>
  <c r="B1003" i="3"/>
  <c r="A1003" i="3"/>
  <c r="P1002" i="3"/>
  <c r="O1002" i="3"/>
  <c r="N1002" i="3"/>
  <c r="M1002" i="3"/>
  <c r="L1002" i="3"/>
  <c r="K1002" i="3"/>
  <c r="J1002" i="3"/>
  <c r="I1002" i="3"/>
  <c r="H1002" i="3"/>
  <c r="G1002" i="3"/>
  <c r="F1002" i="3"/>
  <c r="E1002" i="3"/>
  <c r="D1002" i="3"/>
  <c r="C1002" i="3"/>
  <c r="B1002" i="3"/>
  <c r="A1002" i="3"/>
  <c r="P1001" i="3"/>
  <c r="O1001" i="3"/>
  <c r="N1001" i="3"/>
  <c r="M1001" i="3"/>
  <c r="L1001" i="3"/>
  <c r="K1001" i="3"/>
  <c r="J1001" i="3"/>
  <c r="I1001" i="3"/>
  <c r="H1001" i="3"/>
  <c r="G1001" i="3"/>
  <c r="F1001" i="3"/>
  <c r="E1001" i="3"/>
  <c r="D1001" i="3"/>
  <c r="C1001" i="3"/>
  <c r="B1001" i="3"/>
  <c r="A1001" i="3"/>
  <c r="P1000" i="3"/>
  <c r="O1000" i="3"/>
  <c r="N1000" i="3"/>
  <c r="M1000" i="3"/>
  <c r="L1000" i="3"/>
  <c r="K1000" i="3"/>
  <c r="J1000" i="3"/>
  <c r="I1000" i="3"/>
  <c r="H1000" i="3"/>
  <c r="G1000" i="3"/>
  <c r="F1000" i="3"/>
  <c r="E1000" i="3"/>
  <c r="D1000" i="3"/>
  <c r="C1000" i="3"/>
  <c r="B1000" i="3"/>
  <c r="A1000" i="3"/>
  <c r="P999" i="3"/>
  <c r="O999" i="3"/>
  <c r="N999" i="3"/>
  <c r="M999" i="3"/>
  <c r="L999" i="3"/>
  <c r="K999" i="3"/>
  <c r="J999" i="3"/>
  <c r="I999" i="3"/>
  <c r="H999" i="3"/>
  <c r="G999" i="3"/>
  <c r="F999" i="3"/>
  <c r="E999" i="3"/>
  <c r="D999" i="3"/>
  <c r="C999" i="3"/>
  <c r="B999" i="3"/>
  <c r="A999" i="3"/>
  <c r="P998" i="3"/>
  <c r="O998" i="3"/>
  <c r="N998" i="3"/>
  <c r="M998" i="3"/>
  <c r="L998" i="3"/>
  <c r="K998" i="3"/>
  <c r="J998" i="3"/>
  <c r="I998" i="3"/>
  <c r="H998" i="3"/>
  <c r="G998" i="3"/>
  <c r="F998" i="3"/>
  <c r="E998" i="3"/>
  <c r="D998" i="3"/>
  <c r="C998" i="3"/>
  <c r="B998" i="3"/>
  <c r="A998" i="3"/>
  <c r="P997" i="3"/>
  <c r="O997" i="3"/>
  <c r="M997" i="3"/>
  <c r="L997" i="3"/>
  <c r="K997" i="3"/>
  <c r="J997" i="3"/>
  <c r="H997" i="3"/>
  <c r="G997" i="3"/>
  <c r="F997" i="3"/>
  <c r="E997" i="3"/>
  <c r="C997" i="3"/>
  <c r="B997" i="3"/>
  <c r="A997" i="3"/>
  <c r="P996" i="3"/>
  <c r="O996" i="3"/>
  <c r="M996" i="3"/>
  <c r="L996" i="3"/>
  <c r="K996" i="3"/>
  <c r="J996" i="3"/>
  <c r="H996" i="3"/>
  <c r="G996" i="3"/>
  <c r="F996" i="3"/>
  <c r="E996" i="3"/>
  <c r="C996" i="3"/>
  <c r="B996" i="3"/>
  <c r="A996" i="3"/>
  <c r="P995" i="3"/>
  <c r="O995" i="3"/>
  <c r="M995" i="3"/>
  <c r="L995" i="3"/>
  <c r="K995" i="3"/>
  <c r="J995" i="3"/>
  <c r="H995" i="3"/>
  <c r="G995" i="3"/>
  <c r="F995" i="3"/>
  <c r="E995" i="3"/>
  <c r="C995" i="3"/>
  <c r="B995" i="3"/>
  <c r="A995" i="3"/>
  <c r="P994" i="3"/>
  <c r="O994" i="3"/>
  <c r="M994" i="3"/>
  <c r="L994" i="3"/>
  <c r="K994" i="3"/>
  <c r="J994" i="3"/>
  <c r="G994" i="3"/>
  <c r="E994" i="3"/>
  <c r="C994" i="3"/>
  <c r="B994" i="3"/>
  <c r="A994" i="3"/>
  <c r="P993" i="3"/>
  <c r="O993" i="3"/>
  <c r="M993" i="3"/>
  <c r="L993" i="3"/>
  <c r="K993" i="3"/>
  <c r="J993" i="3"/>
  <c r="G993" i="3"/>
  <c r="E993" i="3"/>
  <c r="C993" i="3"/>
  <c r="B993" i="3"/>
  <c r="A993" i="3"/>
  <c r="P992" i="3"/>
  <c r="O992" i="3"/>
  <c r="M992" i="3"/>
  <c r="L992" i="3"/>
  <c r="K992" i="3"/>
  <c r="J992" i="3"/>
  <c r="H992" i="3"/>
  <c r="G992" i="3"/>
  <c r="E992" i="3"/>
  <c r="C992" i="3"/>
  <c r="B992" i="3"/>
  <c r="A992" i="3"/>
  <c r="P991" i="3"/>
  <c r="O991" i="3"/>
  <c r="M991" i="3"/>
  <c r="L991" i="3"/>
  <c r="K991" i="3"/>
  <c r="J991" i="3"/>
  <c r="H991" i="3"/>
  <c r="G991" i="3"/>
  <c r="F991" i="3"/>
  <c r="E991" i="3"/>
  <c r="C991" i="3"/>
  <c r="B991" i="3"/>
  <c r="A991" i="3"/>
  <c r="P990" i="3"/>
  <c r="O990" i="3"/>
  <c r="M990" i="3"/>
  <c r="L990" i="3"/>
  <c r="K990" i="3"/>
  <c r="J990" i="3"/>
  <c r="G990" i="3"/>
  <c r="F990" i="3"/>
  <c r="E990" i="3"/>
  <c r="C990" i="3"/>
  <c r="B990" i="3"/>
  <c r="A990" i="3"/>
  <c r="P989" i="3"/>
  <c r="O989" i="3"/>
  <c r="M989" i="3"/>
  <c r="L989" i="3"/>
  <c r="K989" i="3"/>
  <c r="J989" i="3"/>
  <c r="G989" i="3"/>
  <c r="F989" i="3"/>
  <c r="E989" i="3"/>
  <c r="C989" i="3"/>
  <c r="B989" i="3"/>
  <c r="A989" i="3"/>
  <c r="P988" i="3"/>
  <c r="O988" i="3"/>
  <c r="M988" i="3"/>
  <c r="L988" i="3"/>
  <c r="K988" i="3"/>
  <c r="J988" i="3"/>
  <c r="G988" i="3"/>
  <c r="F988" i="3"/>
  <c r="E988" i="3"/>
  <c r="C988" i="3"/>
  <c r="B988" i="3"/>
  <c r="A988" i="3"/>
  <c r="P987" i="3"/>
  <c r="O987" i="3"/>
  <c r="M987" i="3"/>
  <c r="L987" i="3"/>
  <c r="K987" i="3"/>
  <c r="J987" i="3"/>
  <c r="G987" i="3"/>
  <c r="F987" i="3"/>
  <c r="E987" i="3"/>
  <c r="C987" i="3"/>
  <c r="B987" i="3"/>
  <c r="A987" i="3"/>
  <c r="M986" i="3"/>
  <c r="K986" i="3"/>
  <c r="J986" i="3"/>
  <c r="G986" i="3"/>
  <c r="E986" i="3"/>
  <c r="C986" i="3"/>
  <c r="B986" i="3"/>
  <c r="A986" i="3"/>
  <c r="M985" i="3"/>
  <c r="K985" i="3"/>
  <c r="J985" i="3"/>
  <c r="G985" i="3"/>
  <c r="E985" i="3"/>
  <c r="C985" i="3"/>
  <c r="B985" i="3"/>
  <c r="A985" i="3"/>
  <c r="P984" i="3"/>
  <c r="O984" i="3"/>
  <c r="M984" i="3"/>
  <c r="L984" i="3"/>
  <c r="K984" i="3"/>
  <c r="J984" i="3"/>
  <c r="H984" i="3"/>
  <c r="G984" i="3"/>
  <c r="F984" i="3"/>
  <c r="E984" i="3"/>
  <c r="C984" i="3"/>
  <c r="B984" i="3"/>
  <c r="A984" i="3"/>
  <c r="P983" i="3"/>
  <c r="O983" i="3"/>
  <c r="M983" i="3"/>
  <c r="L983" i="3"/>
  <c r="K983" i="3"/>
  <c r="J983" i="3"/>
  <c r="H983" i="3"/>
  <c r="G983" i="3"/>
  <c r="F983" i="3"/>
  <c r="E983" i="3"/>
  <c r="C983" i="3"/>
  <c r="B983" i="3"/>
  <c r="A983" i="3"/>
  <c r="P982" i="3"/>
  <c r="O982" i="3"/>
  <c r="M982" i="3"/>
  <c r="L982" i="3"/>
  <c r="K982" i="3"/>
  <c r="J982" i="3"/>
  <c r="H982" i="3"/>
  <c r="G982" i="3"/>
  <c r="F982" i="3"/>
  <c r="E982" i="3"/>
  <c r="C982" i="3"/>
  <c r="B982" i="3"/>
  <c r="A982" i="3"/>
  <c r="P981" i="3"/>
  <c r="O981" i="3"/>
  <c r="M981" i="3"/>
  <c r="L981" i="3"/>
  <c r="K981" i="3"/>
  <c r="J981" i="3"/>
  <c r="H981" i="3"/>
  <c r="G981" i="3"/>
  <c r="E981" i="3"/>
  <c r="C981" i="3"/>
  <c r="B981" i="3"/>
  <c r="A981" i="3"/>
  <c r="P980" i="3"/>
  <c r="O980" i="3"/>
  <c r="M980" i="3"/>
  <c r="L980" i="3"/>
  <c r="K980" i="3"/>
  <c r="J980" i="3"/>
  <c r="H980" i="3"/>
  <c r="G980" i="3"/>
  <c r="E980" i="3"/>
  <c r="C980" i="3"/>
  <c r="B980" i="3"/>
  <c r="A980" i="3"/>
  <c r="P979" i="3"/>
  <c r="O979" i="3"/>
  <c r="M979" i="3"/>
  <c r="L979" i="3"/>
  <c r="K979" i="3"/>
  <c r="J979" i="3"/>
  <c r="H979" i="3"/>
  <c r="G979" i="3"/>
  <c r="E979" i="3"/>
  <c r="C979" i="3"/>
  <c r="B979" i="3"/>
  <c r="A979" i="3"/>
  <c r="P978" i="3"/>
  <c r="O978" i="3"/>
  <c r="M978" i="3"/>
  <c r="L978" i="3"/>
  <c r="K978" i="3"/>
  <c r="J978" i="3"/>
  <c r="H978" i="3"/>
  <c r="G978" i="3"/>
  <c r="E978" i="3"/>
  <c r="C978" i="3"/>
  <c r="B978" i="3"/>
  <c r="A978" i="3"/>
  <c r="P977" i="3"/>
  <c r="O977" i="3"/>
  <c r="N977" i="3"/>
  <c r="M977" i="3"/>
  <c r="L977" i="3"/>
  <c r="K977" i="3"/>
  <c r="J977" i="3"/>
  <c r="I977" i="3"/>
  <c r="H977" i="3"/>
  <c r="G977" i="3"/>
  <c r="F977" i="3"/>
  <c r="E977" i="3"/>
  <c r="D977" i="3"/>
  <c r="C977" i="3"/>
  <c r="B977" i="3"/>
  <c r="A977" i="3"/>
  <c r="P976" i="3"/>
  <c r="O976" i="3"/>
  <c r="N976" i="3"/>
  <c r="M976" i="3"/>
  <c r="L976" i="3"/>
  <c r="K976" i="3"/>
  <c r="J976" i="3"/>
  <c r="I976" i="3"/>
  <c r="H976" i="3"/>
  <c r="G976" i="3"/>
  <c r="F976" i="3"/>
  <c r="E976" i="3"/>
  <c r="D976" i="3"/>
  <c r="C976" i="3"/>
  <c r="B976" i="3"/>
  <c r="A976" i="3"/>
  <c r="P975" i="3"/>
  <c r="O975" i="3"/>
  <c r="N975" i="3"/>
  <c r="M975" i="3"/>
  <c r="L975" i="3"/>
  <c r="K975" i="3"/>
  <c r="J975" i="3"/>
  <c r="I975" i="3"/>
  <c r="H975" i="3"/>
  <c r="G975" i="3"/>
  <c r="F975" i="3"/>
  <c r="E975" i="3"/>
  <c r="D975" i="3"/>
  <c r="C975" i="3"/>
  <c r="B975" i="3"/>
  <c r="A975" i="3"/>
  <c r="P974" i="3"/>
  <c r="O974" i="3"/>
  <c r="N974" i="3"/>
  <c r="M974" i="3"/>
  <c r="L974" i="3"/>
  <c r="K974" i="3"/>
  <c r="J974" i="3"/>
  <c r="I974" i="3"/>
  <c r="H974" i="3"/>
  <c r="G974" i="3"/>
  <c r="F974" i="3"/>
  <c r="E974" i="3"/>
  <c r="D974" i="3"/>
  <c r="C974" i="3"/>
  <c r="B974" i="3"/>
  <c r="A974" i="3"/>
  <c r="P973" i="3"/>
  <c r="O973" i="3"/>
  <c r="N973" i="3"/>
  <c r="M973" i="3"/>
  <c r="L973" i="3"/>
  <c r="K973" i="3"/>
  <c r="J973" i="3"/>
  <c r="I973" i="3"/>
  <c r="H973" i="3"/>
  <c r="G973" i="3"/>
  <c r="F973" i="3"/>
  <c r="E973" i="3"/>
  <c r="D973" i="3"/>
  <c r="C973" i="3"/>
  <c r="B973" i="3"/>
  <c r="A973" i="3"/>
  <c r="P972" i="3"/>
  <c r="O972" i="3"/>
  <c r="M972" i="3"/>
  <c r="K972" i="3"/>
  <c r="J972" i="3"/>
  <c r="G972" i="3"/>
  <c r="E972" i="3"/>
  <c r="C972" i="3"/>
  <c r="B972" i="3"/>
  <c r="A972" i="3"/>
  <c r="P971" i="3"/>
  <c r="O971" i="3"/>
  <c r="M971" i="3"/>
  <c r="L971" i="3"/>
  <c r="K971" i="3"/>
  <c r="J971" i="3"/>
  <c r="H971" i="3"/>
  <c r="G971" i="3"/>
  <c r="F971" i="3"/>
  <c r="E971" i="3"/>
  <c r="C971" i="3"/>
  <c r="B971" i="3"/>
  <c r="A971" i="3"/>
  <c r="P970" i="3"/>
  <c r="O970" i="3"/>
  <c r="N970" i="3"/>
  <c r="M970" i="3"/>
  <c r="L970" i="3"/>
  <c r="K970" i="3"/>
  <c r="J970" i="3"/>
  <c r="I970" i="3"/>
  <c r="H970" i="3"/>
  <c r="G970" i="3"/>
  <c r="F970" i="3"/>
  <c r="E970" i="3"/>
  <c r="D970" i="3"/>
  <c r="C970" i="3"/>
  <c r="B970" i="3"/>
  <c r="A970" i="3"/>
  <c r="P969" i="3"/>
  <c r="O969" i="3"/>
  <c r="N969" i="3"/>
  <c r="M969" i="3"/>
  <c r="L969" i="3"/>
  <c r="K969" i="3"/>
  <c r="J969" i="3"/>
  <c r="I969" i="3"/>
  <c r="H969" i="3"/>
  <c r="G969" i="3"/>
  <c r="F969" i="3"/>
  <c r="E969" i="3"/>
  <c r="D969" i="3"/>
  <c r="C969" i="3"/>
  <c r="B969" i="3"/>
  <c r="A969" i="3"/>
  <c r="P968" i="3"/>
  <c r="O968" i="3"/>
  <c r="N968" i="3"/>
  <c r="M968" i="3"/>
  <c r="L968" i="3"/>
  <c r="K968" i="3"/>
  <c r="J968" i="3"/>
  <c r="I968" i="3"/>
  <c r="H968" i="3"/>
  <c r="G968" i="3"/>
  <c r="F968" i="3"/>
  <c r="E968" i="3"/>
  <c r="D968" i="3"/>
  <c r="C968" i="3"/>
  <c r="B968" i="3"/>
  <c r="A968" i="3"/>
  <c r="P967" i="3"/>
  <c r="O967" i="3"/>
  <c r="N967" i="3"/>
  <c r="M967" i="3"/>
  <c r="L967" i="3"/>
  <c r="K967" i="3"/>
  <c r="J967" i="3"/>
  <c r="I967" i="3"/>
  <c r="H967" i="3"/>
  <c r="G967" i="3"/>
  <c r="F967" i="3"/>
  <c r="E967" i="3"/>
  <c r="D967" i="3"/>
  <c r="C967" i="3"/>
  <c r="B967" i="3"/>
  <c r="A967" i="3"/>
  <c r="P966" i="3"/>
  <c r="O966" i="3"/>
  <c r="M966" i="3"/>
  <c r="L966" i="3"/>
  <c r="K966" i="3"/>
  <c r="J966" i="3"/>
  <c r="H966" i="3"/>
  <c r="G966" i="3"/>
  <c r="F966" i="3"/>
  <c r="E966" i="3"/>
  <c r="C966" i="3"/>
  <c r="B966" i="3"/>
  <c r="A966" i="3"/>
  <c r="P965" i="3"/>
  <c r="O965" i="3"/>
  <c r="M965" i="3"/>
  <c r="L965" i="3"/>
  <c r="K965" i="3"/>
  <c r="J965" i="3"/>
  <c r="H965" i="3"/>
  <c r="G965" i="3"/>
  <c r="F965" i="3"/>
  <c r="E965" i="3"/>
  <c r="C965" i="3"/>
  <c r="B965" i="3"/>
  <c r="A965" i="3"/>
  <c r="P964" i="3"/>
  <c r="O964" i="3"/>
  <c r="M964" i="3"/>
  <c r="L964" i="3"/>
  <c r="K964" i="3"/>
  <c r="J964" i="3"/>
  <c r="H964" i="3"/>
  <c r="G964" i="3"/>
  <c r="F964" i="3"/>
  <c r="E964" i="3"/>
  <c r="C964" i="3"/>
  <c r="B964" i="3"/>
  <c r="A964" i="3"/>
  <c r="P963" i="3"/>
  <c r="O963" i="3"/>
  <c r="M963" i="3"/>
  <c r="L963" i="3"/>
  <c r="K963" i="3"/>
  <c r="J963" i="3"/>
  <c r="H963" i="3"/>
  <c r="G963" i="3"/>
  <c r="F963" i="3"/>
  <c r="E963" i="3"/>
  <c r="C963" i="3"/>
  <c r="B963" i="3"/>
  <c r="A963" i="3"/>
  <c r="P962" i="3"/>
  <c r="O962" i="3"/>
  <c r="M962" i="3"/>
  <c r="L962" i="3"/>
  <c r="K962" i="3"/>
  <c r="J962" i="3"/>
  <c r="H962" i="3"/>
  <c r="G962" i="3"/>
  <c r="E962" i="3"/>
  <c r="C962" i="3"/>
  <c r="B962" i="3"/>
  <c r="A962" i="3"/>
  <c r="P961" i="3"/>
  <c r="O961" i="3"/>
  <c r="M961" i="3"/>
  <c r="L961" i="3"/>
  <c r="K961" i="3"/>
  <c r="J961" i="3"/>
  <c r="G961" i="3"/>
  <c r="E961" i="3"/>
  <c r="C961" i="3"/>
  <c r="B961" i="3"/>
  <c r="A961" i="3"/>
  <c r="M960" i="3"/>
  <c r="L960" i="3"/>
  <c r="K960" i="3"/>
  <c r="J960" i="3"/>
  <c r="H960" i="3"/>
  <c r="G960" i="3"/>
  <c r="E960" i="3"/>
  <c r="C960" i="3"/>
  <c r="B960" i="3"/>
  <c r="A960" i="3"/>
  <c r="P959" i="3"/>
  <c r="O959" i="3"/>
  <c r="M959" i="3"/>
  <c r="L959" i="3"/>
  <c r="K959" i="3"/>
  <c r="J959" i="3"/>
  <c r="H959" i="3"/>
  <c r="G959" i="3"/>
  <c r="F959" i="3"/>
  <c r="E959" i="3"/>
  <c r="C959" i="3"/>
  <c r="B959" i="3"/>
  <c r="A959" i="3"/>
  <c r="M958" i="3"/>
  <c r="L958" i="3"/>
  <c r="K958" i="3"/>
  <c r="J958" i="3"/>
  <c r="G958" i="3"/>
  <c r="E958" i="3"/>
  <c r="C958" i="3"/>
  <c r="B958" i="3"/>
  <c r="A958" i="3"/>
  <c r="P957" i="3"/>
  <c r="O957" i="3"/>
  <c r="M957" i="3"/>
  <c r="L957" i="3"/>
  <c r="K957" i="3"/>
  <c r="J957" i="3"/>
  <c r="H957" i="3"/>
  <c r="G957" i="3"/>
  <c r="F957" i="3"/>
  <c r="E957" i="3"/>
  <c r="C957" i="3"/>
  <c r="B957" i="3"/>
  <c r="A957" i="3"/>
  <c r="P956" i="3"/>
  <c r="O956" i="3"/>
  <c r="M956" i="3"/>
  <c r="L956" i="3"/>
  <c r="K956" i="3"/>
  <c r="J956" i="3"/>
  <c r="H956" i="3"/>
  <c r="G956" i="3"/>
  <c r="F956" i="3"/>
  <c r="E956" i="3"/>
  <c r="C956" i="3"/>
  <c r="B956" i="3"/>
  <c r="A956" i="3"/>
  <c r="P955" i="3"/>
  <c r="O955" i="3"/>
  <c r="N955" i="3"/>
  <c r="M955" i="3"/>
  <c r="K955" i="3"/>
  <c r="J955" i="3"/>
  <c r="G955" i="3"/>
  <c r="F955" i="3"/>
  <c r="E955" i="3"/>
  <c r="C955" i="3"/>
  <c r="B955" i="3"/>
  <c r="A955" i="3"/>
  <c r="P954" i="3"/>
  <c r="O954" i="3"/>
  <c r="M954" i="3"/>
  <c r="K954" i="3"/>
  <c r="J954" i="3"/>
  <c r="G954" i="3"/>
  <c r="F954" i="3"/>
  <c r="E954" i="3"/>
  <c r="C954" i="3"/>
  <c r="B954" i="3"/>
  <c r="A954" i="3"/>
  <c r="P953" i="3"/>
  <c r="O953" i="3"/>
  <c r="M953" i="3"/>
  <c r="K953" i="3"/>
  <c r="J953" i="3"/>
  <c r="H953" i="3"/>
  <c r="G953" i="3"/>
  <c r="F953" i="3"/>
  <c r="E953" i="3"/>
  <c r="C953" i="3"/>
  <c r="B953" i="3"/>
  <c r="A953" i="3"/>
  <c r="P952" i="3"/>
  <c r="O952" i="3"/>
  <c r="M952" i="3"/>
  <c r="K952" i="3"/>
  <c r="J952" i="3"/>
  <c r="H952" i="3"/>
  <c r="G952" i="3"/>
  <c r="F952" i="3"/>
  <c r="E952" i="3"/>
  <c r="C952" i="3"/>
  <c r="B952" i="3"/>
  <c r="A952" i="3"/>
  <c r="P951" i="3"/>
  <c r="O951" i="3"/>
  <c r="M951" i="3"/>
  <c r="K951" i="3"/>
  <c r="J951" i="3"/>
  <c r="H951" i="3"/>
  <c r="G951" i="3"/>
  <c r="F951" i="3"/>
  <c r="E951" i="3"/>
  <c r="C951" i="3"/>
  <c r="B951" i="3"/>
  <c r="A951" i="3"/>
  <c r="P950" i="3"/>
  <c r="O950" i="3"/>
  <c r="M950" i="3"/>
  <c r="K950" i="3"/>
  <c r="J950" i="3"/>
  <c r="H950" i="3"/>
  <c r="G950" i="3"/>
  <c r="F950" i="3"/>
  <c r="E950" i="3"/>
  <c r="C950" i="3"/>
  <c r="B950" i="3"/>
  <c r="A950" i="3"/>
  <c r="P949" i="3"/>
  <c r="O949" i="3"/>
  <c r="M949" i="3"/>
  <c r="K949" i="3"/>
  <c r="J949" i="3"/>
  <c r="H949" i="3"/>
  <c r="G949" i="3"/>
  <c r="F949" i="3"/>
  <c r="E949" i="3"/>
  <c r="C949" i="3"/>
  <c r="B949" i="3"/>
  <c r="A949" i="3"/>
  <c r="P948" i="3"/>
  <c r="O948" i="3"/>
  <c r="M948" i="3"/>
  <c r="K948" i="3"/>
  <c r="J948" i="3"/>
  <c r="H948" i="3"/>
  <c r="G948" i="3"/>
  <c r="F948" i="3"/>
  <c r="E948" i="3"/>
  <c r="C948" i="3"/>
  <c r="B948" i="3"/>
  <c r="A948" i="3"/>
  <c r="P947" i="3"/>
  <c r="O947" i="3"/>
  <c r="M947" i="3"/>
  <c r="K947" i="3"/>
  <c r="J947" i="3"/>
  <c r="H947" i="3"/>
  <c r="G947" i="3"/>
  <c r="F947" i="3"/>
  <c r="E947" i="3"/>
  <c r="C947" i="3"/>
  <c r="B947" i="3"/>
  <c r="A947" i="3"/>
  <c r="P946" i="3"/>
  <c r="O946" i="3"/>
  <c r="M946" i="3"/>
  <c r="K946" i="3"/>
  <c r="J946" i="3"/>
  <c r="H946" i="3"/>
  <c r="G946" i="3"/>
  <c r="F946" i="3"/>
  <c r="E946" i="3"/>
  <c r="C946" i="3"/>
  <c r="B946" i="3"/>
  <c r="A946" i="3"/>
  <c r="P945" i="3"/>
  <c r="O945" i="3"/>
  <c r="M945" i="3"/>
  <c r="K945" i="3"/>
  <c r="J945" i="3"/>
  <c r="H945" i="3"/>
  <c r="G945" i="3"/>
  <c r="F945" i="3"/>
  <c r="E945" i="3"/>
  <c r="C945" i="3"/>
  <c r="B945" i="3"/>
  <c r="A945" i="3"/>
  <c r="P944" i="3"/>
  <c r="O944" i="3"/>
  <c r="M944" i="3"/>
  <c r="L944" i="3"/>
  <c r="K944" i="3"/>
  <c r="J944" i="3"/>
  <c r="G944" i="3"/>
  <c r="F944" i="3"/>
  <c r="E944" i="3"/>
  <c r="C944" i="3"/>
  <c r="B944" i="3"/>
  <c r="A944" i="3"/>
  <c r="P943" i="3"/>
  <c r="O943" i="3"/>
  <c r="M943" i="3"/>
  <c r="L943" i="3"/>
  <c r="K943" i="3"/>
  <c r="J943" i="3"/>
  <c r="G943" i="3"/>
  <c r="F943" i="3"/>
  <c r="E943" i="3"/>
  <c r="C943" i="3"/>
  <c r="B943" i="3"/>
  <c r="A943" i="3"/>
  <c r="P942" i="3"/>
  <c r="O942" i="3"/>
  <c r="M942" i="3"/>
  <c r="L942" i="3"/>
  <c r="K942" i="3"/>
  <c r="J942" i="3"/>
  <c r="G942" i="3"/>
  <c r="F942" i="3"/>
  <c r="E942" i="3"/>
  <c r="C942" i="3"/>
  <c r="B942" i="3"/>
  <c r="A942" i="3"/>
  <c r="P941" i="3"/>
  <c r="O941" i="3"/>
  <c r="M941" i="3"/>
  <c r="L941" i="3"/>
  <c r="K941" i="3"/>
  <c r="J941" i="3"/>
  <c r="G941" i="3"/>
  <c r="F941" i="3"/>
  <c r="E941" i="3"/>
  <c r="C941" i="3"/>
  <c r="B941" i="3"/>
  <c r="A941" i="3"/>
  <c r="P940" i="3"/>
  <c r="O940" i="3"/>
  <c r="M940" i="3"/>
  <c r="L940" i="3"/>
  <c r="K940" i="3"/>
  <c r="J940" i="3"/>
  <c r="G940" i="3"/>
  <c r="E940" i="3"/>
  <c r="C940" i="3"/>
  <c r="B940" i="3"/>
  <c r="A940" i="3"/>
  <c r="P939" i="3"/>
  <c r="O939" i="3"/>
  <c r="M939" i="3"/>
  <c r="L939" i="3"/>
  <c r="K939" i="3"/>
  <c r="J939" i="3"/>
  <c r="G939" i="3"/>
  <c r="F939" i="3"/>
  <c r="E939" i="3"/>
  <c r="C939" i="3"/>
  <c r="B939" i="3"/>
  <c r="A939" i="3"/>
  <c r="P938" i="3"/>
  <c r="O938" i="3"/>
  <c r="M938" i="3"/>
  <c r="L938" i="3"/>
  <c r="K938" i="3"/>
  <c r="J938" i="3"/>
  <c r="G938" i="3"/>
  <c r="F938" i="3"/>
  <c r="E938" i="3"/>
  <c r="C938" i="3"/>
  <c r="B938" i="3"/>
  <c r="A938" i="3"/>
  <c r="P937" i="3"/>
  <c r="O937" i="3"/>
  <c r="M937" i="3"/>
  <c r="L937" i="3"/>
  <c r="K937" i="3"/>
  <c r="J937" i="3"/>
  <c r="G937" i="3"/>
  <c r="F937" i="3"/>
  <c r="E937" i="3"/>
  <c r="C937" i="3"/>
  <c r="B937" i="3"/>
  <c r="A937" i="3"/>
  <c r="P936" i="3"/>
  <c r="O936" i="3"/>
  <c r="M936" i="3"/>
  <c r="L936" i="3"/>
  <c r="K936" i="3"/>
  <c r="J936" i="3"/>
  <c r="H936" i="3"/>
  <c r="G936" i="3"/>
  <c r="E936" i="3"/>
  <c r="C936" i="3"/>
  <c r="B936" i="3"/>
  <c r="A936" i="3"/>
  <c r="P935" i="3"/>
  <c r="O935" i="3"/>
  <c r="M935" i="3"/>
  <c r="L935" i="3"/>
  <c r="K935" i="3"/>
  <c r="J935" i="3"/>
  <c r="H935" i="3"/>
  <c r="G935" i="3"/>
  <c r="E935" i="3"/>
  <c r="C935" i="3"/>
  <c r="B935" i="3"/>
  <c r="A935" i="3"/>
  <c r="P934" i="3"/>
  <c r="O934" i="3"/>
  <c r="M934" i="3"/>
  <c r="L934" i="3"/>
  <c r="K934" i="3"/>
  <c r="J934" i="3"/>
  <c r="H934" i="3"/>
  <c r="G934" i="3"/>
  <c r="E934" i="3"/>
  <c r="C934" i="3"/>
  <c r="B934" i="3"/>
  <c r="A934" i="3"/>
  <c r="P933" i="3"/>
  <c r="O933" i="3"/>
  <c r="M933" i="3"/>
  <c r="L933" i="3"/>
  <c r="K933" i="3"/>
  <c r="J933" i="3"/>
  <c r="H933" i="3"/>
  <c r="G933" i="3"/>
  <c r="E933" i="3"/>
  <c r="C933" i="3"/>
  <c r="B933" i="3"/>
  <c r="A933" i="3"/>
  <c r="P932" i="3"/>
  <c r="O932" i="3"/>
  <c r="M932" i="3"/>
  <c r="L932" i="3"/>
  <c r="K932" i="3"/>
  <c r="J932" i="3"/>
  <c r="H932" i="3"/>
  <c r="G932" i="3"/>
  <c r="E932" i="3"/>
  <c r="C932" i="3"/>
  <c r="B932" i="3"/>
  <c r="A932" i="3"/>
  <c r="P931" i="3"/>
  <c r="O931" i="3"/>
  <c r="M931" i="3"/>
  <c r="L931" i="3"/>
  <c r="K931" i="3"/>
  <c r="J931" i="3"/>
  <c r="H931" i="3"/>
  <c r="G931" i="3"/>
  <c r="E931" i="3"/>
  <c r="C931" i="3"/>
  <c r="B931" i="3"/>
  <c r="A931" i="3"/>
  <c r="P930" i="3"/>
  <c r="O930" i="3"/>
  <c r="N930" i="3"/>
  <c r="M930" i="3"/>
  <c r="L930" i="3"/>
  <c r="K930" i="3"/>
  <c r="J930" i="3"/>
  <c r="H930" i="3"/>
  <c r="G930" i="3"/>
  <c r="E930" i="3"/>
  <c r="C930" i="3"/>
  <c r="B930" i="3"/>
  <c r="A930" i="3"/>
  <c r="P929" i="3"/>
  <c r="O929" i="3"/>
  <c r="M929" i="3"/>
  <c r="L929" i="3"/>
  <c r="K929" i="3"/>
  <c r="J929" i="3"/>
  <c r="H929" i="3"/>
  <c r="G929" i="3"/>
  <c r="E929" i="3"/>
  <c r="C929" i="3"/>
  <c r="B929" i="3"/>
  <c r="A929" i="3"/>
  <c r="P928" i="3"/>
  <c r="O928" i="3"/>
  <c r="M928" i="3"/>
  <c r="L928" i="3"/>
  <c r="K928" i="3"/>
  <c r="J928" i="3"/>
  <c r="H928" i="3"/>
  <c r="G928" i="3"/>
  <c r="E928" i="3"/>
  <c r="C928" i="3"/>
  <c r="B928" i="3"/>
  <c r="A928" i="3"/>
  <c r="P927" i="3"/>
  <c r="O927" i="3"/>
  <c r="N927" i="3"/>
  <c r="M927" i="3"/>
  <c r="L927" i="3"/>
  <c r="K927" i="3"/>
  <c r="J927" i="3"/>
  <c r="I927" i="3"/>
  <c r="H927" i="3"/>
  <c r="G927" i="3"/>
  <c r="F927" i="3"/>
  <c r="E927" i="3"/>
  <c r="D927" i="3"/>
  <c r="C927" i="3"/>
  <c r="B927" i="3"/>
  <c r="A927" i="3"/>
  <c r="P926" i="3"/>
  <c r="O926" i="3"/>
  <c r="N926" i="3"/>
  <c r="M926" i="3"/>
  <c r="L926" i="3"/>
  <c r="K926" i="3"/>
  <c r="J926" i="3"/>
  <c r="I926" i="3"/>
  <c r="H926" i="3"/>
  <c r="G926" i="3"/>
  <c r="F926" i="3"/>
  <c r="E926" i="3"/>
  <c r="D926" i="3"/>
  <c r="C926" i="3"/>
  <c r="B926" i="3"/>
  <c r="A926" i="3"/>
  <c r="P925" i="3"/>
  <c r="O925" i="3"/>
  <c r="M925" i="3"/>
  <c r="K925" i="3"/>
  <c r="J925" i="3"/>
  <c r="H925" i="3"/>
  <c r="G925" i="3"/>
  <c r="E925" i="3"/>
  <c r="C925" i="3"/>
  <c r="B925" i="3"/>
  <c r="A925" i="3"/>
  <c r="M924" i="3"/>
  <c r="L924" i="3"/>
  <c r="K924" i="3"/>
  <c r="J924" i="3"/>
  <c r="G924" i="3"/>
  <c r="F924" i="3"/>
  <c r="E924" i="3"/>
  <c r="C924" i="3"/>
  <c r="B924" i="3"/>
  <c r="A924" i="3"/>
  <c r="P923" i="3"/>
  <c r="O923" i="3"/>
  <c r="M923" i="3"/>
  <c r="K923" i="3"/>
  <c r="J923" i="3"/>
  <c r="G923" i="3"/>
  <c r="E923" i="3"/>
  <c r="C923" i="3"/>
  <c r="B923" i="3"/>
  <c r="A923" i="3"/>
  <c r="P922" i="3"/>
  <c r="O922" i="3"/>
  <c r="M922" i="3"/>
  <c r="L922" i="3"/>
  <c r="K922" i="3"/>
  <c r="J922" i="3"/>
  <c r="G922" i="3"/>
  <c r="F922" i="3"/>
  <c r="E922" i="3"/>
  <c r="C922" i="3"/>
  <c r="B922" i="3"/>
  <c r="A922" i="3"/>
  <c r="M921" i="3"/>
  <c r="K921" i="3"/>
  <c r="J921" i="3"/>
  <c r="G921" i="3"/>
  <c r="E921" i="3"/>
  <c r="C921" i="3"/>
  <c r="B921" i="3"/>
  <c r="A921" i="3"/>
  <c r="P920" i="3"/>
  <c r="O920" i="3"/>
  <c r="N920" i="3"/>
  <c r="M920" i="3"/>
  <c r="L920" i="3"/>
  <c r="K920" i="3"/>
  <c r="J920" i="3"/>
  <c r="I920" i="3"/>
  <c r="H920" i="3"/>
  <c r="G920" i="3"/>
  <c r="F920" i="3"/>
  <c r="E920" i="3"/>
  <c r="D920" i="3"/>
  <c r="C920" i="3"/>
  <c r="B920" i="3"/>
  <c r="A920" i="3"/>
  <c r="M919" i="3"/>
  <c r="K919" i="3"/>
  <c r="J919" i="3"/>
  <c r="H919" i="3"/>
  <c r="G919" i="3"/>
  <c r="E919" i="3"/>
  <c r="C919" i="3"/>
  <c r="B919" i="3"/>
  <c r="A919" i="3"/>
  <c r="M918" i="3"/>
  <c r="L918" i="3"/>
  <c r="K918" i="3"/>
  <c r="J918" i="3"/>
  <c r="H918" i="3"/>
  <c r="G918" i="3"/>
  <c r="E918" i="3"/>
  <c r="C918" i="3"/>
  <c r="B918" i="3"/>
  <c r="A918" i="3"/>
  <c r="M917" i="3"/>
  <c r="L917" i="3"/>
  <c r="K917" i="3"/>
  <c r="J917" i="3"/>
  <c r="H917" i="3"/>
  <c r="G917" i="3"/>
  <c r="E917" i="3"/>
  <c r="C917" i="3"/>
  <c r="B917" i="3"/>
  <c r="A917" i="3"/>
  <c r="P916" i="3"/>
  <c r="O916" i="3"/>
  <c r="M916" i="3"/>
  <c r="L916" i="3"/>
  <c r="K916" i="3"/>
  <c r="J916" i="3"/>
  <c r="G916" i="3"/>
  <c r="F916" i="3"/>
  <c r="E916" i="3"/>
  <c r="C916" i="3"/>
  <c r="B916" i="3"/>
  <c r="A916" i="3"/>
  <c r="M915" i="3"/>
  <c r="L915" i="3"/>
  <c r="K915" i="3"/>
  <c r="J915" i="3"/>
  <c r="G915" i="3"/>
  <c r="E915" i="3"/>
  <c r="C915" i="3"/>
  <c r="B915" i="3"/>
  <c r="A915" i="3"/>
  <c r="P914" i="3"/>
  <c r="O914" i="3"/>
  <c r="M914" i="3"/>
  <c r="L914" i="3"/>
  <c r="K914" i="3"/>
  <c r="J914" i="3"/>
  <c r="H914" i="3"/>
  <c r="G914" i="3"/>
  <c r="F914" i="3"/>
  <c r="E914" i="3"/>
  <c r="C914" i="3"/>
  <c r="B914" i="3"/>
  <c r="A914" i="3"/>
  <c r="P913" i="3"/>
  <c r="O913" i="3"/>
  <c r="N913" i="3"/>
  <c r="M913" i="3"/>
  <c r="L913" i="3"/>
  <c r="K913" i="3"/>
  <c r="J913" i="3"/>
  <c r="I913" i="3"/>
  <c r="H913" i="3"/>
  <c r="G913" i="3"/>
  <c r="F913" i="3"/>
  <c r="E913" i="3"/>
  <c r="D913" i="3"/>
  <c r="C913" i="3"/>
  <c r="B913" i="3"/>
  <c r="A913" i="3"/>
  <c r="P912" i="3"/>
  <c r="O912" i="3"/>
  <c r="N912" i="3"/>
  <c r="M912" i="3"/>
  <c r="L912" i="3"/>
  <c r="K912" i="3"/>
  <c r="J912" i="3"/>
  <c r="I912" i="3"/>
  <c r="H912" i="3"/>
  <c r="G912" i="3"/>
  <c r="F912" i="3"/>
  <c r="E912" i="3"/>
  <c r="D912" i="3"/>
  <c r="C912" i="3"/>
  <c r="B912" i="3"/>
  <c r="A912" i="3"/>
  <c r="P911" i="3"/>
  <c r="O911" i="3"/>
  <c r="N911" i="3"/>
  <c r="M911" i="3"/>
  <c r="L911" i="3"/>
  <c r="K911" i="3"/>
  <c r="J911" i="3"/>
  <c r="I911" i="3"/>
  <c r="H911" i="3"/>
  <c r="G911" i="3"/>
  <c r="F911" i="3"/>
  <c r="E911" i="3"/>
  <c r="D911" i="3"/>
  <c r="C911" i="3"/>
  <c r="B911" i="3"/>
  <c r="A911" i="3"/>
  <c r="P910" i="3"/>
  <c r="O910" i="3"/>
  <c r="N910" i="3"/>
  <c r="M910" i="3"/>
  <c r="L910" i="3"/>
  <c r="K910" i="3"/>
  <c r="J910" i="3"/>
  <c r="I910" i="3"/>
  <c r="H910" i="3"/>
  <c r="G910" i="3"/>
  <c r="F910" i="3"/>
  <c r="E910" i="3"/>
  <c r="D910" i="3"/>
  <c r="C910" i="3"/>
  <c r="B910" i="3"/>
  <c r="A910" i="3"/>
  <c r="P909" i="3"/>
  <c r="O909" i="3"/>
  <c r="N909" i="3"/>
  <c r="M909" i="3"/>
  <c r="L909" i="3"/>
  <c r="K909" i="3"/>
  <c r="J909" i="3"/>
  <c r="I909" i="3"/>
  <c r="H909" i="3"/>
  <c r="G909" i="3"/>
  <c r="F909" i="3"/>
  <c r="E909" i="3"/>
  <c r="D909" i="3"/>
  <c r="C909" i="3"/>
  <c r="B909" i="3"/>
  <c r="A909" i="3"/>
  <c r="P908" i="3"/>
  <c r="O908" i="3"/>
  <c r="N908" i="3"/>
  <c r="M908" i="3"/>
  <c r="L908" i="3"/>
  <c r="K908" i="3"/>
  <c r="J908" i="3"/>
  <c r="I908" i="3"/>
  <c r="H908" i="3"/>
  <c r="G908" i="3"/>
  <c r="F908" i="3"/>
  <c r="E908" i="3"/>
  <c r="D908" i="3"/>
  <c r="C908" i="3"/>
  <c r="B908" i="3"/>
  <c r="A908" i="3"/>
  <c r="M907" i="3"/>
  <c r="K907" i="3"/>
  <c r="J907" i="3"/>
  <c r="G907" i="3"/>
  <c r="E907" i="3"/>
  <c r="C907" i="3"/>
  <c r="B907" i="3"/>
  <c r="A907" i="3"/>
  <c r="P906" i="3"/>
  <c r="O906" i="3"/>
  <c r="N906" i="3"/>
  <c r="M906" i="3"/>
  <c r="L906" i="3"/>
  <c r="K906" i="3"/>
  <c r="J906" i="3"/>
  <c r="I906" i="3"/>
  <c r="H906" i="3"/>
  <c r="G906" i="3"/>
  <c r="F906" i="3"/>
  <c r="E906" i="3"/>
  <c r="D906" i="3"/>
  <c r="C906" i="3"/>
  <c r="B906" i="3"/>
  <c r="A906" i="3"/>
  <c r="M905" i="3"/>
  <c r="K905" i="3"/>
  <c r="J905" i="3"/>
  <c r="G905" i="3"/>
  <c r="E905" i="3"/>
  <c r="C905" i="3"/>
  <c r="B905" i="3"/>
  <c r="A905" i="3"/>
  <c r="P904" i="3"/>
  <c r="O904" i="3"/>
  <c r="N904" i="3"/>
  <c r="M904" i="3"/>
  <c r="L904" i="3"/>
  <c r="K904" i="3"/>
  <c r="J904" i="3"/>
  <c r="I904" i="3"/>
  <c r="H904" i="3"/>
  <c r="G904" i="3"/>
  <c r="F904" i="3"/>
  <c r="E904" i="3"/>
  <c r="D904" i="3"/>
  <c r="C904" i="3"/>
  <c r="B904" i="3"/>
  <c r="A904" i="3"/>
  <c r="M903" i="3"/>
  <c r="K903" i="3"/>
  <c r="J903" i="3"/>
  <c r="G903" i="3"/>
  <c r="E903" i="3"/>
  <c r="C903" i="3"/>
  <c r="B903" i="3"/>
  <c r="A903" i="3"/>
  <c r="M902" i="3"/>
  <c r="K902" i="3"/>
  <c r="J902" i="3"/>
  <c r="G902" i="3"/>
  <c r="E902" i="3"/>
  <c r="C902" i="3"/>
  <c r="B902" i="3"/>
  <c r="A902" i="3"/>
  <c r="M901" i="3"/>
  <c r="K901" i="3"/>
  <c r="J901" i="3"/>
  <c r="G901" i="3"/>
  <c r="E901" i="3"/>
  <c r="C901" i="3"/>
  <c r="B901" i="3"/>
  <c r="A901" i="3"/>
  <c r="M900" i="3"/>
  <c r="K900" i="3"/>
  <c r="J900" i="3"/>
  <c r="G900" i="3"/>
  <c r="E900" i="3"/>
  <c r="C900" i="3"/>
  <c r="B900" i="3"/>
  <c r="A900" i="3"/>
  <c r="M899" i="3"/>
  <c r="K899" i="3"/>
  <c r="J899" i="3"/>
  <c r="G899" i="3"/>
  <c r="E899" i="3"/>
  <c r="C899" i="3"/>
  <c r="B899" i="3"/>
  <c r="A899" i="3"/>
  <c r="M898" i="3"/>
  <c r="K898" i="3"/>
  <c r="J898" i="3"/>
  <c r="G898" i="3"/>
  <c r="E898" i="3"/>
  <c r="C898" i="3"/>
  <c r="B898" i="3"/>
  <c r="A898" i="3"/>
  <c r="M897" i="3"/>
  <c r="K897" i="3"/>
  <c r="J897" i="3"/>
  <c r="G897" i="3"/>
  <c r="E897" i="3"/>
  <c r="C897" i="3"/>
  <c r="B897" i="3"/>
  <c r="A897" i="3"/>
  <c r="M896" i="3"/>
  <c r="K896" i="3"/>
  <c r="J896" i="3"/>
  <c r="G896" i="3"/>
  <c r="E896" i="3"/>
  <c r="C896" i="3"/>
  <c r="B896" i="3"/>
  <c r="A896" i="3"/>
  <c r="M895" i="3"/>
  <c r="K895" i="3"/>
  <c r="J895" i="3"/>
  <c r="G895" i="3"/>
  <c r="E895" i="3"/>
  <c r="C895" i="3"/>
  <c r="B895" i="3"/>
  <c r="A895" i="3"/>
  <c r="M894" i="3"/>
  <c r="K894" i="3"/>
  <c r="J894" i="3"/>
  <c r="G894" i="3"/>
  <c r="E894" i="3"/>
  <c r="C894" i="3"/>
  <c r="B894" i="3"/>
  <c r="A894" i="3"/>
  <c r="M893" i="3"/>
  <c r="K893" i="3"/>
  <c r="J893" i="3"/>
  <c r="G893" i="3"/>
  <c r="E893" i="3"/>
  <c r="C893" i="3"/>
  <c r="B893" i="3"/>
  <c r="A893" i="3"/>
  <c r="M892" i="3"/>
  <c r="K892" i="3"/>
  <c r="J892" i="3"/>
  <c r="G892" i="3"/>
  <c r="E892" i="3"/>
  <c r="C892" i="3"/>
  <c r="B892" i="3"/>
  <c r="A892" i="3"/>
  <c r="P891" i="3"/>
  <c r="O891" i="3"/>
  <c r="N891" i="3"/>
  <c r="M891" i="3"/>
  <c r="L891" i="3"/>
  <c r="K891" i="3"/>
  <c r="J891" i="3"/>
  <c r="I891" i="3"/>
  <c r="H891" i="3"/>
  <c r="G891" i="3"/>
  <c r="F891" i="3"/>
  <c r="E891" i="3"/>
  <c r="D891" i="3"/>
  <c r="C891" i="3"/>
  <c r="B891" i="3"/>
  <c r="A891" i="3"/>
  <c r="P890" i="3"/>
  <c r="O890" i="3"/>
  <c r="N890" i="3"/>
  <c r="M890" i="3"/>
  <c r="L890" i="3"/>
  <c r="K890" i="3"/>
  <c r="J890" i="3"/>
  <c r="I890" i="3"/>
  <c r="H890" i="3"/>
  <c r="G890" i="3"/>
  <c r="F890" i="3"/>
  <c r="E890" i="3"/>
  <c r="D890" i="3"/>
  <c r="C890" i="3"/>
  <c r="B890" i="3"/>
  <c r="A890" i="3"/>
  <c r="M889" i="3"/>
  <c r="K889" i="3"/>
  <c r="J889" i="3"/>
  <c r="G889" i="3"/>
  <c r="E889" i="3"/>
  <c r="C889" i="3"/>
  <c r="B889" i="3"/>
  <c r="A889" i="3"/>
  <c r="P888" i="3"/>
  <c r="O888" i="3"/>
  <c r="N888" i="3"/>
  <c r="M888" i="3"/>
  <c r="L888" i="3"/>
  <c r="K888" i="3"/>
  <c r="J888" i="3"/>
  <c r="I888" i="3"/>
  <c r="H888" i="3"/>
  <c r="G888" i="3"/>
  <c r="F888" i="3"/>
  <c r="E888" i="3"/>
  <c r="D888" i="3"/>
  <c r="C888" i="3"/>
  <c r="B888" i="3"/>
  <c r="A888" i="3"/>
  <c r="M887" i="3"/>
  <c r="K887" i="3"/>
  <c r="J887" i="3"/>
  <c r="G887" i="3"/>
  <c r="E887" i="3"/>
  <c r="C887" i="3"/>
  <c r="B887" i="3"/>
  <c r="A887" i="3"/>
  <c r="P886" i="3"/>
  <c r="O886" i="3"/>
  <c r="N886" i="3"/>
  <c r="M886" i="3"/>
  <c r="L886" i="3"/>
  <c r="K886" i="3"/>
  <c r="J886" i="3"/>
  <c r="I886" i="3"/>
  <c r="H886" i="3"/>
  <c r="G886" i="3"/>
  <c r="F886" i="3"/>
  <c r="E886" i="3"/>
  <c r="D886" i="3"/>
  <c r="C886" i="3"/>
  <c r="B886" i="3"/>
  <c r="A886" i="3"/>
  <c r="M885" i="3"/>
  <c r="K885" i="3"/>
  <c r="J885" i="3"/>
  <c r="G885" i="3"/>
  <c r="E885" i="3"/>
  <c r="C885" i="3"/>
  <c r="B885" i="3"/>
  <c r="A885" i="3"/>
  <c r="M884" i="3"/>
  <c r="K884" i="3"/>
  <c r="J884" i="3"/>
  <c r="G884" i="3"/>
  <c r="E884" i="3"/>
  <c r="C884" i="3"/>
  <c r="B884" i="3"/>
  <c r="A884" i="3"/>
  <c r="M883" i="3"/>
  <c r="K883" i="3"/>
  <c r="J883" i="3"/>
  <c r="G883" i="3"/>
  <c r="E883" i="3"/>
  <c r="C883" i="3"/>
  <c r="B883" i="3"/>
  <c r="A883" i="3"/>
  <c r="M882" i="3"/>
  <c r="K882" i="3"/>
  <c r="J882" i="3"/>
  <c r="G882" i="3"/>
  <c r="E882" i="3"/>
  <c r="C882" i="3"/>
  <c r="B882" i="3"/>
  <c r="A882" i="3"/>
  <c r="M881" i="3"/>
  <c r="K881" i="3"/>
  <c r="J881" i="3"/>
  <c r="G881" i="3"/>
  <c r="E881" i="3"/>
  <c r="C881" i="3"/>
  <c r="B881" i="3"/>
  <c r="A881" i="3"/>
  <c r="M880" i="3"/>
  <c r="K880" i="3"/>
  <c r="J880" i="3"/>
  <c r="G880" i="3"/>
  <c r="E880" i="3"/>
  <c r="C880" i="3"/>
  <c r="B880" i="3"/>
  <c r="A880" i="3"/>
  <c r="M879" i="3"/>
  <c r="K879" i="3"/>
  <c r="J879" i="3"/>
  <c r="G879" i="3"/>
  <c r="E879" i="3"/>
  <c r="C879" i="3"/>
  <c r="B879" i="3"/>
  <c r="A879" i="3"/>
  <c r="P878" i="3"/>
  <c r="O878" i="3"/>
  <c r="N878" i="3"/>
  <c r="M878" i="3"/>
  <c r="L878" i="3"/>
  <c r="K878" i="3"/>
  <c r="J878" i="3"/>
  <c r="I878" i="3"/>
  <c r="H878" i="3"/>
  <c r="G878" i="3"/>
  <c r="F878" i="3"/>
  <c r="E878" i="3"/>
  <c r="D878" i="3"/>
  <c r="C878" i="3"/>
  <c r="B878" i="3"/>
  <c r="A878" i="3"/>
  <c r="P877" i="3"/>
  <c r="O877" i="3"/>
  <c r="N877" i="3"/>
  <c r="M877" i="3"/>
  <c r="L877" i="3"/>
  <c r="K877" i="3"/>
  <c r="J877" i="3"/>
  <c r="I877" i="3"/>
  <c r="H877" i="3"/>
  <c r="G877" i="3"/>
  <c r="F877" i="3"/>
  <c r="E877" i="3"/>
  <c r="D877" i="3"/>
  <c r="C877" i="3"/>
  <c r="B877" i="3"/>
  <c r="A877" i="3"/>
  <c r="M876" i="3"/>
  <c r="K876" i="3"/>
  <c r="J876" i="3"/>
  <c r="G876" i="3"/>
  <c r="E876" i="3"/>
  <c r="C876" i="3"/>
  <c r="B876" i="3"/>
  <c r="A876" i="3"/>
  <c r="P875" i="3"/>
  <c r="O875" i="3"/>
  <c r="N875" i="3"/>
  <c r="M875" i="3"/>
  <c r="L875" i="3"/>
  <c r="K875" i="3"/>
  <c r="J875" i="3"/>
  <c r="I875" i="3"/>
  <c r="H875" i="3"/>
  <c r="G875" i="3"/>
  <c r="F875" i="3"/>
  <c r="E875" i="3"/>
  <c r="D875" i="3"/>
  <c r="C875" i="3"/>
  <c r="B875" i="3"/>
  <c r="A875" i="3"/>
  <c r="M874" i="3"/>
  <c r="K874" i="3"/>
  <c r="J874" i="3"/>
  <c r="G874" i="3"/>
  <c r="E874" i="3"/>
  <c r="C874" i="3"/>
  <c r="B874" i="3"/>
  <c r="A874" i="3"/>
  <c r="M873" i="3"/>
  <c r="K873" i="3"/>
  <c r="J873" i="3"/>
  <c r="G873" i="3"/>
  <c r="E873" i="3"/>
  <c r="C873" i="3"/>
  <c r="B873" i="3"/>
  <c r="A873" i="3"/>
  <c r="M872" i="3"/>
  <c r="K872" i="3"/>
  <c r="J872" i="3"/>
  <c r="G872" i="3"/>
  <c r="E872" i="3"/>
  <c r="C872" i="3"/>
  <c r="B872" i="3"/>
  <c r="A872" i="3"/>
  <c r="M871" i="3"/>
  <c r="K871" i="3"/>
  <c r="J871" i="3"/>
  <c r="G871" i="3"/>
  <c r="E871" i="3"/>
  <c r="C871" i="3"/>
  <c r="B871" i="3"/>
  <c r="A871" i="3"/>
  <c r="M870" i="3"/>
  <c r="K870" i="3"/>
  <c r="J870" i="3"/>
  <c r="G870" i="3"/>
  <c r="E870" i="3"/>
  <c r="C870" i="3"/>
  <c r="B870" i="3"/>
  <c r="A870" i="3"/>
  <c r="P869" i="3"/>
  <c r="O869" i="3"/>
  <c r="N869" i="3"/>
  <c r="M869" i="3"/>
  <c r="L869" i="3"/>
  <c r="K869" i="3"/>
  <c r="J869" i="3"/>
  <c r="I869" i="3"/>
  <c r="H869" i="3"/>
  <c r="G869" i="3"/>
  <c r="F869" i="3"/>
  <c r="E869" i="3"/>
  <c r="D869" i="3"/>
  <c r="C869" i="3"/>
  <c r="B869" i="3"/>
  <c r="A869" i="3"/>
  <c r="P868" i="3"/>
  <c r="O868" i="3"/>
  <c r="N868" i="3"/>
  <c r="M868" i="3"/>
  <c r="L868" i="3"/>
  <c r="K868" i="3"/>
  <c r="J868" i="3"/>
  <c r="I868" i="3"/>
  <c r="H868" i="3"/>
  <c r="G868" i="3"/>
  <c r="F868" i="3"/>
  <c r="E868" i="3"/>
  <c r="D868" i="3"/>
  <c r="C868" i="3"/>
  <c r="B868" i="3"/>
  <c r="A868" i="3"/>
  <c r="P867" i="3"/>
  <c r="O867" i="3"/>
  <c r="N867" i="3"/>
  <c r="M867" i="3"/>
  <c r="L867" i="3"/>
  <c r="K867" i="3"/>
  <c r="J867" i="3"/>
  <c r="I867" i="3"/>
  <c r="H867" i="3"/>
  <c r="G867" i="3"/>
  <c r="F867" i="3"/>
  <c r="E867" i="3"/>
  <c r="D867" i="3"/>
  <c r="C867" i="3"/>
  <c r="B867" i="3"/>
  <c r="A867" i="3"/>
  <c r="P866" i="3"/>
  <c r="O866" i="3"/>
  <c r="N866" i="3"/>
  <c r="M866" i="3"/>
  <c r="L866" i="3"/>
  <c r="K866" i="3"/>
  <c r="J866" i="3"/>
  <c r="I866" i="3"/>
  <c r="H866" i="3"/>
  <c r="G866" i="3"/>
  <c r="F866" i="3"/>
  <c r="E866" i="3"/>
  <c r="D866" i="3"/>
  <c r="C866" i="3"/>
  <c r="B866" i="3"/>
  <c r="A866" i="3"/>
  <c r="P865" i="3"/>
  <c r="O865" i="3"/>
  <c r="N865" i="3"/>
  <c r="M865" i="3"/>
  <c r="L865" i="3"/>
  <c r="K865" i="3"/>
  <c r="J865" i="3"/>
  <c r="I865" i="3"/>
  <c r="H865" i="3"/>
  <c r="G865" i="3"/>
  <c r="F865" i="3"/>
  <c r="E865" i="3"/>
  <c r="D865" i="3"/>
  <c r="C865" i="3"/>
  <c r="B865" i="3"/>
  <c r="A865" i="3"/>
  <c r="M864" i="3"/>
  <c r="K864" i="3"/>
  <c r="J864" i="3"/>
  <c r="G864" i="3"/>
  <c r="E864" i="3"/>
  <c r="C864" i="3"/>
  <c r="B864" i="3"/>
  <c r="A864" i="3"/>
  <c r="P863" i="3"/>
  <c r="O863" i="3"/>
  <c r="N863" i="3"/>
  <c r="M863" i="3"/>
  <c r="L863" i="3"/>
  <c r="K863" i="3"/>
  <c r="J863" i="3"/>
  <c r="I863" i="3"/>
  <c r="H863" i="3"/>
  <c r="G863" i="3"/>
  <c r="F863" i="3"/>
  <c r="E863" i="3"/>
  <c r="D863" i="3"/>
  <c r="C863" i="3"/>
  <c r="B863" i="3"/>
  <c r="A863" i="3"/>
  <c r="M862" i="3"/>
  <c r="K862" i="3"/>
  <c r="J862" i="3"/>
  <c r="G862" i="3"/>
  <c r="E862" i="3"/>
  <c r="C862" i="3"/>
  <c r="B862" i="3"/>
  <c r="A862" i="3"/>
  <c r="P861" i="3"/>
  <c r="O861" i="3"/>
  <c r="N861" i="3"/>
  <c r="M861" i="3"/>
  <c r="L861" i="3"/>
  <c r="K861" i="3"/>
  <c r="J861" i="3"/>
  <c r="I861" i="3"/>
  <c r="H861" i="3"/>
  <c r="G861" i="3"/>
  <c r="F861" i="3"/>
  <c r="E861" i="3"/>
  <c r="D861" i="3"/>
  <c r="C861" i="3"/>
  <c r="B861" i="3"/>
  <c r="A861" i="3"/>
  <c r="M860" i="3"/>
  <c r="K860" i="3"/>
  <c r="J860" i="3"/>
  <c r="G860" i="3"/>
  <c r="E860" i="3"/>
  <c r="C860" i="3"/>
  <c r="B860" i="3"/>
  <c r="A860" i="3"/>
  <c r="M859" i="3"/>
  <c r="K859" i="3"/>
  <c r="J859" i="3"/>
  <c r="G859" i="3"/>
  <c r="E859" i="3"/>
  <c r="C859" i="3"/>
  <c r="B859" i="3"/>
  <c r="A859" i="3"/>
  <c r="M858" i="3"/>
  <c r="K858" i="3"/>
  <c r="J858" i="3"/>
  <c r="G858" i="3"/>
  <c r="E858" i="3"/>
  <c r="C858" i="3"/>
  <c r="B858" i="3"/>
  <c r="A858" i="3"/>
  <c r="M857" i="3"/>
  <c r="K857" i="3"/>
  <c r="J857" i="3"/>
  <c r="G857" i="3"/>
  <c r="E857" i="3"/>
  <c r="C857" i="3"/>
  <c r="B857" i="3"/>
  <c r="A857" i="3"/>
  <c r="M856" i="3"/>
  <c r="K856" i="3"/>
  <c r="J856" i="3"/>
  <c r="G856" i="3"/>
  <c r="E856" i="3"/>
  <c r="C856" i="3"/>
  <c r="B856" i="3"/>
  <c r="A856" i="3"/>
  <c r="M855" i="3"/>
  <c r="K855" i="3"/>
  <c r="J855" i="3"/>
  <c r="G855" i="3"/>
  <c r="E855" i="3"/>
  <c r="C855" i="3"/>
  <c r="B855" i="3"/>
  <c r="A855" i="3"/>
  <c r="M854" i="3"/>
  <c r="K854" i="3"/>
  <c r="J854" i="3"/>
  <c r="G854" i="3"/>
  <c r="E854" i="3"/>
  <c r="C854" i="3"/>
  <c r="B854" i="3"/>
  <c r="A854" i="3"/>
  <c r="M853" i="3"/>
  <c r="K853" i="3"/>
  <c r="J853" i="3"/>
  <c r="G853" i="3"/>
  <c r="E853" i="3"/>
  <c r="C853" i="3"/>
  <c r="B853" i="3"/>
  <c r="A853" i="3"/>
  <c r="M852" i="3"/>
  <c r="K852" i="3"/>
  <c r="J852" i="3"/>
  <c r="G852" i="3"/>
  <c r="E852" i="3"/>
  <c r="C852" i="3"/>
  <c r="B852" i="3"/>
  <c r="A852" i="3"/>
  <c r="M851" i="3"/>
  <c r="K851" i="3"/>
  <c r="J851" i="3"/>
  <c r="G851" i="3"/>
  <c r="E851" i="3"/>
  <c r="C851" i="3"/>
  <c r="B851" i="3"/>
  <c r="A851" i="3"/>
  <c r="M850" i="3"/>
  <c r="K850" i="3"/>
  <c r="J850" i="3"/>
  <c r="G850" i="3"/>
  <c r="E850" i="3"/>
  <c r="C850" i="3"/>
  <c r="B850" i="3"/>
  <c r="A850" i="3"/>
  <c r="M849" i="3"/>
  <c r="K849" i="3"/>
  <c r="J849" i="3"/>
  <c r="G849" i="3"/>
  <c r="E849" i="3"/>
  <c r="C849" i="3"/>
  <c r="B849" i="3"/>
  <c r="A849" i="3"/>
  <c r="M848" i="3"/>
  <c r="K848" i="3"/>
  <c r="J848" i="3"/>
  <c r="G848" i="3"/>
  <c r="E848" i="3"/>
  <c r="C848" i="3"/>
  <c r="B848" i="3"/>
  <c r="A848" i="3"/>
  <c r="M847" i="3"/>
  <c r="K847" i="3"/>
  <c r="J847" i="3"/>
  <c r="G847" i="3"/>
  <c r="E847" i="3"/>
  <c r="C847" i="3"/>
  <c r="B847" i="3"/>
  <c r="A847" i="3"/>
  <c r="M846" i="3"/>
  <c r="K846" i="3"/>
  <c r="J846" i="3"/>
  <c r="G846" i="3"/>
  <c r="E846" i="3"/>
  <c r="C846" i="3"/>
  <c r="B846" i="3"/>
  <c r="A846" i="3"/>
  <c r="M845" i="3"/>
  <c r="K845" i="3"/>
  <c r="J845" i="3"/>
  <c r="G845" i="3"/>
  <c r="E845" i="3"/>
  <c r="C845" i="3"/>
  <c r="B845" i="3"/>
  <c r="A845" i="3"/>
  <c r="M844" i="3"/>
  <c r="K844" i="3"/>
  <c r="J844" i="3"/>
  <c r="G844" i="3"/>
  <c r="E844" i="3"/>
  <c r="C844" i="3"/>
  <c r="B844" i="3"/>
  <c r="A844" i="3"/>
  <c r="M843" i="3"/>
  <c r="K843" i="3"/>
  <c r="J843" i="3"/>
  <c r="G843" i="3"/>
  <c r="E843" i="3"/>
  <c r="C843" i="3"/>
  <c r="B843" i="3"/>
  <c r="A843" i="3"/>
  <c r="P842" i="3"/>
  <c r="O842" i="3"/>
  <c r="N842" i="3"/>
  <c r="M842" i="3"/>
  <c r="L842" i="3"/>
  <c r="K842" i="3"/>
  <c r="J842" i="3"/>
  <c r="I842" i="3"/>
  <c r="H842" i="3"/>
  <c r="G842" i="3"/>
  <c r="F842" i="3"/>
  <c r="E842" i="3"/>
  <c r="D842" i="3"/>
  <c r="C842" i="3"/>
  <c r="B842" i="3"/>
  <c r="A842" i="3"/>
  <c r="P841" i="3"/>
  <c r="O841" i="3"/>
  <c r="N841" i="3"/>
  <c r="M841" i="3"/>
  <c r="L841" i="3"/>
  <c r="K841" i="3"/>
  <c r="J841" i="3"/>
  <c r="I841" i="3"/>
  <c r="H841" i="3"/>
  <c r="G841" i="3"/>
  <c r="F841" i="3"/>
  <c r="E841" i="3"/>
  <c r="D841" i="3"/>
  <c r="C841" i="3"/>
  <c r="B841" i="3"/>
  <c r="A841" i="3"/>
  <c r="M840" i="3"/>
  <c r="G840" i="3"/>
  <c r="E840" i="3"/>
  <c r="C840" i="3"/>
  <c r="B840" i="3"/>
  <c r="A840" i="3"/>
  <c r="P839" i="3"/>
  <c r="O839" i="3"/>
  <c r="N839" i="3"/>
  <c r="M839" i="3"/>
  <c r="L839" i="3"/>
  <c r="K839" i="3"/>
  <c r="J839" i="3"/>
  <c r="I839" i="3"/>
  <c r="H839" i="3"/>
  <c r="G839" i="3"/>
  <c r="F839" i="3"/>
  <c r="E839" i="3"/>
  <c r="D839" i="3"/>
  <c r="C839" i="3"/>
  <c r="B839" i="3"/>
  <c r="A839" i="3"/>
  <c r="M838" i="3"/>
  <c r="K838" i="3"/>
  <c r="J838" i="3"/>
  <c r="G838" i="3"/>
  <c r="E838" i="3"/>
  <c r="C838" i="3"/>
  <c r="B838" i="3"/>
  <c r="A838" i="3"/>
  <c r="M837" i="3"/>
  <c r="K837" i="3"/>
  <c r="J837" i="3"/>
  <c r="G837" i="3"/>
  <c r="E837" i="3"/>
  <c r="C837" i="3"/>
  <c r="B837" i="3"/>
  <c r="A837" i="3"/>
  <c r="M836" i="3"/>
  <c r="K836" i="3"/>
  <c r="J836" i="3"/>
  <c r="G836" i="3"/>
  <c r="E836" i="3"/>
  <c r="C836" i="3"/>
  <c r="B836" i="3"/>
  <c r="A836" i="3"/>
  <c r="M835" i="3"/>
  <c r="K835" i="3"/>
  <c r="J835" i="3"/>
  <c r="G835" i="3"/>
  <c r="E835" i="3"/>
  <c r="C835" i="3"/>
  <c r="B835" i="3"/>
  <c r="A835" i="3"/>
  <c r="M834" i="3"/>
  <c r="K834" i="3"/>
  <c r="J834" i="3"/>
  <c r="G834" i="3"/>
  <c r="E834" i="3"/>
  <c r="C834" i="3"/>
  <c r="B834" i="3"/>
  <c r="A834" i="3"/>
  <c r="M833" i="3"/>
  <c r="K833" i="3"/>
  <c r="J833" i="3"/>
  <c r="G833" i="3"/>
  <c r="E833" i="3"/>
  <c r="C833" i="3"/>
  <c r="B833" i="3"/>
  <c r="A833" i="3"/>
  <c r="M832" i="3"/>
  <c r="K832" i="3"/>
  <c r="J832" i="3"/>
  <c r="G832" i="3"/>
  <c r="E832" i="3"/>
  <c r="C832" i="3"/>
  <c r="B832" i="3"/>
  <c r="A832" i="3"/>
  <c r="M831" i="3"/>
  <c r="K831" i="3"/>
  <c r="J831" i="3"/>
  <c r="G831" i="3"/>
  <c r="E831" i="3"/>
  <c r="C831" i="3"/>
  <c r="B831" i="3"/>
  <c r="A831" i="3"/>
  <c r="M830" i="3"/>
  <c r="K830" i="3"/>
  <c r="J830" i="3"/>
  <c r="G830" i="3"/>
  <c r="E830" i="3"/>
  <c r="C830" i="3"/>
  <c r="B830" i="3"/>
  <c r="A830" i="3"/>
  <c r="M829" i="3"/>
  <c r="K829" i="3"/>
  <c r="J829" i="3"/>
  <c r="G829" i="3"/>
  <c r="E829" i="3"/>
  <c r="C829" i="3"/>
  <c r="B829" i="3"/>
  <c r="A829" i="3"/>
  <c r="M828" i="3"/>
  <c r="K828" i="3"/>
  <c r="J828" i="3"/>
  <c r="G828" i="3"/>
  <c r="E828" i="3"/>
  <c r="C828" i="3"/>
  <c r="B828" i="3"/>
  <c r="A828" i="3"/>
  <c r="M827" i="3"/>
  <c r="K827" i="3"/>
  <c r="J827" i="3"/>
  <c r="G827" i="3"/>
  <c r="E827" i="3"/>
  <c r="C827" i="3"/>
  <c r="B827" i="3"/>
  <c r="A827" i="3"/>
  <c r="P826" i="3"/>
  <c r="O826" i="3"/>
  <c r="N826" i="3"/>
  <c r="M826" i="3"/>
  <c r="L826" i="3"/>
  <c r="K826" i="3"/>
  <c r="J826" i="3"/>
  <c r="I826" i="3"/>
  <c r="H826" i="3"/>
  <c r="G826" i="3"/>
  <c r="F826" i="3"/>
  <c r="E826" i="3"/>
  <c r="D826" i="3"/>
  <c r="C826" i="3"/>
  <c r="B826" i="3"/>
  <c r="A826" i="3"/>
  <c r="P825" i="3"/>
  <c r="O825" i="3"/>
  <c r="N825" i="3"/>
  <c r="M825" i="3"/>
  <c r="L825" i="3"/>
  <c r="K825" i="3"/>
  <c r="J825" i="3"/>
  <c r="I825" i="3"/>
  <c r="H825" i="3"/>
  <c r="G825" i="3"/>
  <c r="F825" i="3"/>
  <c r="E825" i="3"/>
  <c r="D825" i="3"/>
  <c r="C825" i="3"/>
  <c r="B825" i="3"/>
  <c r="A825" i="3"/>
  <c r="P824" i="3"/>
  <c r="O824" i="3"/>
  <c r="N824" i="3"/>
  <c r="M824" i="3"/>
  <c r="L824" i="3"/>
  <c r="K824" i="3"/>
  <c r="J824" i="3"/>
  <c r="I824" i="3"/>
  <c r="H824" i="3"/>
  <c r="G824" i="3"/>
  <c r="F824" i="3"/>
  <c r="E824" i="3"/>
  <c r="D824" i="3"/>
  <c r="C824" i="3"/>
  <c r="B824" i="3"/>
  <c r="A824" i="3"/>
  <c r="P823" i="3"/>
  <c r="O823" i="3"/>
  <c r="N823" i="3"/>
  <c r="M823" i="3"/>
  <c r="L823" i="3"/>
  <c r="K823" i="3"/>
  <c r="J823" i="3"/>
  <c r="I823" i="3"/>
  <c r="H823" i="3"/>
  <c r="G823" i="3"/>
  <c r="F823" i="3"/>
  <c r="E823" i="3"/>
  <c r="D823" i="3"/>
  <c r="C823" i="3"/>
  <c r="B823" i="3"/>
  <c r="A823" i="3"/>
  <c r="P822" i="3"/>
  <c r="O822" i="3"/>
  <c r="N822" i="3"/>
  <c r="M822" i="3"/>
  <c r="L822" i="3"/>
  <c r="K822" i="3"/>
  <c r="J822" i="3"/>
  <c r="I822" i="3"/>
  <c r="H822" i="3"/>
  <c r="G822" i="3"/>
  <c r="F822" i="3"/>
  <c r="E822" i="3"/>
  <c r="D822" i="3"/>
  <c r="C822" i="3"/>
  <c r="B822" i="3"/>
  <c r="A822" i="3"/>
  <c r="M821" i="3"/>
  <c r="G821" i="3"/>
  <c r="E821" i="3"/>
  <c r="C821" i="3"/>
  <c r="B821" i="3"/>
  <c r="A821" i="3"/>
  <c r="P820" i="3"/>
  <c r="O820" i="3"/>
  <c r="N820" i="3"/>
  <c r="M820" i="3"/>
  <c r="L820" i="3"/>
  <c r="K820" i="3"/>
  <c r="J820" i="3"/>
  <c r="I820" i="3"/>
  <c r="H820" i="3"/>
  <c r="G820" i="3"/>
  <c r="F820" i="3"/>
  <c r="E820" i="3"/>
  <c r="D820" i="3"/>
  <c r="C820" i="3"/>
  <c r="B820" i="3"/>
  <c r="A820" i="3"/>
  <c r="M819" i="3"/>
  <c r="G819" i="3"/>
  <c r="E819" i="3"/>
  <c r="C819" i="3"/>
  <c r="B819" i="3"/>
  <c r="A819" i="3"/>
  <c r="P818" i="3"/>
  <c r="O818" i="3"/>
  <c r="N818" i="3"/>
  <c r="M818" i="3"/>
  <c r="L818" i="3"/>
  <c r="K818" i="3"/>
  <c r="J818" i="3"/>
  <c r="I818" i="3"/>
  <c r="H818" i="3"/>
  <c r="G818" i="3"/>
  <c r="F818" i="3"/>
  <c r="E818" i="3"/>
  <c r="D818" i="3"/>
  <c r="C818" i="3"/>
  <c r="B818" i="3"/>
  <c r="A818" i="3"/>
  <c r="M817" i="3"/>
  <c r="K817" i="3"/>
  <c r="J817" i="3"/>
  <c r="G817" i="3"/>
  <c r="E817" i="3"/>
  <c r="C817" i="3"/>
  <c r="B817" i="3"/>
  <c r="A817" i="3"/>
  <c r="M816" i="3"/>
  <c r="K816" i="3"/>
  <c r="J816" i="3"/>
  <c r="G816" i="3"/>
  <c r="E816" i="3"/>
  <c r="C816" i="3"/>
  <c r="B816" i="3"/>
  <c r="A816" i="3"/>
  <c r="M815" i="3"/>
  <c r="K815" i="3"/>
  <c r="J815" i="3"/>
  <c r="G815" i="3"/>
  <c r="E815" i="3"/>
  <c r="C815" i="3"/>
  <c r="B815" i="3"/>
  <c r="A815" i="3"/>
  <c r="M814" i="3"/>
  <c r="K814" i="3"/>
  <c r="J814" i="3"/>
  <c r="G814" i="3"/>
  <c r="E814" i="3"/>
  <c r="C814" i="3"/>
  <c r="B814" i="3"/>
  <c r="A814" i="3"/>
  <c r="M813" i="3"/>
  <c r="K813" i="3"/>
  <c r="J813" i="3"/>
  <c r="G813" i="3"/>
  <c r="E813" i="3"/>
  <c r="C813" i="3"/>
  <c r="B813" i="3"/>
  <c r="A813" i="3"/>
  <c r="M812" i="3"/>
  <c r="K812" i="3"/>
  <c r="J812" i="3"/>
  <c r="G812" i="3"/>
  <c r="E812" i="3"/>
  <c r="C812" i="3"/>
  <c r="B812" i="3"/>
  <c r="A812" i="3"/>
  <c r="M811" i="3"/>
  <c r="K811" i="3"/>
  <c r="J811" i="3"/>
  <c r="G811" i="3"/>
  <c r="E811" i="3"/>
  <c r="C811" i="3"/>
  <c r="B811" i="3"/>
  <c r="A811" i="3"/>
  <c r="M810" i="3"/>
  <c r="K810" i="3"/>
  <c r="J810" i="3"/>
  <c r="G810" i="3"/>
  <c r="E810" i="3"/>
  <c r="C810" i="3"/>
  <c r="B810" i="3"/>
  <c r="A810" i="3"/>
  <c r="M809" i="3"/>
  <c r="K809" i="3"/>
  <c r="J809" i="3"/>
  <c r="G809" i="3"/>
  <c r="E809" i="3"/>
  <c r="C809" i="3"/>
  <c r="B809" i="3"/>
  <c r="A809" i="3"/>
  <c r="M808" i="3"/>
  <c r="K808" i="3"/>
  <c r="J808" i="3"/>
  <c r="G808" i="3"/>
  <c r="E808" i="3"/>
  <c r="C808" i="3"/>
  <c r="B808" i="3"/>
  <c r="A808" i="3"/>
  <c r="M807" i="3"/>
  <c r="K807" i="3"/>
  <c r="J807" i="3"/>
  <c r="G807" i="3"/>
  <c r="E807" i="3"/>
  <c r="C807" i="3"/>
  <c r="B807" i="3"/>
  <c r="A807" i="3"/>
  <c r="M806" i="3"/>
  <c r="K806" i="3"/>
  <c r="J806" i="3"/>
  <c r="G806" i="3"/>
  <c r="E806" i="3"/>
  <c r="C806" i="3"/>
  <c r="B806" i="3"/>
  <c r="A806" i="3"/>
  <c r="M805" i="3"/>
  <c r="K805" i="3"/>
  <c r="J805" i="3"/>
  <c r="G805" i="3"/>
  <c r="E805" i="3"/>
  <c r="C805" i="3"/>
  <c r="B805" i="3"/>
  <c r="A805" i="3"/>
  <c r="M804" i="3"/>
  <c r="K804" i="3"/>
  <c r="J804" i="3"/>
  <c r="G804" i="3"/>
  <c r="E804" i="3"/>
  <c r="C804" i="3"/>
  <c r="B804" i="3"/>
  <c r="A804" i="3"/>
  <c r="M803" i="3"/>
  <c r="K803" i="3"/>
  <c r="J803" i="3"/>
  <c r="G803" i="3"/>
  <c r="E803" i="3"/>
  <c r="C803" i="3"/>
  <c r="B803" i="3"/>
  <c r="A803" i="3"/>
  <c r="M802" i="3"/>
  <c r="K802" i="3"/>
  <c r="J802" i="3"/>
  <c r="G802" i="3"/>
  <c r="E802" i="3"/>
  <c r="C802" i="3"/>
  <c r="B802" i="3"/>
  <c r="A802" i="3"/>
  <c r="M801" i="3"/>
  <c r="K801" i="3"/>
  <c r="J801" i="3"/>
  <c r="G801" i="3"/>
  <c r="E801" i="3"/>
  <c r="C801" i="3"/>
  <c r="B801" i="3"/>
  <c r="A801" i="3"/>
  <c r="M800" i="3"/>
  <c r="K800" i="3"/>
  <c r="J800" i="3"/>
  <c r="G800" i="3"/>
  <c r="E800" i="3"/>
  <c r="C800" i="3"/>
  <c r="B800" i="3"/>
  <c r="A800" i="3"/>
  <c r="M799" i="3"/>
  <c r="K799" i="3"/>
  <c r="J799" i="3"/>
  <c r="G799" i="3"/>
  <c r="E799" i="3"/>
  <c r="C799" i="3"/>
  <c r="B799" i="3"/>
  <c r="A799" i="3"/>
  <c r="M798" i="3"/>
  <c r="K798" i="3"/>
  <c r="J798" i="3"/>
  <c r="G798" i="3"/>
  <c r="E798" i="3"/>
  <c r="C798" i="3"/>
  <c r="B798" i="3"/>
  <c r="A798" i="3"/>
  <c r="M797" i="3"/>
  <c r="K797" i="3"/>
  <c r="J797" i="3"/>
  <c r="G797" i="3"/>
  <c r="E797" i="3"/>
  <c r="C797" i="3"/>
  <c r="B797" i="3"/>
  <c r="A797" i="3"/>
  <c r="M796" i="3"/>
  <c r="K796" i="3"/>
  <c r="J796" i="3"/>
  <c r="G796" i="3"/>
  <c r="E796" i="3"/>
  <c r="C796" i="3"/>
  <c r="B796" i="3"/>
  <c r="A796" i="3"/>
  <c r="M795" i="3"/>
  <c r="K795" i="3"/>
  <c r="J795" i="3"/>
  <c r="G795" i="3"/>
  <c r="E795" i="3"/>
  <c r="C795" i="3"/>
  <c r="B795" i="3"/>
  <c r="A795" i="3"/>
  <c r="M794" i="3"/>
  <c r="K794" i="3"/>
  <c r="J794" i="3"/>
  <c r="G794" i="3"/>
  <c r="E794" i="3"/>
  <c r="C794" i="3"/>
  <c r="B794" i="3"/>
  <c r="A794" i="3"/>
  <c r="M793" i="3"/>
  <c r="K793" i="3"/>
  <c r="J793" i="3"/>
  <c r="G793" i="3"/>
  <c r="E793" i="3"/>
  <c r="C793" i="3"/>
  <c r="B793" i="3"/>
  <c r="A793" i="3"/>
  <c r="M792" i="3"/>
  <c r="K792" i="3"/>
  <c r="J792" i="3"/>
  <c r="G792" i="3"/>
  <c r="E792" i="3"/>
  <c r="C792" i="3"/>
  <c r="B792" i="3"/>
  <c r="A792" i="3"/>
  <c r="P791" i="3"/>
  <c r="O791" i="3"/>
  <c r="N791" i="3"/>
  <c r="M791" i="3"/>
  <c r="L791" i="3"/>
  <c r="K791" i="3"/>
  <c r="J791" i="3"/>
  <c r="I791" i="3"/>
  <c r="H791" i="3"/>
  <c r="G791" i="3"/>
  <c r="F791" i="3"/>
  <c r="E791" i="3"/>
  <c r="D791" i="3"/>
  <c r="C791" i="3"/>
  <c r="B791" i="3"/>
  <c r="A791" i="3"/>
  <c r="P790" i="3"/>
  <c r="O790" i="3"/>
  <c r="N790" i="3"/>
  <c r="M790" i="3"/>
  <c r="L790" i="3"/>
  <c r="K790" i="3"/>
  <c r="J790" i="3"/>
  <c r="I790" i="3"/>
  <c r="H790" i="3"/>
  <c r="G790" i="3"/>
  <c r="F790" i="3"/>
  <c r="E790" i="3"/>
  <c r="D790" i="3"/>
  <c r="C790" i="3"/>
  <c r="B790" i="3"/>
  <c r="A790" i="3"/>
  <c r="M789" i="3"/>
  <c r="K789" i="3"/>
  <c r="J789" i="3"/>
  <c r="G789" i="3"/>
  <c r="E789" i="3"/>
  <c r="C789" i="3"/>
  <c r="B789" i="3"/>
  <c r="A789" i="3"/>
  <c r="P788" i="3"/>
  <c r="O788" i="3"/>
  <c r="N788" i="3"/>
  <c r="M788" i="3"/>
  <c r="L788" i="3"/>
  <c r="K788" i="3"/>
  <c r="J788" i="3"/>
  <c r="I788" i="3"/>
  <c r="H788" i="3"/>
  <c r="G788" i="3"/>
  <c r="F788" i="3"/>
  <c r="E788" i="3"/>
  <c r="D788" i="3"/>
  <c r="C788" i="3"/>
  <c r="B788" i="3"/>
  <c r="A788" i="3"/>
  <c r="M787" i="3"/>
  <c r="K787" i="3"/>
  <c r="J787" i="3"/>
  <c r="G787" i="3"/>
  <c r="E787" i="3"/>
  <c r="C787" i="3"/>
  <c r="B787" i="3"/>
  <c r="A787" i="3"/>
  <c r="M786" i="3"/>
  <c r="K786" i="3"/>
  <c r="J786" i="3"/>
  <c r="G786" i="3"/>
  <c r="E786" i="3"/>
  <c r="C786" i="3"/>
  <c r="B786" i="3"/>
  <c r="A786" i="3"/>
  <c r="M785" i="3"/>
  <c r="K785" i="3"/>
  <c r="J785" i="3"/>
  <c r="G785" i="3"/>
  <c r="E785" i="3"/>
  <c r="C785" i="3"/>
  <c r="B785" i="3"/>
  <c r="A785" i="3"/>
  <c r="M784" i="3"/>
  <c r="K784" i="3"/>
  <c r="J784" i="3"/>
  <c r="G784" i="3"/>
  <c r="E784" i="3"/>
  <c r="C784" i="3"/>
  <c r="B784" i="3"/>
  <c r="A784" i="3"/>
  <c r="M783" i="3"/>
  <c r="K783" i="3"/>
  <c r="J783" i="3"/>
  <c r="G783" i="3"/>
  <c r="E783" i="3"/>
  <c r="C783" i="3"/>
  <c r="B783" i="3"/>
  <c r="A783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D782" i="3"/>
  <c r="C782" i="3"/>
  <c r="B782" i="3"/>
  <c r="A782" i="3"/>
  <c r="P781" i="3"/>
  <c r="O781" i="3"/>
  <c r="N781" i="3"/>
  <c r="M781" i="3"/>
  <c r="L781" i="3"/>
  <c r="K781" i="3"/>
  <c r="J781" i="3"/>
  <c r="I781" i="3"/>
  <c r="H781" i="3"/>
  <c r="G781" i="3"/>
  <c r="F781" i="3"/>
  <c r="E781" i="3"/>
  <c r="D781" i="3"/>
  <c r="C781" i="3"/>
  <c r="B781" i="3"/>
  <c r="A781" i="3"/>
  <c r="P780" i="3"/>
  <c r="O780" i="3"/>
  <c r="N780" i="3"/>
  <c r="M780" i="3"/>
  <c r="L780" i="3"/>
  <c r="K780" i="3"/>
  <c r="J780" i="3"/>
  <c r="I780" i="3"/>
  <c r="H780" i="3"/>
  <c r="G780" i="3"/>
  <c r="F780" i="3"/>
  <c r="E780" i="3"/>
  <c r="D780" i="3"/>
  <c r="C780" i="3"/>
  <c r="B780" i="3"/>
  <c r="A780" i="3"/>
  <c r="P779" i="3"/>
  <c r="O779" i="3"/>
  <c r="N779" i="3"/>
  <c r="M779" i="3"/>
  <c r="L779" i="3"/>
  <c r="K779" i="3"/>
  <c r="J779" i="3"/>
  <c r="I779" i="3"/>
  <c r="H779" i="3"/>
  <c r="G779" i="3"/>
  <c r="F779" i="3"/>
  <c r="E779" i="3"/>
  <c r="D779" i="3"/>
  <c r="C779" i="3"/>
  <c r="B779" i="3"/>
  <c r="A779" i="3"/>
  <c r="P778" i="3"/>
  <c r="O778" i="3"/>
  <c r="N778" i="3"/>
  <c r="M778" i="3"/>
  <c r="L778" i="3"/>
  <c r="K778" i="3"/>
  <c r="J778" i="3"/>
  <c r="I778" i="3"/>
  <c r="H778" i="3"/>
  <c r="G778" i="3"/>
  <c r="F778" i="3"/>
  <c r="E778" i="3"/>
  <c r="D778" i="3"/>
  <c r="C778" i="3"/>
  <c r="B778" i="3"/>
  <c r="A778" i="3"/>
  <c r="P777" i="3"/>
  <c r="O777" i="3"/>
  <c r="N777" i="3"/>
  <c r="M777" i="3"/>
  <c r="L777" i="3"/>
  <c r="K777" i="3"/>
  <c r="J777" i="3"/>
  <c r="I777" i="3"/>
  <c r="H777" i="3"/>
  <c r="G777" i="3"/>
  <c r="F777" i="3"/>
  <c r="E777" i="3"/>
  <c r="D777" i="3"/>
  <c r="C777" i="3"/>
  <c r="B777" i="3"/>
  <c r="A777" i="3"/>
  <c r="M776" i="3"/>
  <c r="K776" i="3"/>
  <c r="J776" i="3"/>
  <c r="G776" i="3"/>
  <c r="E776" i="3"/>
  <c r="C776" i="3"/>
  <c r="B776" i="3"/>
  <c r="A776" i="3"/>
  <c r="M775" i="3"/>
  <c r="K775" i="3"/>
  <c r="J775" i="3"/>
  <c r="G775" i="3"/>
  <c r="E775" i="3"/>
  <c r="C775" i="3"/>
  <c r="B775" i="3"/>
  <c r="A775" i="3"/>
  <c r="M774" i="3"/>
  <c r="K774" i="3"/>
  <c r="J774" i="3"/>
  <c r="G774" i="3"/>
  <c r="E774" i="3"/>
  <c r="C774" i="3"/>
  <c r="B774" i="3"/>
  <c r="A774" i="3"/>
  <c r="N773" i="3"/>
  <c r="M773" i="3"/>
  <c r="K773" i="3"/>
  <c r="J773" i="3"/>
  <c r="G773" i="3"/>
  <c r="E773" i="3"/>
  <c r="D773" i="3"/>
  <c r="C773" i="3"/>
  <c r="B773" i="3"/>
  <c r="A773" i="3"/>
  <c r="P772" i="3"/>
  <c r="O772" i="3"/>
  <c r="N772" i="3"/>
  <c r="M772" i="3"/>
  <c r="L772" i="3"/>
  <c r="K772" i="3"/>
  <c r="J772" i="3"/>
  <c r="I772" i="3"/>
  <c r="H772" i="3"/>
  <c r="G772" i="3"/>
  <c r="F772" i="3"/>
  <c r="E772" i="3"/>
  <c r="D772" i="3"/>
  <c r="C772" i="3"/>
  <c r="B772" i="3"/>
  <c r="A772" i="3"/>
  <c r="P771" i="3"/>
  <c r="O771" i="3"/>
  <c r="N771" i="3"/>
  <c r="M771" i="3"/>
  <c r="L771" i="3"/>
  <c r="K771" i="3"/>
  <c r="J771" i="3"/>
  <c r="I771" i="3"/>
  <c r="H771" i="3"/>
  <c r="G771" i="3"/>
  <c r="F771" i="3"/>
  <c r="E771" i="3"/>
  <c r="D771" i="3"/>
  <c r="C771" i="3"/>
  <c r="B771" i="3"/>
  <c r="A771" i="3"/>
  <c r="P770" i="3"/>
  <c r="O770" i="3"/>
  <c r="N770" i="3"/>
  <c r="M770" i="3"/>
  <c r="L770" i="3"/>
  <c r="K770" i="3"/>
  <c r="J770" i="3"/>
  <c r="I770" i="3"/>
  <c r="H770" i="3"/>
  <c r="G770" i="3"/>
  <c r="F770" i="3"/>
  <c r="E770" i="3"/>
  <c r="D770" i="3"/>
  <c r="C770" i="3"/>
  <c r="B770" i="3"/>
  <c r="A770" i="3"/>
  <c r="M769" i="3"/>
  <c r="K769" i="3"/>
  <c r="J769" i="3"/>
  <c r="G769" i="3"/>
  <c r="E769" i="3"/>
  <c r="C769" i="3"/>
  <c r="B769" i="3"/>
  <c r="A769" i="3"/>
  <c r="M768" i="3"/>
  <c r="K768" i="3"/>
  <c r="J768" i="3"/>
  <c r="G768" i="3"/>
  <c r="E768" i="3"/>
  <c r="C768" i="3"/>
  <c r="B768" i="3"/>
  <c r="A768" i="3"/>
  <c r="P767" i="3"/>
  <c r="O767" i="3"/>
  <c r="N767" i="3"/>
  <c r="M767" i="3"/>
  <c r="L767" i="3"/>
  <c r="K767" i="3"/>
  <c r="J767" i="3"/>
  <c r="I767" i="3"/>
  <c r="H767" i="3"/>
  <c r="G767" i="3"/>
  <c r="F767" i="3"/>
  <c r="E767" i="3"/>
  <c r="D767" i="3"/>
  <c r="C767" i="3"/>
  <c r="B767" i="3"/>
  <c r="A767" i="3"/>
  <c r="M766" i="3"/>
  <c r="K766" i="3"/>
  <c r="J766" i="3"/>
  <c r="G766" i="3"/>
  <c r="E766" i="3"/>
  <c r="C766" i="3"/>
  <c r="B766" i="3"/>
  <c r="A766" i="3"/>
  <c r="M765" i="3"/>
  <c r="K765" i="3"/>
  <c r="J765" i="3"/>
  <c r="G765" i="3"/>
  <c r="E765" i="3"/>
  <c r="C765" i="3"/>
  <c r="B765" i="3"/>
  <c r="A765" i="3"/>
  <c r="M764" i="3"/>
  <c r="K764" i="3"/>
  <c r="J764" i="3"/>
  <c r="G764" i="3"/>
  <c r="E764" i="3"/>
  <c r="C764" i="3"/>
  <c r="B764" i="3"/>
  <c r="A764" i="3"/>
  <c r="M763" i="3"/>
  <c r="K763" i="3"/>
  <c r="J763" i="3"/>
  <c r="G763" i="3"/>
  <c r="E763" i="3"/>
  <c r="C763" i="3"/>
  <c r="B763" i="3"/>
  <c r="A763" i="3"/>
  <c r="M762" i="3"/>
  <c r="K762" i="3"/>
  <c r="J762" i="3"/>
  <c r="G762" i="3"/>
  <c r="E762" i="3"/>
  <c r="C762" i="3"/>
  <c r="B762" i="3"/>
  <c r="A762" i="3"/>
  <c r="M761" i="3"/>
  <c r="K761" i="3"/>
  <c r="J761" i="3"/>
  <c r="G761" i="3"/>
  <c r="E761" i="3"/>
  <c r="C761" i="3"/>
  <c r="B761" i="3"/>
  <c r="A761" i="3"/>
  <c r="P760" i="3"/>
  <c r="O760" i="3"/>
  <c r="N760" i="3"/>
  <c r="M760" i="3"/>
  <c r="L760" i="3"/>
  <c r="K760" i="3"/>
  <c r="J760" i="3"/>
  <c r="I760" i="3"/>
  <c r="H760" i="3"/>
  <c r="G760" i="3"/>
  <c r="F760" i="3"/>
  <c r="E760" i="3"/>
  <c r="D760" i="3"/>
  <c r="C760" i="3"/>
  <c r="B760" i="3"/>
  <c r="A760" i="3"/>
  <c r="M759" i="3"/>
  <c r="K759" i="3"/>
  <c r="J759" i="3"/>
  <c r="G759" i="3"/>
  <c r="E759" i="3"/>
  <c r="C759" i="3"/>
  <c r="B759" i="3"/>
  <c r="A759" i="3"/>
  <c r="M758" i="3"/>
  <c r="K758" i="3"/>
  <c r="J758" i="3"/>
  <c r="G758" i="3"/>
  <c r="E758" i="3"/>
  <c r="C758" i="3"/>
  <c r="B758" i="3"/>
  <c r="A758" i="3"/>
  <c r="M757" i="3"/>
  <c r="K757" i="3"/>
  <c r="J757" i="3"/>
  <c r="G757" i="3"/>
  <c r="E757" i="3"/>
  <c r="C757" i="3"/>
  <c r="B757" i="3"/>
  <c r="A757" i="3"/>
  <c r="M756" i="3"/>
  <c r="K756" i="3"/>
  <c r="J756" i="3"/>
  <c r="G756" i="3"/>
  <c r="E756" i="3"/>
  <c r="C756" i="3"/>
  <c r="B756" i="3"/>
  <c r="A756" i="3"/>
  <c r="M755" i="3"/>
  <c r="K755" i="3"/>
  <c r="J755" i="3"/>
  <c r="G755" i="3"/>
  <c r="E755" i="3"/>
  <c r="C755" i="3"/>
  <c r="B755" i="3"/>
  <c r="A755" i="3"/>
  <c r="M754" i="3"/>
  <c r="K754" i="3"/>
  <c r="J754" i="3"/>
  <c r="G754" i="3"/>
  <c r="E754" i="3"/>
  <c r="C754" i="3"/>
  <c r="B754" i="3"/>
  <c r="A754" i="3"/>
  <c r="M753" i="3"/>
  <c r="K753" i="3"/>
  <c r="J753" i="3"/>
  <c r="G753" i="3"/>
  <c r="E753" i="3"/>
  <c r="C753" i="3"/>
  <c r="B753" i="3"/>
  <c r="A753" i="3"/>
  <c r="M752" i="3"/>
  <c r="K752" i="3"/>
  <c r="J752" i="3"/>
  <c r="G752" i="3"/>
  <c r="E752" i="3"/>
  <c r="C752" i="3"/>
  <c r="B752" i="3"/>
  <c r="A752" i="3"/>
  <c r="P751" i="3"/>
  <c r="O751" i="3"/>
  <c r="N751" i="3"/>
  <c r="M751" i="3"/>
  <c r="L751" i="3"/>
  <c r="K751" i="3"/>
  <c r="J751" i="3"/>
  <c r="I751" i="3"/>
  <c r="H751" i="3"/>
  <c r="G751" i="3"/>
  <c r="F751" i="3"/>
  <c r="E751" i="3"/>
  <c r="D751" i="3"/>
  <c r="C751" i="3"/>
  <c r="B751" i="3"/>
  <c r="A751" i="3"/>
  <c r="M750" i="3"/>
  <c r="K750" i="3"/>
  <c r="J750" i="3"/>
  <c r="G750" i="3"/>
  <c r="E750" i="3"/>
  <c r="C750" i="3"/>
  <c r="B750" i="3"/>
  <c r="A750" i="3"/>
  <c r="M749" i="3"/>
  <c r="K749" i="3"/>
  <c r="J749" i="3"/>
  <c r="G749" i="3"/>
  <c r="E749" i="3"/>
  <c r="C749" i="3"/>
  <c r="B749" i="3"/>
  <c r="A749" i="3"/>
  <c r="P748" i="3"/>
  <c r="O748" i="3"/>
  <c r="N748" i="3"/>
  <c r="M748" i="3"/>
  <c r="L748" i="3"/>
  <c r="K748" i="3"/>
  <c r="J748" i="3"/>
  <c r="I748" i="3"/>
  <c r="H748" i="3"/>
  <c r="G748" i="3"/>
  <c r="F748" i="3"/>
  <c r="E748" i="3"/>
  <c r="D748" i="3"/>
  <c r="C748" i="3"/>
  <c r="B748" i="3"/>
  <c r="A748" i="3"/>
  <c r="M747" i="3"/>
  <c r="K747" i="3"/>
  <c r="J747" i="3"/>
  <c r="G747" i="3"/>
  <c r="E747" i="3"/>
  <c r="C747" i="3"/>
  <c r="B747" i="3"/>
  <c r="A747" i="3"/>
  <c r="M746" i="3"/>
  <c r="K746" i="3"/>
  <c r="J746" i="3"/>
  <c r="G746" i="3"/>
  <c r="E746" i="3"/>
  <c r="C746" i="3"/>
  <c r="B746" i="3"/>
  <c r="A746" i="3"/>
  <c r="M745" i="3"/>
  <c r="K745" i="3"/>
  <c r="J745" i="3"/>
  <c r="G745" i="3"/>
  <c r="E745" i="3"/>
  <c r="C745" i="3"/>
  <c r="B745" i="3"/>
  <c r="A745" i="3"/>
  <c r="M744" i="3"/>
  <c r="K744" i="3"/>
  <c r="J744" i="3"/>
  <c r="G744" i="3"/>
  <c r="E744" i="3"/>
  <c r="C744" i="3"/>
  <c r="B744" i="3"/>
  <c r="A744" i="3"/>
  <c r="M743" i="3"/>
  <c r="K743" i="3"/>
  <c r="J743" i="3"/>
  <c r="G743" i="3"/>
  <c r="E743" i="3"/>
  <c r="C743" i="3"/>
  <c r="B743" i="3"/>
  <c r="A743" i="3"/>
  <c r="P742" i="3"/>
  <c r="O742" i="3"/>
  <c r="N742" i="3"/>
  <c r="M742" i="3"/>
  <c r="L742" i="3"/>
  <c r="K742" i="3"/>
  <c r="J742" i="3"/>
  <c r="I742" i="3"/>
  <c r="H742" i="3"/>
  <c r="G742" i="3"/>
  <c r="F742" i="3"/>
  <c r="E742" i="3"/>
  <c r="D742" i="3"/>
  <c r="C742" i="3"/>
  <c r="B742" i="3"/>
  <c r="A742" i="3"/>
  <c r="P741" i="3"/>
  <c r="O741" i="3"/>
  <c r="N741" i="3"/>
  <c r="M741" i="3"/>
  <c r="L741" i="3"/>
  <c r="K741" i="3"/>
  <c r="J741" i="3"/>
  <c r="I741" i="3"/>
  <c r="H741" i="3"/>
  <c r="G741" i="3"/>
  <c r="F741" i="3"/>
  <c r="E741" i="3"/>
  <c r="D741" i="3"/>
  <c r="C741" i="3"/>
  <c r="B741" i="3"/>
  <c r="A741" i="3"/>
  <c r="M740" i="3"/>
  <c r="K740" i="3"/>
  <c r="J740" i="3"/>
  <c r="G740" i="3"/>
  <c r="E740" i="3"/>
  <c r="C740" i="3"/>
  <c r="B740" i="3"/>
  <c r="A740" i="3"/>
  <c r="M739" i="3"/>
  <c r="K739" i="3"/>
  <c r="J739" i="3"/>
  <c r="G739" i="3"/>
  <c r="E739" i="3"/>
  <c r="C739" i="3"/>
  <c r="B739" i="3"/>
  <c r="A739" i="3"/>
  <c r="M738" i="3"/>
  <c r="K738" i="3"/>
  <c r="J738" i="3"/>
  <c r="G738" i="3"/>
  <c r="E738" i="3"/>
  <c r="D738" i="3"/>
  <c r="C738" i="3"/>
  <c r="B738" i="3"/>
  <c r="A738" i="3"/>
  <c r="M737" i="3"/>
  <c r="K737" i="3"/>
  <c r="J737" i="3"/>
  <c r="G737" i="3"/>
  <c r="E737" i="3"/>
  <c r="C737" i="3"/>
  <c r="B737" i="3"/>
  <c r="A737" i="3"/>
  <c r="P736" i="3"/>
  <c r="O736" i="3"/>
  <c r="N736" i="3"/>
  <c r="M736" i="3"/>
  <c r="L736" i="3"/>
  <c r="K736" i="3"/>
  <c r="J736" i="3"/>
  <c r="I736" i="3"/>
  <c r="H736" i="3"/>
  <c r="G736" i="3"/>
  <c r="F736" i="3"/>
  <c r="E736" i="3"/>
  <c r="D736" i="3"/>
  <c r="C736" i="3"/>
  <c r="B736" i="3"/>
  <c r="A736" i="3"/>
  <c r="P735" i="3"/>
  <c r="O735" i="3"/>
  <c r="N735" i="3"/>
  <c r="M735" i="3"/>
  <c r="L735" i="3"/>
  <c r="K735" i="3"/>
  <c r="J735" i="3"/>
  <c r="I735" i="3"/>
  <c r="H735" i="3"/>
  <c r="G735" i="3"/>
  <c r="F735" i="3"/>
  <c r="E735" i="3"/>
  <c r="D735" i="3"/>
  <c r="C735" i="3"/>
  <c r="B735" i="3"/>
  <c r="A735" i="3"/>
  <c r="P734" i="3"/>
  <c r="O734" i="3"/>
  <c r="N734" i="3"/>
  <c r="M734" i="3"/>
  <c r="L734" i="3"/>
  <c r="K734" i="3"/>
  <c r="J734" i="3"/>
  <c r="I734" i="3"/>
  <c r="H734" i="3"/>
  <c r="G734" i="3"/>
  <c r="F734" i="3"/>
  <c r="E734" i="3"/>
  <c r="D734" i="3"/>
  <c r="C734" i="3"/>
  <c r="B734" i="3"/>
  <c r="A734" i="3"/>
  <c r="M733" i="3"/>
  <c r="K733" i="3"/>
  <c r="J733" i="3"/>
  <c r="G733" i="3"/>
  <c r="E733" i="3"/>
  <c r="C733" i="3"/>
  <c r="B733" i="3"/>
  <c r="A733" i="3"/>
  <c r="P732" i="3"/>
  <c r="O732" i="3"/>
  <c r="N732" i="3"/>
  <c r="M732" i="3"/>
  <c r="L732" i="3"/>
  <c r="K732" i="3"/>
  <c r="J732" i="3"/>
  <c r="I732" i="3"/>
  <c r="H732" i="3"/>
  <c r="G732" i="3"/>
  <c r="F732" i="3"/>
  <c r="E732" i="3"/>
  <c r="D732" i="3"/>
  <c r="C732" i="3"/>
  <c r="B732" i="3"/>
  <c r="A732" i="3"/>
  <c r="P731" i="3"/>
  <c r="O731" i="3"/>
  <c r="N731" i="3"/>
  <c r="M731" i="3"/>
  <c r="L731" i="3"/>
  <c r="K731" i="3"/>
  <c r="J731" i="3"/>
  <c r="I731" i="3"/>
  <c r="H731" i="3"/>
  <c r="G731" i="3"/>
  <c r="F731" i="3"/>
  <c r="E731" i="3"/>
  <c r="D731" i="3"/>
  <c r="C731" i="3"/>
  <c r="B731" i="3"/>
  <c r="A731" i="3"/>
  <c r="P730" i="3"/>
  <c r="O730" i="3"/>
  <c r="N730" i="3"/>
  <c r="M730" i="3"/>
  <c r="L730" i="3"/>
  <c r="K730" i="3"/>
  <c r="J730" i="3"/>
  <c r="I730" i="3"/>
  <c r="H730" i="3"/>
  <c r="G730" i="3"/>
  <c r="F730" i="3"/>
  <c r="E730" i="3"/>
  <c r="D730" i="3"/>
  <c r="C730" i="3"/>
  <c r="B730" i="3"/>
  <c r="A730" i="3"/>
  <c r="P729" i="3"/>
  <c r="O729" i="3"/>
  <c r="N729" i="3"/>
  <c r="M729" i="3"/>
  <c r="L729" i="3"/>
  <c r="K729" i="3"/>
  <c r="J729" i="3"/>
  <c r="I729" i="3"/>
  <c r="H729" i="3"/>
  <c r="G729" i="3"/>
  <c r="F729" i="3"/>
  <c r="E729" i="3"/>
  <c r="D729" i="3"/>
  <c r="C729" i="3"/>
  <c r="B729" i="3"/>
  <c r="A729" i="3"/>
  <c r="P728" i="3"/>
  <c r="O728" i="3"/>
  <c r="N728" i="3"/>
  <c r="M728" i="3"/>
  <c r="L728" i="3"/>
  <c r="K728" i="3"/>
  <c r="J728" i="3"/>
  <c r="I728" i="3"/>
  <c r="H728" i="3"/>
  <c r="G728" i="3"/>
  <c r="F728" i="3"/>
  <c r="E728" i="3"/>
  <c r="D728" i="3"/>
  <c r="C728" i="3"/>
  <c r="B728" i="3"/>
  <c r="A728" i="3"/>
  <c r="M727" i="3"/>
  <c r="K727" i="3"/>
  <c r="J727" i="3"/>
  <c r="G727" i="3"/>
  <c r="E727" i="3"/>
  <c r="C727" i="3"/>
  <c r="B727" i="3"/>
  <c r="A727" i="3"/>
  <c r="P726" i="3"/>
  <c r="O726" i="3"/>
  <c r="N726" i="3"/>
  <c r="M726" i="3"/>
  <c r="L726" i="3"/>
  <c r="K726" i="3"/>
  <c r="J726" i="3"/>
  <c r="I726" i="3"/>
  <c r="H726" i="3"/>
  <c r="G726" i="3"/>
  <c r="F726" i="3"/>
  <c r="E726" i="3"/>
  <c r="D726" i="3"/>
  <c r="C726" i="3"/>
  <c r="B726" i="3"/>
  <c r="A726" i="3"/>
  <c r="P725" i="3"/>
  <c r="O725" i="3"/>
  <c r="N725" i="3"/>
  <c r="M725" i="3"/>
  <c r="L725" i="3"/>
  <c r="K725" i="3"/>
  <c r="J725" i="3"/>
  <c r="I725" i="3"/>
  <c r="H725" i="3"/>
  <c r="G725" i="3"/>
  <c r="F725" i="3"/>
  <c r="E725" i="3"/>
  <c r="D725" i="3"/>
  <c r="C725" i="3"/>
  <c r="B725" i="3"/>
  <c r="A725" i="3"/>
  <c r="P724" i="3"/>
  <c r="O724" i="3"/>
  <c r="N724" i="3"/>
  <c r="M724" i="3"/>
  <c r="L724" i="3"/>
  <c r="K724" i="3"/>
  <c r="J724" i="3"/>
  <c r="I724" i="3"/>
  <c r="H724" i="3"/>
  <c r="G724" i="3"/>
  <c r="F724" i="3"/>
  <c r="E724" i="3"/>
  <c r="D724" i="3"/>
  <c r="C724" i="3"/>
  <c r="B724" i="3"/>
  <c r="A724" i="3"/>
  <c r="P723" i="3"/>
  <c r="O723" i="3"/>
  <c r="N723" i="3"/>
  <c r="M723" i="3"/>
  <c r="L723" i="3"/>
  <c r="K723" i="3"/>
  <c r="J723" i="3"/>
  <c r="I723" i="3"/>
  <c r="H723" i="3"/>
  <c r="G723" i="3"/>
  <c r="F723" i="3"/>
  <c r="E723" i="3"/>
  <c r="D723" i="3"/>
  <c r="C723" i="3"/>
  <c r="B723" i="3"/>
  <c r="A723" i="3"/>
  <c r="P722" i="3"/>
  <c r="O722" i="3"/>
  <c r="N722" i="3"/>
  <c r="M722" i="3"/>
  <c r="L722" i="3"/>
  <c r="K722" i="3"/>
  <c r="J722" i="3"/>
  <c r="I722" i="3"/>
  <c r="H722" i="3"/>
  <c r="G722" i="3"/>
  <c r="F722" i="3"/>
  <c r="E722" i="3"/>
  <c r="D722" i="3"/>
  <c r="C722" i="3"/>
  <c r="B722" i="3"/>
  <c r="A722" i="3"/>
  <c r="P721" i="3"/>
  <c r="O721" i="3"/>
  <c r="N721" i="3"/>
  <c r="M721" i="3"/>
  <c r="L721" i="3"/>
  <c r="K721" i="3"/>
  <c r="J721" i="3"/>
  <c r="I721" i="3"/>
  <c r="H721" i="3"/>
  <c r="G721" i="3"/>
  <c r="F721" i="3"/>
  <c r="E721" i="3"/>
  <c r="D721" i="3"/>
  <c r="C721" i="3"/>
  <c r="B721" i="3"/>
  <c r="A721" i="3"/>
  <c r="P720" i="3"/>
  <c r="O720" i="3"/>
  <c r="N720" i="3"/>
  <c r="M720" i="3"/>
  <c r="L720" i="3"/>
  <c r="K720" i="3"/>
  <c r="J720" i="3"/>
  <c r="I720" i="3"/>
  <c r="H720" i="3"/>
  <c r="G720" i="3"/>
  <c r="F720" i="3"/>
  <c r="E720" i="3"/>
  <c r="D720" i="3"/>
  <c r="C720" i="3"/>
  <c r="B720" i="3"/>
  <c r="A720" i="3"/>
  <c r="P719" i="3"/>
  <c r="O719" i="3"/>
  <c r="N719" i="3"/>
  <c r="M719" i="3"/>
  <c r="L719" i="3"/>
  <c r="K719" i="3"/>
  <c r="J719" i="3"/>
  <c r="I719" i="3"/>
  <c r="H719" i="3"/>
  <c r="G719" i="3"/>
  <c r="F719" i="3"/>
  <c r="E719" i="3"/>
  <c r="D719" i="3"/>
  <c r="C719" i="3"/>
  <c r="B719" i="3"/>
  <c r="A719" i="3"/>
  <c r="P718" i="3"/>
  <c r="O718" i="3"/>
  <c r="N718" i="3"/>
  <c r="M718" i="3"/>
  <c r="L718" i="3"/>
  <c r="K718" i="3"/>
  <c r="J718" i="3"/>
  <c r="I718" i="3"/>
  <c r="H718" i="3"/>
  <c r="G718" i="3"/>
  <c r="F718" i="3"/>
  <c r="E718" i="3"/>
  <c r="D718" i="3"/>
  <c r="C718" i="3"/>
  <c r="B718" i="3"/>
  <c r="A718" i="3"/>
  <c r="P717" i="3"/>
  <c r="O717" i="3"/>
  <c r="N717" i="3"/>
  <c r="M717" i="3"/>
  <c r="L717" i="3"/>
  <c r="K717" i="3"/>
  <c r="J717" i="3"/>
  <c r="I717" i="3"/>
  <c r="H717" i="3"/>
  <c r="G717" i="3"/>
  <c r="F717" i="3"/>
  <c r="E717" i="3"/>
  <c r="D717" i="3"/>
  <c r="C717" i="3"/>
  <c r="B717" i="3"/>
  <c r="A717" i="3"/>
  <c r="M716" i="3"/>
  <c r="K716" i="3"/>
  <c r="J716" i="3"/>
  <c r="G716" i="3"/>
  <c r="E716" i="3"/>
  <c r="C716" i="3"/>
  <c r="B716" i="3"/>
  <c r="A716" i="3"/>
  <c r="P715" i="3"/>
  <c r="O715" i="3"/>
  <c r="N715" i="3"/>
  <c r="M715" i="3"/>
  <c r="L715" i="3"/>
  <c r="K715" i="3"/>
  <c r="J715" i="3"/>
  <c r="I715" i="3"/>
  <c r="H715" i="3"/>
  <c r="G715" i="3"/>
  <c r="F715" i="3"/>
  <c r="E715" i="3"/>
  <c r="D715" i="3"/>
  <c r="C715" i="3"/>
  <c r="B715" i="3"/>
  <c r="A715" i="3"/>
  <c r="M714" i="3"/>
  <c r="K714" i="3"/>
  <c r="J714" i="3"/>
  <c r="G714" i="3"/>
  <c r="E714" i="3"/>
  <c r="C714" i="3"/>
  <c r="B714" i="3"/>
  <c r="A714" i="3"/>
  <c r="M713" i="3"/>
  <c r="K713" i="3"/>
  <c r="J713" i="3"/>
  <c r="G713" i="3"/>
  <c r="E713" i="3"/>
  <c r="C713" i="3"/>
  <c r="B713" i="3"/>
  <c r="A713" i="3"/>
  <c r="M712" i="3"/>
  <c r="K712" i="3"/>
  <c r="J712" i="3"/>
  <c r="G712" i="3"/>
  <c r="E712" i="3"/>
  <c r="C712" i="3"/>
  <c r="B712" i="3"/>
  <c r="A712" i="3"/>
  <c r="M711" i="3"/>
  <c r="K711" i="3"/>
  <c r="J711" i="3"/>
  <c r="G711" i="3"/>
  <c r="E711" i="3"/>
  <c r="C711" i="3"/>
  <c r="B711" i="3"/>
  <c r="A711" i="3"/>
  <c r="M710" i="3"/>
  <c r="K710" i="3"/>
  <c r="J710" i="3"/>
  <c r="G710" i="3"/>
  <c r="E710" i="3"/>
  <c r="C710" i="3"/>
  <c r="B710" i="3"/>
  <c r="A710" i="3"/>
  <c r="M709" i="3"/>
  <c r="K709" i="3"/>
  <c r="J709" i="3"/>
  <c r="G709" i="3"/>
  <c r="E709" i="3"/>
  <c r="C709" i="3"/>
  <c r="B709" i="3"/>
  <c r="A709" i="3"/>
  <c r="M708" i="3"/>
  <c r="K708" i="3"/>
  <c r="J708" i="3"/>
  <c r="G708" i="3"/>
  <c r="E708" i="3"/>
  <c r="C708" i="3"/>
  <c r="B708" i="3"/>
  <c r="A708" i="3"/>
  <c r="P707" i="3"/>
  <c r="O707" i="3"/>
  <c r="N707" i="3"/>
  <c r="M707" i="3"/>
  <c r="L707" i="3"/>
  <c r="K707" i="3"/>
  <c r="J707" i="3"/>
  <c r="I707" i="3"/>
  <c r="H707" i="3"/>
  <c r="G707" i="3"/>
  <c r="F707" i="3"/>
  <c r="E707" i="3"/>
  <c r="D707" i="3"/>
  <c r="C707" i="3"/>
  <c r="B707" i="3"/>
  <c r="A707" i="3"/>
  <c r="P706" i="3"/>
  <c r="O706" i="3"/>
  <c r="N706" i="3"/>
  <c r="M706" i="3"/>
  <c r="L706" i="3"/>
  <c r="K706" i="3"/>
  <c r="J706" i="3"/>
  <c r="I706" i="3"/>
  <c r="H706" i="3"/>
  <c r="G706" i="3"/>
  <c r="F706" i="3"/>
  <c r="E706" i="3"/>
  <c r="D706" i="3"/>
  <c r="C706" i="3"/>
  <c r="B706" i="3"/>
  <c r="A706" i="3"/>
  <c r="P705" i="3"/>
  <c r="O705" i="3"/>
  <c r="M705" i="3"/>
  <c r="L705" i="3"/>
  <c r="K705" i="3"/>
  <c r="J705" i="3"/>
  <c r="G705" i="3"/>
  <c r="F705" i="3"/>
  <c r="G51" i="33" s="1"/>
  <c r="E705" i="3"/>
  <c r="C705" i="3"/>
  <c r="B705" i="3"/>
  <c r="A705" i="3"/>
  <c r="P704" i="3"/>
  <c r="O704" i="3"/>
  <c r="M704" i="3"/>
  <c r="L704" i="3"/>
  <c r="K704" i="3"/>
  <c r="J704" i="3"/>
  <c r="G704" i="3"/>
  <c r="F704" i="3"/>
  <c r="G47" i="33" s="1"/>
  <c r="I47" i="33" s="1"/>
  <c r="E704" i="3"/>
  <c r="C704" i="3"/>
  <c r="B704" i="3"/>
  <c r="A704" i="3"/>
  <c r="M703" i="3"/>
  <c r="K703" i="3"/>
  <c r="J703" i="3"/>
  <c r="G703" i="3"/>
  <c r="E703" i="3"/>
  <c r="C703" i="3"/>
  <c r="B703" i="3"/>
  <c r="A703" i="3"/>
  <c r="P702" i="3"/>
  <c r="O702" i="3"/>
  <c r="N702" i="3"/>
  <c r="M702" i="3"/>
  <c r="L702" i="3"/>
  <c r="K702" i="3"/>
  <c r="J702" i="3"/>
  <c r="I702" i="3"/>
  <c r="H702" i="3"/>
  <c r="G702" i="3"/>
  <c r="F702" i="3"/>
  <c r="E702" i="3"/>
  <c r="D702" i="3"/>
  <c r="C702" i="3"/>
  <c r="B702" i="3"/>
  <c r="A702" i="3"/>
  <c r="M701" i="3"/>
  <c r="K701" i="3"/>
  <c r="J701" i="3"/>
  <c r="G701" i="3"/>
  <c r="E701" i="3"/>
  <c r="C701" i="3"/>
  <c r="B701" i="3"/>
  <c r="A701" i="3"/>
  <c r="M700" i="3"/>
  <c r="K700" i="3"/>
  <c r="J700" i="3"/>
  <c r="G700" i="3"/>
  <c r="E700" i="3"/>
  <c r="C700" i="3"/>
  <c r="B700" i="3"/>
  <c r="A700" i="3"/>
  <c r="M699" i="3"/>
  <c r="K699" i="3"/>
  <c r="J699" i="3"/>
  <c r="G699" i="3"/>
  <c r="E699" i="3"/>
  <c r="C699" i="3"/>
  <c r="B699" i="3"/>
  <c r="A699" i="3"/>
  <c r="M698" i="3"/>
  <c r="K698" i="3"/>
  <c r="J698" i="3"/>
  <c r="G698" i="3"/>
  <c r="E698" i="3"/>
  <c r="C698" i="3"/>
  <c r="B698" i="3"/>
  <c r="A698" i="3"/>
  <c r="M697" i="3"/>
  <c r="K697" i="3"/>
  <c r="J697" i="3"/>
  <c r="G697" i="3"/>
  <c r="E697" i="3"/>
  <c r="C697" i="3"/>
  <c r="B697" i="3"/>
  <c r="A697" i="3"/>
  <c r="M696" i="3"/>
  <c r="K696" i="3"/>
  <c r="J696" i="3"/>
  <c r="G696" i="3"/>
  <c r="E696" i="3"/>
  <c r="C696" i="3"/>
  <c r="B696" i="3"/>
  <c r="A696" i="3"/>
  <c r="M695" i="3"/>
  <c r="K695" i="3"/>
  <c r="J695" i="3"/>
  <c r="G695" i="3"/>
  <c r="E695" i="3"/>
  <c r="C695" i="3"/>
  <c r="B695" i="3"/>
  <c r="A695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D694" i="3"/>
  <c r="C694" i="3"/>
  <c r="B694" i="3"/>
  <c r="A694" i="3"/>
  <c r="P693" i="3"/>
  <c r="O693" i="3"/>
  <c r="N693" i="3"/>
  <c r="M693" i="3"/>
  <c r="L693" i="3"/>
  <c r="K693" i="3"/>
  <c r="J693" i="3"/>
  <c r="I693" i="3"/>
  <c r="H693" i="3"/>
  <c r="G693" i="3"/>
  <c r="F693" i="3"/>
  <c r="E693" i="3"/>
  <c r="D693" i="3"/>
  <c r="C693" i="3"/>
  <c r="B693" i="3"/>
  <c r="A693" i="3"/>
  <c r="P692" i="3"/>
  <c r="O692" i="3"/>
  <c r="N692" i="3"/>
  <c r="M692" i="3"/>
  <c r="L692" i="3"/>
  <c r="K692" i="3"/>
  <c r="J692" i="3"/>
  <c r="I692" i="3"/>
  <c r="H692" i="3"/>
  <c r="G692" i="3"/>
  <c r="F692" i="3"/>
  <c r="E692" i="3"/>
  <c r="D692" i="3"/>
  <c r="C692" i="3"/>
  <c r="B692" i="3"/>
  <c r="A692" i="3"/>
  <c r="P691" i="3"/>
  <c r="O691" i="3"/>
  <c r="N691" i="3"/>
  <c r="M691" i="3"/>
  <c r="L691" i="3"/>
  <c r="K691" i="3"/>
  <c r="J691" i="3"/>
  <c r="I691" i="3"/>
  <c r="H691" i="3"/>
  <c r="G691" i="3"/>
  <c r="F691" i="3"/>
  <c r="E691" i="3"/>
  <c r="D691" i="3"/>
  <c r="C691" i="3"/>
  <c r="B691" i="3"/>
  <c r="A691" i="3"/>
  <c r="M690" i="3"/>
  <c r="K690" i="3"/>
  <c r="J690" i="3"/>
  <c r="G690" i="3"/>
  <c r="E690" i="3"/>
  <c r="C690" i="3"/>
  <c r="B690" i="3"/>
  <c r="A690" i="3"/>
  <c r="P689" i="3"/>
  <c r="O689" i="3"/>
  <c r="N689" i="3"/>
  <c r="M689" i="3"/>
  <c r="L689" i="3"/>
  <c r="K689" i="3"/>
  <c r="J689" i="3"/>
  <c r="I689" i="3"/>
  <c r="H689" i="3"/>
  <c r="G689" i="3"/>
  <c r="F689" i="3"/>
  <c r="E689" i="3"/>
  <c r="D689" i="3"/>
  <c r="C689" i="3"/>
  <c r="B689" i="3"/>
  <c r="A689" i="3"/>
  <c r="M688" i="3"/>
  <c r="K688" i="3"/>
  <c r="J688" i="3"/>
  <c r="G688" i="3"/>
  <c r="E688" i="3"/>
  <c r="C688" i="3"/>
  <c r="B688" i="3"/>
  <c r="A688" i="3"/>
  <c r="P687" i="3"/>
  <c r="O687" i="3"/>
  <c r="N687" i="3"/>
  <c r="M687" i="3"/>
  <c r="L687" i="3"/>
  <c r="K687" i="3"/>
  <c r="J687" i="3"/>
  <c r="I687" i="3"/>
  <c r="H687" i="3"/>
  <c r="G687" i="3"/>
  <c r="F687" i="3"/>
  <c r="E687" i="3"/>
  <c r="D687" i="3"/>
  <c r="C687" i="3"/>
  <c r="B687" i="3"/>
  <c r="A687" i="3"/>
  <c r="M686" i="3"/>
  <c r="K686" i="3"/>
  <c r="J686" i="3"/>
  <c r="G686" i="3"/>
  <c r="E686" i="3"/>
  <c r="C686" i="3"/>
  <c r="B686" i="3"/>
  <c r="A686" i="3"/>
  <c r="M685" i="3"/>
  <c r="K685" i="3"/>
  <c r="J685" i="3"/>
  <c r="G685" i="3"/>
  <c r="E685" i="3"/>
  <c r="C685" i="3"/>
  <c r="B685" i="3"/>
  <c r="A685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D684" i="3"/>
  <c r="C684" i="3"/>
  <c r="B684" i="3"/>
  <c r="A684" i="3"/>
  <c r="P683" i="3"/>
  <c r="O683" i="3"/>
  <c r="N683" i="3"/>
  <c r="M683" i="3"/>
  <c r="L683" i="3"/>
  <c r="K683" i="3"/>
  <c r="J683" i="3"/>
  <c r="I683" i="3"/>
  <c r="H683" i="3"/>
  <c r="G683" i="3"/>
  <c r="F683" i="3"/>
  <c r="E683" i="3"/>
  <c r="D683" i="3"/>
  <c r="C683" i="3"/>
  <c r="B683" i="3"/>
  <c r="A683" i="3"/>
  <c r="M682" i="3"/>
  <c r="K682" i="3"/>
  <c r="J682" i="3"/>
  <c r="G682" i="3"/>
  <c r="E682" i="3"/>
  <c r="C682" i="3"/>
  <c r="B682" i="3"/>
  <c r="A682" i="3"/>
  <c r="P681" i="3"/>
  <c r="O681" i="3"/>
  <c r="N681" i="3"/>
  <c r="M681" i="3"/>
  <c r="L681" i="3"/>
  <c r="K681" i="3"/>
  <c r="J681" i="3"/>
  <c r="I681" i="3"/>
  <c r="H681" i="3"/>
  <c r="G681" i="3"/>
  <c r="F681" i="3"/>
  <c r="E681" i="3"/>
  <c r="D681" i="3"/>
  <c r="C681" i="3"/>
  <c r="B681" i="3"/>
  <c r="A681" i="3"/>
  <c r="M680" i="3"/>
  <c r="K680" i="3"/>
  <c r="J680" i="3"/>
  <c r="G680" i="3"/>
  <c r="E680" i="3"/>
  <c r="C680" i="3"/>
  <c r="B680" i="3"/>
  <c r="A680" i="3"/>
  <c r="M679" i="3"/>
  <c r="K679" i="3"/>
  <c r="J679" i="3"/>
  <c r="G679" i="3"/>
  <c r="E679" i="3"/>
  <c r="C679" i="3"/>
  <c r="B679" i="3"/>
  <c r="A679" i="3"/>
  <c r="P678" i="3"/>
  <c r="O678" i="3"/>
  <c r="N678" i="3"/>
  <c r="M678" i="3"/>
  <c r="L678" i="3"/>
  <c r="K678" i="3"/>
  <c r="J678" i="3"/>
  <c r="I678" i="3"/>
  <c r="H678" i="3"/>
  <c r="G678" i="3"/>
  <c r="F678" i="3"/>
  <c r="E678" i="3"/>
  <c r="D678" i="3"/>
  <c r="C678" i="3"/>
  <c r="B678" i="3"/>
  <c r="A678" i="3"/>
  <c r="P677" i="3"/>
  <c r="O677" i="3"/>
  <c r="N677" i="3"/>
  <c r="M677" i="3"/>
  <c r="L677" i="3"/>
  <c r="K677" i="3"/>
  <c r="J677" i="3"/>
  <c r="I677" i="3"/>
  <c r="H677" i="3"/>
  <c r="G677" i="3"/>
  <c r="F677" i="3"/>
  <c r="E677" i="3"/>
  <c r="D677" i="3"/>
  <c r="C677" i="3"/>
  <c r="B677" i="3"/>
  <c r="A677" i="3"/>
  <c r="M676" i="3"/>
  <c r="K676" i="3"/>
  <c r="J676" i="3"/>
  <c r="G676" i="3"/>
  <c r="E676" i="3"/>
  <c r="C676" i="3"/>
  <c r="B676" i="3"/>
  <c r="A676" i="3"/>
  <c r="P675" i="3"/>
  <c r="O675" i="3"/>
  <c r="N675" i="3"/>
  <c r="M675" i="3"/>
  <c r="L675" i="3"/>
  <c r="K675" i="3"/>
  <c r="J675" i="3"/>
  <c r="I675" i="3"/>
  <c r="H675" i="3"/>
  <c r="G675" i="3"/>
  <c r="F675" i="3"/>
  <c r="E675" i="3"/>
  <c r="D675" i="3"/>
  <c r="C675" i="3"/>
  <c r="B675" i="3"/>
  <c r="A675" i="3"/>
  <c r="M674" i="3"/>
  <c r="K674" i="3"/>
  <c r="J674" i="3"/>
  <c r="G674" i="3"/>
  <c r="E674" i="3"/>
  <c r="C674" i="3"/>
  <c r="B674" i="3"/>
  <c r="A674" i="3"/>
  <c r="M673" i="3"/>
  <c r="K673" i="3"/>
  <c r="J673" i="3"/>
  <c r="G673" i="3"/>
  <c r="E673" i="3"/>
  <c r="C673" i="3"/>
  <c r="B673" i="3"/>
  <c r="A673" i="3"/>
  <c r="M672" i="3"/>
  <c r="K672" i="3"/>
  <c r="J672" i="3"/>
  <c r="G672" i="3"/>
  <c r="E672" i="3"/>
  <c r="C672" i="3"/>
  <c r="B672" i="3"/>
  <c r="A672" i="3"/>
  <c r="P671" i="3"/>
  <c r="O671" i="3"/>
  <c r="N671" i="3"/>
  <c r="M671" i="3"/>
  <c r="L671" i="3"/>
  <c r="K671" i="3"/>
  <c r="J671" i="3"/>
  <c r="I671" i="3"/>
  <c r="H671" i="3"/>
  <c r="G671" i="3"/>
  <c r="F671" i="3"/>
  <c r="E671" i="3"/>
  <c r="D671" i="3"/>
  <c r="C671" i="3"/>
  <c r="B671" i="3"/>
  <c r="A671" i="3"/>
  <c r="P670" i="3"/>
  <c r="O670" i="3"/>
  <c r="N670" i="3"/>
  <c r="M670" i="3"/>
  <c r="L670" i="3"/>
  <c r="K670" i="3"/>
  <c r="J670" i="3"/>
  <c r="I670" i="3"/>
  <c r="H670" i="3"/>
  <c r="G670" i="3"/>
  <c r="F670" i="3"/>
  <c r="E670" i="3"/>
  <c r="D670" i="3"/>
  <c r="C670" i="3"/>
  <c r="B670" i="3"/>
  <c r="A670" i="3"/>
  <c r="P669" i="3"/>
  <c r="O669" i="3"/>
  <c r="N669" i="3"/>
  <c r="M669" i="3"/>
  <c r="L669" i="3"/>
  <c r="K669" i="3"/>
  <c r="J669" i="3"/>
  <c r="I669" i="3"/>
  <c r="H669" i="3"/>
  <c r="G669" i="3"/>
  <c r="F669" i="3"/>
  <c r="E669" i="3"/>
  <c r="D669" i="3"/>
  <c r="C669" i="3"/>
  <c r="B669" i="3"/>
  <c r="A669" i="3"/>
  <c r="P668" i="3"/>
  <c r="O668" i="3"/>
  <c r="N668" i="3"/>
  <c r="M668" i="3"/>
  <c r="L668" i="3"/>
  <c r="K668" i="3"/>
  <c r="J668" i="3"/>
  <c r="I668" i="3"/>
  <c r="H668" i="3"/>
  <c r="G668" i="3"/>
  <c r="F668" i="3"/>
  <c r="E668" i="3"/>
  <c r="D668" i="3"/>
  <c r="C668" i="3"/>
  <c r="B668" i="3"/>
  <c r="A668" i="3"/>
  <c r="M667" i="3"/>
  <c r="K667" i="3"/>
  <c r="J667" i="3"/>
  <c r="G667" i="3"/>
  <c r="E667" i="3"/>
  <c r="C667" i="3"/>
  <c r="B667" i="3"/>
  <c r="A667" i="3"/>
  <c r="P666" i="3"/>
  <c r="O666" i="3"/>
  <c r="N666" i="3"/>
  <c r="M666" i="3"/>
  <c r="L666" i="3"/>
  <c r="K666" i="3"/>
  <c r="J666" i="3"/>
  <c r="I666" i="3"/>
  <c r="H666" i="3"/>
  <c r="G666" i="3"/>
  <c r="F666" i="3"/>
  <c r="E666" i="3"/>
  <c r="D666" i="3"/>
  <c r="C666" i="3"/>
  <c r="B666" i="3"/>
  <c r="A666" i="3"/>
  <c r="M665" i="3"/>
  <c r="K665" i="3"/>
  <c r="J665" i="3"/>
  <c r="G665" i="3"/>
  <c r="E665" i="3"/>
  <c r="C665" i="3"/>
  <c r="B665" i="3"/>
  <c r="A665" i="3"/>
  <c r="P664" i="3"/>
  <c r="O664" i="3"/>
  <c r="N664" i="3"/>
  <c r="M664" i="3"/>
  <c r="L664" i="3"/>
  <c r="K664" i="3"/>
  <c r="J664" i="3"/>
  <c r="I664" i="3"/>
  <c r="H664" i="3"/>
  <c r="G664" i="3"/>
  <c r="F664" i="3"/>
  <c r="E664" i="3"/>
  <c r="D664" i="3"/>
  <c r="C664" i="3"/>
  <c r="B664" i="3"/>
  <c r="A664" i="3"/>
  <c r="M663" i="3"/>
  <c r="K663" i="3"/>
  <c r="J663" i="3"/>
  <c r="G663" i="3"/>
  <c r="E663" i="3"/>
  <c r="C663" i="3"/>
  <c r="B663" i="3"/>
  <c r="A663" i="3"/>
  <c r="M662" i="3"/>
  <c r="K662" i="3"/>
  <c r="J662" i="3"/>
  <c r="G662" i="3"/>
  <c r="E662" i="3"/>
  <c r="C662" i="3"/>
  <c r="B662" i="3"/>
  <c r="A662" i="3"/>
  <c r="P661" i="3"/>
  <c r="O661" i="3"/>
  <c r="N661" i="3"/>
  <c r="M661" i="3"/>
  <c r="L661" i="3"/>
  <c r="K661" i="3"/>
  <c r="J661" i="3"/>
  <c r="I661" i="3"/>
  <c r="H661" i="3"/>
  <c r="G661" i="3"/>
  <c r="F661" i="3"/>
  <c r="E661" i="3"/>
  <c r="D661" i="3"/>
  <c r="C661" i="3"/>
  <c r="B661" i="3"/>
  <c r="A661" i="3"/>
  <c r="P660" i="3"/>
  <c r="O660" i="3"/>
  <c r="N660" i="3"/>
  <c r="M660" i="3"/>
  <c r="L660" i="3"/>
  <c r="K660" i="3"/>
  <c r="J660" i="3"/>
  <c r="I660" i="3"/>
  <c r="H660" i="3"/>
  <c r="G660" i="3"/>
  <c r="F660" i="3"/>
  <c r="E660" i="3"/>
  <c r="D660" i="3"/>
  <c r="C660" i="3"/>
  <c r="B660" i="3"/>
  <c r="A660" i="3"/>
  <c r="M659" i="3"/>
  <c r="K659" i="3"/>
  <c r="J659" i="3"/>
  <c r="G659" i="3"/>
  <c r="E659" i="3"/>
  <c r="C659" i="3"/>
  <c r="B659" i="3"/>
  <c r="A659" i="3"/>
  <c r="P658" i="3"/>
  <c r="O658" i="3"/>
  <c r="N658" i="3"/>
  <c r="M658" i="3"/>
  <c r="L658" i="3"/>
  <c r="K658" i="3"/>
  <c r="J658" i="3"/>
  <c r="I658" i="3"/>
  <c r="H658" i="3"/>
  <c r="G658" i="3"/>
  <c r="F658" i="3"/>
  <c r="E658" i="3"/>
  <c r="D658" i="3"/>
  <c r="C658" i="3"/>
  <c r="B658" i="3"/>
  <c r="A658" i="3"/>
  <c r="M657" i="3"/>
  <c r="K657" i="3"/>
  <c r="J657" i="3"/>
  <c r="G657" i="3"/>
  <c r="E657" i="3"/>
  <c r="C657" i="3"/>
  <c r="B657" i="3"/>
  <c r="A657" i="3"/>
  <c r="M656" i="3"/>
  <c r="K656" i="3"/>
  <c r="J656" i="3"/>
  <c r="G656" i="3"/>
  <c r="E656" i="3"/>
  <c r="C656" i="3"/>
  <c r="B656" i="3"/>
  <c r="A656" i="3"/>
  <c r="P655" i="3"/>
  <c r="O655" i="3"/>
  <c r="N655" i="3"/>
  <c r="M655" i="3"/>
  <c r="L655" i="3"/>
  <c r="K655" i="3"/>
  <c r="J655" i="3"/>
  <c r="I655" i="3"/>
  <c r="H655" i="3"/>
  <c r="G655" i="3"/>
  <c r="F655" i="3"/>
  <c r="E655" i="3"/>
  <c r="D655" i="3"/>
  <c r="C655" i="3"/>
  <c r="B655" i="3"/>
  <c r="A655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D654" i="3"/>
  <c r="C654" i="3"/>
  <c r="B654" i="3"/>
  <c r="A654" i="3"/>
  <c r="M653" i="3"/>
  <c r="K653" i="3"/>
  <c r="J653" i="3"/>
  <c r="G653" i="3"/>
  <c r="E653" i="3"/>
  <c r="C653" i="3"/>
  <c r="B653" i="3"/>
  <c r="A653" i="3"/>
  <c r="P652" i="3"/>
  <c r="O652" i="3"/>
  <c r="N652" i="3"/>
  <c r="M652" i="3"/>
  <c r="L652" i="3"/>
  <c r="K652" i="3"/>
  <c r="J652" i="3"/>
  <c r="I652" i="3"/>
  <c r="H652" i="3"/>
  <c r="G652" i="3"/>
  <c r="F652" i="3"/>
  <c r="E652" i="3"/>
  <c r="D652" i="3"/>
  <c r="C652" i="3"/>
  <c r="B652" i="3"/>
  <c r="A652" i="3"/>
  <c r="M651" i="3"/>
  <c r="K651" i="3"/>
  <c r="J651" i="3"/>
  <c r="G651" i="3"/>
  <c r="E651" i="3"/>
  <c r="C651" i="3"/>
  <c r="B651" i="3"/>
  <c r="A651" i="3"/>
  <c r="M650" i="3"/>
  <c r="K650" i="3"/>
  <c r="J650" i="3"/>
  <c r="G650" i="3"/>
  <c r="E650" i="3"/>
  <c r="C650" i="3"/>
  <c r="B650" i="3"/>
  <c r="A650" i="3"/>
  <c r="M649" i="3"/>
  <c r="K649" i="3"/>
  <c r="J649" i="3"/>
  <c r="G649" i="3"/>
  <c r="E649" i="3"/>
  <c r="C649" i="3"/>
  <c r="B649" i="3"/>
  <c r="A649" i="3"/>
  <c r="P648" i="3"/>
  <c r="O648" i="3"/>
  <c r="N648" i="3"/>
  <c r="M648" i="3"/>
  <c r="L648" i="3"/>
  <c r="K648" i="3"/>
  <c r="J648" i="3"/>
  <c r="I648" i="3"/>
  <c r="H648" i="3"/>
  <c r="G648" i="3"/>
  <c r="F648" i="3"/>
  <c r="E648" i="3"/>
  <c r="D648" i="3"/>
  <c r="C648" i="3"/>
  <c r="B648" i="3"/>
  <c r="A648" i="3"/>
  <c r="P647" i="3"/>
  <c r="O647" i="3"/>
  <c r="N647" i="3"/>
  <c r="M647" i="3"/>
  <c r="L647" i="3"/>
  <c r="K647" i="3"/>
  <c r="J647" i="3"/>
  <c r="I647" i="3"/>
  <c r="H647" i="3"/>
  <c r="G647" i="3"/>
  <c r="F647" i="3"/>
  <c r="E647" i="3"/>
  <c r="D647" i="3"/>
  <c r="C647" i="3"/>
  <c r="B647" i="3"/>
  <c r="A647" i="3"/>
  <c r="P646" i="3"/>
  <c r="O646" i="3"/>
  <c r="N646" i="3"/>
  <c r="M646" i="3"/>
  <c r="L646" i="3"/>
  <c r="K646" i="3"/>
  <c r="J646" i="3"/>
  <c r="I646" i="3"/>
  <c r="H646" i="3"/>
  <c r="G646" i="3"/>
  <c r="F646" i="3"/>
  <c r="E646" i="3"/>
  <c r="D646" i="3"/>
  <c r="C646" i="3"/>
  <c r="B646" i="3"/>
  <c r="A646" i="3"/>
  <c r="P645" i="3"/>
  <c r="O645" i="3"/>
  <c r="N645" i="3"/>
  <c r="M645" i="3"/>
  <c r="L645" i="3"/>
  <c r="K645" i="3"/>
  <c r="J645" i="3"/>
  <c r="I645" i="3"/>
  <c r="H645" i="3"/>
  <c r="G645" i="3"/>
  <c r="F645" i="3"/>
  <c r="E645" i="3"/>
  <c r="D645" i="3"/>
  <c r="C645" i="3"/>
  <c r="B645" i="3"/>
  <c r="A645" i="3"/>
  <c r="P644" i="3"/>
  <c r="O644" i="3"/>
  <c r="N644" i="3"/>
  <c r="M644" i="3"/>
  <c r="L644" i="3"/>
  <c r="K644" i="3"/>
  <c r="J644" i="3"/>
  <c r="I644" i="3"/>
  <c r="H644" i="3"/>
  <c r="G644" i="3"/>
  <c r="F644" i="3"/>
  <c r="E644" i="3"/>
  <c r="D644" i="3"/>
  <c r="C644" i="3"/>
  <c r="B644" i="3"/>
  <c r="A644" i="3"/>
  <c r="P643" i="3"/>
  <c r="O643" i="3"/>
  <c r="N643" i="3"/>
  <c r="M643" i="3"/>
  <c r="L643" i="3"/>
  <c r="K643" i="3"/>
  <c r="J643" i="3"/>
  <c r="I643" i="3"/>
  <c r="H643" i="3"/>
  <c r="G643" i="3"/>
  <c r="F643" i="3"/>
  <c r="E643" i="3"/>
  <c r="D643" i="3"/>
  <c r="C643" i="3"/>
  <c r="B643" i="3"/>
  <c r="A643" i="3"/>
  <c r="P642" i="3"/>
  <c r="O642" i="3"/>
  <c r="N642" i="3"/>
  <c r="M642" i="3"/>
  <c r="L642" i="3"/>
  <c r="K642" i="3"/>
  <c r="J642" i="3"/>
  <c r="I642" i="3"/>
  <c r="H642" i="3"/>
  <c r="G642" i="3"/>
  <c r="F642" i="3"/>
  <c r="E642" i="3"/>
  <c r="D642" i="3"/>
  <c r="C642" i="3"/>
  <c r="B642" i="3"/>
  <c r="A642" i="3"/>
  <c r="M641" i="3"/>
  <c r="K641" i="3"/>
  <c r="J641" i="3"/>
  <c r="G641" i="3"/>
  <c r="E641" i="3"/>
  <c r="C641" i="3"/>
  <c r="B641" i="3"/>
  <c r="A641" i="3"/>
  <c r="P640" i="3"/>
  <c r="O640" i="3"/>
  <c r="N640" i="3"/>
  <c r="M640" i="3"/>
  <c r="L640" i="3"/>
  <c r="K640" i="3"/>
  <c r="J640" i="3"/>
  <c r="I640" i="3"/>
  <c r="H640" i="3"/>
  <c r="G640" i="3"/>
  <c r="F640" i="3"/>
  <c r="E640" i="3"/>
  <c r="D640" i="3"/>
  <c r="C640" i="3"/>
  <c r="B640" i="3"/>
  <c r="A640" i="3"/>
  <c r="M639" i="3"/>
  <c r="K639" i="3"/>
  <c r="J639" i="3"/>
  <c r="G639" i="3"/>
  <c r="E639" i="3"/>
  <c r="C639" i="3"/>
  <c r="B639" i="3"/>
  <c r="A639" i="3"/>
  <c r="P638" i="3"/>
  <c r="O638" i="3"/>
  <c r="N638" i="3"/>
  <c r="M638" i="3"/>
  <c r="L638" i="3"/>
  <c r="K638" i="3"/>
  <c r="J638" i="3"/>
  <c r="I638" i="3"/>
  <c r="H638" i="3"/>
  <c r="G638" i="3"/>
  <c r="F638" i="3"/>
  <c r="E638" i="3"/>
  <c r="D638" i="3"/>
  <c r="C638" i="3"/>
  <c r="B638" i="3"/>
  <c r="A638" i="3"/>
  <c r="M637" i="3"/>
  <c r="K637" i="3"/>
  <c r="J637" i="3"/>
  <c r="G637" i="3"/>
  <c r="E637" i="3"/>
  <c r="C637" i="3"/>
  <c r="B637" i="3"/>
  <c r="A637" i="3"/>
  <c r="P636" i="3"/>
  <c r="O636" i="3"/>
  <c r="N636" i="3"/>
  <c r="M636" i="3"/>
  <c r="L636" i="3"/>
  <c r="K636" i="3"/>
  <c r="J636" i="3"/>
  <c r="I636" i="3"/>
  <c r="H636" i="3"/>
  <c r="G636" i="3"/>
  <c r="F636" i="3"/>
  <c r="E636" i="3"/>
  <c r="D636" i="3"/>
  <c r="C636" i="3"/>
  <c r="B636" i="3"/>
  <c r="A636" i="3"/>
  <c r="M635" i="3"/>
  <c r="K635" i="3"/>
  <c r="J635" i="3"/>
  <c r="G635" i="3"/>
  <c r="E635" i="3"/>
  <c r="C635" i="3"/>
  <c r="B635" i="3"/>
  <c r="A635" i="3"/>
  <c r="P634" i="3"/>
  <c r="O634" i="3"/>
  <c r="N634" i="3"/>
  <c r="M634" i="3"/>
  <c r="L634" i="3"/>
  <c r="K634" i="3"/>
  <c r="J634" i="3"/>
  <c r="I634" i="3"/>
  <c r="H634" i="3"/>
  <c r="G634" i="3"/>
  <c r="F634" i="3"/>
  <c r="E634" i="3"/>
  <c r="D634" i="3"/>
  <c r="C634" i="3"/>
  <c r="B634" i="3"/>
  <c r="A634" i="3"/>
  <c r="M633" i="3"/>
  <c r="K633" i="3"/>
  <c r="J633" i="3"/>
  <c r="G633" i="3"/>
  <c r="E633" i="3"/>
  <c r="C633" i="3"/>
  <c r="B633" i="3"/>
  <c r="A633" i="3"/>
  <c r="M632" i="3"/>
  <c r="K632" i="3"/>
  <c r="J632" i="3"/>
  <c r="G632" i="3"/>
  <c r="E632" i="3"/>
  <c r="C632" i="3"/>
  <c r="B632" i="3"/>
  <c r="A632" i="3"/>
  <c r="M631" i="3"/>
  <c r="K631" i="3"/>
  <c r="J631" i="3"/>
  <c r="G631" i="3"/>
  <c r="E631" i="3"/>
  <c r="C631" i="3"/>
  <c r="B631" i="3"/>
  <c r="A631" i="3"/>
  <c r="M630" i="3"/>
  <c r="K630" i="3"/>
  <c r="J630" i="3"/>
  <c r="G630" i="3"/>
  <c r="E630" i="3"/>
  <c r="C630" i="3"/>
  <c r="B630" i="3"/>
  <c r="A630" i="3"/>
  <c r="P629" i="3"/>
  <c r="O629" i="3"/>
  <c r="N629" i="3"/>
  <c r="M629" i="3"/>
  <c r="L629" i="3"/>
  <c r="K629" i="3"/>
  <c r="J629" i="3"/>
  <c r="I629" i="3"/>
  <c r="H629" i="3"/>
  <c r="G629" i="3"/>
  <c r="F629" i="3"/>
  <c r="E629" i="3"/>
  <c r="D629" i="3"/>
  <c r="C629" i="3"/>
  <c r="B629" i="3"/>
  <c r="A629" i="3"/>
  <c r="P628" i="3"/>
  <c r="O628" i="3"/>
  <c r="N628" i="3"/>
  <c r="M628" i="3"/>
  <c r="L628" i="3"/>
  <c r="K628" i="3"/>
  <c r="J628" i="3"/>
  <c r="I628" i="3"/>
  <c r="H628" i="3"/>
  <c r="G628" i="3"/>
  <c r="F628" i="3"/>
  <c r="E628" i="3"/>
  <c r="D628" i="3"/>
  <c r="C628" i="3"/>
  <c r="B628" i="3"/>
  <c r="A628" i="3"/>
  <c r="M627" i="3"/>
  <c r="K627" i="3"/>
  <c r="J627" i="3"/>
  <c r="G627" i="3"/>
  <c r="E627" i="3"/>
  <c r="C627" i="3"/>
  <c r="B627" i="3"/>
  <c r="A627" i="3"/>
  <c r="M626" i="3"/>
  <c r="K626" i="3"/>
  <c r="J626" i="3"/>
  <c r="G626" i="3"/>
  <c r="E626" i="3"/>
  <c r="C626" i="3"/>
  <c r="B626" i="3"/>
  <c r="A626" i="3"/>
  <c r="M625" i="3"/>
  <c r="K625" i="3"/>
  <c r="J625" i="3"/>
  <c r="G625" i="3"/>
  <c r="E625" i="3"/>
  <c r="C625" i="3"/>
  <c r="B625" i="3"/>
  <c r="A625" i="3"/>
  <c r="M624" i="3"/>
  <c r="K624" i="3"/>
  <c r="J624" i="3"/>
  <c r="G624" i="3"/>
  <c r="E624" i="3"/>
  <c r="C624" i="3"/>
  <c r="B624" i="3"/>
  <c r="A624" i="3"/>
  <c r="M623" i="3"/>
  <c r="K623" i="3"/>
  <c r="J623" i="3"/>
  <c r="G623" i="3"/>
  <c r="E623" i="3"/>
  <c r="C623" i="3"/>
  <c r="B623" i="3"/>
  <c r="A623" i="3"/>
  <c r="P622" i="3"/>
  <c r="O622" i="3"/>
  <c r="N622" i="3"/>
  <c r="M622" i="3"/>
  <c r="L622" i="3"/>
  <c r="K622" i="3"/>
  <c r="J622" i="3"/>
  <c r="I622" i="3"/>
  <c r="H622" i="3"/>
  <c r="G622" i="3"/>
  <c r="F622" i="3"/>
  <c r="E622" i="3"/>
  <c r="D622" i="3"/>
  <c r="C622" i="3"/>
  <c r="B622" i="3"/>
  <c r="A622" i="3"/>
  <c r="P621" i="3"/>
  <c r="O621" i="3"/>
  <c r="N621" i="3"/>
  <c r="M621" i="3"/>
  <c r="L621" i="3"/>
  <c r="K621" i="3"/>
  <c r="J621" i="3"/>
  <c r="I621" i="3"/>
  <c r="H621" i="3"/>
  <c r="G621" i="3"/>
  <c r="F621" i="3"/>
  <c r="E621" i="3"/>
  <c r="D621" i="3"/>
  <c r="C621" i="3"/>
  <c r="B621" i="3"/>
  <c r="A621" i="3"/>
  <c r="M620" i="3"/>
  <c r="K620" i="3"/>
  <c r="J620" i="3"/>
  <c r="G620" i="3"/>
  <c r="E620" i="3"/>
  <c r="C620" i="3"/>
  <c r="B620" i="3"/>
  <c r="A620" i="3"/>
  <c r="P619" i="3"/>
  <c r="O619" i="3"/>
  <c r="N619" i="3"/>
  <c r="M619" i="3"/>
  <c r="L619" i="3"/>
  <c r="K619" i="3"/>
  <c r="J619" i="3"/>
  <c r="I619" i="3"/>
  <c r="H619" i="3"/>
  <c r="G619" i="3"/>
  <c r="F619" i="3"/>
  <c r="E619" i="3"/>
  <c r="D619" i="3"/>
  <c r="C619" i="3"/>
  <c r="B619" i="3"/>
  <c r="A619" i="3"/>
  <c r="M618" i="3"/>
  <c r="K618" i="3"/>
  <c r="J618" i="3"/>
  <c r="G618" i="3"/>
  <c r="E618" i="3"/>
  <c r="C618" i="3"/>
  <c r="B618" i="3"/>
  <c r="A618" i="3"/>
  <c r="M617" i="3"/>
  <c r="K617" i="3"/>
  <c r="J617" i="3"/>
  <c r="G617" i="3"/>
  <c r="E617" i="3"/>
  <c r="C617" i="3"/>
  <c r="B617" i="3"/>
  <c r="A617" i="3"/>
  <c r="M616" i="3"/>
  <c r="K616" i="3"/>
  <c r="J616" i="3"/>
  <c r="G616" i="3"/>
  <c r="E616" i="3"/>
  <c r="C616" i="3"/>
  <c r="B616" i="3"/>
  <c r="A616" i="3"/>
  <c r="M615" i="3"/>
  <c r="K615" i="3"/>
  <c r="J615" i="3"/>
  <c r="G615" i="3"/>
  <c r="E615" i="3"/>
  <c r="C615" i="3"/>
  <c r="B615" i="3"/>
  <c r="A615" i="3"/>
  <c r="P614" i="3"/>
  <c r="O614" i="3"/>
  <c r="N614" i="3"/>
  <c r="M614" i="3"/>
  <c r="L614" i="3"/>
  <c r="K614" i="3"/>
  <c r="J614" i="3"/>
  <c r="I614" i="3"/>
  <c r="H614" i="3"/>
  <c r="G614" i="3"/>
  <c r="F614" i="3"/>
  <c r="E614" i="3"/>
  <c r="D614" i="3"/>
  <c r="C614" i="3"/>
  <c r="B614" i="3"/>
  <c r="A614" i="3"/>
  <c r="P613" i="3"/>
  <c r="O613" i="3"/>
  <c r="N613" i="3"/>
  <c r="M613" i="3"/>
  <c r="L613" i="3"/>
  <c r="K613" i="3"/>
  <c r="J613" i="3"/>
  <c r="I613" i="3"/>
  <c r="H613" i="3"/>
  <c r="G613" i="3"/>
  <c r="F613" i="3"/>
  <c r="E613" i="3"/>
  <c r="D613" i="3"/>
  <c r="C613" i="3"/>
  <c r="B613" i="3"/>
  <c r="A613" i="3"/>
  <c r="M612" i="3"/>
  <c r="K612" i="3"/>
  <c r="J612" i="3"/>
  <c r="G612" i="3"/>
  <c r="E612" i="3"/>
  <c r="C612" i="3"/>
  <c r="B612" i="3"/>
  <c r="A612" i="3"/>
  <c r="M611" i="3"/>
  <c r="K611" i="3"/>
  <c r="J611" i="3"/>
  <c r="G611" i="3"/>
  <c r="E611" i="3"/>
  <c r="C611" i="3"/>
  <c r="B611" i="3"/>
  <c r="A611" i="3"/>
  <c r="M610" i="3"/>
  <c r="K610" i="3"/>
  <c r="J610" i="3"/>
  <c r="G610" i="3"/>
  <c r="E610" i="3"/>
  <c r="C610" i="3"/>
  <c r="B610" i="3"/>
  <c r="A610" i="3"/>
  <c r="M609" i="3"/>
  <c r="K609" i="3"/>
  <c r="J609" i="3"/>
  <c r="G609" i="3"/>
  <c r="E609" i="3"/>
  <c r="C609" i="3"/>
  <c r="B609" i="3"/>
  <c r="A609" i="3"/>
  <c r="P608" i="3"/>
  <c r="O608" i="3"/>
  <c r="N608" i="3"/>
  <c r="M608" i="3"/>
  <c r="L608" i="3"/>
  <c r="K608" i="3"/>
  <c r="J608" i="3"/>
  <c r="I608" i="3"/>
  <c r="H608" i="3"/>
  <c r="G608" i="3"/>
  <c r="F608" i="3"/>
  <c r="E608" i="3"/>
  <c r="D608" i="3"/>
  <c r="C608" i="3"/>
  <c r="B608" i="3"/>
  <c r="A608" i="3"/>
  <c r="P607" i="3"/>
  <c r="O607" i="3"/>
  <c r="N607" i="3"/>
  <c r="M607" i="3"/>
  <c r="L607" i="3"/>
  <c r="K607" i="3"/>
  <c r="J607" i="3"/>
  <c r="I607" i="3"/>
  <c r="H607" i="3"/>
  <c r="G607" i="3"/>
  <c r="F607" i="3"/>
  <c r="E607" i="3"/>
  <c r="D607" i="3"/>
  <c r="C607" i="3"/>
  <c r="B607" i="3"/>
  <c r="A607" i="3"/>
  <c r="M606" i="3"/>
  <c r="K606" i="3"/>
  <c r="J606" i="3"/>
  <c r="G606" i="3"/>
  <c r="E606" i="3"/>
  <c r="C606" i="3"/>
  <c r="B606" i="3"/>
  <c r="A606" i="3"/>
  <c r="M605" i="3"/>
  <c r="K605" i="3"/>
  <c r="J605" i="3"/>
  <c r="G605" i="3"/>
  <c r="E605" i="3"/>
  <c r="C605" i="3"/>
  <c r="B605" i="3"/>
  <c r="A605" i="3"/>
  <c r="M604" i="3"/>
  <c r="K604" i="3"/>
  <c r="J604" i="3"/>
  <c r="G604" i="3"/>
  <c r="E604" i="3"/>
  <c r="C604" i="3"/>
  <c r="B604" i="3"/>
  <c r="A604" i="3"/>
  <c r="M603" i="3"/>
  <c r="K603" i="3"/>
  <c r="J603" i="3"/>
  <c r="G603" i="3"/>
  <c r="E603" i="3"/>
  <c r="C603" i="3"/>
  <c r="B603" i="3"/>
  <c r="A603" i="3"/>
  <c r="P602" i="3"/>
  <c r="O602" i="3"/>
  <c r="N602" i="3"/>
  <c r="M602" i="3"/>
  <c r="L602" i="3"/>
  <c r="K602" i="3"/>
  <c r="J602" i="3"/>
  <c r="I602" i="3"/>
  <c r="H602" i="3"/>
  <c r="G602" i="3"/>
  <c r="F602" i="3"/>
  <c r="E602" i="3"/>
  <c r="D602" i="3"/>
  <c r="C602" i="3"/>
  <c r="B602" i="3"/>
  <c r="A602" i="3"/>
  <c r="P601" i="3"/>
  <c r="O601" i="3"/>
  <c r="N601" i="3"/>
  <c r="M601" i="3"/>
  <c r="L601" i="3"/>
  <c r="K601" i="3"/>
  <c r="J601" i="3"/>
  <c r="I601" i="3"/>
  <c r="H601" i="3"/>
  <c r="G601" i="3"/>
  <c r="F601" i="3"/>
  <c r="E601" i="3"/>
  <c r="D601" i="3"/>
  <c r="C601" i="3"/>
  <c r="B601" i="3"/>
  <c r="A601" i="3"/>
  <c r="P600" i="3"/>
  <c r="O600" i="3"/>
  <c r="N600" i="3"/>
  <c r="M600" i="3"/>
  <c r="L600" i="3"/>
  <c r="K600" i="3"/>
  <c r="J600" i="3"/>
  <c r="I600" i="3"/>
  <c r="H600" i="3"/>
  <c r="G600" i="3"/>
  <c r="F600" i="3"/>
  <c r="E600" i="3"/>
  <c r="D600" i="3"/>
  <c r="C600" i="3"/>
  <c r="B600" i="3"/>
  <c r="A600" i="3"/>
  <c r="P599" i="3"/>
  <c r="O599" i="3"/>
  <c r="N599" i="3"/>
  <c r="M599" i="3"/>
  <c r="L599" i="3"/>
  <c r="K599" i="3"/>
  <c r="J599" i="3"/>
  <c r="I599" i="3"/>
  <c r="H599" i="3"/>
  <c r="G599" i="3"/>
  <c r="F599" i="3"/>
  <c r="E599" i="3"/>
  <c r="D599" i="3"/>
  <c r="C599" i="3"/>
  <c r="B599" i="3"/>
  <c r="A599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D598" i="3"/>
  <c r="C598" i="3"/>
  <c r="B598" i="3"/>
  <c r="A598" i="3"/>
  <c r="P597" i="3"/>
  <c r="O597" i="3"/>
  <c r="N597" i="3"/>
  <c r="M597" i="3"/>
  <c r="L597" i="3"/>
  <c r="K597" i="3"/>
  <c r="J597" i="3"/>
  <c r="I597" i="3"/>
  <c r="H597" i="3"/>
  <c r="G597" i="3"/>
  <c r="F597" i="3"/>
  <c r="E597" i="3"/>
  <c r="D597" i="3"/>
  <c r="C597" i="3"/>
  <c r="B597" i="3"/>
  <c r="A597" i="3"/>
  <c r="M594" i="3"/>
  <c r="K594" i="3"/>
  <c r="J594" i="3"/>
  <c r="G594" i="3"/>
  <c r="E594" i="3"/>
  <c r="C594" i="3"/>
  <c r="B594" i="3"/>
  <c r="A594" i="3"/>
  <c r="P593" i="3"/>
  <c r="O593" i="3"/>
  <c r="N593" i="3"/>
  <c r="M593" i="3"/>
  <c r="L593" i="3"/>
  <c r="K593" i="3"/>
  <c r="J593" i="3"/>
  <c r="I593" i="3"/>
  <c r="H593" i="3"/>
  <c r="G593" i="3"/>
  <c r="F593" i="3"/>
  <c r="E593" i="3"/>
  <c r="D593" i="3"/>
  <c r="C593" i="3"/>
  <c r="B593" i="3"/>
  <c r="A593" i="3"/>
  <c r="M592" i="3"/>
  <c r="K592" i="3"/>
  <c r="J592" i="3"/>
  <c r="G592" i="3"/>
  <c r="E592" i="3"/>
  <c r="C592" i="3"/>
  <c r="B592" i="3"/>
  <c r="A592" i="3"/>
  <c r="P591" i="3"/>
  <c r="O591" i="3"/>
  <c r="N591" i="3"/>
  <c r="M591" i="3"/>
  <c r="L591" i="3"/>
  <c r="K591" i="3"/>
  <c r="J591" i="3"/>
  <c r="I591" i="3"/>
  <c r="H591" i="3"/>
  <c r="G591" i="3"/>
  <c r="F591" i="3"/>
  <c r="E591" i="3"/>
  <c r="D591" i="3"/>
  <c r="C591" i="3"/>
  <c r="B591" i="3"/>
  <c r="A591" i="3"/>
  <c r="M590" i="3"/>
  <c r="K590" i="3"/>
  <c r="J590" i="3"/>
  <c r="G590" i="3"/>
  <c r="E590" i="3"/>
  <c r="C590" i="3"/>
  <c r="B590" i="3"/>
  <c r="A590" i="3"/>
  <c r="M589" i="3"/>
  <c r="K589" i="3"/>
  <c r="J589" i="3"/>
  <c r="G589" i="3"/>
  <c r="E589" i="3"/>
  <c r="C589" i="3"/>
  <c r="B589" i="3"/>
  <c r="A589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D588" i="3"/>
  <c r="C588" i="3"/>
  <c r="B588" i="3"/>
  <c r="A588" i="3"/>
  <c r="M587" i="3"/>
  <c r="K587" i="3"/>
  <c r="J587" i="3"/>
  <c r="G587" i="3"/>
  <c r="E587" i="3"/>
  <c r="C587" i="3"/>
  <c r="B587" i="3"/>
  <c r="A587" i="3"/>
  <c r="M586" i="3"/>
  <c r="K586" i="3"/>
  <c r="J586" i="3"/>
  <c r="G586" i="3"/>
  <c r="E586" i="3"/>
  <c r="C586" i="3"/>
  <c r="B586" i="3"/>
  <c r="A586" i="3"/>
  <c r="M585" i="3"/>
  <c r="K585" i="3"/>
  <c r="J585" i="3"/>
  <c r="G585" i="3"/>
  <c r="E585" i="3"/>
  <c r="C585" i="3"/>
  <c r="B585" i="3"/>
  <c r="A585" i="3"/>
  <c r="P584" i="3"/>
  <c r="O584" i="3"/>
  <c r="M584" i="3"/>
  <c r="L584" i="3"/>
  <c r="K584" i="3"/>
  <c r="J584" i="3"/>
  <c r="G584" i="3"/>
  <c r="F584" i="3"/>
  <c r="E584" i="3"/>
  <c r="C584" i="3"/>
  <c r="B584" i="3"/>
  <c r="A584" i="3"/>
  <c r="P583" i="3"/>
  <c r="O583" i="3"/>
  <c r="M583" i="3"/>
  <c r="K583" i="3"/>
  <c r="J583" i="3"/>
  <c r="H583" i="3"/>
  <c r="G583" i="3"/>
  <c r="E583" i="3"/>
  <c r="C583" i="3"/>
  <c r="B583" i="3"/>
  <c r="A583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D582" i="3"/>
  <c r="C582" i="3"/>
  <c r="B582" i="3"/>
  <c r="A582" i="3"/>
  <c r="P581" i="3"/>
  <c r="O581" i="3"/>
  <c r="N581" i="3"/>
  <c r="M581" i="3"/>
  <c r="L581" i="3"/>
  <c r="K581" i="3"/>
  <c r="J581" i="3"/>
  <c r="I581" i="3"/>
  <c r="H581" i="3"/>
  <c r="G581" i="3"/>
  <c r="F581" i="3"/>
  <c r="E581" i="3"/>
  <c r="D581" i="3"/>
  <c r="C581" i="3"/>
  <c r="B581" i="3"/>
  <c r="A581" i="3"/>
  <c r="M580" i="3"/>
  <c r="K580" i="3"/>
  <c r="J580" i="3"/>
  <c r="G580" i="3"/>
  <c r="E580" i="3"/>
  <c r="C580" i="3"/>
  <c r="B580" i="3"/>
  <c r="A580" i="3"/>
  <c r="M579" i="3"/>
  <c r="K579" i="3"/>
  <c r="J579" i="3"/>
  <c r="G579" i="3"/>
  <c r="E579" i="3"/>
  <c r="C579" i="3"/>
  <c r="B579" i="3"/>
  <c r="A579" i="3"/>
  <c r="M578" i="3"/>
  <c r="K578" i="3"/>
  <c r="J578" i="3"/>
  <c r="G578" i="3"/>
  <c r="E578" i="3"/>
  <c r="C578" i="3"/>
  <c r="B578" i="3"/>
  <c r="A578" i="3"/>
  <c r="M577" i="3"/>
  <c r="K577" i="3"/>
  <c r="J577" i="3"/>
  <c r="G577" i="3"/>
  <c r="E577" i="3"/>
  <c r="C577" i="3"/>
  <c r="B577" i="3"/>
  <c r="A577" i="3"/>
  <c r="M576" i="3"/>
  <c r="K576" i="3"/>
  <c r="J576" i="3"/>
  <c r="G576" i="3"/>
  <c r="E576" i="3"/>
  <c r="C576" i="3"/>
  <c r="B576" i="3"/>
  <c r="A576" i="3"/>
  <c r="M575" i="3"/>
  <c r="K575" i="3"/>
  <c r="J575" i="3"/>
  <c r="H575" i="3"/>
  <c r="G575" i="3"/>
  <c r="F575" i="3"/>
  <c r="E575" i="3"/>
  <c r="C575" i="3"/>
  <c r="B575" i="3"/>
  <c r="A575" i="3"/>
  <c r="P574" i="3"/>
  <c r="O574" i="3"/>
  <c r="M574" i="3"/>
  <c r="L574" i="3"/>
  <c r="K574" i="3"/>
  <c r="J574" i="3"/>
  <c r="G574" i="3"/>
  <c r="F574" i="3"/>
  <c r="E574" i="3"/>
  <c r="C574" i="3"/>
  <c r="B574" i="3"/>
  <c r="A574" i="3"/>
  <c r="P573" i="3"/>
  <c r="O573" i="3"/>
  <c r="M573" i="3"/>
  <c r="L573" i="3"/>
  <c r="K573" i="3"/>
  <c r="J573" i="3"/>
  <c r="H573" i="3"/>
  <c r="G573" i="3"/>
  <c r="E573" i="3"/>
  <c r="C573" i="3"/>
  <c r="B573" i="3"/>
  <c r="A573" i="3"/>
  <c r="M572" i="3"/>
  <c r="K572" i="3"/>
  <c r="J572" i="3"/>
  <c r="G572" i="3"/>
  <c r="E572" i="3"/>
  <c r="C572" i="3"/>
  <c r="B572" i="3"/>
  <c r="A572" i="3"/>
  <c r="M571" i="3"/>
  <c r="K571" i="3"/>
  <c r="J571" i="3"/>
  <c r="G571" i="3"/>
  <c r="E571" i="3"/>
  <c r="C571" i="3"/>
  <c r="B571" i="3"/>
  <c r="A571" i="3"/>
  <c r="M570" i="3"/>
  <c r="K570" i="3"/>
  <c r="J570" i="3"/>
  <c r="G570" i="3"/>
  <c r="E570" i="3"/>
  <c r="C570" i="3"/>
  <c r="B570" i="3"/>
  <c r="A570" i="3"/>
  <c r="M569" i="3"/>
  <c r="K569" i="3"/>
  <c r="J569" i="3"/>
  <c r="G569" i="3"/>
  <c r="E569" i="3"/>
  <c r="C569" i="3"/>
  <c r="B569" i="3"/>
  <c r="A569" i="3"/>
  <c r="M568" i="3"/>
  <c r="K568" i="3"/>
  <c r="J568" i="3"/>
  <c r="G568" i="3"/>
  <c r="E568" i="3"/>
  <c r="C568" i="3"/>
  <c r="B568" i="3"/>
  <c r="A568" i="3"/>
  <c r="M567" i="3"/>
  <c r="K567" i="3"/>
  <c r="J567" i="3"/>
  <c r="G567" i="3"/>
  <c r="E567" i="3"/>
  <c r="C567" i="3"/>
  <c r="B567" i="3"/>
  <c r="A567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D566" i="3"/>
  <c r="C566" i="3"/>
  <c r="B566" i="3"/>
  <c r="A566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D565" i="3"/>
  <c r="C565" i="3"/>
  <c r="B565" i="3"/>
  <c r="A565" i="3"/>
  <c r="M564" i="3"/>
  <c r="K564" i="3"/>
  <c r="J564" i="3"/>
  <c r="G564" i="3"/>
  <c r="E564" i="3"/>
  <c r="C564" i="3"/>
  <c r="B564" i="3"/>
  <c r="A564" i="3"/>
  <c r="M563" i="3"/>
  <c r="K563" i="3"/>
  <c r="J563" i="3"/>
  <c r="G563" i="3"/>
  <c r="E563" i="3"/>
  <c r="C563" i="3"/>
  <c r="B563" i="3"/>
  <c r="A563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D562" i="3"/>
  <c r="C562" i="3"/>
  <c r="B562" i="3"/>
  <c r="A562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D561" i="3"/>
  <c r="C561" i="3"/>
  <c r="B561" i="3"/>
  <c r="A561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C560" i="3"/>
  <c r="B560" i="3"/>
  <c r="A560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D559" i="3"/>
  <c r="C559" i="3"/>
  <c r="B559" i="3"/>
  <c r="A559" i="3"/>
  <c r="M558" i="3"/>
  <c r="K558" i="3"/>
  <c r="J558" i="3"/>
  <c r="G558" i="3"/>
  <c r="E558" i="3"/>
  <c r="C558" i="3"/>
  <c r="B558" i="3"/>
  <c r="A558" i="3"/>
  <c r="M557" i="3"/>
  <c r="K557" i="3"/>
  <c r="J557" i="3"/>
  <c r="G557" i="3"/>
  <c r="E557" i="3"/>
  <c r="C557" i="3"/>
  <c r="B557" i="3"/>
  <c r="A557" i="3"/>
  <c r="M556" i="3"/>
  <c r="K556" i="3"/>
  <c r="J556" i="3"/>
  <c r="G556" i="3"/>
  <c r="E556" i="3"/>
  <c r="C556" i="3"/>
  <c r="B556" i="3"/>
  <c r="A556" i="3"/>
  <c r="M555" i="3"/>
  <c r="K555" i="3"/>
  <c r="J555" i="3"/>
  <c r="G555" i="3"/>
  <c r="E555" i="3"/>
  <c r="C555" i="3"/>
  <c r="B555" i="3"/>
  <c r="A555" i="3"/>
  <c r="M554" i="3"/>
  <c r="K554" i="3"/>
  <c r="J554" i="3"/>
  <c r="G554" i="3"/>
  <c r="E554" i="3"/>
  <c r="C554" i="3"/>
  <c r="B554" i="3"/>
  <c r="A554" i="3"/>
  <c r="P553" i="3"/>
  <c r="O553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A553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B552" i="3"/>
  <c r="A552" i="3"/>
  <c r="M551" i="3"/>
  <c r="K551" i="3"/>
  <c r="J551" i="3"/>
  <c r="G551" i="3"/>
  <c r="E551" i="3"/>
  <c r="C551" i="3"/>
  <c r="B551" i="3"/>
  <c r="A551" i="3"/>
  <c r="M550" i="3"/>
  <c r="K550" i="3"/>
  <c r="J550" i="3"/>
  <c r="G550" i="3"/>
  <c r="E550" i="3"/>
  <c r="C550" i="3"/>
  <c r="B550" i="3"/>
  <c r="A550" i="3"/>
  <c r="M549" i="3"/>
  <c r="K549" i="3"/>
  <c r="J549" i="3"/>
  <c r="G549" i="3"/>
  <c r="E549" i="3"/>
  <c r="C549" i="3"/>
  <c r="B549" i="3"/>
  <c r="A549" i="3"/>
  <c r="M548" i="3"/>
  <c r="K548" i="3"/>
  <c r="J548" i="3"/>
  <c r="G548" i="3"/>
  <c r="E548" i="3"/>
  <c r="C548" i="3"/>
  <c r="B548" i="3"/>
  <c r="A548" i="3"/>
  <c r="M547" i="3"/>
  <c r="K547" i="3"/>
  <c r="J547" i="3"/>
  <c r="G547" i="3"/>
  <c r="E547" i="3"/>
  <c r="C547" i="3"/>
  <c r="B547" i="3"/>
  <c r="A547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B546" i="3"/>
  <c r="A546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B545" i="3"/>
  <c r="A545" i="3"/>
  <c r="M544" i="3"/>
  <c r="K544" i="3"/>
  <c r="J544" i="3"/>
  <c r="G544" i="3"/>
  <c r="E544" i="3"/>
  <c r="C544" i="3"/>
  <c r="B544" i="3"/>
  <c r="A544" i="3"/>
  <c r="M543" i="3"/>
  <c r="K543" i="3"/>
  <c r="J543" i="3"/>
  <c r="G543" i="3"/>
  <c r="E543" i="3"/>
  <c r="C543" i="3"/>
  <c r="B543" i="3"/>
  <c r="A543" i="3"/>
  <c r="M542" i="3"/>
  <c r="K542" i="3"/>
  <c r="J542" i="3"/>
  <c r="G542" i="3"/>
  <c r="E542" i="3"/>
  <c r="C542" i="3"/>
  <c r="B542" i="3"/>
  <c r="A542" i="3"/>
  <c r="M541" i="3"/>
  <c r="K541" i="3"/>
  <c r="J541" i="3"/>
  <c r="G541" i="3"/>
  <c r="E541" i="3"/>
  <c r="C541" i="3"/>
  <c r="B541" i="3"/>
  <c r="A541" i="3"/>
  <c r="M540" i="3"/>
  <c r="K540" i="3"/>
  <c r="J540" i="3"/>
  <c r="G540" i="3"/>
  <c r="E540" i="3"/>
  <c r="C540" i="3"/>
  <c r="B540" i="3"/>
  <c r="A540" i="3"/>
  <c r="M539" i="3"/>
  <c r="K539" i="3"/>
  <c r="J539" i="3"/>
  <c r="G539" i="3"/>
  <c r="E539" i="3"/>
  <c r="C539" i="3"/>
  <c r="B539" i="3"/>
  <c r="A539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D538" i="3"/>
  <c r="C538" i="3"/>
  <c r="B538" i="3"/>
  <c r="A538" i="3"/>
  <c r="P537" i="3"/>
  <c r="O537" i="3"/>
  <c r="N537" i="3"/>
  <c r="M537" i="3"/>
  <c r="L537" i="3"/>
  <c r="K537" i="3"/>
  <c r="J537" i="3"/>
  <c r="I537" i="3"/>
  <c r="H537" i="3"/>
  <c r="G537" i="3"/>
  <c r="F537" i="3"/>
  <c r="E537" i="3"/>
  <c r="D537" i="3"/>
  <c r="C537" i="3"/>
  <c r="B537" i="3"/>
  <c r="A537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D536" i="3"/>
  <c r="C536" i="3"/>
  <c r="B536" i="3"/>
  <c r="A536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B535" i="3"/>
  <c r="A535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D534" i="3"/>
  <c r="C534" i="3"/>
  <c r="B534" i="3"/>
  <c r="A534" i="3"/>
  <c r="M533" i="3"/>
  <c r="K533" i="3"/>
  <c r="J533" i="3"/>
  <c r="G533" i="3"/>
  <c r="E533" i="3"/>
  <c r="C533" i="3"/>
  <c r="B533" i="3"/>
  <c r="A533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B532" i="3"/>
  <c r="A532" i="3"/>
  <c r="M531" i="3"/>
  <c r="K531" i="3"/>
  <c r="J531" i="3"/>
  <c r="G531" i="3"/>
  <c r="E531" i="3"/>
  <c r="C531" i="3"/>
  <c r="B531" i="3"/>
  <c r="A531" i="3"/>
  <c r="M530" i="3"/>
  <c r="K530" i="3"/>
  <c r="J530" i="3"/>
  <c r="G530" i="3"/>
  <c r="E530" i="3"/>
  <c r="C530" i="3"/>
  <c r="B530" i="3"/>
  <c r="A530" i="3"/>
  <c r="M529" i="3"/>
  <c r="K529" i="3"/>
  <c r="J529" i="3"/>
  <c r="G529" i="3"/>
  <c r="E529" i="3"/>
  <c r="C529" i="3"/>
  <c r="B529" i="3"/>
  <c r="A529" i="3"/>
  <c r="M528" i="3"/>
  <c r="K528" i="3"/>
  <c r="J528" i="3"/>
  <c r="G528" i="3"/>
  <c r="E528" i="3"/>
  <c r="C528" i="3"/>
  <c r="B528" i="3"/>
  <c r="A528" i="3"/>
  <c r="M527" i="3"/>
  <c r="K527" i="3"/>
  <c r="J527" i="3"/>
  <c r="G527" i="3"/>
  <c r="E527" i="3"/>
  <c r="C527" i="3"/>
  <c r="B527" i="3"/>
  <c r="A527" i="3"/>
  <c r="M526" i="3"/>
  <c r="K526" i="3"/>
  <c r="J526" i="3"/>
  <c r="G526" i="3"/>
  <c r="E526" i="3"/>
  <c r="C526" i="3"/>
  <c r="B526" i="3"/>
  <c r="A526" i="3"/>
  <c r="M525" i="3"/>
  <c r="K525" i="3"/>
  <c r="J525" i="3"/>
  <c r="G525" i="3"/>
  <c r="E525" i="3"/>
  <c r="C525" i="3"/>
  <c r="B525" i="3"/>
  <c r="A525" i="3"/>
  <c r="M524" i="3"/>
  <c r="K524" i="3"/>
  <c r="J524" i="3"/>
  <c r="G524" i="3"/>
  <c r="E524" i="3"/>
  <c r="C524" i="3"/>
  <c r="B524" i="3"/>
  <c r="A524" i="3"/>
  <c r="M523" i="3"/>
  <c r="K523" i="3"/>
  <c r="J523" i="3"/>
  <c r="G523" i="3"/>
  <c r="E523" i="3"/>
  <c r="C523" i="3"/>
  <c r="B523" i="3"/>
  <c r="A523" i="3"/>
  <c r="M522" i="3"/>
  <c r="K522" i="3"/>
  <c r="J522" i="3"/>
  <c r="G522" i="3"/>
  <c r="E522" i="3"/>
  <c r="C522" i="3"/>
  <c r="B522" i="3"/>
  <c r="A522" i="3"/>
  <c r="M521" i="3"/>
  <c r="K521" i="3"/>
  <c r="J521" i="3"/>
  <c r="G521" i="3"/>
  <c r="E521" i="3"/>
  <c r="C521" i="3"/>
  <c r="B521" i="3"/>
  <c r="A521" i="3"/>
  <c r="M520" i="3"/>
  <c r="K520" i="3"/>
  <c r="J520" i="3"/>
  <c r="G520" i="3"/>
  <c r="E520" i="3"/>
  <c r="C520" i="3"/>
  <c r="B520" i="3"/>
  <c r="A520" i="3"/>
  <c r="M519" i="3"/>
  <c r="K519" i="3"/>
  <c r="J519" i="3"/>
  <c r="G519" i="3"/>
  <c r="E519" i="3"/>
  <c r="C519" i="3"/>
  <c r="B519" i="3"/>
  <c r="A519" i="3"/>
  <c r="M518" i="3"/>
  <c r="K518" i="3"/>
  <c r="J518" i="3"/>
  <c r="G518" i="3"/>
  <c r="E518" i="3"/>
  <c r="C518" i="3"/>
  <c r="B518" i="3"/>
  <c r="A518" i="3"/>
  <c r="M517" i="3"/>
  <c r="K517" i="3"/>
  <c r="J517" i="3"/>
  <c r="G517" i="3"/>
  <c r="E517" i="3"/>
  <c r="C517" i="3"/>
  <c r="B517" i="3"/>
  <c r="A517" i="3"/>
  <c r="M516" i="3"/>
  <c r="K516" i="3"/>
  <c r="J516" i="3"/>
  <c r="G516" i="3"/>
  <c r="E516" i="3"/>
  <c r="C516" i="3"/>
  <c r="B516" i="3"/>
  <c r="A516" i="3"/>
  <c r="M515" i="3"/>
  <c r="K515" i="3"/>
  <c r="J515" i="3"/>
  <c r="G515" i="3"/>
  <c r="E515" i="3"/>
  <c r="C515" i="3"/>
  <c r="B515" i="3"/>
  <c r="A515" i="3"/>
  <c r="M514" i="3"/>
  <c r="K514" i="3"/>
  <c r="J514" i="3"/>
  <c r="G514" i="3"/>
  <c r="E514" i="3"/>
  <c r="C514" i="3"/>
  <c r="B514" i="3"/>
  <c r="A514" i="3"/>
  <c r="M513" i="3"/>
  <c r="K513" i="3"/>
  <c r="J513" i="3"/>
  <c r="G513" i="3"/>
  <c r="E513" i="3"/>
  <c r="C513" i="3"/>
  <c r="B513" i="3"/>
  <c r="A513" i="3"/>
  <c r="M512" i="3"/>
  <c r="K512" i="3"/>
  <c r="J512" i="3"/>
  <c r="G512" i="3"/>
  <c r="E512" i="3"/>
  <c r="C512" i="3"/>
  <c r="B512" i="3"/>
  <c r="A512" i="3"/>
  <c r="M511" i="3"/>
  <c r="K511" i="3"/>
  <c r="J511" i="3"/>
  <c r="G511" i="3"/>
  <c r="E511" i="3"/>
  <c r="C511" i="3"/>
  <c r="B511" i="3"/>
  <c r="A511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A510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A509" i="3"/>
  <c r="M508" i="3"/>
  <c r="K508" i="3"/>
  <c r="J508" i="3"/>
  <c r="G508" i="3"/>
  <c r="E508" i="3"/>
  <c r="C508" i="3"/>
  <c r="B508" i="3"/>
  <c r="A508" i="3"/>
  <c r="P507" i="3"/>
  <c r="O507" i="3"/>
  <c r="N507" i="3"/>
  <c r="M507" i="3"/>
  <c r="L507" i="3"/>
  <c r="K507" i="3"/>
  <c r="J507" i="3"/>
  <c r="I507" i="3"/>
  <c r="H507" i="3"/>
  <c r="G507" i="3"/>
  <c r="F507" i="3"/>
  <c r="E507" i="3"/>
  <c r="D507" i="3"/>
  <c r="C507" i="3"/>
  <c r="B507" i="3"/>
  <c r="A507" i="3"/>
  <c r="M506" i="3"/>
  <c r="K506" i="3"/>
  <c r="J506" i="3"/>
  <c r="G506" i="3"/>
  <c r="E506" i="3"/>
  <c r="C506" i="3"/>
  <c r="B506" i="3"/>
  <c r="A506" i="3"/>
  <c r="M505" i="3"/>
  <c r="K505" i="3"/>
  <c r="J505" i="3"/>
  <c r="G505" i="3"/>
  <c r="E505" i="3"/>
  <c r="C505" i="3"/>
  <c r="B505" i="3"/>
  <c r="A505" i="3"/>
  <c r="M504" i="3"/>
  <c r="K504" i="3"/>
  <c r="J504" i="3"/>
  <c r="G504" i="3"/>
  <c r="E504" i="3"/>
  <c r="C504" i="3"/>
  <c r="B504" i="3"/>
  <c r="A504" i="3"/>
  <c r="M503" i="3"/>
  <c r="K503" i="3"/>
  <c r="J503" i="3"/>
  <c r="G503" i="3"/>
  <c r="E503" i="3"/>
  <c r="C503" i="3"/>
  <c r="B503" i="3"/>
  <c r="A503" i="3"/>
  <c r="M502" i="3"/>
  <c r="K502" i="3"/>
  <c r="J502" i="3"/>
  <c r="G502" i="3"/>
  <c r="E502" i="3"/>
  <c r="C502" i="3"/>
  <c r="B502" i="3"/>
  <c r="A502" i="3"/>
  <c r="M501" i="3"/>
  <c r="K501" i="3"/>
  <c r="J501" i="3"/>
  <c r="G501" i="3"/>
  <c r="E501" i="3"/>
  <c r="C501" i="3"/>
  <c r="B501" i="3"/>
  <c r="A501" i="3"/>
  <c r="M500" i="3"/>
  <c r="K500" i="3"/>
  <c r="J500" i="3"/>
  <c r="G500" i="3"/>
  <c r="E500" i="3"/>
  <c r="C500" i="3"/>
  <c r="B500" i="3"/>
  <c r="A500" i="3"/>
  <c r="M499" i="3"/>
  <c r="K499" i="3"/>
  <c r="J499" i="3"/>
  <c r="G499" i="3"/>
  <c r="E499" i="3"/>
  <c r="C499" i="3"/>
  <c r="B499" i="3"/>
  <c r="A499" i="3"/>
  <c r="M498" i="3"/>
  <c r="K498" i="3"/>
  <c r="J498" i="3"/>
  <c r="G498" i="3"/>
  <c r="E498" i="3"/>
  <c r="C498" i="3"/>
  <c r="B498" i="3"/>
  <c r="A498" i="3"/>
  <c r="M497" i="3"/>
  <c r="K497" i="3"/>
  <c r="J497" i="3"/>
  <c r="G497" i="3"/>
  <c r="E497" i="3"/>
  <c r="C497" i="3"/>
  <c r="B497" i="3"/>
  <c r="A497" i="3"/>
  <c r="M496" i="3"/>
  <c r="K496" i="3"/>
  <c r="J496" i="3"/>
  <c r="G496" i="3"/>
  <c r="E496" i="3"/>
  <c r="C496" i="3"/>
  <c r="B496" i="3"/>
  <c r="A496" i="3"/>
  <c r="M495" i="3"/>
  <c r="K495" i="3"/>
  <c r="J495" i="3"/>
  <c r="G495" i="3"/>
  <c r="E495" i="3"/>
  <c r="C495" i="3"/>
  <c r="B495" i="3"/>
  <c r="A495" i="3"/>
  <c r="M494" i="3"/>
  <c r="K494" i="3"/>
  <c r="J494" i="3"/>
  <c r="G494" i="3"/>
  <c r="E494" i="3"/>
  <c r="C494" i="3"/>
  <c r="B494" i="3"/>
  <c r="A494" i="3"/>
  <c r="M493" i="3"/>
  <c r="K493" i="3"/>
  <c r="J493" i="3"/>
  <c r="G493" i="3"/>
  <c r="E493" i="3"/>
  <c r="C493" i="3"/>
  <c r="B493" i="3"/>
  <c r="A493" i="3"/>
  <c r="M492" i="3"/>
  <c r="K492" i="3"/>
  <c r="J492" i="3"/>
  <c r="G492" i="3"/>
  <c r="E492" i="3"/>
  <c r="C492" i="3"/>
  <c r="B492" i="3"/>
  <c r="A492" i="3"/>
  <c r="M491" i="3"/>
  <c r="K491" i="3"/>
  <c r="J491" i="3"/>
  <c r="G491" i="3"/>
  <c r="E491" i="3"/>
  <c r="C491" i="3"/>
  <c r="B491" i="3"/>
  <c r="A491" i="3"/>
  <c r="M490" i="3"/>
  <c r="K490" i="3"/>
  <c r="J490" i="3"/>
  <c r="G490" i="3"/>
  <c r="E490" i="3"/>
  <c r="C490" i="3"/>
  <c r="B490" i="3"/>
  <c r="A490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A489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B488" i="3"/>
  <c r="A488" i="3"/>
  <c r="P487" i="3"/>
  <c r="O487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B487" i="3"/>
  <c r="A487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B486" i="3"/>
  <c r="A486" i="3"/>
  <c r="M485" i="3"/>
  <c r="K485" i="3"/>
  <c r="J485" i="3"/>
  <c r="G485" i="3"/>
  <c r="E485" i="3"/>
  <c r="C485" i="3"/>
  <c r="B485" i="3"/>
  <c r="A485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A484" i="3"/>
  <c r="M483" i="3"/>
  <c r="K483" i="3"/>
  <c r="J483" i="3"/>
  <c r="G483" i="3"/>
  <c r="E483" i="3"/>
  <c r="C483" i="3"/>
  <c r="B483" i="3"/>
  <c r="A483" i="3"/>
  <c r="M482" i="3"/>
  <c r="K482" i="3"/>
  <c r="J482" i="3"/>
  <c r="G482" i="3"/>
  <c r="E482" i="3"/>
  <c r="C482" i="3"/>
  <c r="B482" i="3"/>
  <c r="A482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B481" i="3"/>
  <c r="A481" i="3"/>
  <c r="M480" i="3"/>
  <c r="K480" i="3"/>
  <c r="J480" i="3"/>
  <c r="G480" i="3"/>
  <c r="E480" i="3"/>
  <c r="C480" i="3"/>
  <c r="B480" i="3"/>
  <c r="A480" i="3"/>
  <c r="M479" i="3"/>
  <c r="K479" i="3"/>
  <c r="J479" i="3"/>
  <c r="G479" i="3"/>
  <c r="E479" i="3"/>
  <c r="C479" i="3"/>
  <c r="B479" i="3"/>
  <c r="A479" i="3"/>
  <c r="M478" i="3"/>
  <c r="K478" i="3"/>
  <c r="J478" i="3"/>
  <c r="G478" i="3"/>
  <c r="E478" i="3"/>
  <c r="C478" i="3"/>
  <c r="B478" i="3"/>
  <c r="A478" i="3"/>
  <c r="P477" i="3"/>
  <c r="O477" i="3"/>
  <c r="N477" i="3"/>
  <c r="M477" i="3"/>
  <c r="L477" i="3"/>
  <c r="K477" i="3"/>
  <c r="J477" i="3"/>
  <c r="I477" i="3"/>
  <c r="H477" i="3"/>
  <c r="G477" i="3"/>
  <c r="F477" i="3"/>
  <c r="E477" i="3"/>
  <c r="D477" i="3"/>
  <c r="C477" i="3"/>
  <c r="B477" i="3"/>
  <c r="A477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D476" i="3"/>
  <c r="C476" i="3"/>
  <c r="B476" i="3"/>
  <c r="A476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B475" i="3"/>
  <c r="A475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B474" i="3"/>
  <c r="A474" i="3"/>
  <c r="M473" i="3"/>
  <c r="K473" i="3"/>
  <c r="J473" i="3"/>
  <c r="G473" i="3"/>
  <c r="E473" i="3"/>
  <c r="C473" i="3"/>
  <c r="B473" i="3"/>
  <c r="A473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B472" i="3"/>
  <c r="A472" i="3"/>
  <c r="M471" i="3"/>
  <c r="K471" i="3"/>
  <c r="J471" i="3"/>
  <c r="G471" i="3"/>
  <c r="E471" i="3"/>
  <c r="C471" i="3"/>
  <c r="B471" i="3"/>
  <c r="A471" i="3"/>
  <c r="M470" i="3"/>
  <c r="K470" i="3"/>
  <c r="J470" i="3"/>
  <c r="G470" i="3"/>
  <c r="E470" i="3"/>
  <c r="C470" i="3"/>
  <c r="B470" i="3"/>
  <c r="A470" i="3"/>
  <c r="M469" i="3"/>
  <c r="K469" i="3"/>
  <c r="J469" i="3"/>
  <c r="G469" i="3"/>
  <c r="E469" i="3"/>
  <c r="C469" i="3"/>
  <c r="B469" i="3"/>
  <c r="A469" i="3"/>
  <c r="M468" i="3"/>
  <c r="K468" i="3"/>
  <c r="J468" i="3"/>
  <c r="G468" i="3"/>
  <c r="E468" i="3"/>
  <c r="C468" i="3"/>
  <c r="B468" i="3"/>
  <c r="A468" i="3"/>
  <c r="M467" i="3"/>
  <c r="K467" i="3"/>
  <c r="J467" i="3"/>
  <c r="G467" i="3"/>
  <c r="E467" i="3"/>
  <c r="C467" i="3"/>
  <c r="B467" i="3"/>
  <c r="A467" i="3"/>
  <c r="M466" i="3"/>
  <c r="K466" i="3"/>
  <c r="J466" i="3"/>
  <c r="G466" i="3"/>
  <c r="E466" i="3"/>
  <c r="C466" i="3"/>
  <c r="B466" i="3"/>
  <c r="A466" i="3"/>
  <c r="M465" i="3"/>
  <c r="K465" i="3"/>
  <c r="J465" i="3"/>
  <c r="G465" i="3"/>
  <c r="E465" i="3"/>
  <c r="C465" i="3"/>
  <c r="B465" i="3"/>
  <c r="A465" i="3"/>
  <c r="M464" i="3"/>
  <c r="K464" i="3"/>
  <c r="J464" i="3"/>
  <c r="G464" i="3"/>
  <c r="E464" i="3"/>
  <c r="C464" i="3"/>
  <c r="B464" i="3"/>
  <c r="A464" i="3"/>
  <c r="M463" i="3"/>
  <c r="K463" i="3"/>
  <c r="J463" i="3"/>
  <c r="G463" i="3"/>
  <c r="E463" i="3"/>
  <c r="C463" i="3"/>
  <c r="B463" i="3"/>
  <c r="A463" i="3"/>
  <c r="M462" i="3"/>
  <c r="K462" i="3"/>
  <c r="J462" i="3"/>
  <c r="G462" i="3"/>
  <c r="E462" i="3"/>
  <c r="C462" i="3"/>
  <c r="B462" i="3"/>
  <c r="A462" i="3"/>
  <c r="M461" i="3"/>
  <c r="K461" i="3"/>
  <c r="J461" i="3"/>
  <c r="G461" i="3"/>
  <c r="E461" i="3"/>
  <c r="C461" i="3"/>
  <c r="B461" i="3"/>
  <c r="A461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B460" i="3"/>
  <c r="A460" i="3"/>
  <c r="P459" i="3"/>
  <c r="O459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B459" i="3"/>
  <c r="A459" i="3"/>
  <c r="M458" i="3"/>
  <c r="K458" i="3"/>
  <c r="J458" i="3"/>
  <c r="G458" i="3"/>
  <c r="E458" i="3"/>
  <c r="C458" i="3"/>
  <c r="B458" i="3"/>
  <c r="A458" i="3"/>
  <c r="P457" i="3"/>
  <c r="O457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B457" i="3"/>
  <c r="A457" i="3"/>
  <c r="M456" i="3"/>
  <c r="K456" i="3"/>
  <c r="J456" i="3"/>
  <c r="G456" i="3"/>
  <c r="E456" i="3"/>
  <c r="C456" i="3"/>
  <c r="B456" i="3"/>
  <c r="A456" i="3"/>
  <c r="M455" i="3"/>
  <c r="K455" i="3"/>
  <c r="J455" i="3"/>
  <c r="G455" i="3"/>
  <c r="E455" i="3"/>
  <c r="C455" i="3"/>
  <c r="B455" i="3"/>
  <c r="A455" i="3"/>
  <c r="M454" i="3"/>
  <c r="K454" i="3"/>
  <c r="J454" i="3"/>
  <c r="G454" i="3"/>
  <c r="E454" i="3"/>
  <c r="C454" i="3"/>
  <c r="B454" i="3"/>
  <c r="A454" i="3"/>
  <c r="M453" i="3"/>
  <c r="K453" i="3"/>
  <c r="J453" i="3"/>
  <c r="G453" i="3"/>
  <c r="E453" i="3"/>
  <c r="C453" i="3"/>
  <c r="B453" i="3"/>
  <c r="A453" i="3"/>
  <c r="M452" i="3"/>
  <c r="K452" i="3"/>
  <c r="J452" i="3"/>
  <c r="G452" i="3"/>
  <c r="E452" i="3"/>
  <c r="C452" i="3"/>
  <c r="B452" i="3"/>
  <c r="A452" i="3"/>
  <c r="M451" i="3"/>
  <c r="K451" i="3"/>
  <c r="J451" i="3"/>
  <c r="G451" i="3"/>
  <c r="E451" i="3"/>
  <c r="C451" i="3"/>
  <c r="B451" i="3"/>
  <c r="A451" i="3"/>
  <c r="M450" i="3"/>
  <c r="K450" i="3"/>
  <c r="J450" i="3"/>
  <c r="G450" i="3"/>
  <c r="E450" i="3"/>
  <c r="C450" i="3"/>
  <c r="B450" i="3"/>
  <c r="A450" i="3"/>
  <c r="M449" i="3"/>
  <c r="K449" i="3"/>
  <c r="J449" i="3"/>
  <c r="G449" i="3"/>
  <c r="E449" i="3"/>
  <c r="C449" i="3"/>
  <c r="B449" i="3"/>
  <c r="A449" i="3"/>
  <c r="M448" i="3"/>
  <c r="K448" i="3"/>
  <c r="J448" i="3"/>
  <c r="G448" i="3"/>
  <c r="E448" i="3"/>
  <c r="C448" i="3"/>
  <c r="B448" i="3"/>
  <c r="A448" i="3"/>
  <c r="M447" i="3"/>
  <c r="K447" i="3"/>
  <c r="J447" i="3"/>
  <c r="G447" i="3"/>
  <c r="E447" i="3"/>
  <c r="C447" i="3"/>
  <c r="B447" i="3"/>
  <c r="A447" i="3"/>
  <c r="M446" i="3"/>
  <c r="K446" i="3"/>
  <c r="J446" i="3"/>
  <c r="G446" i="3"/>
  <c r="E446" i="3"/>
  <c r="C446" i="3"/>
  <c r="B446" i="3"/>
  <c r="A446" i="3"/>
  <c r="M445" i="3"/>
  <c r="K445" i="3"/>
  <c r="J445" i="3"/>
  <c r="G445" i="3"/>
  <c r="E445" i="3"/>
  <c r="C445" i="3"/>
  <c r="B445" i="3"/>
  <c r="A445" i="3"/>
  <c r="M444" i="3"/>
  <c r="K444" i="3"/>
  <c r="J444" i="3"/>
  <c r="G444" i="3"/>
  <c r="E444" i="3"/>
  <c r="C444" i="3"/>
  <c r="B444" i="3"/>
  <c r="A444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B443" i="3"/>
  <c r="A443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B442" i="3"/>
  <c r="A442" i="3"/>
  <c r="M441" i="3"/>
  <c r="K441" i="3"/>
  <c r="J441" i="3"/>
  <c r="G441" i="3"/>
  <c r="E441" i="3"/>
  <c r="C441" i="3"/>
  <c r="B441" i="3"/>
  <c r="A441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B440" i="3"/>
  <c r="A440" i="3"/>
  <c r="M439" i="3"/>
  <c r="K439" i="3"/>
  <c r="J439" i="3"/>
  <c r="G439" i="3"/>
  <c r="E439" i="3"/>
  <c r="C439" i="3"/>
  <c r="B439" i="3"/>
  <c r="A439" i="3"/>
  <c r="M438" i="3"/>
  <c r="K438" i="3"/>
  <c r="J438" i="3"/>
  <c r="G438" i="3"/>
  <c r="E438" i="3"/>
  <c r="C438" i="3"/>
  <c r="B438" i="3"/>
  <c r="A438" i="3"/>
  <c r="M437" i="3"/>
  <c r="K437" i="3"/>
  <c r="J437" i="3"/>
  <c r="G437" i="3"/>
  <c r="E437" i="3"/>
  <c r="C437" i="3"/>
  <c r="B437" i="3"/>
  <c r="A437" i="3"/>
  <c r="M436" i="3"/>
  <c r="K436" i="3"/>
  <c r="J436" i="3"/>
  <c r="G436" i="3"/>
  <c r="E436" i="3"/>
  <c r="C436" i="3"/>
  <c r="B436" i="3"/>
  <c r="A436" i="3"/>
  <c r="M435" i="3"/>
  <c r="K435" i="3"/>
  <c r="J435" i="3"/>
  <c r="G435" i="3"/>
  <c r="E435" i="3"/>
  <c r="C435" i="3"/>
  <c r="B435" i="3"/>
  <c r="A435" i="3"/>
  <c r="M434" i="3"/>
  <c r="K434" i="3"/>
  <c r="J434" i="3"/>
  <c r="G434" i="3"/>
  <c r="E434" i="3"/>
  <c r="C434" i="3"/>
  <c r="B434" i="3"/>
  <c r="A434" i="3"/>
  <c r="M433" i="3"/>
  <c r="K433" i="3"/>
  <c r="J433" i="3"/>
  <c r="G433" i="3"/>
  <c r="E433" i="3"/>
  <c r="C433" i="3"/>
  <c r="B433" i="3"/>
  <c r="A433" i="3"/>
  <c r="M432" i="3"/>
  <c r="K432" i="3"/>
  <c r="J432" i="3"/>
  <c r="G432" i="3"/>
  <c r="E432" i="3"/>
  <c r="C432" i="3"/>
  <c r="B432" i="3"/>
  <c r="A432" i="3"/>
  <c r="M431" i="3"/>
  <c r="K431" i="3"/>
  <c r="J431" i="3"/>
  <c r="G431" i="3"/>
  <c r="E431" i="3"/>
  <c r="C431" i="3"/>
  <c r="B431" i="3"/>
  <c r="A431" i="3"/>
  <c r="M430" i="3"/>
  <c r="K430" i="3"/>
  <c r="J430" i="3"/>
  <c r="G430" i="3"/>
  <c r="E430" i="3"/>
  <c r="C430" i="3"/>
  <c r="B430" i="3"/>
  <c r="A430" i="3"/>
  <c r="M429" i="3"/>
  <c r="K429" i="3"/>
  <c r="J429" i="3"/>
  <c r="G429" i="3"/>
  <c r="E429" i="3"/>
  <c r="C429" i="3"/>
  <c r="B429" i="3"/>
  <c r="A429" i="3"/>
  <c r="M428" i="3"/>
  <c r="K428" i="3"/>
  <c r="J428" i="3"/>
  <c r="G428" i="3"/>
  <c r="E428" i="3"/>
  <c r="C428" i="3"/>
  <c r="B428" i="3"/>
  <c r="A428" i="3"/>
  <c r="M427" i="3"/>
  <c r="K427" i="3"/>
  <c r="J427" i="3"/>
  <c r="G427" i="3"/>
  <c r="E427" i="3"/>
  <c r="C427" i="3"/>
  <c r="B427" i="3"/>
  <c r="A427" i="3"/>
  <c r="M426" i="3"/>
  <c r="K426" i="3"/>
  <c r="J426" i="3"/>
  <c r="G426" i="3"/>
  <c r="E426" i="3"/>
  <c r="C426" i="3"/>
  <c r="B426" i="3"/>
  <c r="A426" i="3"/>
  <c r="M425" i="3"/>
  <c r="K425" i="3"/>
  <c r="J425" i="3"/>
  <c r="G425" i="3"/>
  <c r="E425" i="3"/>
  <c r="C425" i="3"/>
  <c r="B425" i="3"/>
  <c r="A425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424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423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A422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A421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A420" i="3"/>
  <c r="M419" i="3"/>
  <c r="K419" i="3"/>
  <c r="J419" i="3"/>
  <c r="G419" i="3"/>
  <c r="E419" i="3"/>
  <c r="C419" i="3"/>
  <c r="B419" i="3"/>
  <c r="A419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A418" i="3"/>
  <c r="M417" i="3"/>
  <c r="K417" i="3"/>
  <c r="J417" i="3"/>
  <c r="G417" i="3"/>
  <c r="E417" i="3"/>
  <c r="C417" i="3"/>
  <c r="B417" i="3"/>
  <c r="A417" i="3"/>
  <c r="M416" i="3"/>
  <c r="L416" i="3"/>
  <c r="K416" i="3"/>
  <c r="J416" i="3"/>
  <c r="G416" i="3"/>
  <c r="E416" i="3"/>
  <c r="C416" i="3"/>
  <c r="B416" i="3"/>
  <c r="A416" i="3"/>
  <c r="M415" i="3"/>
  <c r="K415" i="3"/>
  <c r="J415" i="3"/>
  <c r="G415" i="3"/>
  <c r="E415" i="3"/>
  <c r="C415" i="3"/>
  <c r="B415" i="3"/>
  <c r="A415" i="3"/>
  <c r="M414" i="3"/>
  <c r="K414" i="3"/>
  <c r="J414" i="3"/>
  <c r="G414" i="3"/>
  <c r="E414" i="3"/>
  <c r="C414" i="3"/>
  <c r="B414" i="3"/>
  <c r="A414" i="3"/>
  <c r="M413" i="3"/>
  <c r="K413" i="3"/>
  <c r="J413" i="3"/>
  <c r="G413" i="3"/>
  <c r="E413" i="3"/>
  <c r="C413" i="3"/>
  <c r="B413" i="3"/>
  <c r="A413" i="3"/>
  <c r="M412" i="3"/>
  <c r="K412" i="3"/>
  <c r="J412" i="3"/>
  <c r="G412" i="3"/>
  <c r="E412" i="3"/>
  <c r="C412" i="3"/>
  <c r="B412" i="3"/>
  <c r="A412" i="3"/>
  <c r="M411" i="3"/>
  <c r="K411" i="3"/>
  <c r="J411" i="3"/>
  <c r="G411" i="3"/>
  <c r="E411" i="3"/>
  <c r="C411" i="3"/>
  <c r="B411" i="3"/>
  <c r="A411" i="3"/>
  <c r="P410" i="3"/>
  <c r="O410" i="3"/>
  <c r="M410" i="3"/>
  <c r="K410" i="3"/>
  <c r="J410" i="3"/>
  <c r="G410" i="3"/>
  <c r="E410" i="3"/>
  <c r="C410" i="3"/>
  <c r="B410" i="3"/>
  <c r="A410" i="3"/>
  <c r="M409" i="3"/>
  <c r="L409" i="3"/>
  <c r="K409" i="3"/>
  <c r="J409" i="3"/>
  <c r="G409" i="3"/>
  <c r="E409" i="3"/>
  <c r="C409" i="3"/>
  <c r="B409" i="3"/>
  <c r="A409" i="3"/>
  <c r="M408" i="3"/>
  <c r="K408" i="3"/>
  <c r="J408" i="3"/>
  <c r="G408" i="3"/>
  <c r="E408" i="3"/>
  <c r="C408" i="3"/>
  <c r="B408" i="3"/>
  <c r="A408" i="3"/>
  <c r="M407" i="3"/>
  <c r="K407" i="3"/>
  <c r="J407" i="3"/>
  <c r="G407" i="3"/>
  <c r="E407" i="3"/>
  <c r="C407" i="3"/>
  <c r="B407" i="3"/>
  <c r="A407" i="3"/>
  <c r="M406" i="3"/>
  <c r="K406" i="3"/>
  <c r="J406" i="3"/>
  <c r="G406" i="3"/>
  <c r="E406" i="3"/>
  <c r="C406" i="3"/>
  <c r="B406" i="3"/>
  <c r="A406" i="3"/>
  <c r="M405" i="3"/>
  <c r="K405" i="3"/>
  <c r="J405" i="3"/>
  <c r="G405" i="3"/>
  <c r="E405" i="3"/>
  <c r="C405" i="3"/>
  <c r="B405" i="3"/>
  <c r="A405" i="3"/>
  <c r="M404" i="3"/>
  <c r="K404" i="3"/>
  <c r="J404" i="3"/>
  <c r="G404" i="3"/>
  <c r="E404" i="3"/>
  <c r="C404" i="3"/>
  <c r="B404" i="3"/>
  <c r="A404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403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A402" i="3"/>
  <c r="M401" i="3"/>
  <c r="K401" i="3"/>
  <c r="J401" i="3"/>
  <c r="G401" i="3"/>
  <c r="E401" i="3"/>
  <c r="C401" i="3"/>
  <c r="B401" i="3"/>
  <c r="A401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A400" i="3"/>
  <c r="M399" i="3"/>
  <c r="K399" i="3"/>
  <c r="J399" i="3"/>
  <c r="H399" i="3"/>
  <c r="G399" i="3"/>
  <c r="F399" i="3"/>
  <c r="E399" i="3"/>
  <c r="C399" i="3"/>
  <c r="B399" i="3"/>
  <c r="A399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A398" i="3"/>
  <c r="M397" i="3"/>
  <c r="K397" i="3"/>
  <c r="J397" i="3"/>
  <c r="G397" i="3"/>
  <c r="E397" i="3"/>
  <c r="C397" i="3"/>
  <c r="B397" i="3"/>
  <c r="A397" i="3"/>
  <c r="M396" i="3"/>
  <c r="K396" i="3"/>
  <c r="J396" i="3"/>
  <c r="G396" i="3"/>
  <c r="E396" i="3"/>
  <c r="C396" i="3"/>
  <c r="B396" i="3"/>
  <c r="A396" i="3"/>
  <c r="M395" i="3"/>
  <c r="K395" i="3"/>
  <c r="J395" i="3"/>
  <c r="G395" i="3"/>
  <c r="E395" i="3"/>
  <c r="C395" i="3"/>
  <c r="B395" i="3"/>
  <c r="A395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A394" i="3"/>
  <c r="P393" i="3"/>
  <c r="O393" i="3"/>
  <c r="N393" i="3"/>
  <c r="M393" i="3"/>
  <c r="L393" i="3"/>
  <c r="K393" i="3"/>
  <c r="J393" i="3"/>
  <c r="G393" i="3"/>
  <c r="F393" i="3"/>
  <c r="E393" i="3"/>
  <c r="C393" i="3"/>
  <c r="B393" i="3"/>
  <c r="A393" i="3"/>
  <c r="M392" i="3"/>
  <c r="K392" i="3"/>
  <c r="J392" i="3"/>
  <c r="G392" i="3"/>
  <c r="F392" i="3"/>
  <c r="E392" i="3"/>
  <c r="C392" i="3"/>
  <c r="B392" i="3"/>
  <c r="A392" i="3"/>
  <c r="M391" i="3"/>
  <c r="L391" i="3"/>
  <c r="K391" i="3"/>
  <c r="J391" i="3"/>
  <c r="G391" i="3"/>
  <c r="E391" i="3"/>
  <c r="C391" i="3"/>
  <c r="B391" i="3"/>
  <c r="A391" i="3"/>
  <c r="P390" i="3"/>
  <c r="M390" i="3"/>
  <c r="K390" i="3"/>
  <c r="J390" i="3"/>
  <c r="G390" i="3"/>
  <c r="E390" i="3"/>
  <c r="C390" i="3"/>
  <c r="B390" i="3"/>
  <c r="A390" i="3"/>
  <c r="M389" i="3"/>
  <c r="L389" i="3"/>
  <c r="K389" i="3"/>
  <c r="J389" i="3"/>
  <c r="G389" i="3"/>
  <c r="E389" i="3"/>
  <c r="C389" i="3"/>
  <c r="B389" i="3"/>
  <c r="A389" i="3"/>
  <c r="M388" i="3"/>
  <c r="K388" i="3"/>
  <c r="J388" i="3"/>
  <c r="G388" i="3"/>
  <c r="E388" i="3"/>
  <c r="C388" i="3"/>
  <c r="B388" i="3"/>
  <c r="A388" i="3"/>
  <c r="M387" i="3"/>
  <c r="K387" i="3"/>
  <c r="J387" i="3"/>
  <c r="G387" i="3"/>
  <c r="E387" i="3"/>
  <c r="C387" i="3"/>
  <c r="B387" i="3"/>
  <c r="A387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M381" i="3"/>
  <c r="K381" i="3"/>
  <c r="J381" i="3"/>
  <c r="G381" i="3"/>
  <c r="E381" i="3"/>
  <c r="C381" i="3"/>
  <c r="B381" i="3"/>
  <c r="A381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M379" i="3"/>
  <c r="K379" i="3"/>
  <c r="J379" i="3"/>
  <c r="G379" i="3"/>
  <c r="E379" i="3"/>
  <c r="C379" i="3"/>
  <c r="B379" i="3"/>
  <c r="A379" i="3"/>
  <c r="M378" i="3"/>
  <c r="L378" i="3"/>
  <c r="K378" i="3"/>
  <c r="J378" i="3"/>
  <c r="H378" i="3"/>
  <c r="G378" i="3"/>
  <c r="F378" i="3"/>
  <c r="E378" i="3"/>
  <c r="C378" i="3"/>
  <c r="B378" i="3"/>
  <c r="A378" i="3"/>
  <c r="M377" i="3"/>
  <c r="L377" i="3"/>
  <c r="K377" i="3"/>
  <c r="J377" i="3"/>
  <c r="H377" i="3"/>
  <c r="G377" i="3"/>
  <c r="F377" i="3"/>
  <c r="E377" i="3"/>
  <c r="C377" i="3"/>
  <c r="B377" i="3"/>
  <c r="A377" i="3"/>
  <c r="M376" i="3"/>
  <c r="L376" i="3"/>
  <c r="K376" i="3"/>
  <c r="J376" i="3"/>
  <c r="H376" i="3"/>
  <c r="G376" i="3"/>
  <c r="F376" i="3"/>
  <c r="E376" i="3"/>
  <c r="C376" i="3"/>
  <c r="B376" i="3"/>
  <c r="A376" i="3"/>
  <c r="P375" i="3"/>
  <c r="O375" i="3"/>
  <c r="M375" i="3"/>
  <c r="L375" i="3"/>
  <c r="K375" i="3"/>
  <c r="J375" i="3"/>
  <c r="G375" i="3"/>
  <c r="F375" i="3"/>
  <c r="E375" i="3"/>
  <c r="C375" i="3"/>
  <c r="B375" i="3"/>
  <c r="A375" i="3"/>
  <c r="M374" i="3"/>
  <c r="K374" i="3"/>
  <c r="J374" i="3"/>
  <c r="G374" i="3"/>
  <c r="E374" i="3"/>
  <c r="C374" i="3"/>
  <c r="B374" i="3"/>
  <c r="A374" i="3"/>
  <c r="M373" i="3"/>
  <c r="K373" i="3"/>
  <c r="J373" i="3"/>
  <c r="G373" i="3"/>
  <c r="F373" i="3"/>
  <c r="E373" i="3"/>
  <c r="C373" i="3"/>
  <c r="B373" i="3"/>
  <c r="A373" i="3"/>
  <c r="M372" i="3"/>
  <c r="K372" i="3"/>
  <c r="J372" i="3"/>
  <c r="G372" i="3"/>
  <c r="E372" i="3"/>
  <c r="C372" i="3"/>
  <c r="B372" i="3"/>
  <c r="A372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M370" i="3"/>
  <c r="K370" i="3"/>
  <c r="J370" i="3"/>
  <c r="G370" i="3"/>
  <c r="E370" i="3"/>
  <c r="C370" i="3"/>
  <c r="B370" i="3"/>
  <c r="A370" i="3"/>
  <c r="N369" i="3"/>
  <c r="M369" i="3"/>
  <c r="K369" i="3"/>
  <c r="J369" i="3"/>
  <c r="G369" i="3"/>
  <c r="E369" i="3"/>
  <c r="C369" i="3"/>
  <c r="B369" i="3"/>
  <c r="A369" i="3"/>
  <c r="M368" i="3"/>
  <c r="K368" i="3"/>
  <c r="J368" i="3"/>
  <c r="G368" i="3"/>
  <c r="E368" i="3"/>
  <c r="C368" i="3"/>
  <c r="B368" i="3"/>
  <c r="A368" i="3"/>
  <c r="M367" i="3"/>
  <c r="K367" i="3"/>
  <c r="J367" i="3"/>
  <c r="G367" i="3"/>
  <c r="E367" i="3"/>
  <c r="C367" i="3"/>
  <c r="B367" i="3"/>
  <c r="A367" i="3"/>
  <c r="M366" i="3"/>
  <c r="K366" i="3"/>
  <c r="J366" i="3"/>
  <c r="G366" i="3"/>
  <c r="E366" i="3"/>
  <c r="C366" i="3"/>
  <c r="B366" i="3"/>
  <c r="A366" i="3"/>
  <c r="M365" i="3"/>
  <c r="K365" i="3"/>
  <c r="J365" i="3"/>
  <c r="G365" i="3"/>
  <c r="E365" i="3"/>
  <c r="C365" i="3"/>
  <c r="B365" i="3"/>
  <c r="A365" i="3"/>
  <c r="M364" i="3"/>
  <c r="K364" i="3"/>
  <c r="J364" i="3"/>
  <c r="G364" i="3"/>
  <c r="E364" i="3"/>
  <c r="C364" i="3"/>
  <c r="B364" i="3"/>
  <c r="A364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M361" i="3"/>
  <c r="K361" i="3"/>
  <c r="J361" i="3"/>
  <c r="G361" i="3"/>
  <c r="E361" i="3"/>
  <c r="C361" i="3"/>
  <c r="B361" i="3"/>
  <c r="A361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M359" i="3"/>
  <c r="K359" i="3"/>
  <c r="J359" i="3"/>
  <c r="G359" i="3"/>
  <c r="E359" i="3"/>
  <c r="C359" i="3"/>
  <c r="B359" i="3"/>
  <c r="A359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M357" i="3"/>
  <c r="K357" i="3"/>
  <c r="J357" i="3"/>
  <c r="G357" i="3"/>
  <c r="E357" i="3"/>
  <c r="C357" i="3"/>
  <c r="B357" i="3"/>
  <c r="A357" i="3"/>
  <c r="M356" i="3"/>
  <c r="K356" i="3"/>
  <c r="J356" i="3"/>
  <c r="G356" i="3"/>
  <c r="E356" i="3"/>
  <c r="C356" i="3"/>
  <c r="B356" i="3"/>
  <c r="A356" i="3"/>
  <c r="M355" i="3"/>
  <c r="K355" i="3"/>
  <c r="J355" i="3"/>
  <c r="G355" i="3"/>
  <c r="E355" i="3"/>
  <c r="C355" i="3"/>
  <c r="B355" i="3"/>
  <c r="A355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M353" i="3"/>
  <c r="K353" i="3"/>
  <c r="J353" i="3"/>
  <c r="G353" i="3"/>
  <c r="E353" i="3"/>
  <c r="C353" i="3"/>
  <c r="B353" i="3"/>
  <c r="A353" i="3"/>
  <c r="M352" i="3"/>
  <c r="K352" i="3"/>
  <c r="J352" i="3"/>
  <c r="G352" i="3"/>
  <c r="E352" i="3"/>
  <c r="C352" i="3"/>
  <c r="B352" i="3"/>
  <c r="A352" i="3"/>
  <c r="M351" i="3"/>
  <c r="K351" i="3"/>
  <c r="J351" i="3"/>
  <c r="G351" i="3"/>
  <c r="E351" i="3"/>
  <c r="C351" i="3"/>
  <c r="B351" i="3"/>
  <c r="A351" i="3"/>
  <c r="M350" i="3"/>
  <c r="K350" i="3"/>
  <c r="J350" i="3"/>
  <c r="G350" i="3"/>
  <c r="E350" i="3"/>
  <c r="C350" i="3"/>
  <c r="B350" i="3"/>
  <c r="A350" i="3"/>
  <c r="M349" i="3"/>
  <c r="K349" i="3"/>
  <c r="J349" i="3"/>
  <c r="G349" i="3"/>
  <c r="E349" i="3"/>
  <c r="C349" i="3"/>
  <c r="B349" i="3"/>
  <c r="A349" i="3"/>
  <c r="M348" i="3"/>
  <c r="K348" i="3"/>
  <c r="J348" i="3"/>
  <c r="G348" i="3"/>
  <c r="E348" i="3"/>
  <c r="C348" i="3"/>
  <c r="B348" i="3"/>
  <c r="A348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M345" i="3"/>
  <c r="K345" i="3"/>
  <c r="J345" i="3"/>
  <c r="G345" i="3"/>
  <c r="E345" i="3"/>
  <c r="C345" i="3"/>
  <c r="B345" i="3"/>
  <c r="A345" i="3"/>
  <c r="M344" i="3"/>
  <c r="K344" i="3"/>
  <c r="J344" i="3"/>
  <c r="G344" i="3"/>
  <c r="E344" i="3"/>
  <c r="C344" i="3"/>
  <c r="B344" i="3"/>
  <c r="A344" i="3"/>
  <c r="M343" i="3"/>
  <c r="K343" i="3"/>
  <c r="J343" i="3"/>
  <c r="G343" i="3"/>
  <c r="E343" i="3"/>
  <c r="C343" i="3"/>
  <c r="B343" i="3"/>
  <c r="A343" i="3"/>
  <c r="M342" i="3"/>
  <c r="K342" i="3"/>
  <c r="J342" i="3"/>
  <c r="G342" i="3"/>
  <c r="E342" i="3"/>
  <c r="C342" i="3"/>
  <c r="B342" i="3"/>
  <c r="A342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M334" i="3"/>
  <c r="K334" i="3"/>
  <c r="J334" i="3"/>
  <c r="G334" i="3"/>
  <c r="E334" i="3"/>
  <c r="C334" i="3"/>
  <c r="B334" i="3"/>
  <c r="A334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M332" i="3"/>
  <c r="K332" i="3"/>
  <c r="J332" i="3"/>
  <c r="G332" i="3"/>
  <c r="E332" i="3"/>
  <c r="C332" i="3"/>
  <c r="B332" i="3"/>
  <c r="A332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M330" i="3"/>
  <c r="K330" i="3"/>
  <c r="J330" i="3"/>
  <c r="G330" i="3"/>
  <c r="E330" i="3"/>
  <c r="C330" i="3"/>
  <c r="B330" i="3"/>
  <c r="A330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M328" i="3"/>
  <c r="K328" i="3"/>
  <c r="J328" i="3"/>
  <c r="G328" i="3"/>
  <c r="E328" i="3"/>
  <c r="C328" i="3"/>
  <c r="B328" i="3"/>
  <c r="A328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M326" i="3"/>
  <c r="K326" i="3"/>
  <c r="J326" i="3"/>
  <c r="G326" i="3"/>
  <c r="E326" i="3"/>
  <c r="C326" i="3"/>
  <c r="B326" i="3"/>
  <c r="A326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M324" i="3"/>
  <c r="K324" i="3"/>
  <c r="J324" i="3"/>
  <c r="G324" i="3"/>
  <c r="E324" i="3"/>
  <c r="C324" i="3"/>
  <c r="B324" i="3"/>
  <c r="A324" i="3"/>
  <c r="M323" i="3"/>
  <c r="K323" i="3"/>
  <c r="J323" i="3"/>
  <c r="G323" i="3"/>
  <c r="E323" i="3"/>
  <c r="C323" i="3"/>
  <c r="B323" i="3"/>
  <c r="A323" i="3"/>
  <c r="M322" i="3"/>
  <c r="K322" i="3"/>
  <c r="J322" i="3"/>
  <c r="H322" i="3"/>
  <c r="G322" i="3"/>
  <c r="E322" i="3"/>
  <c r="C322" i="3"/>
  <c r="B322" i="3"/>
  <c r="A322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M319" i="3"/>
  <c r="K319" i="3"/>
  <c r="J319" i="3"/>
  <c r="G319" i="3"/>
  <c r="E319" i="3"/>
  <c r="C319" i="3"/>
  <c r="B319" i="3"/>
  <c r="A319" i="3"/>
  <c r="M318" i="3"/>
  <c r="K318" i="3"/>
  <c r="J318" i="3"/>
  <c r="G318" i="3"/>
  <c r="E318" i="3"/>
  <c r="C318" i="3"/>
  <c r="B318" i="3"/>
  <c r="A318" i="3"/>
  <c r="M317" i="3"/>
  <c r="K317" i="3"/>
  <c r="J317" i="3"/>
  <c r="G317" i="3"/>
  <c r="E317" i="3"/>
  <c r="C317" i="3"/>
  <c r="B317" i="3"/>
  <c r="A317" i="3"/>
  <c r="M316" i="3"/>
  <c r="K316" i="3"/>
  <c r="J316" i="3"/>
  <c r="G316" i="3"/>
  <c r="E316" i="3"/>
  <c r="C316" i="3"/>
  <c r="B316" i="3"/>
  <c r="A316" i="3"/>
  <c r="M315" i="3"/>
  <c r="K315" i="3"/>
  <c r="J315" i="3"/>
  <c r="G315" i="3"/>
  <c r="E315" i="3"/>
  <c r="C315" i="3"/>
  <c r="B315" i="3"/>
  <c r="A315" i="3"/>
  <c r="M314" i="3"/>
  <c r="K314" i="3"/>
  <c r="J314" i="3"/>
  <c r="G314" i="3"/>
  <c r="E314" i="3"/>
  <c r="C314" i="3"/>
  <c r="B314" i="3"/>
  <c r="A314" i="3"/>
  <c r="M313" i="3"/>
  <c r="K313" i="3"/>
  <c r="J313" i="3"/>
  <c r="G313" i="3"/>
  <c r="E313" i="3"/>
  <c r="C313" i="3"/>
  <c r="B313" i="3"/>
  <c r="A313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M311" i="3"/>
  <c r="K311" i="3"/>
  <c r="J311" i="3"/>
  <c r="G311" i="3"/>
  <c r="E311" i="3"/>
  <c r="C311" i="3"/>
  <c r="B311" i="3"/>
  <c r="A311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M307" i="3"/>
  <c r="K307" i="3"/>
  <c r="J307" i="3"/>
  <c r="G307" i="3"/>
  <c r="E307" i="3"/>
  <c r="C307" i="3"/>
  <c r="B307" i="3"/>
  <c r="A307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M305" i="3"/>
  <c r="K305" i="3"/>
  <c r="J305" i="3"/>
  <c r="G305" i="3"/>
  <c r="E305" i="3"/>
  <c r="C305" i="3"/>
  <c r="B305" i="3"/>
  <c r="A305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M303" i="3"/>
  <c r="K303" i="3"/>
  <c r="J303" i="3"/>
  <c r="G303" i="3"/>
  <c r="E303" i="3"/>
  <c r="C303" i="3"/>
  <c r="B303" i="3"/>
  <c r="A303" i="3"/>
  <c r="M302" i="3"/>
  <c r="K302" i="3"/>
  <c r="J302" i="3"/>
  <c r="G302" i="3"/>
  <c r="E302" i="3"/>
  <c r="C302" i="3"/>
  <c r="B302" i="3"/>
  <c r="A302" i="3"/>
  <c r="M301" i="3"/>
  <c r="K301" i="3"/>
  <c r="J301" i="3"/>
  <c r="G301" i="3"/>
  <c r="E301" i="3"/>
  <c r="C301" i="3"/>
  <c r="B301" i="3"/>
  <c r="A301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M299" i="3"/>
  <c r="K299" i="3"/>
  <c r="J299" i="3"/>
  <c r="G299" i="3"/>
  <c r="E299" i="3"/>
  <c r="C299" i="3"/>
  <c r="B299" i="3"/>
  <c r="A299" i="3"/>
  <c r="M298" i="3"/>
  <c r="K298" i="3"/>
  <c r="J298" i="3"/>
  <c r="G298" i="3"/>
  <c r="E298" i="3"/>
  <c r="C298" i="3"/>
  <c r="B298" i="3"/>
  <c r="A298" i="3"/>
  <c r="M297" i="3"/>
  <c r="K297" i="3"/>
  <c r="J297" i="3"/>
  <c r="G297" i="3"/>
  <c r="E297" i="3"/>
  <c r="C297" i="3"/>
  <c r="B297" i="3"/>
  <c r="A297" i="3"/>
  <c r="M296" i="3"/>
  <c r="K296" i="3"/>
  <c r="J296" i="3"/>
  <c r="G296" i="3"/>
  <c r="E296" i="3"/>
  <c r="C296" i="3"/>
  <c r="B296" i="3"/>
  <c r="A296" i="3"/>
  <c r="M295" i="3"/>
  <c r="K295" i="3"/>
  <c r="J295" i="3"/>
  <c r="G295" i="3"/>
  <c r="E295" i="3"/>
  <c r="C295" i="3"/>
  <c r="B295" i="3"/>
  <c r="A295" i="3"/>
  <c r="M294" i="3"/>
  <c r="K294" i="3"/>
  <c r="J294" i="3"/>
  <c r="G294" i="3"/>
  <c r="E294" i="3"/>
  <c r="C294" i="3"/>
  <c r="B294" i="3"/>
  <c r="A294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M291" i="3"/>
  <c r="K291" i="3"/>
  <c r="J291" i="3"/>
  <c r="G291" i="3"/>
  <c r="E291" i="3"/>
  <c r="C291" i="3"/>
  <c r="B291" i="3"/>
  <c r="A291" i="3"/>
  <c r="M290" i="3"/>
  <c r="K290" i="3"/>
  <c r="J290" i="3"/>
  <c r="G290" i="3"/>
  <c r="E290" i="3"/>
  <c r="C290" i="3"/>
  <c r="B290" i="3"/>
  <c r="A290" i="3"/>
  <c r="M289" i="3"/>
  <c r="K289" i="3"/>
  <c r="J289" i="3"/>
  <c r="G289" i="3"/>
  <c r="E289" i="3"/>
  <c r="C289" i="3"/>
  <c r="B289" i="3"/>
  <c r="A289" i="3"/>
  <c r="M288" i="3"/>
  <c r="K288" i="3"/>
  <c r="J288" i="3"/>
  <c r="G288" i="3"/>
  <c r="E288" i="3"/>
  <c r="C288" i="3"/>
  <c r="B288" i="3"/>
  <c r="A288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M280" i="3"/>
  <c r="K280" i="3"/>
  <c r="J280" i="3"/>
  <c r="G280" i="3"/>
  <c r="E280" i="3"/>
  <c r="C280" i="3"/>
  <c r="B280" i="3"/>
  <c r="A280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M278" i="3"/>
  <c r="K278" i="3"/>
  <c r="J278" i="3"/>
  <c r="G278" i="3"/>
  <c r="E278" i="3"/>
  <c r="C278" i="3"/>
  <c r="B278" i="3"/>
  <c r="A278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M276" i="3"/>
  <c r="K276" i="3"/>
  <c r="J276" i="3"/>
  <c r="G276" i="3"/>
  <c r="E276" i="3"/>
  <c r="C276" i="3"/>
  <c r="B276" i="3"/>
  <c r="A276" i="3"/>
  <c r="M275" i="3"/>
  <c r="K275" i="3"/>
  <c r="J275" i="3"/>
  <c r="G275" i="3"/>
  <c r="E275" i="3"/>
  <c r="C275" i="3"/>
  <c r="B275" i="3"/>
  <c r="A275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M273" i="3"/>
  <c r="K273" i="3"/>
  <c r="J273" i="3"/>
  <c r="G273" i="3"/>
  <c r="E273" i="3"/>
  <c r="C273" i="3"/>
  <c r="B273" i="3"/>
  <c r="A273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M271" i="3"/>
  <c r="K271" i="3"/>
  <c r="J271" i="3"/>
  <c r="G271" i="3"/>
  <c r="E271" i="3"/>
  <c r="C271" i="3"/>
  <c r="B271" i="3"/>
  <c r="A271" i="3"/>
  <c r="M270" i="3"/>
  <c r="K270" i="3"/>
  <c r="J270" i="3"/>
  <c r="G270" i="3"/>
  <c r="E270" i="3"/>
  <c r="C270" i="3"/>
  <c r="B270" i="3"/>
  <c r="A270" i="3"/>
  <c r="M269" i="3"/>
  <c r="K269" i="3"/>
  <c r="J269" i="3"/>
  <c r="G269" i="3"/>
  <c r="E269" i="3"/>
  <c r="C269" i="3"/>
  <c r="B269" i="3"/>
  <c r="A269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M267" i="3"/>
  <c r="K267" i="3"/>
  <c r="J267" i="3"/>
  <c r="G267" i="3"/>
  <c r="E267" i="3"/>
  <c r="C267" i="3"/>
  <c r="B267" i="3"/>
  <c r="A267" i="3"/>
  <c r="M266" i="3"/>
  <c r="K266" i="3"/>
  <c r="J266" i="3"/>
  <c r="G266" i="3"/>
  <c r="E266" i="3"/>
  <c r="C266" i="3"/>
  <c r="B266" i="3"/>
  <c r="A266" i="3"/>
  <c r="M265" i="3"/>
  <c r="K265" i="3"/>
  <c r="J265" i="3"/>
  <c r="G265" i="3"/>
  <c r="E265" i="3"/>
  <c r="C265" i="3"/>
  <c r="B265" i="3"/>
  <c r="A265" i="3"/>
  <c r="M264" i="3"/>
  <c r="K264" i="3"/>
  <c r="J264" i="3"/>
  <c r="G264" i="3"/>
  <c r="E264" i="3"/>
  <c r="C264" i="3"/>
  <c r="B264" i="3"/>
  <c r="A264" i="3"/>
  <c r="M263" i="3"/>
  <c r="K263" i="3"/>
  <c r="J263" i="3"/>
  <c r="G263" i="3"/>
  <c r="E263" i="3"/>
  <c r="C263" i="3"/>
  <c r="B263" i="3"/>
  <c r="A263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M260" i="3"/>
  <c r="K260" i="3"/>
  <c r="J260" i="3"/>
  <c r="G260" i="3"/>
  <c r="E260" i="3"/>
  <c r="C260" i="3"/>
  <c r="B260" i="3"/>
  <c r="A260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M258" i="3"/>
  <c r="K258" i="3"/>
  <c r="J258" i="3"/>
  <c r="G258" i="3"/>
  <c r="E258" i="3"/>
  <c r="C258" i="3"/>
  <c r="B258" i="3"/>
  <c r="A258" i="3"/>
  <c r="M257" i="3"/>
  <c r="K257" i="3"/>
  <c r="J257" i="3"/>
  <c r="G257" i="3"/>
  <c r="E257" i="3"/>
  <c r="C257" i="3"/>
  <c r="B257" i="3"/>
  <c r="A257" i="3"/>
  <c r="M256" i="3"/>
  <c r="K256" i="3"/>
  <c r="J256" i="3"/>
  <c r="G256" i="3"/>
  <c r="E256" i="3"/>
  <c r="C256" i="3"/>
  <c r="B256" i="3"/>
  <c r="A256" i="3"/>
  <c r="M255" i="3"/>
  <c r="K255" i="3"/>
  <c r="J255" i="3"/>
  <c r="G255" i="3"/>
  <c r="E255" i="3"/>
  <c r="C255" i="3"/>
  <c r="B255" i="3"/>
  <c r="A255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M252" i="3"/>
  <c r="K252" i="3"/>
  <c r="J252" i="3"/>
  <c r="G252" i="3"/>
  <c r="E252" i="3"/>
  <c r="C252" i="3"/>
  <c r="B252" i="3"/>
  <c r="A252" i="3"/>
  <c r="M251" i="3"/>
  <c r="K251" i="3"/>
  <c r="J251" i="3"/>
  <c r="G251" i="3"/>
  <c r="E251" i="3"/>
  <c r="C251" i="3"/>
  <c r="B251" i="3"/>
  <c r="A251" i="3"/>
  <c r="M250" i="3"/>
  <c r="K250" i="3"/>
  <c r="J250" i="3"/>
  <c r="G250" i="3"/>
  <c r="E250" i="3"/>
  <c r="C250" i="3"/>
  <c r="B250" i="3"/>
  <c r="A250" i="3"/>
  <c r="M249" i="3"/>
  <c r="K249" i="3"/>
  <c r="J249" i="3"/>
  <c r="G249" i="3"/>
  <c r="E249" i="3"/>
  <c r="C249" i="3"/>
  <c r="B249" i="3"/>
  <c r="A249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M246" i="3"/>
  <c r="K246" i="3"/>
  <c r="J246" i="3"/>
  <c r="G246" i="3"/>
  <c r="E246" i="3"/>
  <c r="C246" i="3"/>
  <c r="B246" i="3"/>
  <c r="A246" i="3"/>
  <c r="M245" i="3"/>
  <c r="K245" i="3"/>
  <c r="J245" i="3"/>
  <c r="G245" i="3"/>
  <c r="E245" i="3"/>
  <c r="C245" i="3"/>
  <c r="B245" i="3"/>
  <c r="A245" i="3"/>
  <c r="M244" i="3"/>
  <c r="K244" i="3"/>
  <c r="J244" i="3"/>
  <c r="G244" i="3"/>
  <c r="E244" i="3"/>
  <c r="C244" i="3"/>
  <c r="B244" i="3"/>
  <c r="A244" i="3"/>
  <c r="M243" i="3"/>
  <c r="K243" i="3"/>
  <c r="J243" i="3"/>
  <c r="G243" i="3"/>
  <c r="E243" i="3"/>
  <c r="C243" i="3"/>
  <c r="B243" i="3"/>
  <c r="A243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M235" i="3"/>
  <c r="K235" i="3"/>
  <c r="J235" i="3"/>
  <c r="G235" i="3"/>
  <c r="E235" i="3"/>
  <c r="C235" i="3"/>
  <c r="B235" i="3"/>
  <c r="A235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M233" i="3"/>
  <c r="K233" i="3"/>
  <c r="J233" i="3"/>
  <c r="G233" i="3"/>
  <c r="E233" i="3"/>
  <c r="C233" i="3"/>
  <c r="B233" i="3"/>
  <c r="A233" i="3"/>
  <c r="M232" i="3"/>
  <c r="K232" i="3"/>
  <c r="J232" i="3"/>
  <c r="G232" i="3"/>
  <c r="E232" i="3"/>
  <c r="C232" i="3"/>
  <c r="B232" i="3"/>
  <c r="A232" i="3"/>
  <c r="M231" i="3"/>
  <c r="K231" i="3"/>
  <c r="J231" i="3"/>
  <c r="G231" i="3"/>
  <c r="E231" i="3"/>
  <c r="C231" i="3"/>
  <c r="B231" i="3"/>
  <c r="A231" i="3"/>
  <c r="M230" i="3"/>
  <c r="K230" i="3"/>
  <c r="J230" i="3"/>
  <c r="G230" i="3"/>
  <c r="E230" i="3"/>
  <c r="C230" i="3"/>
  <c r="B230" i="3"/>
  <c r="A230" i="3"/>
  <c r="M229" i="3"/>
  <c r="K229" i="3"/>
  <c r="J229" i="3"/>
  <c r="G229" i="3"/>
  <c r="E229" i="3"/>
  <c r="C229" i="3"/>
  <c r="B229" i="3"/>
  <c r="A229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M226" i="3"/>
  <c r="K226" i="3"/>
  <c r="J226" i="3"/>
  <c r="G226" i="3"/>
  <c r="E226" i="3"/>
  <c r="C226" i="3"/>
  <c r="B226" i="3"/>
  <c r="A226" i="3"/>
  <c r="M225" i="3"/>
  <c r="K225" i="3"/>
  <c r="J225" i="3"/>
  <c r="G225" i="3"/>
  <c r="E225" i="3"/>
  <c r="C225" i="3"/>
  <c r="B225" i="3"/>
  <c r="A225" i="3"/>
  <c r="M224" i="3"/>
  <c r="K224" i="3"/>
  <c r="J224" i="3"/>
  <c r="G224" i="3"/>
  <c r="E224" i="3"/>
  <c r="C224" i="3"/>
  <c r="B224" i="3"/>
  <c r="A224" i="3"/>
  <c r="M223" i="3"/>
  <c r="K223" i="3"/>
  <c r="J223" i="3"/>
  <c r="G223" i="3"/>
  <c r="E223" i="3"/>
  <c r="C223" i="3"/>
  <c r="B223" i="3"/>
  <c r="A223" i="3"/>
  <c r="M222" i="3"/>
  <c r="K222" i="3"/>
  <c r="J222" i="3"/>
  <c r="G222" i="3"/>
  <c r="E222" i="3"/>
  <c r="C222" i="3"/>
  <c r="B222" i="3"/>
  <c r="A222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M220" i="3"/>
  <c r="K220" i="3"/>
  <c r="J220" i="3"/>
  <c r="G220" i="3"/>
  <c r="E220" i="3"/>
  <c r="C220" i="3"/>
  <c r="B220" i="3"/>
  <c r="A220" i="3"/>
  <c r="M219" i="3"/>
  <c r="K219" i="3"/>
  <c r="J219" i="3"/>
  <c r="G219" i="3"/>
  <c r="E219" i="3"/>
  <c r="C219" i="3"/>
  <c r="B219" i="3"/>
  <c r="A219" i="3"/>
  <c r="M218" i="3"/>
  <c r="K218" i="3"/>
  <c r="J218" i="3"/>
  <c r="G218" i="3"/>
  <c r="E218" i="3"/>
  <c r="C218" i="3"/>
  <c r="B218" i="3"/>
  <c r="A218" i="3"/>
  <c r="M217" i="3"/>
  <c r="K217" i="3"/>
  <c r="J217" i="3"/>
  <c r="G217" i="3"/>
  <c r="E217" i="3"/>
  <c r="C217" i="3"/>
  <c r="B217" i="3"/>
  <c r="A217" i="3"/>
  <c r="M216" i="3"/>
  <c r="K216" i="3"/>
  <c r="J216" i="3"/>
  <c r="G216" i="3"/>
  <c r="E216" i="3"/>
  <c r="C216" i="3"/>
  <c r="B216" i="3"/>
  <c r="A216" i="3"/>
  <c r="M215" i="3"/>
  <c r="K215" i="3"/>
  <c r="J215" i="3"/>
  <c r="G215" i="3"/>
  <c r="E215" i="3"/>
  <c r="C215" i="3"/>
  <c r="B215" i="3"/>
  <c r="A215" i="3"/>
  <c r="M214" i="3"/>
  <c r="K214" i="3"/>
  <c r="J214" i="3"/>
  <c r="G214" i="3"/>
  <c r="E214" i="3"/>
  <c r="C214" i="3"/>
  <c r="B214" i="3"/>
  <c r="A214" i="3"/>
  <c r="M213" i="3"/>
  <c r="K213" i="3"/>
  <c r="J213" i="3"/>
  <c r="G213" i="3"/>
  <c r="E213" i="3"/>
  <c r="C213" i="3"/>
  <c r="B213" i="3"/>
  <c r="A213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M208" i="3"/>
  <c r="K208" i="3"/>
  <c r="J208" i="3"/>
  <c r="G208" i="3"/>
  <c r="E208" i="3"/>
  <c r="C208" i="3"/>
  <c r="B208" i="3"/>
  <c r="A208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M206" i="3"/>
  <c r="K206" i="3"/>
  <c r="J206" i="3"/>
  <c r="G206" i="3"/>
  <c r="E206" i="3"/>
  <c r="C206" i="3"/>
  <c r="B206" i="3"/>
  <c r="A206" i="3"/>
  <c r="M205" i="3"/>
  <c r="K205" i="3"/>
  <c r="J205" i="3"/>
  <c r="G205" i="3"/>
  <c r="E205" i="3"/>
  <c r="C205" i="3"/>
  <c r="B205" i="3"/>
  <c r="A205" i="3"/>
  <c r="M204" i="3"/>
  <c r="K204" i="3"/>
  <c r="J204" i="3"/>
  <c r="G204" i="3"/>
  <c r="E204" i="3"/>
  <c r="C204" i="3"/>
  <c r="B204" i="3"/>
  <c r="A204" i="3"/>
  <c r="M203" i="3"/>
  <c r="K203" i="3"/>
  <c r="J203" i="3"/>
  <c r="G203" i="3"/>
  <c r="E203" i="3"/>
  <c r="C203" i="3"/>
  <c r="B203" i="3"/>
  <c r="A203" i="3"/>
  <c r="M202" i="3"/>
  <c r="K202" i="3"/>
  <c r="J202" i="3"/>
  <c r="G202" i="3"/>
  <c r="E202" i="3"/>
  <c r="C202" i="3"/>
  <c r="B202" i="3"/>
  <c r="A202" i="3"/>
  <c r="M201" i="3"/>
  <c r="K201" i="3"/>
  <c r="J201" i="3"/>
  <c r="G201" i="3"/>
  <c r="E201" i="3"/>
  <c r="C201" i="3"/>
  <c r="B201" i="3"/>
  <c r="A201" i="3"/>
  <c r="M200" i="3"/>
  <c r="K200" i="3"/>
  <c r="J200" i="3"/>
  <c r="G200" i="3"/>
  <c r="E200" i="3"/>
  <c r="C200" i="3"/>
  <c r="B200" i="3"/>
  <c r="A200" i="3"/>
  <c r="M199" i="3"/>
  <c r="K199" i="3"/>
  <c r="J199" i="3"/>
  <c r="G199" i="3"/>
  <c r="E199" i="3"/>
  <c r="C199" i="3"/>
  <c r="B199" i="3"/>
  <c r="A199" i="3"/>
  <c r="M198" i="3"/>
  <c r="K198" i="3"/>
  <c r="J198" i="3"/>
  <c r="G198" i="3"/>
  <c r="E198" i="3"/>
  <c r="C198" i="3"/>
  <c r="B198" i="3"/>
  <c r="A198" i="3"/>
  <c r="M197" i="3"/>
  <c r="K197" i="3"/>
  <c r="J197" i="3"/>
  <c r="G197" i="3"/>
  <c r="E197" i="3"/>
  <c r="C197" i="3"/>
  <c r="B197" i="3"/>
  <c r="A197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M194" i="3"/>
  <c r="K194" i="3"/>
  <c r="J194" i="3"/>
  <c r="G194" i="3"/>
  <c r="E194" i="3"/>
  <c r="C194" i="3"/>
  <c r="B194" i="3"/>
  <c r="A194" i="3"/>
  <c r="M193" i="3"/>
  <c r="K193" i="3"/>
  <c r="J193" i="3"/>
  <c r="G193" i="3"/>
  <c r="E193" i="3"/>
  <c r="C193" i="3"/>
  <c r="B193" i="3"/>
  <c r="A193" i="3"/>
  <c r="M192" i="3"/>
  <c r="K192" i="3"/>
  <c r="J192" i="3"/>
  <c r="G192" i="3"/>
  <c r="E192" i="3"/>
  <c r="C192" i="3"/>
  <c r="B192" i="3"/>
  <c r="A192" i="3"/>
  <c r="M191" i="3"/>
  <c r="K191" i="3"/>
  <c r="J191" i="3"/>
  <c r="G191" i="3"/>
  <c r="E191" i="3"/>
  <c r="C191" i="3"/>
  <c r="B191" i="3"/>
  <c r="A191" i="3"/>
  <c r="M190" i="3"/>
  <c r="K190" i="3"/>
  <c r="J190" i="3"/>
  <c r="G190" i="3"/>
  <c r="E190" i="3"/>
  <c r="C190" i="3"/>
  <c r="B190" i="3"/>
  <c r="A190" i="3"/>
  <c r="M189" i="3"/>
  <c r="K189" i="3"/>
  <c r="J189" i="3"/>
  <c r="G189" i="3"/>
  <c r="E189" i="3"/>
  <c r="C189" i="3"/>
  <c r="B189" i="3"/>
  <c r="A189" i="3"/>
  <c r="M188" i="3"/>
  <c r="K188" i="3"/>
  <c r="J188" i="3"/>
  <c r="G188" i="3"/>
  <c r="E188" i="3"/>
  <c r="C188" i="3"/>
  <c r="B188" i="3"/>
  <c r="A188" i="3"/>
  <c r="M187" i="3"/>
  <c r="K187" i="3"/>
  <c r="J187" i="3"/>
  <c r="G187" i="3"/>
  <c r="E187" i="3"/>
  <c r="C187" i="3"/>
  <c r="B187" i="3"/>
  <c r="A187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M185" i="3"/>
  <c r="K185" i="3"/>
  <c r="J185" i="3"/>
  <c r="G185" i="3"/>
  <c r="E185" i="3"/>
  <c r="C185" i="3"/>
  <c r="B185" i="3"/>
  <c r="A185" i="3"/>
  <c r="M184" i="3"/>
  <c r="K184" i="3"/>
  <c r="J184" i="3"/>
  <c r="G184" i="3"/>
  <c r="E184" i="3"/>
  <c r="C184" i="3"/>
  <c r="B184" i="3"/>
  <c r="A184" i="3"/>
  <c r="M183" i="3"/>
  <c r="K183" i="3"/>
  <c r="J183" i="3"/>
  <c r="G183" i="3"/>
  <c r="E183" i="3"/>
  <c r="C183" i="3"/>
  <c r="B183" i="3"/>
  <c r="A183" i="3"/>
  <c r="M182" i="3"/>
  <c r="K182" i="3"/>
  <c r="J182" i="3"/>
  <c r="G182" i="3"/>
  <c r="E182" i="3"/>
  <c r="C182" i="3"/>
  <c r="B182" i="3"/>
  <c r="A182" i="3"/>
  <c r="M181" i="3"/>
  <c r="K181" i="3"/>
  <c r="J181" i="3"/>
  <c r="G181" i="3"/>
  <c r="E181" i="3"/>
  <c r="C181" i="3"/>
  <c r="B181" i="3"/>
  <c r="A181" i="3"/>
  <c r="M180" i="3"/>
  <c r="K180" i="3"/>
  <c r="J180" i="3"/>
  <c r="G180" i="3"/>
  <c r="E180" i="3"/>
  <c r="C180" i="3"/>
  <c r="B180" i="3"/>
  <c r="A180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C178" i="3"/>
  <c r="B178" i="3"/>
  <c r="A178" i="3"/>
  <c r="M177" i="3"/>
  <c r="K177" i="3"/>
  <c r="J177" i="3"/>
  <c r="G177" i="3"/>
  <c r="E177" i="3"/>
  <c r="C177" i="3"/>
  <c r="B177" i="3"/>
  <c r="A177" i="3"/>
  <c r="M176" i="3"/>
  <c r="K176" i="3"/>
  <c r="J176" i="3"/>
  <c r="G176" i="3"/>
  <c r="E176" i="3"/>
  <c r="C176" i="3"/>
  <c r="B176" i="3"/>
  <c r="A176" i="3"/>
  <c r="M175" i="3"/>
  <c r="K175" i="3"/>
  <c r="J175" i="3"/>
  <c r="G175" i="3"/>
  <c r="E175" i="3"/>
  <c r="C175" i="3"/>
  <c r="B175" i="3"/>
  <c r="A175" i="3"/>
  <c r="M174" i="3"/>
  <c r="K174" i="3"/>
  <c r="J174" i="3"/>
  <c r="G174" i="3"/>
  <c r="E174" i="3"/>
  <c r="C174" i="3"/>
  <c r="B174" i="3"/>
  <c r="A174" i="3"/>
  <c r="M173" i="3"/>
  <c r="K173" i="3"/>
  <c r="J173" i="3"/>
  <c r="G173" i="3"/>
  <c r="E173" i="3"/>
  <c r="C173" i="3"/>
  <c r="B173" i="3"/>
  <c r="A173" i="3"/>
  <c r="M172" i="3"/>
  <c r="K172" i="3"/>
  <c r="J172" i="3"/>
  <c r="G172" i="3"/>
  <c r="E172" i="3"/>
  <c r="C172" i="3"/>
  <c r="B172" i="3"/>
  <c r="A172" i="3"/>
  <c r="M171" i="3"/>
  <c r="K171" i="3"/>
  <c r="J171" i="3"/>
  <c r="G171" i="3"/>
  <c r="E171" i="3"/>
  <c r="C171" i="3"/>
  <c r="B171" i="3"/>
  <c r="A171" i="3"/>
  <c r="M170" i="3"/>
  <c r="K170" i="3"/>
  <c r="J170" i="3"/>
  <c r="G170" i="3"/>
  <c r="E170" i="3"/>
  <c r="C170" i="3"/>
  <c r="B170" i="3"/>
  <c r="A170" i="3"/>
  <c r="M169" i="3"/>
  <c r="K169" i="3"/>
  <c r="J169" i="3"/>
  <c r="G169" i="3"/>
  <c r="E169" i="3"/>
  <c r="C169" i="3"/>
  <c r="B169" i="3"/>
  <c r="A169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M167" i="3"/>
  <c r="K167" i="3"/>
  <c r="J167" i="3"/>
  <c r="G167" i="3"/>
  <c r="E167" i="3"/>
  <c r="C167" i="3"/>
  <c r="B167" i="3"/>
  <c r="A167" i="3"/>
  <c r="M166" i="3"/>
  <c r="K166" i="3"/>
  <c r="J166" i="3"/>
  <c r="G166" i="3"/>
  <c r="E166" i="3"/>
  <c r="C166" i="3"/>
  <c r="B166" i="3"/>
  <c r="A166" i="3"/>
  <c r="M165" i="3"/>
  <c r="K165" i="3"/>
  <c r="J165" i="3"/>
  <c r="G165" i="3"/>
  <c r="E165" i="3"/>
  <c r="C165" i="3"/>
  <c r="B165" i="3"/>
  <c r="A165" i="3"/>
  <c r="M164" i="3"/>
  <c r="K164" i="3"/>
  <c r="J164" i="3"/>
  <c r="G164" i="3"/>
  <c r="E164" i="3"/>
  <c r="C164" i="3"/>
  <c r="B164" i="3"/>
  <c r="A164" i="3"/>
  <c r="M163" i="3"/>
  <c r="K163" i="3"/>
  <c r="J163" i="3"/>
  <c r="G163" i="3"/>
  <c r="E163" i="3"/>
  <c r="C163" i="3"/>
  <c r="B163" i="3"/>
  <c r="A163" i="3"/>
  <c r="M162" i="3"/>
  <c r="K162" i="3"/>
  <c r="J162" i="3"/>
  <c r="G162" i="3"/>
  <c r="E162" i="3"/>
  <c r="C162" i="3"/>
  <c r="B162" i="3"/>
  <c r="A162" i="3"/>
  <c r="M161" i="3"/>
  <c r="K161" i="3"/>
  <c r="J161" i="3"/>
  <c r="G161" i="3"/>
  <c r="E161" i="3"/>
  <c r="C161" i="3"/>
  <c r="B161" i="3"/>
  <c r="A161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M155" i="3"/>
  <c r="K155" i="3"/>
  <c r="J155" i="3"/>
  <c r="G155" i="3"/>
  <c r="E155" i="3"/>
  <c r="C155" i="3"/>
  <c r="B155" i="3"/>
  <c r="A155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M153" i="3"/>
  <c r="K153" i="3"/>
  <c r="J153" i="3"/>
  <c r="G153" i="3"/>
  <c r="E153" i="3"/>
  <c r="C153" i="3"/>
  <c r="B153" i="3"/>
  <c r="A153" i="3"/>
  <c r="M152" i="3"/>
  <c r="K152" i="3"/>
  <c r="J152" i="3"/>
  <c r="G152" i="3"/>
  <c r="E152" i="3"/>
  <c r="C152" i="3"/>
  <c r="B152" i="3"/>
  <c r="A152" i="3"/>
  <c r="M151" i="3"/>
  <c r="K151" i="3"/>
  <c r="J151" i="3"/>
  <c r="G151" i="3"/>
  <c r="E151" i="3"/>
  <c r="C151" i="3"/>
  <c r="B151" i="3"/>
  <c r="A151" i="3"/>
  <c r="M150" i="3"/>
  <c r="K150" i="3"/>
  <c r="J150" i="3"/>
  <c r="G150" i="3"/>
  <c r="E150" i="3"/>
  <c r="C150" i="3"/>
  <c r="B150" i="3"/>
  <c r="A150" i="3"/>
  <c r="M149" i="3"/>
  <c r="K149" i="3"/>
  <c r="J149" i="3"/>
  <c r="G149" i="3"/>
  <c r="E149" i="3"/>
  <c r="C149" i="3"/>
  <c r="B149" i="3"/>
  <c r="A149" i="3"/>
  <c r="M148" i="3"/>
  <c r="K148" i="3"/>
  <c r="J148" i="3"/>
  <c r="G148" i="3"/>
  <c r="E148" i="3"/>
  <c r="C148" i="3"/>
  <c r="B148" i="3"/>
  <c r="A148" i="3"/>
  <c r="M147" i="3"/>
  <c r="K147" i="3"/>
  <c r="J147" i="3"/>
  <c r="G147" i="3"/>
  <c r="E147" i="3"/>
  <c r="C147" i="3"/>
  <c r="B147" i="3"/>
  <c r="A147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M144" i="3"/>
  <c r="K144" i="3"/>
  <c r="J144" i="3"/>
  <c r="G144" i="3"/>
  <c r="E144" i="3"/>
  <c r="C144" i="3"/>
  <c r="B144" i="3"/>
  <c r="A144" i="3"/>
  <c r="M143" i="3"/>
  <c r="K143" i="3"/>
  <c r="J143" i="3"/>
  <c r="G143" i="3"/>
  <c r="E143" i="3"/>
  <c r="C143" i="3"/>
  <c r="B143" i="3"/>
  <c r="A143" i="3"/>
  <c r="M142" i="3"/>
  <c r="K142" i="3"/>
  <c r="J142" i="3"/>
  <c r="G142" i="3"/>
  <c r="E142" i="3"/>
  <c r="C142" i="3"/>
  <c r="B142" i="3"/>
  <c r="A142" i="3"/>
  <c r="M141" i="3"/>
  <c r="K141" i="3"/>
  <c r="J141" i="3"/>
  <c r="G141" i="3"/>
  <c r="E141" i="3"/>
  <c r="C141" i="3"/>
  <c r="B141" i="3"/>
  <c r="A141" i="3"/>
  <c r="M140" i="3"/>
  <c r="K140" i="3"/>
  <c r="J140" i="3"/>
  <c r="G140" i="3"/>
  <c r="E140" i="3"/>
  <c r="C140" i="3"/>
  <c r="B140" i="3"/>
  <c r="A140" i="3"/>
  <c r="M139" i="3"/>
  <c r="K139" i="3"/>
  <c r="J139" i="3"/>
  <c r="G139" i="3"/>
  <c r="E139" i="3"/>
  <c r="C139" i="3"/>
  <c r="B139" i="3"/>
  <c r="A139" i="3"/>
  <c r="M138" i="3"/>
  <c r="K138" i="3"/>
  <c r="J138" i="3"/>
  <c r="G138" i="3"/>
  <c r="E138" i="3"/>
  <c r="C138" i="3"/>
  <c r="B138" i="3"/>
  <c r="A138" i="3"/>
  <c r="M137" i="3"/>
  <c r="K137" i="3"/>
  <c r="J137" i="3"/>
  <c r="G137" i="3"/>
  <c r="E137" i="3"/>
  <c r="C137" i="3"/>
  <c r="B137" i="3"/>
  <c r="A137" i="3"/>
  <c r="M136" i="3"/>
  <c r="K136" i="3"/>
  <c r="J136" i="3"/>
  <c r="G136" i="3"/>
  <c r="E136" i="3"/>
  <c r="C136" i="3"/>
  <c r="B136" i="3"/>
  <c r="A136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M133" i="3"/>
  <c r="K133" i="3"/>
  <c r="J133" i="3"/>
  <c r="G133" i="3"/>
  <c r="E133" i="3"/>
  <c r="C133" i="3"/>
  <c r="B133" i="3"/>
  <c r="A133" i="3"/>
  <c r="M132" i="3"/>
  <c r="K132" i="3"/>
  <c r="J132" i="3"/>
  <c r="G132" i="3"/>
  <c r="E132" i="3"/>
  <c r="C132" i="3"/>
  <c r="B132" i="3"/>
  <c r="A132" i="3"/>
  <c r="M131" i="3"/>
  <c r="K131" i="3"/>
  <c r="J131" i="3"/>
  <c r="G131" i="3"/>
  <c r="E131" i="3"/>
  <c r="C131" i="3"/>
  <c r="B131" i="3"/>
  <c r="A131" i="3"/>
  <c r="M130" i="3"/>
  <c r="K130" i="3"/>
  <c r="J130" i="3"/>
  <c r="G130" i="3"/>
  <c r="E130" i="3"/>
  <c r="C130" i="3"/>
  <c r="B130" i="3"/>
  <c r="A130" i="3"/>
  <c r="M129" i="3"/>
  <c r="K129" i="3"/>
  <c r="J129" i="3"/>
  <c r="G129" i="3"/>
  <c r="E129" i="3"/>
  <c r="C129" i="3"/>
  <c r="B129" i="3"/>
  <c r="A129" i="3"/>
  <c r="M128" i="3"/>
  <c r="K128" i="3"/>
  <c r="J128" i="3"/>
  <c r="G128" i="3"/>
  <c r="E128" i="3"/>
  <c r="C128" i="3"/>
  <c r="B128" i="3"/>
  <c r="A128" i="3"/>
  <c r="M127" i="3"/>
  <c r="K127" i="3"/>
  <c r="J127" i="3"/>
  <c r="G127" i="3"/>
  <c r="E127" i="3"/>
  <c r="C127" i="3"/>
  <c r="B127" i="3"/>
  <c r="A127" i="3"/>
  <c r="M126" i="3"/>
  <c r="K126" i="3"/>
  <c r="J126" i="3"/>
  <c r="G126" i="3"/>
  <c r="E126" i="3"/>
  <c r="C126" i="3"/>
  <c r="B126" i="3"/>
  <c r="A126" i="3"/>
  <c r="M125" i="3"/>
  <c r="K125" i="3"/>
  <c r="J125" i="3"/>
  <c r="G125" i="3"/>
  <c r="E125" i="3"/>
  <c r="C125" i="3"/>
  <c r="B125" i="3"/>
  <c r="A125" i="3"/>
  <c r="M124" i="3"/>
  <c r="K124" i="3"/>
  <c r="J124" i="3"/>
  <c r="G124" i="3"/>
  <c r="E124" i="3"/>
  <c r="C124" i="3"/>
  <c r="B124" i="3"/>
  <c r="A124" i="3"/>
  <c r="M123" i="3"/>
  <c r="K123" i="3"/>
  <c r="J123" i="3"/>
  <c r="G123" i="3"/>
  <c r="E123" i="3"/>
  <c r="C123" i="3"/>
  <c r="B123" i="3"/>
  <c r="A123" i="3"/>
  <c r="M122" i="3"/>
  <c r="K122" i="3"/>
  <c r="J122" i="3"/>
  <c r="G122" i="3"/>
  <c r="E122" i="3"/>
  <c r="C122" i="3"/>
  <c r="B122" i="3"/>
  <c r="A122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M116" i="3"/>
  <c r="K116" i="3"/>
  <c r="J116" i="3"/>
  <c r="G116" i="3"/>
  <c r="E116" i="3"/>
  <c r="C116" i="3"/>
  <c r="B116" i="3"/>
  <c r="A116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M114" i="3"/>
  <c r="K114" i="3"/>
  <c r="J114" i="3"/>
  <c r="G114" i="3"/>
  <c r="E114" i="3"/>
  <c r="C114" i="3"/>
  <c r="B114" i="3"/>
  <c r="A114" i="3"/>
  <c r="M113" i="3"/>
  <c r="K113" i="3"/>
  <c r="J113" i="3"/>
  <c r="G113" i="3"/>
  <c r="E113" i="3"/>
  <c r="C113" i="3"/>
  <c r="B113" i="3"/>
  <c r="A113" i="3"/>
  <c r="M112" i="3"/>
  <c r="K112" i="3"/>
  <c r="J112" i="3"/>
  <c r="G112" i="3"/>
  <c r="E112" i="3"/>
  <c r="C112" i="3"/>
  <c r="B112" i="3"/>
  <c r="A112" i="3"/>
  <c r="M111" i="3"/>
  <c r="K111" i="3"/>
  <c r="J111" i="3"/>
  <c r="G111" i="3"/>
  <c r="E111" i="3"/>
  <c r="C111" i="3"/>
  <c r="B111" i="3"/>
  <c r="A111" i="3"/>
  <c r="M110" i="3"/>
  <c r="K110" i="3"/>
  <c r="J110" i="3"/>
  <c r="G110" i="3"/>
  <c r="E110" i="3"/>
  <c r="C110" i="3"/>
  <c r="B110" i="3"/>
  <c r="A110" i="3"/>
  <c r="M109" i="3"/>
  <c r="K109" i="3"/>
  <c r="J109" i="3"/>
  <c r="G109" i="3"/>
  <c r="E109" i="3"/>
  <c r="C109" i="3"/>
  <c r="B109" i="3"/>
  <c r="A109" i="3"/>
  <c r="M108" i="3"/>
  <c r="K108" i="3"/>
  <c r="J108" i="3"/>
  <c r="G108" i="3"/>
  <c r="E108" i="3"/>
  <c r="C108" i="3"/>
  <c r="B108" i="3"/>
  <c r="A108" i="3"/>
  <c r="M107" i="3"/>
  <c r="K107" i="3"/>
  <c r="J107" i="3"/>
  <c r="G107" i="3"/>
  <c r="E107" i="3"/>
  <c r="C107" i="3"/>
  <c r="B107" i="3"/>
  <c r="A107" i="3"/>
  <c r="M106" i="3"/>
  <c r="K106" i="3"/>
  <c r="J106" i="3"/>
  <c r="G106" i="3"/>
  <c r="E106" i="3"/>
  <c r="C106" i="3"/>
  <c r="B106" i="3"/>
  <c r="A106" i="3"/>
  <c r="M105" i="3"/>
  <c r="K105" i="3"/>
  <c r="J105" i="3"/>
  <c r="G105" i="3"/>
  <c r="E105" i="3"/>
  <c r="C105" i="3"/>
  <c r="B105" i="3"/>
  <c r="A105" i="3"/>
  <c r="M104" i="3"/>
  <c r="K104" i="3"/>
  <c r="J104" i="3"/>
  <c r="G104" i="3"/>
  <c r="E104" i="3"/>
  <c r="C104" i="3"/>
  <c r="B104" i="3"/>
  <c r="A104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M101" i="3"/>
  <c r="K101" i="3"/>
  <c r="J101" i="3"/>
  <c r="G101" i="3"/>
  <c r="E101" i="3"/>
  <c r="C101" i="3"/>
  <c r="B101" i="3"/>
  <c r="A101" i="3"/>
  <c r="M100" i="3"/>
  <c r="K100" i="3"/>
  <c r="J100" i="3"/>
  <c r="G100" i="3"/>
  <c r="E100" i="3"/>
  <c r="C100" i="3"/>
  <c r="B100" i="3"/>
  <c r="A100" i="3"/>
  <c r="M99" i="3"/>
  <c r="K99" i="3"/>
  <c r="J99" i="3"/>
  <c r="G99" i="3"/>
  <c r="E99" i="3"/>
  <c r="C99" i="3"/>
  <c r="B99" i="3"/>
  <c r="A99" i="3"/>
  <c r="M98" i="3"/>
  <c r="K98" i="3"/>
  <c r="J98" i="3"/>
  <c r="G98" i="3"/>
  <c r="E98" i="3"/>
  <c r="C98" i="3"/>
  <c r="B98" i="3"/>
  <c r="A98" i="3"/>
  <c r="M97" i="3"/>
  <c r="K97" i="3"/>
  <c r="J97" i="3"/>
  <c r="G97" i="3"/>
  <c r="E97" i="3"/>
  <c r="C97" i="3"/>
  <c r="B97" i="3"/>
  <c r="A97" i="3"/>
  <c r="M96" i="3"/>
  <c r="K96" i="3"/>
  <c r="J96" i="3"/>
  <c r="G96" i="3"/>
  <c r="E96" i="3"/>
  <c r="C96" i="3"/>
  <c r="B96" i="3"/>
  <c r="A96" i="3"/>
  <c r="M95" i="3"/>
  <c r="K95" i="3"/>
  <c r="J95" i="3"/>
  <c r="G95" i="3"/>
  <c r="E95" i="3"/>
  <c r="C95" i="3"/>
  <c r="B95" i="3"/>
  <c r="A95" i="3"/>
  <c r="M94" i="3"/>
  <c r="K94" i="3"/>
  <c r="J94" i="3"/>
  <c r="G94" i="3"/>
  <c r="E94" i="3"/>
  <c r="C94" i="3"/>
  <c r="B94" i="3"/>
  <c r="A94" i="3"/>
  <c r="M93" i="3"/>
  <c r="K93" i="3"/>
  <c r="J93" i="3"/>
  <c r="G93" i="3"/>
  <c r="E93" i="3"/>
  <c r="C93" i="3"/>
  <c r="B93" i="3"/>
  <c r="A93" i="3"/>
  <c r="M92" i="3"/>
  <c r="K92" i="3"/>
  <c r="J92" i="3"/>
  <c r="G92" i="3"/>
  <c r="E92" i="3"/>
  <c r="C92" i="3"/>
  <c r="B92" i="3"/>
  <c r="A92" i="3"/>
  <c r="M91" i="3"/>
  <c r="K91" i="3"/>
  <c r="J91" i="3"/>
  <c r="G91" i="3"/>
  <c r="E91" i="3"/>
  <c r="C91" i="3"/>
  <c r="B91" i="3"/>
  <c r="A91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M88" i="3"/>
  <c r="K88" i="3"/>
  <c r="J88" i="3"/>
  <c r="G88" i="3"/>
  <c r="E88" i="3"/>
  <c r="C88" i="3"/>
  <c r="B88" i="3"/>
  <c r="A88" i="3"/>
  <c r="M87" i="3"/>
  <c r="K87" i="3"/>
  <c r="J87" i="3"/>
  <c r="G87" i="3"/>
  <c r="E87" i="3"/>
  <c r="C87" i="3"/>
  <c r="B87" i="3"/>
  <c r="A87" i="3"/>
  <c r="M86" i="3"/>
  <c r="K86" i="3"/>
  <c r="J86" i="3"/>
  <c r="G86" i="3"/>
  <c r="E86" i="3"/>
  <c r="C86" i="3"/>
  <c r="B86" i="3"/>
  <c r="A86" i="3"/>
  <c r="M85" i="3"/>
  <c r="K85" i="3"/>
  <c r="J85" i="3"/>
  <c r="G85" i="3"/>
  <c r="E85" i="3"/>
  <c r="C85" i="3"/>
  <c r="B85" i="3"/>
  <c r="A85" i="3"/>
  <c r="M84" i="3"/>
  <c r="K84" i="3"/>
  <c r="J84" i="3"/>
  <c r="G84" i="3"/>
  <c r="E84" i="3"/>
  <c r="C84" i="3"/>
  <c r="B84" i="3"/>
  <c r="A84" i="3"/>
  <c r="M83" i="3"/>
  <c r="K83" i="3"/>
  <c r="J83" i="3"/>
  <c r="G83" i="3"/>
  <c r="E83" i="3"/>
  <c r="C83" i="3"/>
  <c r="B83" i="3"/>
  <c r="A83" i="3"/>
  <c r="M82" i="3"/>
  <c r="K82" i="3"/>
  <c r="J82" i="3"/>
  <c r="G82" i="3"/>
  <c r="E82" i="3"/>
  <c r="C82" i="3"/>
  <c r="B82" i="3"/>
  <c r="A82" i="3"/>
  <c r="M81" i="3"/>
  <c r="K81" i="3"/>
  <c r="J81" i="3"/>
  <c r="G81" i="3"/>
  <c r="E81" i="3"/>
  <c r="C81" i="3"/>
  <c r="B81" i="3"/>
  <c r="A81" i="3"/>
  <c r="M80" i="3"/>
  <c r="K80" i="3"/>
  <c r="J80" i="3"/>
  <c r="G80" i="3"/>
  <c r="E80" i="3"/>
  <c r="C80" i="3"/>
  <c r="B80" i="3"/>
  <c r="A80" i="3"/>
  <c r="M79" i="3"/>
  <c r="K79" i="3"/>
  <c r="J79" i="3"/>
  <c r="G79" i="3"/>
  <c r="E79" i="3"/>
  <c r="C79" i="3"/>
  <c r="B79" i="3"/>
  <c r="A79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M75" i="3"/>
  <c r="K75" i="3"/>
  <c r="J75" i="3"/>
  <c r="G75" i="3"/>
  <c r="E75" i="3"/>
  <c r="C75" i="3"/>
  <c r="B75" i="3"/>
  <c r="A75" i="3"/>
  <c r="M74" i="3"/>
  <c r="K74" i="3"/>
  <c r="J74" i="3"/>
  <c r="G74" i="3"/>
  <c r="E74" i="3"/>
  <c r="C74" i="3"/>
  <c r="B74" i="3"/>
  <c r="A74" i="3"/>
  <c r="M73" i="3"/>
  <c r="K73" i="3"/>
  <c r="J73" i="3"/>
  <c r="G73" i="3"/>
  <c r="E73" i="3"/>
  <c r="C73" i="3"/>
  <c r="B73" i="3"/>
  <c r="A73" i="3"/>
  <c r="M72" i="3"/>
  <c r="K72" i="3"/>
  <c r="J72" i="3"/>
  <c r="G72" i="3"/>
  <c r="E72" i="3"/>
  <c r="C72" i="3"/>
  <c r="B72" i="3"/>
  <c r="A72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E66" i="3"/>
  <c r="D66" i="3"/>
  <c r="C66" i="3"/>
  <c r="B66" i="3"/>
  <c r="A66" i="3"/>
  <c r="M65" i="3"/>
  <c r="K65" i="3"/>
  <c r="J65" i="3"/>
  <c r="G65" i="3"/>
  <c r="E65" i="3"/>
  <c r="C65" i="3"/>
  <c r="B65" i="3"/>
  <c r="A65" i="3"/>
  <c r="M64" i="3"/>
  <c r="K64" i="3"/>
  <c r="J64" i="3"/>
  <c r="G64" i="3"/>
  <c r="E64" i="3"/>
  <c r="C64" i="3"/>
  <c r="B64" i="3"/>
  <c r="A64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M62" i="3"/>
  <c r="K62" i="3"/>
  <c r="J62" i="3"/>
  <c r="G62" i="3"/>
  <c r="E62" i="3"/>
  <c r="C62" i="3"/>
  <c r="B62" i="3"/>
  <c r="A62" i="3"/>
  <c r="M61" i="3"/>
  <c r="G61" i="3"/>
  <c r="E61" i="3"/>
  <c r="C61" i="3"/>
  <c r="B61" i="3"/>
  <c r="A61" i="3"/>
  <c r="O60" i="3"/>
  <c r="M60" i="3"/>
  <c r="G60" i="3"/>
  <c r="F60" i="3"/>
  <c r="G53" i="33" s="1"/>
  <c r="E60" i="3"/>
  <c r="D60" i="3"/>
  <c r="C60" i="3"/>
  <c r="B60" i="3"/>
  <c r="A60" i="3"/>
  <c r="M59" i="3"/>
  <c r="G59" i="3"/>
  <c r="E59" i="3"/>
  <c r="C59" i="3"/>
  <c r="B59" i="3"/>
  <c r="A59" i="3"/>
  <c r="M58" i="3"/>
  <c r="G58" i="3"/>
  <c r="E58" i="3"/>
  <c r="C58" i="3"/>
  <c r="B58" i="3"/>
  <c r="A58" i="3"/>
  <c r="M57" i="3"/>
  <c r="G57" i="3"/>
  <c r="E57" i="3"/>
  <c r="C57" i="3"/>
  <c r="B57" i="3"/>
  <c r="A57" i="3"/>
  <c r="M56" i="3"/>
  <c r="K56" i="3"/>
  <c r="J56" i="3"/>
  <c r="G56" i="3"/>
  <c r="E56" i="3"/>
  <c r="C56" i="3"/>
  <c r="B56" i="3"/>
  <c r="A56" i="3"/>
  <c r="M55" i="3"/>
  <c r="K55" i="3"/>
  <c r="J55" i="3"/>
  <c r="G55" i="3"/>
  <c r="E55" i="3"/>
  <c r="C55" i="3"/>
  <c r="B55" i="3"/>
  <c r="A55" i="3"/>
  <c r="M54" i="3"/>
  <c r="K54" i="3"/>
  <c r="J54" i="3"/>
  <c r="G54" i="3"/>
  <c r="E54" i="3"/>
  <c r="C54" i="3"/>
  <c r="B54" i="3"/>
  <c r="A54" i="3"/>
  <c r="M53" i="3"/>
  <c r="K53" i="3"/>
  <c r="J53" i="3"/>
  <c r="G53" i="3"/>
  <c r="E53" i="3"/>
  <c r="C53" i="3"/>
  <c r="B53" i="3"/>
  <c r="A53" i="3"/>
  <c r="M52" i="3"/>
  <c r="K52" i="3"/>
  <c r="J52" i="3"/>
  <c r="G52" i="3"/>
  <c r="E52" i="3"/>
  <c r="C52" i="3"/>
  <c r="B52" i="3"/>
  <c r="A52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M49" i="3"/>
  <c r="K49" i="3"/>
  <c r="J49" i="3"/>
  <c r="G49" i="3"/>
  <c r="E49" i="3"/>
  <c r="C49" i="3"/>
  <c r="B49" i="3"/>
  <c r="A49" i="3"/>
  <c r="E48" i="3"/>
  <c r="D48" i="3"/>
  <c r="C48" i="3"/>
  <c r="B48" i="3"/>
  <c r="A48" i="3"/>
  <c r="E47" i="3"/>
  <c r="D47" i="3"/>
  <c r="C47" i="3"/>
  <c r="B47" i="3"/>
  <c r="A47" i="3"/>
  <c r="M46" i="3"/>
  <c r="K46" i="3"/>
  <c r="J46" i="3"/>
  <c r="G46" i="3"/>
  <c r="E46" i="3"/>
  <c r="C46" i="3"/>
  <c r="B46" i="3"/>
  <c r="A46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M44" i="3"/>
  <c r="K44" i="3"/>
  <c r="J44" i="3"/>
  <c r="G44" i="3"/>
  <c r="E44" i="3"/>
  <c r="C44" i="3"/>
  <c r="B44" i="3"/>
  <c r="A44" i="3"/>
  <c r="M43" i="3"/>
  <c r="K43" i="3"/>
  <c r="J43" i="3"/>
  <c r="G43" i="3"/>
  <c r="F43" i="3"/>
  <c r="E43" i="3"/>
  <c r="C43" i="3"/>
  <c r="B43" i="3"/>
  <c r="A43" i="3"/>
  <c r="M42" i="3"/>
  <c r="K42" i="3"/>
  <c r="J42" i="3"/>
  <c r="G42" i="3"/>
  <c r="E42" i="3"/>
  <c r="C42" i="3"/>
  <c r="B42" i="3"/>
  <c r="A42" i="3"/>
  <c r="M41" i="3"/>
  <c r="K41" i="3"/>
  <c r="J41" i="3"/>
  <c r="G41" i="3"/>
  <c r="E41" i="3"/>
  <c r="C41" i="3"/>
  <c r="B41" i="3"/>
  <c r="A41" i="3"/>
  <c r="M40" i="3"/>
  <c r="K40" i="3"/>
  <c r="J40" i="3"/>
  <c r="G40" i="3"/>
  <c r="E40" i="3"/>
  <c r="C40" i="3"/>
  <c r="B40" i="3"/>
  <c r="A40" i="3"/>
  <c r="M39" i="3"/>
  <c r="K39" i="3"/>
  <c r="J39" i="3"/>
  <c r="G39" i="3"/>
  <c r="E39" i="3"/>
  <c r="C39" i="3"/>
  <c r="B39" i="3"/>
  <c r="A39" i="3"/>
  <c r="M38" i="3"/>
  <c r="K38" i="3"/>
  <c r="J38" i="3"/>
  <c r="G38" i="3"/>
  <c r="E38" i="3"/>
  <c r="C38" i="3"/>
  <c r="B38" i="3"/>
  <c r="A38" i="3"/>
  <c r="M37" i="3"/>
  <c r="K37" i="3"/>
  <c r="J37" i="3"/>
  <c r="G37" i="3"/>
  <c r="E37" i="3"/>
  <c r="C37" i="3"/>
  <c r="B37" i="3"/>
  <c r="A37" i="3"/>
  <c r="M36" i="3"/>
  <c r="K36" i="3"/>
  <c r="J36" i="3"/>
  <c r="G36" i="3"/>
  <c r="E36" i="3"/>
  <c r="C36" i="3"/>
  <c r="B36" i="3"/>
  <c r="A36" i="3"/>
  <c r="M35" i="3"/>
  <c r="K35" i="3"/>
  <c r="J35" i="3"/>
  <c r="G35" i="3"/>
  <c r="E35" i="3"/>
  <c r="C35" i="3"/>
  <c r="B35" i="3"/>
  <c r="A35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M32" i="3"/>
  <c r="K32" i="3"/>
  <c r="J32" i="3"/>
  <c r="G32" i="3"/>
  <c r="E32" i="3"/>
  <c r="C32" i="3"/>
  <c r="B32" i="3"/>
  <c r="A32" i="3"/>
  <c r="M31" i="3"/>
  <c r="K31" i="3"/>
  <c r="J31" i="3"/>
  <c r="G31" i="3"/>
  <c r="E31" i="3"/>
  <c r="C31" i="3"/>
  <c r="B31" i="3"/>
  <c r="A31" i="3"/>
  <c r="M30" i="3"/>
  <c r="K30" i="3"/>
  <c r="J30" i="3"/>
  <c r="G30" i="3"/>
  <c r="E30" i="3"/>
  <c r="C30" i="3"/>
  <c r="B30" i="3"/>
  <c r="A30" i="3"/>
  <c r="M29" i="3"/>
  <c r="K29" i="3"/>
  <c r="J29" i="3"/>
  <c r="G29" i="3"/>
  <c r="E29" i="3"/>
  <c r="C29" i="3"/>
  <c r="B29" i="3"/>
  <c r="A29" i="3"/>
  <c r="M28" i="3"/>
  <c r="K28" i="3"/>
  <c r="J28" i="3"/>
  <c r="G28" i="3"/>
  <c r="E28" i="3"/>
  <c r="C28" i="3"/>
  <c r="B28" i="3"/>
  <c r="A28" i="3"/>
  <c r="M27" i="3"/>
  <c r="K27" i="3"/>
  <c r="J27" i="3"/>
  <c r="G27" i="3"/>
  <c r="E27" i="3"/>
  <c r="C27" i="3"/>
  <c r="B27" i="3"/>
  <c r="A27" i="3"/>
  <c r="M26" i="3"/>
  <c r="K26" i="3"/>
  <c r="J26" i="3"/>
  <c r="G26" i="3"/>
  <c r="E26" i="3"/>
  <c r="C26" i="3"/>
  <c r="B26" i="3"/>
  <c r="A26" i="3"/>
  <c r="P25" i="3"/>
  <c r="O25" i="3"/>
  <c r="N25" i="3"/>
  <c r="M25" i="3"/>
  <c r="L25" i="3"/>
  <c r="K25" i="3"/>
  <c r="J25" i="3"/>
  <c r="I25" i="3"/>
  <c r="H25" i="3"/>
  <c r="G25" i="3"/>
  <c r="F25" i="3"/>
  <c r="E25" i="3"/>
  <c r="C25" i="3"/>
  <c r="B25" i="3"/>
  <c r="A25" i="3"/>
  <c r="P24" i="3"/>
  <c r="O24" i="3"/>
  <c r="N24" i="3"/>
  <c r="M24" i="3"/>
  <c r="L24" i="3"/>
  <c r="K24" i="3"/>
  <c r="J24" i="3"/>
  <c r="I24" i="3"/>
  <c r="H24" i="3"/>
  <c r="G24" i="3"/>
  <c r="F24" i="3"/>
  <c r="E24" i="3"/>
  <c r="C24" i="3"/>
  <c r="B24" i="3"/>
  <c r="A24" i="3"/>
  <c r="M23" i="3"/>
  <c r="K23" i="3"/>
  <c r="J23" i="3"/>
  <c r="G23" i="3"/>
  <c r="E23" i="3"/>
  <c r="C23" i="3"/>
  <c r="B23" i="3"/>
  <c r="A23" i="3"/>
  <c r="M22" i="3"/>
  <c r="K22" i="3"/>
  <c r="J22" i="3"/>
  <c r="G22" i="3"/>
  <c r="E22" i="3"/>
  <c r="C22" i="3"/>
  <c r="B22" i="3"/>
  <c r="A22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M20" i="3"/>
  <c r="K20" i="3"/>
  <c r="J20" i="3"/>
  <c r="G20" i="3"/>
  <c r="E20" i="3"/>
  <c r="C20" i="3"/>
  <c r="B20" i="3"/>
  <c r="A20" i="3"/>
  <c r="M19" i="3"/>
  <c r="K19" i="3"/>
  <c r="J19" i="3"/>
  <c r="G19" i="3"/>
  <c r="E19" i="3"/>
  <c r="C19" i="3"/>
  <c r="B19" i="3"/>
  <c r="A19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M17" i="3"/>
  <c r="K17" i="3"/>
  <c r="J17" i="3"/>
  <c r="G17" i="3"/>
  <c r="E17" i="3"/>
  <c r="C17" i="3"/>
  <c r="B17" i="3"/>
  <c r="A17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F6" i="3"/>
  <c r="M6" i="3" s="1"/>
  <c r="M4" i="3"/>
  <c r="M3" i="3"/>
  <c r="M2" i="3"/>
  <c r="F1" i="3"/>
  <c r="G1" i="3" s="1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S1" i="3" s="1"/>
  <c r="W1419" i="1"/>
  <c r="W1393" i="1"/>
  <c r="W1387" i="1"/>
  <c r="K840" i="3"/>
  <c r="J840" i="3"/>
  <c r="W1370" i="1"/>
  <c r="W1367" i="1"/>
  <c r="K819" i="3"/>
  <c r="W1333" i="1"/>
  <c r="N1306" i="1"/>
  <c r="N776" i="3" s="1"/>
  <c r="D1306" i="1"/>
  <c r="D776" i="3" s="1"/>
  <c r="O1305" i="1"/>
  <c r="N1305" i="1"/>
  <c r="N775" i="3" s="1"/>
  <c r="H1305" i="1"/>
  <c r="F1305" i="1"/>
  <c r="F775" i="3" s="1"/>
  <c r="D1305" i="1"/>
  <c r="D775" i="3" s="1"/>
  <c r="P1304" i="1"/>
  <c r="P774" i="3" s="1"/>
  <c r="O1304" i="1"/>
  <c r="O774" i="3" s="1"/>
  <c r="H1304" i="1"/>
  <c r="H774" i="3" s="1"/>
  <c r="D1304" i="1"/>
  <c r="D774" i="3" s="1"/>
  <c r="Q1303" i="1"/>
  <c r="P1303" i="1"/>
  <c r="O1303" i="1"/>
  <c r="O773" i="3" s="1"/>
  <c r="N1303" i="1"/>
  <c r="N1304" i="1" s="1"/>
  <c r="N774" i="3" s="1"/>
  <c r="L1303" i="1"/>
  <c r="I1303" i="1"/>
  <c r="H1303" i="1"/>
  <c r="H773" i="3" s="1"/>
  <c r="F1303" i="1"/>
  <c r="F1304" i="1" s="1"/>
  <c r="F774" i="3" s="1"/>
  <c r="Z1297" i="1"/>
  <c r="W1297" i="1"/>
  <c r="Y1295" i="1"/>
  <c r="T1295" i="1"/>
  <c r="Q1282" i="1"/>
  <c r="T1277" i="1"/>
  <c r="X1276" i="1"/>
  <c r="T1276" i="1"/>
  <c r="Y1275" i="1"/>
  <c r="Y1274" i="1"/>
  <c r="T1275" i="1" s="1"/>
  <c r="Q1263" i="1"/>
  <c r="P1263" i="1"/>
  <c r="P733" i="3" s="1"/>
  <c r="O1263" i="1"/>
  <c r="L1263" i="1"/>
  <c r="L733" i="3" s="1"/>
  <c r="H1263" i="1"/>
  <c r="H733" i="3" s="1"/>
  <c r="F1263" i="1"/>
  <c r="X1235" i="1"/>
  <c r="Y1235" i="1" s="1"/>
  <c r="N1234" i="1"/>
  <c r="N705" i="3" s="1"/>
  <c r="I1234" i="1"/>
  <c r="I705" i="3" s="1"/>
  <c r="X1233" i="1"/>
  <c r="Y1233" i="1" s="1"/>
  <c r="T1233" i="1" s="1"/>
  <c r="D1233" i="1" s="1"/>
  <c r="N1233" i="1"/>
  <c r="W1230" i="1"/>
  <c r="W1217" i="1"/>
  <c r="Y1217" i="1" s="1"/>
  <c r="AD1178" i="1"/>
  <c r="L1178" i="1"/>
  <c r="H1178" i="1"/>
  <c r="H649" i="3" s="1"/>
  <c r="F1178" i="1"/>
  <c r="T1154" i="1"/>
  <c r="T1140" i="1"/>
  <c r="AA1121" i="1"/>
  <c r="Z1115" i="1"/>
  <c r="Z1116" i="1" s="1"/>
  <c r="AD1114" i="1"/>
  <c r="Z1114" i="1"/>
  <c r="T1113" i="1"/>
  <c r="T1112" i="1"/>
  <c r="N1112" i="1"/>
  <c r="N584" i="3" s="1"/>
  <c r="H1112" i="1"/>
  <c r="H584" i="3" s="1"/>
  <c r="T1111" i="1"/>
  <c r="N1111" i="1"/>
  <c r="N583" i="3" s="1"/>
  <c r="L1111" i="1"/>
  <c r="L583" i="3" s="1"/>
  <c r="I1111" i="1"/>
  <c r="I583" i="3" s="1"/>
  <c r="F1111" i="1"/>
  <c r="Z1106" i="1"/>
  <c r="T1103" i="1"/>
  <c r="L1103" i="1"/>
  <c r="L575" i="3" s="1"/>
  <c r="N1102" i="1"/>
  <c r="I1102" i="1" s="1"/>
  <c r="D1102" i="1" s="1"/>
  <c r="X1102" i="1" s="1"/>
  <c r="T1101" i="1"/>
  <c r="N1101" i="1"/>
  <c r="H1101" i="1"/>
  <c r="H574" i="3" s="1"/>
  <c r="AD1100" i="1"/>
  <c r="T1100" i="1"/>
  <c r="N1100" i="1"/>
  <c r="N573" i="3" s="1"/>
  <c r="F1100" i="1"/>
  <c r="F573" i="3" s="1"/>
  <c r="W1084" i="1"/>
  <c r="W1081" i="1"/>
  <c r="W1056" i="1"/>
  <c r="Y1054" i="1"/>
  <c r="Y1052" i="1"/>
  <c r="W1050" i="1"/>
  <c r="W1031" i="1"/>
  <c r="Y1030" i="1"/>
  <c r="W1027" i="1"/>
  <c r="W1021" i="1"/>
  <c r="W1010" i="1"/>
  <c r="W1005" i="1"/>
  <c r="W1004" i="1"/>
  <c r="T1006" i="1" s="1"/>
  <c r="T1007" i="1" s="1"/>
  <c r="AE997" i="1"/>
  <c r="AD997" i="1"/>
  <c r="AB997" i="1"/>
  <c r="Y997" i="1"/>
  <c r="AE996" i="1"/>
  <c r="AD996" i="1"/>
  <c r="AB996" i="1"/>
  <c r="Y996" i="1"/>
  <c r="W996" i="1"/>
  <c r="T996" i="1" s="1"/>
  <c r="AE995" i="1"/>
  <c r="AD995" i="1"/>
  <c r="AB995" i="1"/>
  <c r="Y995" i="1"/>
  <c r="AE994" i="1"/>
  <c r="AD994" i="1"/>
  <c r="AB994" i="1"/>
  <c r="Y994" i="1"/>
  <c r="AE991" i="1"/>
  <c r="AD991" i="1"/>
  <c r="AB991" i="1"/>
  <c r="Y991" i="1"/>
  <c r="W991" i="1"/>
  <c r="T991" i="1"/>
  <c r="W988" i="1"/>
  <c r="W982" i="1"/>
  <c r="W980" i="1"/>
  <c r="W979" i="1"/>
  <c r="W978" i="1"/>
  <c r="W976" i="1"/>
  <c r="W974" i="1"/>
  <c r="W973" i="1"/>
  <c r="W972" i="1"/>
  <c r="AH965" i="1"/>
  <c r="AG965" i="1"/>
  <c r="AE965" i="1"/>
  <c r="AA965" i="1"/>
  <c r="Y965" i="1"/>
  <c r="W965" i="1"/>
  <c r="AH964" i="1"/>
  <c r="AG964" i="1"/>
  <c r="AE964" i="1"/>
  <c r="AA964" i="1"/>
  <c r="W964" i="1"/>
  <c r="T964" i="1" s="1"/>
  <c r="AH963" i="1"/>
  <c r="AG963" i="1"/>
  <c r="AE963" i="1"/>
  <c r="AA963" i="1"/>
  <c r="AH962" i="1"/>
  <c r="AG962" i="1"/>
  <c r="AE962" i="1"/>
  <c r="AA962" i="1"/>
  <c r="W962" i="1"/>
  <c r="T962" i="1"/>
  <c r="AH961" i="1"/>
  <c r="AG961" i="1"/>
  <c r="AE961" i="1"/>
  <c r="AA961" i="1"/>
  <c r="W961" i="1"/>
  <c r="W959" i="1"/>
  <c r="W957" i="1"/>
  <c r="T957" i="1"/>
  <c r="W956" i="1"/>
  <c r="T956" i="1" s="1"/>
  <c r="W955" i="1"/>
  <c r="W954" i="1"/>
  <c r="T954" i="1" s="1"/>
  <c r="AF953" i="1"/>
  <c r="AE953" i="1"/>
  <c r="C30" i="29" s="1"/>
  <c r="G30" i="29" s="1"/>
  <c r="I30" i="29" s="1"/>
  <c r="Q30" i="29" s="1"/>
  <c r="AD953" i="1"/>
  <c r="W946" i="1"/>
  <c r="X943" i="1"/>
  <c r="V943" i="1"/>
  <c r="F943" i="1" s="1"/>
  <c r="F416" i="3" s="1"/>
  <c r="T943" i="1"/>
  <c r="T939" i="1"/>
  <c r="T938" i="1"/>
  <c r="X936" i="1"/>
  <c r="V936" i="1"/>
  <c r="F936" i="1" s="1"/>
  <c r="F409" i="3" s="1"/>
  <c r="T933" i="1"/>
  <c r="Q926" i="1"/>
  <c r="P926" i="1"/>
  <c r="O926" i="1"/>
  <c r="O399" i="3" s="1"/>
  <c r="L926" i="1"/>
  <c r="L399" i="3" s="1"/>
  <c r="H926" i="1"/>
  <c r="F926" i="1"/>
  <c r="T923" i="1"/>
  <c r="T920" i="1"/>
  <c r="N920" i="1"/>
  <c r="I920" i="1"/>
  <c r="I393" i="3" s="1"/>
  <c r="H920" i="1"/>
  <c r="Q919" i="1"/>
  <c r="L919" i="1"/>
  <c r="L392" i="3" s="1"/>
  <c r="H919" i="1"/>
  <c r="F919" i="1"/>
  <c r="Q918" i="1"/>
  <c r="P918" i="1"/>
  <c r="O918" i="1"/>
  <c r="O391" i="3" s="1"/>
  <c r="L918" i="1"/>
  <c r="Q917" i="1"/>
  <c r="N917" i="1" s="1"/>
  <c r="N390" i="3" s="1"/>
  <c r="P917" i="1"/>
  <c r="O917" i="1"/>
  <c r="O390" i="3" s="1"/>
  <c r="L917" i="1"/>
  <c r="Q916" i="1"/>
  <c r="P916" i="1"/>
  <c r="P389" i="3" s="1"/>
  <c r="O916" i="1"/>
  <c r="O389" i="3" s="1"/>
  <c r="L916" i="1"/>
  <c r="Q915" i="1"/>
  <c r="P915" i="1"/>
  <c r="P388" i="3" s="1"/>
  <c r="O915" i="1"/>
  <c r="L915" i="1"/>
  <c r="L388" i="3" s="1"/>
  <c r="Q914" i="1"/>
  <c r="P914" i="1"/>
  <c r="O914" i="1"/>
  <c r="O387" i="3" s="1"/>
  <c r="T905" i="1"/>
  <c r="D905" i="1" s="1"/>
  <c r="D569" i="1" s="1"/>
  <c r="D43" i="3" s="1"/>
  <c r="T904" i="1"/>
  <c r="D904" i="1" s="1"/>
  <c r="T903" i="1"/>
  <c r="D903" i="1" s="1"/>
  <c r="D567" i="1" s="1"/>
  <c r="D41" i="3" s="1"/>
  <c r="T901" i="1"/>
  <c r="V861" i="1"/>
  <c r="T859" i="1"/>
  <c r="Y857" i="1"/>
  <c r="X857" i="1"/>
  <c r="Y850" i="1"/>
  <c r="Y849" i="1"/>
  <c r="Y844" i="1"/>
  <c r="Y843" i="1"/>
  <c r="T843" i="1"/>
  <c r="Y842" i="1"/>
  <c r="X842" i="1"/>
  <c r="Y841" i="1"/>
  <c r="X841" i="1"/>
  <c r="Y840" i="1"/>
  <c r="X840" i="1"/>
  <c r="T823" i="1"/>
  <c r="T759" i="1"/>
  <c r="T758" i="1"/>
  <c r="T756" i="1"/>
  <c r="T677" i="1"/>
  <c r="T676" i="1"/>
  <c r="T675" i="1"/>
  <c r="T674" i="1"/>
  <c r="T590" i="1"/>
  <c r="Q586" i="1"/>
  <c r="P586" i="1"/>
  <c r="P60" i="3" s="1"/>
  <c r="O586" i="1"/>
  <c r="N586" i="1"/>
  <c r="L586" i="1"/>
  <c r="L60" i="3" s="1"/>
  <c r="D586" i="1"/>
  <c r="Q585" i="1"/>
  <c r="P585" i="1"/>
  <c r="P59" i="3" s="1"/>
  <c r="O585" i="1"/>
  <c r="L585" i="1"/>
  <c r="L59" i="3" s="1"/>
  <c r="F585" i="1"/>
  <c r="F59" i="3" s="1"/>
  <c r="Q584" i="1"/>
  <c r="P584" i="1"/>
  <c r="P58" i="3" s="1"/>
  <c r="O584" i="1"/>
  <c r="L584" i="1"/>
  <c r="L58" i="3" s="1"/>
  <c r="F584" i="1"/>
  <c r="F58" i="3" s="1"/>
  <c r="L569" i="1"/>
  <c r="L43" i="3" s="1"/>
  <c r="H569" i="1"/>
  <c r="H43" i="3" s="1"/>
  <c r="F569" i="1"/>
  <c r="L568" i="1"/>
  <c r="L42" i="3" s="1"/>
  <c r="H568" i="1"/>
  <c r="H42" i="3" s="1"/>
  <c r="F568" i="1"/>
  <c r="F42" i="3" s="1"/>
  <c r="L567" i="1"/>
  <c r="L41" i="3" s="1"/>
  <c r="H567" i="1"/>
  <c r="H41" i="3" s="1"/>
  <c r="F567" i="1"/>
  <c r="F41" i="3" s="1"/>
  <c r="P566" i="1"/>
  <c r="P40" i="3" s="1"/>
  <c r="O566" i="1"/>
  <c r="O40" i="3" s="1"/>
  <c r="L566" i="1"/>
  <c r="L40" i="3" s="1"/>
  <c r="F566" i="1"/>
  <c r="F40" i="3" s="1"/>
  <c r="F564" i="1"/>
  <c r="F38" i="3" s="1"/>
  <c r="Q513" i="1"/>
  <c r="P513" i="1"/>
  <c r="O513" i="1"/>
  <c r="N513" i="1" s="1"/>
  <c r="L513" i="1"/>
  <c r="I513" i="1"/>
  <c r="H513" i="1"/>
  <c r="F513" i="1"/>
  <c r="Q512" i="1"/>
  <c r="P512" i="1"/>
  <c r="O512" i="1"/>
  <c r="L512" i="1"/>
  <c r="H512" i="1"/>
  <c r="F512" i="1"/>
  <c r="Q511" i="1"/>
  <c r="L511" i="1"/>
  <c r="H511" i="1"/>
  <c r="F511" i="1"/>
  <c r="Q510" i="1"/>
  <c r="P510" i="1"/>
  <c r="O510" i="1"/>
  <c r="N510" i="1" s="1"/>
  <c r="L510" i="1"/>
  <c r="H510" i="1"/>
  <c r="F510" i="1"/>
  <c r="Q509" i="1"/>
  <c r="P509" i="1"/>
  <c r="O509" i="1"/>
  <c r="L509" i="1"/>
  <c r="Q508" i="1"/>
  <c r="P508" i="1"/>
  <c r="O508" i="1"/>
  <c r="L508" i="1"/>
  <c r="Q507" i="1"/>
  <c r="P507" i="1"/>
  <c r="N507" i="1" s="1"/>
  <c r="O507" i="1"/>
  <c r="L507" i="1"/>
  <c r="I507" i="1"/>
  <c r="H507" i="1"/>
  <c r="F507" i="1"/>
  <c r="D507" i="1" s="1"/>
  <c r="Q506" i="1"/>
  <c r="P506" i="1"/>
  <c r="O506" i="1"/>
  <c r="L506" i="1"/>
  <c r="Q505" i="1"/>
  <c r="P505" i="1"/>
  <c r="O505" i="1"/>
  <c r="N505" i="1" s="1"/>
  <c r="L505" i="1"/>
  <c r="H505" i="1"/>
  <c r="F505" i="1"/>
  <c r="Q504" i="1"/>
  <c r="P504" i="1"/>
  <c r="O504" i="1"/>
  <c r="L504" i="1"/>
  <c r="Q503" i="1"/>
  <c r="P503" i="1"/>
  <c r="O503" i="1"/>
  <c r="I503" i="1"/>
  <c r="Q469" i="1"/>
  <c r="P469" i="1"/>
  <c r="P1344" i="3" s="1"/>
  <c r="O469" i="1"/>
  <c r="O1344" i="3" s="1"/>
  <c r="N469" i="1"/>
  <c r="N1344" i="3" s="1"/>
  <c r="Q468" i="1"/>
  <c r="P468" i="1"/>
  <c r="P1343" i="3" s="1"/>
  <c r="O468" i="1"/>
  <c r="O1343" i="3" s="1"/>
  <c r="N468" i="1"/>
  <c r="N1343" i="3" s="1"/>
  <c r="Q467" i="1"/>
  <c r="Q466" i="1"/>
  <c r="L466" i="1"/>
  <c r="L1341" i="3" s="1"/>
  <c r="H466" i="1"/>
  <c r="H1341" i="3" s="1"/>
  <c r="F466" i="1"/>
  <c r="F1341" i="3" s="1"/>
  <c r="Q465" i="1"/>
  <c r="P465" i="1"/>
  <c r="P1340" i="3" s="1"/>
  <c r="O465" i="1"/>
  <c r="O1340" i="3" s="1"/>
  <c r="L465" i="1"/>
  <c r="L1340" i="3" s="1"/>
  <c r="H465" i="1"/>
  <c r="H1340" i="3" s="1"/>
  <c r="F465" i="1"/>
  <c r="Q464" i="1"/>
  <c r="P464" i="1"/>
  <c r="P1339" i="3" s="1"/>
  <c r="O464" i="1"/>
  <c r="L464" i="1"/>
  <c r="L1339" i="3" s="1"/>
  <c r="F464" i="1"/>
  <c r="F1339" i="3" s="1"/>
  <c r="Q463" i="1"/>
  <c r="P463" i="1"/>
  <c r="P1338" i="3" s="1"/>
  <c r="O463" i="1"/>
  <c r="L463" i="1"/>
  <c r="H463" i="1"/>
  <c r="H1338" i="3" s="1"/>
  <c r="O449" i="1"/>
  <c r="O1324" i="3" s="1"/>
  <c r="L449" i="1"/>
  <c r="F449" i="1"/>
  <c r="P445" i="1"/>
  <c r="O445" i="1"/>
  <c r="O1320" i="3" s="1"/>
  <c r="H445" i="1"/>
  <c r="H1320" i="3" s="1"/>
  <c r="Q429" i="1"/>
  <c r="Q422" i="1"/>
  <c r="P422" i="1"/>
  <c r="O422" i="1"/>
  <c r="O1297" i="3" s="1"/>
  <c r="Q421" i="1"/>
  <c r="P421" i="1"/>
  <c r="O421" i="1"/>
  <c r="O1296" i="3" s="1"/>
  <c r="L421" i="1"/>
  <c r="L1296" i="3" s="1"/>
  <c r="F421" i="1"/>
  <c r="F1296" i="3" s="1"/>
  <c r="Q419" i="1"/>
  <c r="P419" i="1"/>
  <c r="P1294" i="3" s="1"/>
  <c r="O419" i="1"/>
  <c r="O1294" i="3" s="1"/>
  <c r="N419" i="1"/>
  <c r="N1294" i="3" s="1"/>
  <c r="L419" i="1"/>
  <c r="F419" i="1"/>
  <c r="F1294" i="3" s="1"/>
  <c r="L418" i="1"/>
  <c r="L1293" i="3" s="1"/>
  <c r="H418" i="1"/>
  <c r="H1293" i="3" s="1"/>
  <c r="F418" i="1"/>
  <c r="F1293" i="3" s="1"/>
  <c r="Q401" i="1"/>
  <c r="P401" i="1"/>
  <c r="P1277" i="3" s="1"/>
  <c r="O401" i="1"/>
  <c r="L401" i="1"/>
  <c r="L1277" i="3" s="1"/>
  <c r="F401" i="1"/>
  <c r="F1277" i="3" s="1"/>
  <c r="H400" i="1"/>
  <c r="H1276" i="3" s="1"/>
  <c r="Q399" i="1"/>
  <c r="P399" i="1"/>
  <c r="P1275" i="3" s="1"/>
  <c r="O399" i="1"/>
  <c r="L399" i="1"/>
  <c r="L1275" i="3" s="1"/>
  <c r="H399" i="1"/>
  <c r="H1275" i="3" s="1"/>
  <c r="L394" i="1"/>
  <c r="L1270" i="3" s="1"/>
  <c r="H394" i="1"/>
  <c r="H1270" i="3" s="1"/>
  <c r="F394" i="1"/>
  <c r="F1270" i="3" s="1"/>
  <c r="L393" i="1"/>
  <c r="L1269" i="3" s="1"/>
  <c r="H393" i="1"/>
  <c r="H1269" i="3" s="1"/>
  <c r="F393" i="1"/>
  <c r="F1269" i="3" s="1"/>
  <c r="L392" i="1"/>
  <c r="L1268" i="3" s="1"/>
  <c r="H392" i="1"/>
  <c r="H1268" i="3" s="1"/>
  <c r="F392" i="1"/>
  <c r="F1268" i="3" s="1"/>
  <c r="L391" i="1"/>
  <c r="L1267" i="3" s="1"/>
  <c r="H391" i="1"/>
  <c r="H1267" i="3" s="1"/>
  <c r="F391" i="1"/>
  <c r="F1267" i="3" s="1"/>
  <c r="Q390" i="1"/>
  <c r="P390" i="1"/>
  <c r="P1266" i="3" s="1"/>
  <c r="O390" i="1"/>
  <c r="O1266" i="3" s="1"/>
  <c r="N390" i="1"/>
  <c r="L390" i="1"/>
  <c r="L1266" i="3" s="1"/>
  <c r="H390" i="1"/>
  <c r="H1266" i="3" s="1"/>
  <c r="Q387" i="1"/>
  <c r="P387" i="1"/>
  <c r="P1263" i="3" s="1"/>
  <c r="O387" i="1"/>
  <c r="O1263" i="3" s="1"/>
  <c r="Q370" i="1"/>
  <c r="P370" i="1"/>
  <c r="P1246" i="3" s="1"/>
  <c r="O370" i="1"/>
  <c r="O1246" i="3" s="1"/>
  <c r="N370" i="1"/>
  <c r="L370" i="1"/>
  <c r="L1246" i="3" s="1"/>
  <c r="H370" i="1"/>
  <c r="H1246" i="3" s="1"/>
  <c r="Q360" i="1"/>
  <c r="L360" i="1"/>
  <c r="Q359" i="1"/>
  <c r="P359" i="1"/>
  <c r="O359" i="1"/>
  <c r="O1235" i="3" s="1"/>
  <c r="L359" i="1"/>
  <c r="L1235" i="3" s="1"/>
  <c r="Q358" i="1"/>
  <c r="P358" i="1"/>
  <c r="P1234" i="3" s="1"/>
  <c r="O358" i="1"/>
  <c r="L358" i="1"/>
  <c r="L1234" i="3" s="1"/>
  <c r="H358" i="1"/>
  <c r="F358" i="1"/>
  <c r="F1234" i="3" s="1"/>
  <c r="Q357" i="1"/>
  <c r="P357" i="1"/>
  <c r="O357" i="1"/>
  <c r="O1233" i="3" s="1"/>
  <c r="Q356" i="1"/>
  <c r="P356" i="1"/>
  <c r="P1232" i="3" s="1"/>
  <c r="O356" i="1"/>
  <c r="O1232" i="3" s="1"/>
  <c r="N356" i="1"/>
  <c r="N1232" i="3" s="1"/>
  <c r="Q355" i="1"/>
  <c r="P355" i="1"/>
  <c r="O355" i="1"/>
  <c r="O1231" i="3" s="1"/>
  <c r="Q354" i="1"/>
  <c r="P354" i="1"/>
  <c r="P1230" i="3" s="1"/>
  <c r="O354" i="1"/>
  <c r="L354" i="1"/>
  <c r="L1230" i="3" s="1"/>
  <c r="H354" i="1"/>
  <c r="H1230" i="3" s="1"/>
  <c r="Q353" i="1"/>
  <c r="P353" i="1"/>
  <c r="P1229" i="3" s="1"/>
  <c r="O353" i="1"/>
  <c r="O1229" i="3" s="1"/>
  <c r="L353" i="1"/>
  <c r="L1229" i="3" s="1"/>
  <c r="F353" i="1"/>
  <c r="F1229" i="3" s="1"/>
  <c r="Q352" i="1"/>
  <c r="P352" i="1"/>
  <c r="P1228" i="3" s="1"/>
  <c r="O352" i="1"/>
  <c r="O1228" i="3" s="1"/>
  <c r="L352" i="1"/>
  <c r="F352" i="1"/>
  <c r="F1228" i="3" s="1"/>
  <c r="Q351" i="1"/>
  <c r="P351" i="1"/>
  <c r="P1227" i="3" s="1"/>
  <c r="O351" i="1"/>
  <c r="O1227" i="3" s="1"/>
  <c r="L351" i="1"/>
  <c r="L1227" i="3" s="1"/>
  <c r="F351" i="1"/>
  <c r="Q350" i="1"/>
  <c r="P350" i="1"/>
  <c r="P1226" i="3" s="1"/>
  <c r="O350" i="1"/>
  <c r="L350" i="1"/>
  <c r="F350" i="1"/>
  <c r="F1226" i="3" s="1"/>
  <c r="Q349" i="1"/>
  <c r="Q348" i="1"/>
  <c r="Q347" i="1"/>
  <c r="Q346" i="1"/>
  <c r="P346" i="1"/>
  <c r="P1222" i="3" s="1"/>
  <c r="L346" i="1"/>
  <c r="L1222" i="3" s="1"/>
  <c r="Q345" i="1"/>
  <c r="P345" i="1"/>
  <c r="P1221" i="3" s="1"/>
  <c r="O345" i="1"/>
  <c r="O1221" i="3" s="1"/>
  <c r="N345" i="1"/>
  <c r="L345" i="1"/>
  <c r="L1221" i="3" s="1"/>
  <c r="Q344" i="1"/>
  <c r="P344" i="1"/>
  <c r="P1220" i="3" s="1"/>
  <c r="O344" i="1"/>
  <c r="O1220" i="3" s="1"/>
  <c r="L344" i="1"/>
  <c r="H344" i="1"/>
  <c r="H1220" i="3" s="1"/>
  <c r="Q343" i="1"/>
  <c r="P343" i="1"/>
  <c r="P1219" i="3" s="1"/>
  <c r="O343" i="1"/>
  <c r="O1219" i="3" s="1"/>
  <c r="L343" i="1"/>
  <c r="L1219" i="3" s="1"/>
  <c r="H343" i="1"/>
  <c r="H1219" i="3" s="1"/>
  <c r="Q342" i="1"/>
  <c r="L342" i="1"/>
  <c r="H342" i="1"/>
  <c r="H1218" i="3" s="1"/>
  <c r="Q341" i="1"/>
  <c r="P341" i="1"/>
  <c r="P1217" i="3" s="1"/>
  <c r="O341" i="1"/>
  <c r="O1217" i="3" s="1"/>
  <c r="L341" i="1"/>
  <c r="H341" i="1"/>
  <c r="H1217" i="3" s="1"/>
  <c r="Q335" i="1"/>
  <c r="P335" i="1"/>
  <c r="P1211" i="3" s="1"/>
  <c r="O335" i="1"/>
  <c r="O1211" i="3" s="1"/>
  <c r="N335" i="1"/>
  <c r="N1211" i="3" s="1"/>
  <c r="Q334" i="1"/>
  <c r="Q329" i="1"/>
  <c r="P329" i="1"/>
  <c r="P1205" i="3" s="1"/>
  <c r="O329" i="1"/>
  <c r="L329" i="1"/>
  <c r="L1205" i="3" s="1"/>
  <c r="F329" i="1"/>
  <c r="F1205" i="3" s="1"/>
  <c r="Q328" i="1"/>
  <c r="P328" i="1"/>
  <c r="P1204" i="3" s="1"/>
  <c r="O328" i="1"/>
  <c r="O1204" i="3" s="1"/>
  <c r="L328" i="1"/>
  <c r="H328" i="1"/>
  <c r="H1204" i="3" s="1"/>
  <c r="F328" i="1"/>
  <c r="F1204" i="3" s="1"/>
  <c r="Q327" i="1"/>
  <c r="P327" i="1"/>
  <c r="P1203" i="3" s="1"/>
  <c r="O327" i="1"/>
  <c r="O1203" i="3" s="1"/>
  <c r="N327" i="1"/>
  <c r="N1203" i="3" s="1"/>
  <c r="L327" i="1"/>
  <c r="F327" i="1"/>
  <c r="F1203" i="3" s="1"/>
  <c r="Q326" i="1"/>
  <c r="P326" i="1"/>
  <c r="P1202" i="3" s="1"/>
  <c r="O326" i="1"/>
  <c r="O1202" i="3" s="1"/>
  <c r="N326" i="1"/>
  <c r="L326" i="1"/>
  <c r="L1202" i="3" s="1"/>
  <c r="H326" i="1"/>
  <c r="H1202" i="3" s="1"/>
  <c r="Q325" i="1"/>
  <c r="P325" i="1"/>
  <c r="P1201" i="3" s="1"/>
  <c r="O325" i="1"/>
  <c r="L325" i="1"/>
  <c r="Q324" i="1"/>
  <c r="P324" i="1"/>
  <c r="P1200" i="3" s="1"/>
  <c r="O324" i="1"/>
  <c r="O1200" i="3" s="1"/>
  <c r="L324" i="1"/>
  <c r="Q323" i="1"/>
  <c r="L323" i="1"/>
  <c r="L1199" i="3" s="1"/>
  <c r="H323" i="1"/>
  <c r="H1199" i="3" s="1"/>
  <c r="Q322" i="1"/>
  <c r="P322" i="1"/>
  <c r="P1198" i="3" s="1"/>
  <c r="O322" i="1"/>
  <c r="O1198" i="3" s="1"/>
  <c r="L322" i="1"/>
  <c r="L1198" i="3" s="1"/>
  <c r="Q321" i="1"/>
  <c r="P321" i="1"/>
  <c r="P1197" i="3" s="1"/>
  <c r="Q320" i="1"/>
  <c r="P320" i="1"/>
  <c r="P1196" i="3" s="1"/>
  <c r="O320" i="1"/>
  <c r="L320" i="1"/>
  <c r="H320" i="1"/>
  <c r="H1196" i="3" s="1"/>
  <c r="F320" i="1"/>
  <c r="Q319" i="1"/>
  <c r="P319" i="1"/>
  <c r="P1195" i="3" s="1"/>
  <c r="O319" i="1"/>
  <c r="L319" i="1"/>
  <c r="L1195" i="3" s="1"/>
  <c r="F319" i="1"/>
  <c r="Q318" i="1"/>
  <c r="P318" i="1"/>
  <c r="P1194" i="3" s="1"/>
  <c r="O318" i="1"/>
  <c r="F318" i="1"/>
  <c r="F1194" i="3" s="1"/>
  <c r="Q317" i="1"/>
  <c r="P317" i="1"/>
  <c r="P1193" i="3" s="1"/>
  <c r="O317" i="1"/>
  <c r="O1193" i="3" s="1"/>
  <c r="F317" i="1"/>
  <c r="Q316" i="1"/>
  <c r="P316" i="1"/>
  <c r="P1192" i="3" s="1"/>
  <c r="O316" i="1"/>
  <c r="H316" i="1"/>
  <c r="H1192" i="3" s="1"/>
  <c r="F316" i="1"/>
  <c r="Q315" i="1"/>
  <c r="P315" i="1"/>
  <c r="P1191" i="3" s="1"/>
  <c r="O315" i="1"/>
  <c r="H315" i="1"/>
  <c r="H1191" i="3" s="1"/>
  <c r="F315" i="1"/>
  <c r="Q314" i="1"/>
  <c r="P314" i="1"/>
  <c r="P1190" i="3" s="1"/>
  <c r="O314" i="1"/>
  <c r="H314" i="1"/>
  <c r="H1190" i="3" s="1"/>
  <c r="F314" i="1"/>
  <c r="F1190" i="3" s="1"/>
  <c r="Q313" i="1"/>
  <c r="P313" i="1"/>
  <c r="P1189" i="3" s="1"/>
  <c r="O313" i="1"/>
  <c r="O1189" i="3" s="1"/>
  <c r="H313" i="1"/>
  <c r="H1189" i="3" s="1"/>
  <c r="F313" i="1"/>
  <c r="Q312" i="1"/>
  <c r="P312" i="1"/>
  <c r="P1188" i="3" s="1"/>
  <c r="O312" i="1"/>
  <c r="H312" i="1"/>
  <c r="H1188" i="3" s="1"/>
  <c r="F312" i="1"/>
  <c r="Q311" i="1"/>
  <c r="P311" i="1"/>
  <c r="P1187" i="3" s="1"/>
  <c r="O311" i="1"/>
  <c r="H311" i="1"/>
  <c r="H1187" i="3" s="1"/>
  <c r="F311" i="1"/>
  <c r="Q310" i="1"/>
  <c r="P310" i="1"/>
  <c r="P1186" i="3" s="1"/>
  <c r="O310" i="1"/>
  <c r="H310" i="1"/>
  <c r="H1186" i="3" s="1"/>
  <c r="F310" i="1"/>
  <c r="F1186" i="3" s="1"/>
  <c r="Q309" i="1"/>
  <c r="P309" i="1"/>
  <c r="P1185" i="3" s="1"/>
  <c r="O309" i="1"/>
  <c r="O1185" i="3" s="1"/>
  <c r="H309" i="1"/>
  <c r="H1185" i="3" s="1"/>
  <c r="F309" i="1"/>
  <c r="Q308" i="1"/>
  <c r="P308" i="1"/>
  <c r="P1184" i="3" s="1"/>
  <c r="O308" i="1"/>
  <c r="H308" i="1"/>
  <c r="H1184" i="3" s="1"/>
  <c r="F308" i="1"/>
  <c r="Q307" i="1"/>
  <c r="P307" i="1"/>
  <c r="P1183" i="3" s="1"/>
  <c r="O307" i="1"/>
  <c r="L307" i="1"/>
  <c r="L1183" i="3" s="1"/>
  <c r="F307" i="1"/>
  <c r="Q306" i="1"/>
  <c r="P306" i="1"/>
  <c r="P1182" i="3" s="1"/>
  <c r="O306" i="1"/>
  <c r="L306" i="1"/>
  <c r="L1182" i="3" s="1"/>
  <c r="F306" i="1"/>
  <c r="F1182" i="3" s="1"/>
  <c r="Q305" i="1"/>
  <c r="P305" i="1"/>
  <c r="P1181" i="3" s="1"/>
  <c r="O305" i="1"/>
  <c r="O1181" i="3" s="1"/>
  <c r="L305" i="1"/>
  <c r="L1181" i="3" s="1"/>
  <c r="F305" i="1"/>
  <c r="Q304" i="1"/>
  <c r="P304" i="1"/>
  <c r="P1180" i="3" s="1"/>
  <c r="O304" i="1"/>
  <c r="L304" i="1"/>
  <c r="F304" i="1"/>
  <c r="Q303" i="1"/>
  <c r="P303" i="1"/>
  <c r="P1179" i="3" s="1"/>
  <c r="O303" i="1"/>
  <c r="L303" i="1"/>
  <c r="L1179" i="3" s="1"/>
  <c r="Q302" i="1"/>
  <c r="P302" i="1"/>
  <c r="P1178" i="3" s="1"/>
  <c r="O302" i="1"/>
  <c r="L302" i="1"/>
  <c r="L1178" i="3" s="1"/>
  <c r="F302" i="1"/>
  <c r="F1178" i="3" s="1"/>
  <c r="Q301" i="1"/>
  <c r="P301" i="1"/>
  <c r="P1177" i="3" s="1"/>
  <c r="O301" i="1"/>
  <c r="O1177" i="3" s="1"/>
  <c r="L301" i="1"/>
  <c r="L1177" i="3" s="1"/>
  <c r="F301" i="1"/>
  <c r="Q300" i="1"/>
  <c r="P300" i="1"/>
  <c r="P1176" i="3" s="1"/>
  <c r="O300" i="1"/>
  <c r="L300" i="1"/>
  <c r="F300" i="1"/>
  <c r="Q299" i="1"/>
  <c r="P299" i="1"/>
  <c r="P1175" i="3" s="1"/>
  <c r="O299" i="1"/>
  <c r="L299" i="1"/>
  <c r="L1175" i="3" s="1"/>
  <c r="H299" i="1"/>
  <c r="H1175" i="3" s="1"/>
  <c r="Q298" i="1"/>
  <c r="P298" i="1"/>
  <c r="P1174" i="3" s="1"/>
  <c r="O298" i="1"/>
  <c r="L298" i="1"/>
  <c r="L1174" i="3" s="1"/>
  <c r="H298" i="1"/>
  <c r="H1174" i="3" s="1"/>
  <c r="Q297" i="1"/>
  <c r="P297" i="1"/>
  <c r="P1173" i="3" s="1"/>
  <c r="O297" i="1"/>
  <c r="O1173" i="3" s="1"/>
  <c r="L297" i="1"/>
  <c r="L1173" i="3" s="1"/>
  <c r="H297" i="1"/>
  <c r="H1173" i="3" s="1"/>
  <c r="Q296" i="1"/>
  <c r="P296" i="1"/>
  <c r="P1172" i="3" s="1"/>
  <c r="O296" i="1"/>
  <c r="L296" i="1"/>
  <c r="H296" i="1"/>
  <c r="H1172" i="3" s="1"/>
  <c r="Q295" i="1"/>
  <c r="P295" i="1"/>
  <c r="P1171" i="3" s="1"/>
  <c r="O295" i="1"/>
  <c r="L295" i="1"/>
  <c r="L1171" i="3" s="1"/>
  <c r="H295" i="1"/>
  <c r="H1171" i="3" s="1"/>
  <c r="Q294" i="1"/>
  <c r="P294" i="1"/>
  <c r="P1170" i="3" s="1"/>
  <c r="O294" i="1"/>
  <c r="L294" i="1"/>
  <c r="L1170" i="3" s="1"/>
  <c r="H294" i="1"/>
  <c r="H1170" i="3" s="1"/>
  <c r="Q293" i="1"/>
  <c r="P293" i="1"/>
  <c r="P1169" i="3" s="1"/>
  <c r="L293" i="1"/>
  <c r="H293" i="1"/>
  <c r="H1169" i="3" s="1"/>
  <c r="Q292" i="1"/>
  <c r="P292" i="1"/>
  <c r="P1168" i="3" s="1"/>
  <c r="L292" i="1"/>
  <c r="H292" i="1"/>
  <c r="H1168" i="3" s="1"/>
  <c r="Q291" i="1"/>
  <c r="P291" i="1"/>
  <c r="P1167" i="3" s="1"/>
  <c r="L291" i="1"/>
  <c r="L1167" i="3" s="1"/>
  <c r="H291" i="1"/>
  <c r="H1167" i="3" s="1"/>
  <c r="P288" i="1"/>
  <c r="P1164" i="3" s="1"/>
  <c r="O288" i="1"/>
  <c r="H288" i="1"/>
  <c r="H1164" i="3" s="1"/>
  <c r="L287" i="1"/>
  <c r="L1163" i="3" s="1"/>
  <c r="F287" i="1"/>
  <c r="F1163" i="3" s="1"/>
  <c r="Q286" i="1"/>
  <c r="P286" i="1"/>
  <c r="P1162" i="3" s="1"/>
  <c r="O286" i="1"/>
  <c r="O1162" i="3" s="1"/>
  <c r="N286" i="1"/>
  <c r="N1162" i="3" s="1"/>
  <c r="Q285" i="1"/>
  <c r="P285" i="1"/>
  <c r="O285" i="1"/>
  <c r="O1161" i="3" s="1"/>
  <c r="L285" i="1"/>
  <c r="L1161" i="3" s="1"/>
  <c r="F285" i="1"/>
  <c r="Q282" i="1"/>
  <c r="H282" i="1"/>
  <c r="H1158" i="3" s="1"/>
  <c r="Q281" i="1"/>
  <c r="L281" i="1"/>
  <c r="H281" i="1"/>
  <c r="H1157" i="3" s="1"/>
  <c r="L280" i="1"/>
  <c r="L1156" i="3" s="1"/>
  <c r="H280" i="1"/>
  <c r="H1156" i="3" s="1"/>
  <c r="Q279" i="1"/>
  <c r="P279" i="1"/>
  <c r="P1155" i="3" s="1"/>
  <c r="O279" i="1"/>
  <c r="L279" i="1"/>
  <c r="F279" i="1"/>
  <c r="F1155" i="3" s="1"/>
  <c r="Q278" i="1"/>
  <c r="L278" i="1"/>
  <c r="L1154" i="3" s="1"/>
  <c r="Q277" i="1"/>
  <c r="N264" i="1"/>
  <c r="N1140" i="3" s="1"/>
  <c r="I264" i="1"/>
  <c r="I1140" i="3" s="1"/>
  <c r="D264" i="1"/>
  <c r="D1140" i="3" s="1"/>
  <c r="N263" i="1"/>
  <c r="P262" i="1"/>
  <c r="P1138" i="3" s="1"/>
  <c r="O262" i="1"/>
  <c r="N261" i="1"/>
  <c r="N260" i="1"/>
  <c r="N1136" i="3" s="1"/>
  <c r="I260" i="1"/>
  <c r="I1136" i="3" s="1"/>
  <c r="H260" i="1"/>
  <c r="H1136" i="3" s="1"/>
  <c r="F260" i="1"/>
  <c r="N259" i="1"/>
  <c r="H259" i="1"/>
  <c r="H1135" i="3" s="1"/>
  <c r="F259" i="1"/>
  <c r="N258" i="1"/>
  <c r="N1134" i="3" s="1"/>
  <c r="I258" i="1"/>
  <c r="I1134" i="3" s="1"/>
  <c r="D258" i="1"/>
  <c r="D1134" i="3" s="1"/>
  <c r="N257" i="1"/>
  <c r="H257" i="1"/>
  <c r="H1133" i="3" s="1"/>
  <c r="F257" i="1"/>
  <c r="F1133" i="3" s="1"/>
  <c r="N256" i="1"/>
  <c r="N1132" i="3" s="1"/>
  <c r="I256" i="1"/>
  <c r="I1132" i="3" s="1"/>
  <c r="N255" i="1"/>
  <c r="H255" i="1"/>
  <c r="H1131" i="3" s="1"/>
  <c r="F255" i="1"/>
  <c r="N254" i="1"/>
  <c r="N1130" i="3" s="1"/>
  <c r="L254" i="1"/>
  <c r="I254" i="1"/>
  <c r="I1130" i="3" s="1"/>
  <c r="H254" i="1"/>
  <c r="N220" i="1"/>
  <c r="N1106" i="3" s="1"/>
  <c r="N219" i="1"/>
  <c r="N1105" i="3" s="1"/>
  <c r="N216" i="1"/>
  <c r="N1102" i="3" s="1"/>
  <c r="I216" i="1"/>
  <c r="N215" i="1"/>
  <c r="N214" i="1"/>
  <c r="N1100" i="3" s="1"/>
  <c r="I214" i="1"/>
  <c r="Q200" i="1"/>
  <c r="Q449" i="1" s="1"/>
  <c r="P200" i="1"/>
  <c r="P1086" i="3" s="1"/>
  <c r="O200" i="1"/>
  <c r="O1086" i="3" s="1"/>
  <c r="N200" i="1"/>
  <c r="N1086" i="3" s="1"/>
  <c r="L200" i="1"/>
  <c r="H200" i="1"/>
  <c r="H1086" i="3" s="1"/>
  <c r="F200" i="1"/>
  <c r="F1086" i="3" s="1"/>
  <c r="Q196" i="1"/>
  <c r="Q445" i="1" s="1"/>
  <c r="P196" i="1"/>
  <c r="P1082" i="3" s="1"/>
  <c r="O196" i="1"/>
  <c r="O1082" i="3" s="1"/>
  <c r="N196" i="1"/>
  <c r="L196" i="1"/>
  <c r="L1082" i="3" s="1"/>
  <c r="H196" i="1"/>
  <c r="H1082" i="3" s="1"/>
  <c r="F196" i="1"/>
  <c r="N173" i="1"/>
  <c r="N1059" i="3" s="1"/>
  <c r="N172" i="1"/>
  <c r="N1058" i="3" s="1"/>
  <c r="N170" i="1"/>
  <c r="N152" i="1"/>
  <c r="N150" i="1"/>
  <c r="N1036" i="3" s="1"/>
  <c r="I150" i="1"/>
  <c r="I1036" i="3" s="1"/>
  <c r="N141" i="1"/>
  <c r="Q138" i="1"/>
  <c r="N138" i="1" s="1"/>
  <c r="N1024" i="3" s="1"/>
  <c r="Q124" i="1"/>
  <c r="Q372" i="1" s="1"/>
  <c r="N121" i="1"/>
  <c r="N1007" i="3" s="1"/>
  <c r="I121" i="1"/>
  <c r="I1007" i="3" s="1"/>
  <c r="N111" i="1"/>
  <c r="N997" i="3" s="1"/>
  <c r="I111" i="1"/>
  <c r="N110" i="1"/>
  <c r="N996" i="3" s="1"/>
  <c r="I110" i="1"/>
  <c r="I996" i="3" s="1"/>
  <c r="N109" i="1"/>
  <c r="N995" i="3" s="1"/>
  <c r="I109" i="1"/>
  <c r="I995" i="3" s="1"/>
  <c r="D109" i="1"/>
  <c r="D995" i="3" s="1"/>
  <c r="N108" i="1"/>
  <c r="N994" i="3" s="1"/>
  <c r="L108" i="1"/>
  <c r="I108" i="1"/>
  <c r="I994" i="3" s="1"/>
  <c r="H108" i="1"/>
  <c r="F108" i="1"/>
  <c r="N107" i="1"/>
  <c r="H107" i="1"/>
  <c r="H993" i="3" s="1"/>
  <c r="N106" i="1"/>
  <c r="F106" i="1"/>
  <c r="F992" i="3" s="1"/>
  <c r="N105" i="1"/>
  <c r="N104" i="1"/>
  <c r="N990" i="3" s="1"/>
  <c r="N103" i="1"/>
  <c r="N989" i="3" s="1"/>
  <c r="I103" i="1"/>
  <c r="I989" i="3" s="1"/>
  <c r="N102" i="1"/>
  <c r="N101" i="1"/>
  <c r="N987" i="3" s="1"/>
  <c r="I101" i="1"/>
  <c r="I987" i="3" s="1"/>
  <c r="P100" i="1"/>
  <c r="P986" i="3" s="1"/>
  <c r="O100" i="1"/>
  <c r="N100" i="1"/>
  <c r="L100" i="1"/>
  <c r="L986" i="3" s="1"/>
  <c r="H100" i="1"/>
  <c r="F100" i="1"/>
  <c r="P99" i="1"/>
  <c r="O99" i="1"/>
  <c r="O985" i="3" s="1"/>
  <c r="L99" i="1"/>
  <c r="L985" i="3" s="1"/>
  <c r="H99" i="1"/>
  <c r="H985" i="3" s="1"/>
  <c r="F99" i="1"/>
  <c r="N98" i="1"/>
  <c r="N97" i="1"/>
  <c r="N983" i="3" s="1"/>
  <c r="I97" i="1"/>
  <c r="N96" i="1"/>
  <c r="N95" i="1"/>
  <c r="N94" i="1"/>
  <c r="N93" i="1"/>
  <c r="N92" i="1"/>
  <c r="N978" i="3" s="1"/>
  <c r="I92" i="1"/>
  <c r="N86" i="1"/>
  <c r="N972" i="3" s="1"/>
  <c r="L86" i="1"/>
  <c r="H86" i="1"/>
  <c r="H972" i="3" s="1"/>
  <c r="F86" i="1"/>
  <c r="F972" i="3" s="1"/>
  <c r="N85" i="1"/>
  <c r="N971" i="3" s="1"/>
  <c r="I85" i="1"/>
  <c r="I971" i="3" s="1"/>
  <c r="D85" i="1"/>
  <c r="N80" i="1"/>
  <c r="N79" i="1"/>
  <c r="N965" i="3" s="1"/>
  <c r="I79" i="1"/>
  <c r="N78" i="1"/>
  <c r="N964" i="3" s="1"/>
  <c r="I78" i="1"/>
  <c r="N77" i="1"/>
  <c r="N963" i="3" s="1"/>
  <c r="I77" i="1"/>
  <c r="I963" i="3" s="1"/>
  <c r="D77" i="1"/>
  <c r="D963" i="3" s="1"/>
  <c r="N76" i="1"/>
  <c r="F76" i="1"/>
  <c r="N75" i="1"/>
  <c r="H75" i="1"/>
  <c r="F75" i="1"/>
  <c r="F961" i="3" s="1"/>
  <c r="P74" i="1"/>
  <c r="P960" i="3" s="1"/>
  <c r="O74" i="1"/>
  <c r="O960" i="3" s="1"/>
  <c r="N74" i="1"/>
  <c r="N960" i="3" s="1"/>
  <c r="W73" i="1"/>
  <c r="V73" i="1" s="1"/>
  <c r="N73" i="1"/>
  <c r="N959" i="3" s="1"/>
  <c r="I73" i="1"/>
  <c r="P72" i="1"/>
  <c r="P958" i="3" s="1"/>
  <c r="H72" i="1"/>
  <c r="H958" i="3" s="1"/>
  <c r="N71" i="1"/>
  <c r="N70" i="1"/>
  <c r="N69" i="1"/>
  <c r="L69" i="1"/>
  <c r="N68" i="1"/>
  <c r="N954" i="3" s="1"/>
  <c r="N67" i="1"/>
  <c r="N953" i="3" s="1"/>
  <c r="N66" i="1"/>
  <c r="N952" i="3" s="1"/>
  <c r="N65" i="1"/>
  <c r="N951" i="3" s="1"/>
  <c r="N64" i="1"/>
  <c r="N950" i="3" s="1"/>
  <c r="N63" i="1"/>
  <c r="N949" i="3" s="1"/>
  <c r="N62" i="1"/>
  <c r="N948" i="3" s="1"/>
  <c r="N61" i="1"/>
  <c r="N947" i="3" s="1"/>
  <c r="N60" i="1"/>
  <c r="N946" i="3" s="1"/>
  <c r="N59" i="1"/>
  <c r="N945" i="3" s="1"/>
  <c r="N58" i="1"/>
  <c r="N944" i="3" s="1"/>
  <c r="I58" i="1"/>
  <c r="I944" i="3" s="1"/>
  <c r="N57" i="1"/>
  <c r="N943" i="3" s="1"/>
  <c r="I57" i="1"/>
  <c r="I943" i="3" s="1"/>
  <c r="N56" i="1"/>
  <c r="N942" i="3" s="1"/>
  <c r="I56" i="1"/>
  <c r="I942" i="3" s="1"/>
  <c r="N55" i="1"/>
  <c r="N941" i="3" s="1"/>
  <c r="I55" i="1"/>
  <c r="I941" i="3" s="1"/>
  <c r="N54" i="1"/>
  <c r="N940" i="3" s="1"/>
  <c r="I54" i="1"/>
  <c r="I940" i="3" s="1"/>
  <c r="H54" i="1"/>
  <c r="H940" i="3" s="1"/>
  <c r="F54" i="1"/>
  <c r="N53" i="1"/>
  <c r="N52" i="1"/>
  <c r="I52" i="1" s="1"/>
  <c r="I938" i="3" s="1"/>
  <c r="N51" i="1"/>
  <c r="N50" i="1"/>
  <c r="N49" i="1"/>
  <c r="N48" i="1"/>
  <c r="I48" i="1" s="1"/>
  <c r="I934" i="3" s="1"/>
  <c r="N47" i="1"/>
  <c r="N46" i="1"/>
  <c r="N45" i="1"/>
  <c r="N44" i="1"/>
  <c r="I44" i="1" s="1"/>
  <c r="I930" i="3" s="1"/>
  <c r="N43" i="1"/>
  <c r="N42" i="1"/>
  <c r="Q39" i="1"/>
  <c r="L39" i="1"/>
  <c r="L925" i="3" s="1"/>
  <c r="F39" i="1"/>
  <c r="O38" i="1"/>
  <c r="H38" i="1"/>
  <c r="Q37" i="1"/>
  <c r="N37" i="1"/>
  <c r="N923" i="3" s="1"/>
  <c r="L37" i="1"/>
  <c r="H37" i="1"/>
  <c r="H923" i="3" s="1"/>
  <c r="F37" i="1"/>
  <c r="F923" i="3" s="1"/>
  <c r="N36" i="1"/>
  <c r="Q35" i="1"/>
  <c r="Q284" i="1" s="1"/>
  <c r="P35" i="1"/>
  <c r="P921" i="3" s="1"/>
  <c r="O35" i="1"/>
  <c r="L35" i="1"/>
  <c r="H35" i="1"/>
  <c r="H921" i="3" s="1"/>
  <c r="F35" i="1"/>
  <c r="Q33" i="1"/>
  <c r="P33" i="1"/>
  <c r="O33" i="1"/>
  <c r="L33" i="1"/>
  <c r="L919" i="3" s="1"/>
  <c r="F33" i="1"/>
  <c r="Q32" i="1"/>
  <c r="P32" i="1"/>
  <c r="O32" i="1"/>
  <c r="F32" i="1"/>
  <c r="Q31" i="1"/>
  <c r="Q280" i="1" s="1"/>
  <c r="P31" i="1"/>
  <c r="P917" i="3" s="1"/>
  <c r="O31" i="1"/>
  <c r="F31" i="1"/>
  <c r="F917" i="3" s="1"/>
  <c r="N30" i="1"/>
  <c r="N916" i="3" s="1"/>
  <c r="I30" i="1"/>
  <c r="I916" i="3" s="1"/>
  <c r="H30" i="1"/>
  <c r="H916" i="3" s="1"/>
  <c r="Q29" i="1"/>
  <c r="Q38" i="1" s="1"/>
  <c r="Q287" i="1" s="1"/>
  <c r="P29" i="1"/>
  <c r="O29" i="1"/>
  <c r="O915" i="3" s="1"/>
  <c r="H29" i="1"/>
  <c r="F29" i="1"/>
  <c r="F915" i="3" s="1"/>
  <c r="N28" i="1"/>
  <c r="N914" i="3" s="1"/>
  <c r="I28" i="1"/>
  <c r="M15" i="1"/>
  <c r="M14" i="1"/>
  <c r="B14" i="1"/>
  <c r="M13" i="1"/>
  <c r="B13" i="1"/>
  <c r="H12" i="1"/>
  <c r="I12" i="1" s="1"/>
  <c r="J12" i="1" s="1"/>
  <c r="K12" i="1" s="1"/>
  <c r="L12" i="1" s="1"/>
  <c r="M12" i="1" s="1"/>
  <c r="N12" i="1" s="1"/>
  <c r="O12" i="1" s="1"/>
  <c r="P12" i="1" s="1"/>
  <c r="Q12" i="1" s="1"/>
  <c r="R12" i="1" s="1"/>
  <c r="S12" i="1" s="1"/>
  <c r="T12" i="1" s="1"/>
  <c r="U12" i="1" s="1"/>
  <c r="V12" i="1" s="1"/>
  <c r="W12" i="1" s="1"/>
  <c r="X12" i="1" s="1"/>
  <c r="Y12" i="1" s="1"/>
  <c r="F12" i="1"/>
  <c r="G12" i="1" s="1"/>
  <c r="F55" i="8" l="1"/>
  <c r="R29" i="38"/>
  <c r="Q294" i="15"/>
  <c r="S297" i="15"/>
  <c r="Y297" i="15" s="1"/>
  <c r="S300" i="15"/>
  <c r="S295" i="15"/>
  <c r="Q301" i="15"/>
  <c r="Q302" i="15"/>
  <c r="S309" i="15"/>
  <c r="S294" i="15"/>
  <c r="Y294" i="15" s="1"/>
  <c r="N509" i="1"/>
  <c r="W48" i="15"/>
  <c r="C18" i="5"/>
  <c r="W80" i="15"/>
  <c r="C9" i="5"/>
  <c r="W112" i="15"/>
  <c r="C11" i="5"/>
  <c r="W229" i="15"/>
  <c r="C20" i="5"/>
  <c r="W95" i="15"/>
  <c r="C6" i="5"/>
  <c r="W245" i="15"/>
  <c r="C13" i="5"/>
  <c r="W28" i="15"/>
  <c r="C15" i="5"/>
  <c r="W59" i="15"/>
  <c r="C7" i="5"/>
  <c r="W213" i="15"/>
  <c r="C17" i="5"/>
  <c r="W66" i="15"/>
  <c r="W64" i="15" s="1"/>
  <c r="C22" i="5"/>
  <c r="R37" i="38"/>
  <c r="F61" i="8"/>
  <c r="F57" i="8"/>
  <c r="F70" i="8"/>
  <c r="P8" i="11"/>
  <c r="J8" i="11" s="1"/>
  <c r="Z1298" i="1"/>
  <c r="Z1299" i="1" s="1"/>
  <c r="W1298" i="1" s="1"/>
  <c r="C34" i="29"/>
  <c r="N27" i="41"/>
  <c r="C34" i="33"/>
  <c r="T1166" i="1"/>
  <c r="T1147" i="1"/>
  <c r="T1144" i="1" s="1"/>
  <c r="T1160" i="1"/>
  <c r="T1135" i="1"/>
  <c r="T1156" i="1"/>
  <c r="T1161" i="1"/>
  <c r="E54" i="45"/>
  <c r="E64" i="45"/>
  <c r="E56" i="45"/>
  <c r="E68" i="45"/>
  <c r="E58" i="45"/>
  <c r="K9" i="33"/>
  <c r="E52" i="45"/>
  <c r="AA16" i="15"/>
  <c r="K16" i="15"/>
  <c r="I16" i="15"/>
  <c r="G16" i="15"/>
  <c r="Q16" i="15"/>
  <c r="E16" i="15"/>
  <c r="S16" i="15"/>
  <c r="AA38" i="15"/>
  <c r="Q38" i="15"/>
  <c r="E38" i="15"/>
  <c r="I38" i="15"/>
  <c r="K38" i="15"/>
  <c r="G38" i="15"/>
  <c r="S38" i="15"/>
  <c r="AA52" i="15"/>
  <c r="K52" i="15"/>
  <c r="I52" i="15"/>
  <c r="Q52" i="15"/>
  <c r="E52" i="15"/>
  <c r="G52" i="15"/>
  <c r="S52" i="15"/>
  <c r="AA71" i="15"/>
  <c r="S71" i="15"/>
  <c r="G71" i="15"/>
  <c r="Q71" i="15"/>
  <c r="E71" i="15"/>
  <c r="I71" i="15"/>
  <c r="K71" i="15"/>
  <c r="AA88" i="15"/>
  <c r="S88" i="15"/>
  <c r="G88" i="15"/>
  <c r="Q88" i="15"/>
  <c r="E88" i="15"/>
  <c r="I88" i="15"/>
  <c r="K88" i="15"/>
  <c r="AA108" i="15"/>
  <c r="I108" i="15"/>
  <c r="S108" i="15"/>
  <c r="G108" i="15"/>
  <c r="K108" i="15"/>
  <c r="Q108" i="15"/>
  <c r="E108" i="15"/>
  <c r="Q204" i="15"/>
  <c r="E204" i="15"/>
  <c r="K204" i="15"/>
  <c r="AA204" i="15"/>
  <c r="S204" i="15"/>
  <c r="G204" i="15"/>
  <c r="I204" i="15"/>
  <c r="Q221" i="15"/>
  <c r="E221" i="15"/>
  <c r="AA221" i="15"/>
  <c r="K221" i="15"/>
  <c r="S221" i="15"/>
  <c r="G221" i="15"/>
  <c r="I221" i="15"/>
  <c r="AA236" i="15"/>
  <c r="I236" i="15"/>
  <c r="S236" i="15"/>
  <c r="G236" i="15"/>
  <c r="K236" i="15"/>
  <c r="Q236" i="15"/>
  <c r="E236" i="15"/>
  <c r="AA15" i="15"/>
  <c r="S15" i="15"/>
  <c r="G15" i="15"/>
  <c r="Q15" i="15"/>
  <c r="F45" i="1" s="1"/>
  <c r="F931" i="3" s="1"/>
  <c r="E15" i="15"/>
  <c r="I15" i="15"/>
  <c r="K15" i="15"/>
  <c r="AA19" i="15"/>
  <c r="I19" i="15"/>
  <c r="Q19" i="15"/>
  <c r="F49" i="1" s="1"/>
  <c r="F935" i="3" s="1"/>
  <c r="G19" i="15"/>
  <c r="K19" i="15"/>
  <c r="S19" i="15"/>
  <c r="E19" i="15"/>
  <c r="AA25" i="15"/>
  <c r="I25" i="15"/>
  <c r="G25" i="15"/>
  <c r="S25" i="15"/>
  <c r="E25" i="15"/>
  <c r="Q25" i="15"/>
  <c r="F95" i="1" s="1"/>
  <c r="F981" i="3" s="1"/>
  <c r="K25" i="15"/>
  <c r="AA34" i="15"/>
  <c r="Q34" i="15"/>
  <c r="I34" i="15"/>
  <c r="S34" i="15"/>
  <c r="K34" i="15"/>
  <c r="E34" i="15"/>
  <c r="G34" i="15"/>
  <c r="AA42" i="15"/>
  <c r="S42" i="15"/>
  <c r="G42" i="15"/>
  <c r="Q42" i="15"/>
  <c r="E42" i="15"/>
  <c r="I42" i="15"/>
  <c r="K42" i="15"/>
  <c r="AA51" i="15"/>
  <c r="S51" i="15"/>
  <c r="G51" i="15"/>
  <c r="Q51" i="15"/>
  <c r="E51" i="15"/>
  <c r="I51" i="15"/>
  <c r="K51" i="15"/>
  <c r="AA55" i="15"/>
  <c r="S55" i="15"/>
  <c r="G55" i="15"/>
  <c r="Q55" i="15"/>
  <c r="E55" i="15"/>
  <c r="I55" i="15"/>
  <c r="K55" i="15"/>
  <c r="AA69" i="15"/>
  <c r="S69" i="15"/>
  <c r="G69" i="15"/>
  <c r="Q69" i="15"/>
  <c r="E69" i="15"/>
  <c r="I69" i="15"/>
  <c r="K69" i="15"/>
  <c r="AA75" i="15"/>
  <c r="S75" i="15"/>
  <c r="G75" i="15"/>
  <c r="Q75" i="15"/>
  <c r="E75" i="15"/>
  <c r="I75" i="15"/>
  <c r="K75" i="15"/>
  <c r="AA86" i="15"/>
  <c r="S86" i="15"/>
  <c r="G86" i="15"/>
  <c r="Q86" i="15"/>
  <c r="E86" i="15"/>
  <c r="I86" i="15"/>
  <c r="K86" i="15"/>
  <c r="AA93" i="15"/>
  <c r="I93" i="15"/>
  <c r="K93" i="15"/>
  <c r="S93" i="15"/>
  <c r="Q93" i="15"/>
  <c r="E93" i="15"/>
  <c r="G93" i="15"/>
  <c r="AA100" i="15"/>
  <c r="I100" i="15"/>
  <c r="S100" i="15"/>
  <c r="G100" i="15"/>
  <c r="K100" i="15"/>
  <c r="E100" i="15"/>
  <c r="Q100" i="15"/>
  <c r="Q107" i="15"/>
  <c r="E107" i="15"/>
  <c r="AA107" i="15"/>
  <c r="K107" i="15"/>
  <c r="S107" i="15"/>
  <c r="G107" i="15"/>
  <c r="I107" i="15"/>
  <c r="AA203" i="15"/>
  <c r="I203" i="15"/>
  <c r="S203" i="15"/>
  <c r="G203" i="15"/>
  <c r="K203" i="15"/>
  <c r="E203" i="15"/>
  <c r="Q203" i="15"/>
  <c r="T710" i="1" s="1"/>
  <c r="AA207" i="15"/>
  <c r="I207" i="15"/>
  <c r="S207" i="15"/>
  <c r="G207" i="15"/>
  <c r="K207" i="15"/>
  <c r="Q207" i="15"/>
  <c r="E207" i="15"/>
  <c r="Q212" i="15"/>
  <c r="E212" i="15"/>
  <c r="K212" i="15"/>
  <c r="AA212" i="15"/>
  <c r="S212" i="15"/>
  <c r="G212" i="15"/>
  <c r="I212" i="15"/>
  <c r="Q219" i="15"/>
  <c r="E219" i="15"/>
  <c r="K219" i="15"/>
  <c r="AA219" i="15"/>
  <c r="S219" i="15"/>
  <c r="G219" i="15"/>
  <c r="I219" i="15"/>
  <c r="I224" i="15"/>
  <c r="S224" i="15"/>
  <c r="G224" i="15"/>
  <c r="K224" i="15"/>
  <c r="E224" i="15"/>
  <c r="AA224" i="15"/>
  <c r="Q224" i="15"/>
  <c r="AA240" i="15"/>
  <c r="I240" i="15"/>
  <c r="S240" i="15"/>
  <c r="G240" i="15"/>
  <c r="K240" i="15"/>
  <c r="E240" i="15"/>
  <c r="Q240" i="15"/>
  <c r="AA244" i="15"/>
  <c r="I244" i="15"/>
  <c r="S244" i="15"/>
  <c r="G244" i="15"/>
  <c r="K244" i="15"/>
  <c r="Q244" i="15"/>
  <c r="E244" i="15"/>
  <c r="AA11" i="15"/>
  <c r="I11" i="15"/>
  <c r="S11" i="15"/>
  <c r="G11" i="15"/>
  <c r="Q11" i="15"/>
  <c r="K11" i="15"/>
  <c r="E11" i="15"/>
  <c r="AA26" i="15"/>
  <c r="Q26" i="15"/>
  <c r="E26" i="15"/>
  <c r="G26" i="15"/>
  <c r="S26" i="15"/>
  <c r="I26" i="15"/>
  <c r="K26" i="15"/>
  <c r="AA56" i="15"/>
  <c r="K56" i="15"/>
  <c r="I56" i="15"/>
  <c r="Q56" i="15"/>
  <c r="E56" i="15"/>
  <c r="S56" i="15"/>
  <c r="G56" i="15"/>
  <c r="K76" i="15"/>
  <c r="I76" i="15"/>
  <c r="Q76" i="15"/>
  <c r="E76" i="15"/>
  <c r="AA76" i="15"/>
  <c r="G76" i="15"/>
  <c r="S76" i="15"/>
  <c r="I102" i="15"/>
  <c r="S102" i="15"/>
  <c r="G102" i="15"/>
  <c r="K102" i="15"/>
  <c r="E102" i="15"/>
  <c r="AA102" i="15"/>
  <c r="Q102" i="15"/>
  <c r="AA199" i="15"/>
  <c r="I199" i="15"/>
  <c r="S199" i="15"/>
  <c r="G199" i="15"/>
  <c r="K199" i="15"/>
  <c r="E199" i="15"/>
  <c r="Q199" i="15"/>
  <c r="Q208" i="15"/>
  <c r="E208" i="15"/>
  <c r="K208" i="15"/>
  <c r="AA208" i="15"/>
  <c r="S208" i="15"/>
  <c r="G208" i="15"/>
  <c r="I208" i="15"/>
  <c r="Q225" i="15"/>
  <c r="E225" i="15"/>
  <c r="AA225" i="15"/>
  <c r="K225" i="15"/>
  <c r="S225" i="15"/>
  <c r="G225" i="15"/>
  <c r="I225" i="15"/>
  <c r="Q241" i="15"/>
  <c r="E241" i="15"/>
  <c r="K241" i="15"/>
  <c r="AA241" i="15"/>
  <c r="S241" i="15"/>
  <c r="G241" i="15"/>
  <c r="I241" i="15"/>
  <c r="AA13" i="15"/>
  <c r="S13" i="15"/>
  <c r="G13" i="15"/>
  <c r="Q13" i="15"/>
  <c r="E13" i="15"/>
  <c r="I13" i="15"/>
  <c r="K13" i="15"/>
  <c r="AA17" i="15"/>
  <c r="S17" i="15"/>
  <c r="G17" i="15"/>
  <c r="Q17" i="15"/>
  <c r="T693" i="1" s="1"/>
  <c r="E17" i="15"/>
  <c r="I17" i="15"/>
  <c r="K17" i="15"/>
  <c r="AA21" i="15"/>
  <c r="I21" i="15"/>
  <c r="K21" i="15"/>
  <c r="G21" i="15"/>
  <c r="E21" i="15"/>
  <c r="Q21" i="15"/>
  <c r="S21" i="15"/>
  <c r="Q31" i="15"/>
  <c r="E31" i="15"/>
  <c r="K31" i="15"/>
  <c r="I31" i="15"/>
  <c r="AA31" i="15"/>
  <c r="G31" i="15"/>
  <c r="S31" i="15"/>
  <c r="AA40" i="15"/>
  <c r="Q40" i="15"/>
  <c r="E40" i="15"/>
  <c r="I40" i="15"/>
  <c r="G40" i="15"/>
  <c r="K40" i="15"/>
  <c r="S40" i="15"/>
  <c r="AA44" i="15"/>
  <c r="S44" i="15"/>
  <c r="G44" i="15"/>
  <c r="Q44" i="15"/>
  <c r="E44" i="15"/>
  <c r="I44" i="15"/>
  <c r="K44" i="15"/>
  <c r="AA53" i="15"/>
  <c r="S53" i="15"/>
  <c r="G53" i="15"/>
  <c r="Q53" i="15"/>
  <c r="E53" i="15"/>
  <c r="I53" i="15"/>
  <c r="K53" i="15"/>
  <c r="AA57" i="15"/>
  <c r="S57" i="15"/>
  <c r="G57" i="15"/>
  <c r="Q57" i="15"/>
  <c r="T624" i="1" s="1"/>
  <c r="E57" i="15"/>
  <c r="I57" i="15"/>
  <c r="K57" i="15"/>
  <c r="AA63" i="15"/>
  <c r="K63" i="15"/>
  <c r="I63" i="15"/>
  <c r="Q63" i="15"/>
  <c r="E63" i="15"/>
  <c r="S63" i="15"/>
  <c r="C92" i="5" s="1"/>
  <c r="T802" i="1" s="1"/>
  <c r="G63" i="15"/>
  <c r="AA72" i="15"/>
  <c r="K72" i="15"/>
  <c r="I72" i="15"/>
  <c r="Q72" i="15"/>
  <c r="E72" i="15"/>
  <c r="S72" i="15"/>
  <c r="G72" i="15"/>
  <c r="AA78" i="15"/>
  <c r="K78" i="15"/>
  <c r="I78" i="15"/>
  <c r="Q78" i="15"/>
  <c r="E78" i="15"/>
  <c r="S78" i="15"/>
  <c r="G78" i="15"/>
  <c r="AA83" i="15"/>
  <c r="K83" i="15"/>
  <c r="I83" i="15"/>
  <c r="Q83" i="15"/>
  <c r="T606" i="1" s="1"/>
  <c r="E83" i="15"/>
  <c r="G83" i="15"/>
  <c r="S83" i="15"/>
  <c r="Y83" i="15" s="1"/>
  <c r="AA90" i="15"/>
  <c r="S90" i="15"/>
  <c r="G90" i="15"/>
  <c r="Q90" i="15"/>
  <c r="E90" i="15"/>
  <c r="I90" i="15"/>
  <c r="K90" i="15"/>
  <c r="Q105" i="15"/>
  <c r="E105" i="15"/>
  <c r="K105" i="15"/>
  <c r="AA105" i="15"/>
  <c r="S105" i="15"/>
  <c r="G105" i="15"/>
  <c r="I105" i="15"/>
  <c r="Q109" i="15"/>
  <c r="E109" i="15"/>
  <c r="K109" i="15"/>
  <c r="AA109" i="15"/>
  <c r="S109" i="15"/>
  <c r="G109" i="15"/>
  <c r="I109" i="15"/>
  <c r="I201" i="15"/>
  <c r="S201" i="15"/>
  <c r="G201" i="15"/>
  <c r="K201" i="15"/>
  <c r="AA201" i="15"/>
  <c r="E201" i="15"/>
  <c r="Q201" i="15"/>
  <c r="H52" i="1" s="1"/>
  <c r="I205" i="15"/>
  <c r="S205" i="15"/>
  <c r="G205" i="15"/>
  <c r="K205" i="15"/>
  <c r="Q205" i="15"/>
  <c r="E205" i="15"/>
  <c r="AA205" i="15"/>
  <c r="I209" i="15"/>
  <c r="S209" i="15"/>
  <c r="G209" i="15"/>
  <c r="K209" i="15"/>
  <c r="E209" i="15"/>
  <c r="AA209" i="15"/>
  <c r="Q209" i="15"/>
  <c r="I216" i="15"/>
  <c r="S216" i="15"/>
  <c r="G216" i="15"/>
  <c r="K216" i="15"/>
  <c r="AA216" i="15"/>
  <c r="E216" i="15"/>
  <c r="Q216" i="15"/>
  <c r="AA222" i="15"/>
  <c r="I222" i="15"/>
  <c r="S222" i="15"/>
  <c r="G222" i="15"/>
  <c r="K222" i="15"/>
  <c r="E222" i="15"/>
  <c r="Q222" i="15"/>
  <c r="AA226" i="15"/>
  <c r="I226" i="15"/>
  <c r="S226" i="15"/>
  <c r="G226" i="15"/>
  <c r="K226" i="15"/>
  <c r="Q226" i="15"/>
  <c r="E226" i="15"/>
  <c r="I238" i="15"/>
  <c r="S238" i="15"/>
  <c r="G238" i="15"/>
  <c r="K238" i="15"/>
  <c r="AA238" i="15"/>
  <c r="Q238" i="15"/>
  <c r="E238" i="15"/>
  <c r="I242" i="15"/>
  <c r="S242" i="15"/>
  <c r="G242" i="15"/>
  <c r="K242" i="15"/>
  <c r="AA242" i="15"/>
  <c r="E242" i="15"/>
  <c r="Q242" i="15"/>
  <c r="AA20" i="15"/>
  <c r="Q20" i="15"/>
  <c r="F92" i="1" s="1"/>
  <c r="F978" i="3" s="1"/>
  <c r="E20" i="15"/>
  <c r="K20" i="15"/>
  <c r="I20" i="15"/>
  <c r="S20" i="15"/>
  <c r="G20" i="15"/>
  <c r="AA43" i="15"/>
  <c r="K43" i="15"/>
  <c r="I43" i="15"/>
  <c r="Q43" i="15"/>
  <c r="E43" i="15"/>
  <c r="S43" i="15"/>
  <c r="G43" i="15"/>
  <c r="AA62" i="15"/>
  <c r="S62" i="15"/>
  <c r="Y62" i="15" s="1"/>
  <c r="G62" i="15"/>
  <c r="Q62" i="15"/>
  <c r="E62" i="15"/>
  <c r="I62" i="15"/>
  <c r="K62" i="15"/>
  <c r="Q232" i="15"/>
  <c r="E232" i="15"/>
  <c r="AA232" i="15"/>
  <c r="AA233" i="15" s="1"/>
  <c r="K232" i="15"/>
  <c r="K233" i="15" s="1"/>
  <c r="S232" i="15"/>
  <c r="S233" i="15" s="1"/>
  <c r="G232" i="15"/>
  <c r="G233" i="15" s="1"/>
  <c r="I232" i="15"/>
  <c r="I233" i="15" s="1"/>
  <c r="AA14" i="15"/>
  <c r="K14" i="15"/>
  <c r="G14" i="15"/>
  <c r="I14" i="15"/>
  <c r="S14" i="15"/>
  <c r="Q14" i="15"/>
  <c r="T690" i="1" s="1"/>
  <c r="E14" i="15"/>
  <c r="AA18" i="15"/>
  <c r="Q18" i="15"/>
  <c r="T694" i="1" s="1"/>
  <c r="E18" i="15"/>
  <c r="S18" i="15"/>
  <c r="K18" i="15"/>
  <c r="I18" i="15"/>
  <c r="G18" i="15"/>
  <c r="AA24" i="15"/>
  <c r="Q24" i="15"/>
  <c r="E24" i="15"/>
  <c r="I24" i="15"/>
  <c r="G24" i="15"/>
  <c r="K24" i="15"/>
  <c r="S24" i="15"/>
  <c r="AA32" i="15"/>
  <c r="I32" i="15"/>
  <c r="K32" i="15"/>
  <c r="G32" i="15"/>
  <c r="S32" i="15"/>
  <c r="Q32" i="15"/>
  <c r="E32" i="15"/>
  <c r="AA41" i="15"/>
  <c r="I41" i="15"/>
  <c r="Q41" i="15"/>
  <c r="E41" i="15"/>
  <c r="K41" i="15"/>
  <c r="G41" i="15"/>
  <c r="S41" i="15"/>
  <c r="K47" i="15"/>
  <c r="AA47" i="15"/>
  <c r="I47" i="15"/>
  <c r="Q47" i="15"/>
  <c r="E47" i="15"/>
  <c r="S47" i="15"/>
  <c r="G47" i="15"/>
  <c r="AA54" i="15"/>
  <c r="K54" i="15"/>
  <c r="I54" i="15"/>
  <c r="Q54" i="15"/>
  <c r="E54" i="15"/>
  <c r="G54" i="15"/>
  <c r="S54" i="15"/>
  <c r="K58" i="15"/>
  <c r="I58" i="15"/>
  <c r="AA58" i="15"/>
  <c r="Q58" i="15"/>
  <c r="E58" i="15"/>
  <c r="S58" i="15"/>
  <c r="G58" i="15"/>
  <c r="AA64" i="15"/>
  <c r="S64" i="15"/>
  <c r="G64" i="15"/>
  <c r="Q64" i="15"/>
  <c r="E64" i="15"/>
  <c r="I64" i="15"/>
  <c r="K64" i="15"/>
  <c r="AA74" i="15"/>
  <c r="K74" i="15"/>
  <c r="I74" i="15"/>
  <c r="Q74" i="15"/>
  <c r="E74" i="15"/>
  <c r="S74" i="15"/>
  <c r="G74" i="15"/>
  <c r="AA79" i="15"/>
  <c r="S79" i="15"/>
  <c r="G79" i="15"/>
  <c r="Q79" i="15"/>
  <c r="E79" i="15"/>
  <c r="I79" i="15"/>
  <c r="K79" i="15"/>
  <c r="AA84" i="15"/>
  <c r="S84" i="15"/>
  <c r="G84" i="15"/>
  <c r="Q84" i="15"/>
  <c r="E84" i="15"/>
  <c r="I84" i="15"/>
  <c r="K84" i="15"/>
  <c r="AA92" i="15"/>
  <c r="S92" i="15"/>
  <c r="G92" i="15"/>
  <c r="Q92" i="15"/>
  <c r="E92" i="15"/>
  <c r="I92" i="15"/>
  <c r="K92" i="15"/>
  <c r="I98" i="15"/>
  <c r="S98" i="15"/>
  <c r="K98" i="15"/>
  <c r="G98" i="15"/>
  <c r="E98" i="15"/>
  <c r="Q98" i="15"/>
  <c r="AA98" i="15"/>
  <c r="I106" i="15"/>
  <c r="S106" i="15"/>
  <c r="G106" i="15"/>
  <c r="K106" i="15"/>
  <c r="AA106" i="15"/>
  <c r="Q106" i="15"/>
  <c r="E106" i="15"/>
  <c r="I110" i="15"/>
  <c r="S110" i="15"/>
  <c r="G110" i="15"/>
  <c r="K110" i="15"/>
  <c r="AA110" i="15"/>
  <c r="E110" i="15"/>
  <c r="Q110" i="15"/>
  <c r="Q202" i="15"/>
  <c r="E202" i="15"/>
  <c r="AA202" i="15"/>
  <c r="K202" i="15"/>
  <c r="S202" i="15"/>
  <c r="G202" i="15"/>
  <c r="I202" i="15"/>
  <c r="Q206" i="15"/>
  <c r="E206" i="15"/>
  <c r="AA206" i="15"/>
  <c r="K206" i="15"/>
  <c r="S206" i="15"/>
  <c r="G206" i="15"/>
  <c r="I206" i="15"/>
  <c r="AA211" i="15"/>
  <c r="I211" i="15"/>
  <c r="S211" i="15"/>
  <c r="G211" i="15"/>
  <c r="K211" i="15"/>
  <c r="E211" i="15"/>
  <c r="Q211" i="15"/>
  <c r="Q217" i="15"/>
  <c r="E217" i="15"/>
  <c r="AA217" i="15"/>
  <c r="K217" i="15"/>
  <c r="S217" i="15"/>
  <c r="G217" i="15"/>
  <c r="I217" i="15"/>
  <c r="Q223" i="15"/>
  <c r="E223" i="15"/>
  <c r="K223" i="15"/>
  <c r="AA223" i="15"/>
  <c r="S223" i="15"/>
  <c r="G223" i="15"/>
  <c r="I223" i="15"/>
  <c r="I228" i="15"/>
  <c r="S228" i="15"/>
  <c r="G228" i="15"/>
  <c r="K228" i="15"/>
  <c r="Q228" i="15"/>
  <c r="E228" i="15"/>
  <c r="AA228" i="15"/>
  <c r="Q239" i="15"/>
  <c r="E239" i="15"/>
  <c r="AA239" i="15"/>
  <c r="K239" i="15"/>
  <c r="S239" i="15"/>
  <c r="G239" i="15"/>
  <c r="I239" i="15"/>
  <c r="Q243" i="15"/>
  <c r="E243" i="15"/>
  <c r="AA243" i="15"/>
  <c r="K243" i="15"/>
  <c r="S243" i="15"/>
  <c r="G243" i="15"/>
  <c r="I243" i="15"/>
  <c r="H32" i="8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T825" i="1" s="1"/>
  <c r="T821" i="1" s="1"/>
  <c r="H21" i="8"/>
  <c r="H23" i="8" s="1"/>
  <c r="T817" i="1" s="1"/>
  <c r="T815" i="1" s="1"/>
  <c r="F11" i="8"/>
  <c r="F15" i="8"/>
  <c r="F19" i="8"/>
  <c r="F17" i="8"/>
  <c r="F10" i="8"/>
  <c r="F14" i="8"/>
  <c r="F18" i="8"/>
  <c r="F8" i="8"/>
  <c r="F12" i="8"/>
  <c r="F16" i="8"/>
  <c r="F9" i="8"/>
  <c r="F13" i="8"/>
  <c r="T829" i="1"/>
  <c r="K347" i="15"/>
  <c r="G347" i="15"/>
  <c r="E347" i="15"/>
  <c r="I347" i="15"/>
  <c r="S347" i="15"/>
  <c r="Q347" i="15"/>
  <c r="T760" i="1"/>
  <c r="V760" i="1" s="1"/>
  <c r="W1114" i="1"/>
  <c r="Y1114" i="1"/>
  <c r="T1114" i="1" s="1"/>
  <c r="T961" i="1"/>
  <c r="F3" i="12"/>
  <c r="G6" i="12"/>
  <c r="W1327" i="1" s="1"/>
  <c r="G10" i="12"/>
  <c r="W1317" i="1" s="1"/>
  <c r="G14" i="12"/>
  <c r="W1331" i="1" s="1"/>
  <c r="F15" i="12"/>
  <c r="W971" i="1" s="1"/>
  <c r="W985" i="1" s="1"/>
  <c r="G18" i="12"/>
  <c r="W1336" i="1" s="1"/>
  <c r="G22" i="12"/>
  <c r="W1340" i="1" s="1"/>
  <c r="F23" i="12"/>
  <c r="W989" i="1" s="1"/>
  <c r="W1000" i="1" s="1"/>
  <c r="G26" i="12"/>
  <c r="W1343" i="1" s="1"/>
  <c r="G30" i="12"/>
  <c r="W1347" i="1" s="1"/>
  <c r="G34" i="12"/>
  <c r="W1360" i="1" s="1"/>
  <c r="G37" i="12"/>
  <c r="W1363" i="1" s="1"/>
  <c r="G42" i="12"/>
  <c r="W1368" i="1" s="1"/>
  <c r="G46" i="12"/>
  <c r="W1376" i="1" s="1"/>
  <c r="F47" i="12"/>
  <c r="W1039" i="1" s="1"/>
  <c r="G50" i="12"/>
  <c r="W1380" i="1" s="1"/>
  <c r="G54" i="12"/>
  <c r="W1384" i="1" s="1"/>
  <c r="F55" i="12"/>
  <c r="W1047" i="1" s="1"/>
  <c r="G58" i="12"/>
  <c r="W1389" i="1" s="1"/>
  <c r="F59" i="12"/>
  <c r="W1053" i="1" s="1"/>
  <c r="G62" i="12"/>
  <c r="W1394" i="1" s="1"/>
  <c r="F63" i="12"/>
  <c r="W1066" i="1" s="1"/>
  <c r="X1066" i="1" s="1"/>
  <c r="G66" i="12"/>
  <c r="W1407" i="1" s="1"/>
  <c r="G70" i="12"/>
  <c r="W1415" i="1" s="1"/>
  <c r="F71" i="12"/>
  <c r="W1077" i="1" s="1"/>
  <c r="G74" i="12"/>
  <c r="W1426" i="1" s="1"/>
  <c r="F75" i="12"/>
  <c r="W1095" i="1" s="1"/>
  <c r="G78" i="12"/>
  <c r="W1430" i="1" s="1"/>
  <c r="F79" i="12"/>
  <c r="W1098" i="1" s="1"/>
  <c r="G82" i="12"/>
  <c r="F83" i="12"/>
  <c r="W1118" i="1" s="1"/>
  <c r="G86" i="12"/>
  <c r="T997" i="1"/>
  <c r="G3" i="12"/>
  <c r="F4" i="12"/>
  <c r="W953" i="1" s="1"/>
  <c r="F8" i="12"/>
  <c r="W958" i="1" s="1"/>
  <c r="F12" i="12"/>
  <c r="W963" i="1" s="1"/>
  <c r="F16" i="12"/>
  <c r="W975" i="1" s="1"/>
  <c r="F20" i="12"/>
  <c r="W981" i="1" s="1"/>
  <c r="F24" i="12"/>
  <c r="W990" i="1" s="1"/>
  <c r="F28" i="12"/>
  <c r="W995" i="1" s="1"/>
  <c r="F32" i="12"/>
  <c r="W1009" i="1" s="1"/>
  <c r="F36" i="12"/>
  <c r="W1019" i="1" s="1"/>
  <c r="W1035" i="1" s="1"/>
  <c r="F39" i="12"/>
  <c r="W1023" i="1" s="1"/>
  <c r="F44" i="12"/>
  <c r="W1032" i="1" s="1"/>
  <c r="F48" i="12"/>
  <c r="W1040" i="1" s="1"/>
  <c r="F52" i="12"/>
  <c r="W1044" i="1" s="1"/>
  <c r="F56" i="12"/>
  <c r="W1049" i="1" s="1"/>
  <c r="F60" i="12"/>
  <c r="W1054" i="1" s="1"/>
  <c r="F64" i="12"/>
  <c r="W1067" i="1" s="1"/>
  <c r="X1067" i="1" s="1"/>
  <c r="F68" i="12"/>
  <c r="W1074" i="1" s="1"/>
  <c r="F72" i="12"/>
  <c r="W1082" i="1" s="1"/>
  <c r="F76" i="12"/>
  <c r="W1096" i="1" s="1"/>
  <c r="F80" i="12"/>
  <c r="W1099" i="1" s="1"/>
  <c r="T1099" i="1" s="1"/>
  <c r="F84" i="12"/>
  <c r="W1104" i="1" s="1"/>
  <c r="F88" i="12"/>
  <c r="W1107" i="1" s="1"/>
  <c r="F45" i="12"/>
  <c r="W1025" i="1" s="1"/>
  <c r="F49" i="12"/>
  <c r="W1041" i="1" s="1"/>
  <c r="F65" i="12"/>
  <c r="W1068" i="1" s="1"/>
  <c r="X1068" i="1" s="1"/>
  <c r="F69" i="12"/>
  <c r="W1075" i="1" s="1"/>
  <c r="F81" i="12"/>
  <c r="W1117" i="1" s="1"/>
  <c r="F85" i="12"/>
  <c r="W1105" i="1" s="1"/>
  <c r="T1105" i="1"/>
  <c r="D23" i="5"/>
  <c r="E19" i="5" s="1"/>
  <c r="W115" i="15"/>
  <c r="R52" i="38"/>
  <c r="AD44" i="30" s="1"/>
  <c r="F72" i="8"/>
  <c r="H69" i="1"/>
  <c r="H955" i="3" s="1"/>
  <c r="T828" i="1"/>
  <c r="T832" i="1"/>
  <c r="N503" i="1"/>
  <c r="B43" i="40"/>
  <c r="B41" i="40"/>
  <c r="P919" i="1"/>
  <c r="P392" i="3" s="1"/>
  <c r="Z1235" i="1"/>
  <c r="T1234" i="1" s="1"/>
  <c r="D1234" i="1"/>
  <c r="D705" i="3" s="1"/>
  <c r="P10" i="11"/>
  <c r="J10" i="11" s="1"/>
  <c r="X845" i="1"/>
  <c r="L21" i="11"/>
  <c r="L22" i="11" s="1"/>
  <c r="T857" i="1" s="1"/>
  <c r="P12" i="11"/>
  <c r="J12" i="11" s="1"/>
  <c r="P14" i="11"/>
  <c r="J14" i="11" s="1"/>
  <c r="P16" i="11"/>
  <c r="J16" i="11" s="1"/>
  <c r="P18" i="11"/>
  <c r="J18" i="11" s="1"/>
  <c r="D21" i="11"/>
  <c r="D22" i="11" s="1"/>
  <c r="T842" i="1" s="1"/>
  <c r="N21" i="11"/>
  <c r="N22" i="11" s="1"/>
  <c r="D373" i="3"/>
  <c r="D564" i="1"/>
  <c r="D38" i="3" s="1"/>
  <c r="T840" i="1"/>
  <c r="O21" i="11"/>
  <c r="O22" i="11" s="1"/>
  <c r="X850" i="1"/>
  <c r="U528" i="35"/>
  <c r="T1159" i="1" s="1"/>
  <c r="U69" i="15"/>
  <c r="T1138" i="1"/>
  <c r="U614" i="35"/>
  <c r="F46" i="1"/>
  <c r="F932" i="3" s="1"/>
  <c r="Y65" i="15"/>
  <c r="Y292" i="15"/>
  <c r="Y310" i="15"/>
  <c r="Y309" i="15"/>
  <c r="Y308" i="15"/>
  <c r="Y302" i="15"/>
  <c r="Y301" i="15"/>
  <c r="Y300" i="15"/>
  <c r="Y299" i="15"/>
  <c r="Y298" i="15"/>
  <c r="Y296" i="15"/>
  <c r="Y295" i="15"/>
  <c r="Y293" i="15"/>
  <c r="Y304" i="15"/>
  <c r="Y303" i="15"/>
  <c r="T689" i="1"/>
  <c r="I311" i="15"/>
  <c r="U603" i="35"/>
  <c r="V621" i="35"/>
  <c r="U22" i="15"/>
  <c r="U36" i="15"/>
  <c r="T618" i="1"/>
  <c r="T619" i="1"/>
  <c r="U39" i="15"/>
  <c r="U37" i="15"/>
  <c r="U91" i="15"/>
  <c r="T600" i="1"/>
  <c r="T749" i="1"/>
  <c r="E233" i="15"/>
  <c r="W666" i="1"/>
  <c r="T666" i="1" s="1"/>
  <c r="C30" i="5"/>
  <c r="T771" i="1" s="1"/>
  <c r="N317" i="1"/>
  <c r="N1193" i="3" s="1"/>
  <c r="U77" i="15"/>
  <c r="C31" i="5"/>
  <c r="T772" i="1" s="1"/>
  <c r="T726" i="1"/>
  <c r="T727" i="1"/>
  <c r="T729" i="1"/>
  <c r="H51" i="16"/>
  <c r="X667" i="1" s="1"/>
  <c r="K305" i="15"/>
  <c r="K311" i="15"/>
  <c r="T1152" i="1"/>
  <c r="AA1170" i="1"/>
  <c r="AB333" i="15"/>
  <c r="AB334" i="15" s="1"/>
  <c r="AA330" i="15"/>
  <c r="N313" i="1"/>
  <c r="N1189" i="3" s="1"/>
  <c r="N352" i="1"/>
  <c r="N1228" i="3" s="1"/>
  <c r="N305" i="1"/>
  <c r="N1181" i="3" s="1"/>
  <c r="N343" i="1"/>
  <c r="I343" i="1" s="1"/>
  <c r="I1219" i="3" s="1"/>
  <c r="N351" i="1"/>
  <c r="N1227" i="3" s="1"/>
  <c r="N301" i="1"/>
  <c r="N1177" i="3" s="1"/>
  <c r="AB330" i="15"/>
  <c r="N353" i="1"/>
  <c r="I353" i="1" s="1"/>
  <c r="I1229" i="3" s="1"/>
  <c r="N297" i="1"/>
  <c r="N1173" i="3" s="1"/>
  <c r="N300" i="1"/>
  <c r="N1176" i="3" s="1"/>
  <c r="N309" i="1"/>
  <c r="N1185" i="3" s="1"/>
  <c r="N344" i="1"/>
  <c r="N1220" i="3" s="1"/>
  <c r="T936" i="1"/>
  <c r="T931" i="1"/>
  <c r="I914" i="3"/>
  <c r="D28" i="1"/>
  <c r="H915" i="3"/>
  <c r="P915" i="3"/>
  <c r="P918" i="3"/>
  <c r="F921" i="3"/>
  <c r="L923" i="3"/>
  <c r="H924" i="3"/>
  <c r="N935" i="3"/>
  <c r="I49" i="1"/>
  <c r="N986" i="3"/>
  <c r="I100" i="1"/>
  <c r="I986" i="3" s="1"/>
  <c r="I997" i="3"/>
  <c r="D111" i="1"/>
  <c r="N1082" i="3"/>
  <c r="I196" i="1"/>
  <c r="I1082" i="3" s="1"/>
  <c r="I1100" i="3"/>
  <c r="I463" i="1"/>
  <c r="I1338" i="3" s="1"/>
  <c r="F1135" i="3"/>
  <c r="D259" i="1"/>
  <c r="F917" i="1"/>
  <c r="P1161" i="3"/>
  <c r="N285" i="1"/>
  <c r="O1171" i="3"/>
  <c r="N295" i="1"/>
  <c r="O1175" i="3"/>
  <c r="N299" i="1"/>
  <c r="F1177" i="3"/>
  <c r="O1179" i="3"/>
  <c r="N303" i="1"/>
  <c r="F1181" i="3"/>
  <c r="F1184" i="3"/>
  <c r="O1187" i="3"/>
  <c r="N311" i="1"/>
  <c r="N1187" i="3" s="1"/>
  <c r="F1189" i="3"/>
  <c r="O1192" i="3"/>
  <c r="N316" i="1"/>
  <c r="N1192" i="3" s="1"/>
  <c r="O1194" i="3"/>
  <c r="N318" i="1"/>
  <c r="N1194" i="3" s="1"/>
  <c r="O1196" i="3"/>
  <c r="N320" i="1"/>
  <c r="N1196" i="3" s="1"/>
  <c r="L1200" i="3"/>
  <c r="L1201" i="3"/>
  <c r="F326" i="1"/>
  <c r="L1217" i="3"/>
  <c r="P1296" i="3"/>
  <c r="N421" i="1"/>
  <c r="P1320" i="3"/>
  <c r="N445" i="1"/>
  <c r="N1320" i="3" s="1"/>
  <c r="I917" i="1"/>
  <c r="I390" i="3" s="1"/>
  <c r="L390" i="3"/>
  <c r="F649" i="3"/>
  <c r="O733" i="3"/>
  <c r="N1263" i="1"/>
  <c r="N31" i="1"/>
  <c r="O919" i="3"/>
  <c r="N33" i="1"/>
  <c r="O924" i="3"/>
  <c r="I42" i="1"/>
  <c r="N928" i="3"/>
  <c r="N931" i="3"/>
  <c r="I45" i="1"/>
  <c r="I931" i="3" s="1"/>
  <c r="I51" i="1"/>
  <c r="N937" i="3"/>
  <c r="N956" i="3"/>
  <c r="I70" i="1"/>
  <c r="I959" i="3"/>
  <c r="D73" i="1"/>
  <c r="N961" i="3"/>
  <c r="I75" i="1"/>
  <c r="I961" i="3" s="1"/>
  <c r="I978" i="3"/>
  <c r="N980" i="3"/>
  <c r="I94" i="1"/>
  <c r="I983" i="3"/>
  <c r="D97" i="1"/>
  <c r="F986" i="3"/>
  <c r="D100" i="1"/>
  <c r="F349" i="1"/>
  <c r="N991" i="3"/>
  <c r="I105" i="1"/>
  <c r="N993" i="3"/>
  <c r="I107" i="1"/>
  <c r="I993" i="3" s="1"/>
  <c r="F1082" i="3"/>
  <c r="D196" i="1"/>
  <c r="D1082" i="3" s="1"/>
  <c r="F445" i="1"/>
  <c r="O1138" i="3"/>
  <c r="N262" i="1"/>
  <c r="AG953" i="1" s="1"/>
  <c r="O919" i="1"/>
  <c r="L1169" i="3"/>
  <c r="O1180" i="3"/>
  <c r="N304" i="1"/>
  <c r="N1180" i="3" s="1"/>
  <c r="O1183" i="3"/>
  <c r="N307" i="1"/>
  <c r="F1185" i="3"/>
  <c r="O1188" i="3"/>
  <c r="N312" i="1"/>
  <c r="N1188" i="3" s="1"/>
  <c r="F1191" i="3"/>
  <c r="F1196" i="3"/>
  <c r="L1204" i="3"/>
  <c r="L1218" i="3"/>
  <c r="L1226" i="3"/>
  <c r="F1227" i="3"/>
  <c r="O1230" i="3"/>
  <c r="N354" i="1"/>
  <c r="N1246" i="3"/>
  <c r="I370" i="1"/>
  <c r="I1246" i="3" s="1"/>
  <c r="D568" i="1"/>
  <c r="D42" i="3" s="1"/>
  <c r="D377" i="3"/>
  <c r="P387" i="3"/>
  <c r="N914" i="1"/>
  <c r="N387" i="3" s="1"/>
  <c r="H392" i="3"/>
  <c r="F733" i="3"/>
  <c r="O1176" i="3"/>
  <c r="N29" i="1"/>
  <c r="D30" i="1"/>
  <c r="O917" i="3"/>
  <c r="F918" i="3"/>
  <c r="F919" i="3"/>
  <c r="P919" i="3"/>
  <c r="L921" i="3"/>
  <c r="H36" i="1"/>
  <c r="P38" i="1"/>
  <c r="I47" i="1"/>
  <c r="N933" i="3"/>
  <c r="N939" i="3"/>
  <c r="I53" i="1"/>
  <c r="L955" i="3"/>
  <c r="L318" i="1"/>
  <c r="I69" i="1"/>
  <c r="I955" i="3" s="1"/>
  <c r="N957" i="3"/>
  <c r="I71" i="1"/>
  <c r="I86" i="1"/>
  <c r="I972" i="3" s="1"/>
  <c r="L972" i="3"/>
  <c r="N1056" i="3"/>
  <c r="I170" i="1"/>
  <c r="I1056" i="3" s="1"/>
  <c r="N1131" i="3"/>
  <c r="I255" i="1"/>
  <c r="O1172" i="3"/>
  <c r="N296" i="1"/>
  <c r="N1172" i="3" s="1"/>
  <c r="O1184" i="3"/>
  <c r="N308" i="1"/>
  <c r="N1184" i="3" s="1"/>
  <c r="F1187" i="3"/>
  <c r="F1192" i="3"/>
  <c r="O1195" i="3"/>
  <c r="N319" i="1"/>
  <c r="P1231" i="3"/>
  <c r="N355" i="1"/>
  <c r="N1231" i="3" s="1"/>
  <c r="H1234" i="3"/>
  <c r="D358" i="1"/>
  <c r="D1234" i="3" s="1"/>
  <c r="P1235" i="3"/>
  <c r="N359" i="1"/>
  <c r="L1324" i="3"/>
  <c r="I449" i="1"/>
  <c r="I1324" i="3" s="1"/>
  <c r="O1338" i="3"/>
  <c r="N463" i="1"/>
  <c r="N1338" i="3" s="1"/>
  <c r="N506" i="1"/>
  <c r="N60" i="3"/>
  <c r="I586" i="1"/>
  <c r="I60" i="3" s="1"/>
  <c r="D375" i="3"/>
  <c r="D566" i="1"/>
  <c r="D40" i="3" s="1"/>
  <c r="I1233" i="1"/>
  <c r="I704" i="3" s="1"/>
  <c r="N704" i="3"/>
  <c r="O775" i="3"/>
  <c r="O1306" i="1"/>
  <c r="O776" i="3" s="1"/>
  <c r="O918" i="3"/>
  <c r="N32" i="1"/>
  <c r="O921" i="3"/>
  <c r="N35" i="1"/>
  <c r="N921" i="3" s="1"/>
  <c r="N922" i="3"/>
  <c r="I36" i="1"/>
  <c r="I922" i="3" s="1"/>
  <c r="I37" i="1"/>
  <c r="N39" i="1"/>
  <c r="Q288" i="1"/>
  <c r="I43" i="1"/>
  <c r="N929" i="3"/>
  <c r="I46" i="1"/>
  <c r="I932" i="3" s="1"/>
  <c r="N932" i="3"/>
  <c r="F940" i="3"/>
  <c r="D54" i="1"/>
  <c r="F303" i="1"/>
  <c r="I964" i="3"/>
  <c r="D78" i="1"/>
  <c r="N979" i="3"/>
  <c r="I93" i="1"/>
  <c r="I979" i="3" s="1"/>
  <c r="N981" i="3"/>
  <c r="I95" i="1"/>
  <c r="N984" i="3"/>
  <c r="I98" i="1"/>
  <c r="N988" i="3"/>
  <c r="I102" i="1"/>
  <c r="I988" i="3" s="1"/>
  <c r="N992" i="3"/>
  <c r="I106" i="1"/>
  <c r="I1102" i="3"/>
  <c r="I465" i="1"/>
  <c r="I1340" i="3" s="1"/>
  <c r="D216" i="1"/>
  <c r="D1102" i="3" s="1"/>
  <c r="F1136" i="3"/>
  <c r="F918" i="1"/>
  <c r="D260" i="1"/>
  <c r="N294" i="1"/>
  <c r="O1170" i="3"/>
  <c r="O1174" i="3"/>
  <c r="N298" i="1"/>
  <c r="F1176" i="3"/>
  <c r="N302" i="1"/>
  <c r="O1178" i="3"/>
  <c r="F1180" i="3"/>
  <c r="O1182" i="3"/>
  <c r="N306" i="1"/>
  <c r="F1188" i="3"/>
  <c r="O1191" i="3"/>
  <c r="N315" i="1"/>
  <c r="N1191" i="3" s="1"/>
  <c r="F1193" i="3"/>
  <c r="N1202" i="3"/>
  <c r="I326" i="1"/>
  <c r="I1202" i="3" s="1"/>
  <c r="N1221" i="3"/>
  <c r="I345" i="1"/>
  <c r="I1221" i="3" s="1"/>
  <c r="P1233" i="3"/>
  <c r="N357" i="1"/>
  <c r="N1233" i="3" s="1"/>
  <c r="N1266" i="3"/>
  <c r="I390" i="1"/>
  <c r="I1266" i="3" s="1"/>
  <c r="P1297" i="3"/>
  <c r="N422" i="1"/>
  <c r="N1297" i="3" s="1"/>
  <c r="N584" i="1"/>
  <c r="O58" i="3"/>
  <c r="I1101" i="1"/>
  <c r="N574" i="3"/>
  <c r="D704" i="3"/>
  <c r="D584" i="1"/>
  <c r="D58" i="3" s="1"/>
  <c r="F962" i="3"/>
  <c r="I965" i="3"/>
  <c r="D79" i="1"/>
  <c r="D965" i="3" s="1"/>
  <c r="L334" i="1"/>
  <c r="D971" i="3"/>
  <c r="N982" i="3"/>
  <c r="I96" i="1"/>
  <c r="H994" i="3"/>
  <c r="N1038" i="3"/>
  <c r="I152" i="1"/>
  <c r="I1038" i="3" s="1"/>
  <c r="N1101" i="3"/>
  <c r="I215" i="1"/>
  <c r="F1131" i="3"/>
  <c r="F915" i="1"/>
  <c r="N1135" i="3"/>
  <c r="I259" i="1"/>
  <c r="O1155" i="3"/>
  <c r="N279" i="1"/>
  <c r="F1161" i="3"/>
  <c r="L1172" i="3"/>
  <c r="L1176" i="3"/>
  <c r="L1180" i="3"/>
  <c r="L1196" i="3"/>
  <c r="I320" i="1"/>
  <c r="I1196" i="3" s="1"/>
  <c r="O1205" i="3"/>
  <c r="N329" i="1"/>
  <c r="H334" i="1"/>
  <c r="H1210" i="3" s="1"/>
  <c r="E9" i="29" s="1"/>
  <c r="P334" i="1"/>
  <c r="P1210" i="3" s="1"/>
  <c r="P349" i="1"/>
  <c r="P1225" i="3" s="1"/>
  <c r="O1277" i="3"/>
  <c r="N401" i="1"/>
  <c r="O1339" i="3"/>
  <c r="N464" i="1"/>
  <c r="N1339" i="3" s="1"/>
  <c r="N504" i="1"/>
  <c r="N508" i="1"/>
  <c r="N512" i="1"/>
  <c r="O59" i="3"/>
  <c r="N585" i="1"/>
  <c r="O388" i="3"/>
  <c r="N915" i="1"/>
  <c r="H916" i="1"/>
  <c r="H389" i="3" s="1"/>
  <c r="D920" i="1"/>
  <c r="D393" i="3" s="1"/>
  <c r="H393" i="3"/>
  <c r="Z936" i="1"/>
  <c r="P936" i="1" s="1"/>
  <c r="P409" i="3" s="1"/>
  <c r="Y936" i="1"/>
  <c r="O936" i="1" s="1"/>
  <c r="O409" i="3" s="1"/>
  <c r="C30" i="33"/>
  <c r="G30" i="33" s="1"/>
  <c r="I30" i="33" s="1"/>
  <c r="T953" i="1"/>
  <c r="G29" i="33"/>
  <c r="I29" i="33" s="1"/>
  <c r="T965" i="1"/>
  <c r="I1100" i="1"/>
  <c r="I1112" i="1"/>
  <c r="L649" i="3"/>
  <c r="L1305" i="1"/>
  <c r="L773" i="3"/>
  <c r="L1304" i="1"/>
  <c r="L774" i="3" s="1"/>
  <c r="Q1305" i="1"/>
  <c r="Q1306" i="1" s="1"/>
  <c r="Q1304" i="1"/>
  <c r="H775" i="3"/>
  <c r="H1306" i="1"/>
  <c r="H776" i="3" s="1"/>
  <c r="F1306" i="1"/>
  <c r="F776" i="3" s="1"/>
  <c r="D376" i="3"/>
  <c r="D378" i="3"/>
  <c r="F1324" i="3"/>
  <c r="I50" i="1"/>
  <c r="I936" i="3" s="1"/>
  <c r="N936" i="3"/>
  <c r="H961" i="3"/>
  <c r="N962" i="3"/>
  <c r="I76" i="1"/>
  <c r="I962" i="3" s="1"/>
  <c r="P985" i="3"/>
  <c r="N1027" i="3"/>
  <c r="I141" i="1"/>
  <c r="I1027" i="3" s="1"/>
  <c r="L1086" i="3"/>
  <c r="I200" i="1"/>
  <c r="F254" i="1"/>
  <c r="L1130" i="3"/>
  <c r="N1133" i="3"/>
  <c r="I257" i="1"/>
  <c r="N1139" i="3"/>
  <c r="I263" i="1"/>
  <c r="L1157" i="3"/>
  <c r="L1168" i="3"/>
  <c r="F1183" i="3"/>
  <c r="F1195" i="3"/>
  <c r="O323" i="1"/>
  <c r="O1199" i="3" s="1"/>
  <c r="L1203" i="3"/>
  <c r="I327" i="1"/>
  <c r="I1203" i="3" s="1"/>
  <c r="L1220" i="3"/>
  <c r="L1228" i="3"/>
  <c r="O1234" i="3"/>
  <c r="N358" i="1"/>
  <c r="N1234" i="3" s="1"/>
  <c r="O1275" i="3"/>
  <c r="N399" i="1"/>
  <c r="N1275" i="3" s="1"/>
  <c r="H449" i="1"/>
  <c r="H1324" i="3" s="1"/>
  <c r="I505" i="1"/>
  <c r="D505" i="1" s="1"/>
  <c r="I509" i="1"/>
  <c r="H915" i="1"/>
  <c r="H388" i="3" s="1"/>
  <c r="H917" i="1"/>
  <c r="H390" i="3" s="1"/>
  <c r="T963" i="1"/>
  <c r="F583" i="3"/>
  <c r="D1111" i="1"/>
  <c r="AF1178" i="1"/>
  <c r="P1178" i="1" s="1"/>
  <c r="P649" i="3" s="1"/>
  <c r="D585" i="1"/>
  <c r="D59" i="3" s="1"/>
  <c r="C53" i="29"/>
  <c r="C53" i="33"/>
  <c r="N934" i="3"/>
  <c r="N938" i="3"/>
  <c r="I74" i="1"/>
  <c r="I960" i="3" s="1"/>
  <c r="D75" i="1"/>
  <c r="D961" i="3" s="1"/>
  <c r="D76" i="1"/>
  <c r="F325" i="1" s="1"/>
  <c r="N966" i="3"/>
  <c r="I80" i="1"/>
  <c r="D86" i="1"/>
  <c r="D972" i="3" s="1"/>
  <c r="F985" i="3"/>
  <c r="N99" i="1"/>
  <c r="H349" i="1"/>
  <c r="H1225" i="3" s="1"/>
  <c r="E20" i="29" s="1"/>
  <c r="H986" i="3"/>
  <c r="O986" i="3"/>
  <c r="O349" i="1"/>
  <c r="I104" i="1"/>
  <c r="I990" i="3" s="1"/>
  <c r="F994" i="3"/>
  <c r="D108" i="1"/>
  <c r="D110" i="1"/>
  <c r="I172" i="1"/>
  <c r="H1130" i="3"/>
  <c r="H914" i="1"/>
  <c r="H387" i="3" s="1"/>
  <c r="D256" i="1"/>
  <c r="D1132" i="3" s="1"/>
  <c r="N1137" i="3"/>
  <c r="I261" i="1"/>
  <c r="O1164" i="3"/>
  <c r="N288" i="1"/>
  <c r="N1164" i="3" s="1"/>
  <c r="N310" i="1"/>
  <c r="N1186" i="3" s="1"/>
  <c r="O1186" i="3"/>
  <c r="O1190" i="3"/>
  <c r="N314" i="1"/>
  <c r="N1190" i="3" s="1"/>
  <c r="N322" i="1"/>
  <c r="N324" i="1"/>
  <c r="N1200" i="3" s="1"/>
  <c r="O1201" i="3"/>
  <c r="N325" i="1"/>
  <c r="N1201" i="3" s="1"/>
  <c r="N328" i="1"/>
  <c r="N1204" i="3" s="1"/>
  <c r="F334" i="1"/>
  <c r="O334" i="1"/>
  <c r="N341" i="1"/>
  <c r="N1217" i="3" s="1"/>
  <c r="O1226" i="3"/>
  <c r="N350" i="1"/>
  <c r="N1226" i="3" s="1"/>
  <c r="I358" i="1"/>
  <c r="I1234" i="3" s="1"/>
  <c r="L1236" i="3"/>
  <c r="N387" i="1"/>
  <c r="N1263" i="3" s="1"/>
  <c r="I399" i="1"/>
  <c r="I1275" i="3" s="1"/>
  <c r="L1294" i="3"/>
  <c r="I419" i="1"/>
  <c r="I1294" i="3" s="1"/>
  <c r="N449" i="1"/>
  <c r="N1324" i="3" s="1"/>
  <c r="F1340" i="3"/>
  <c r="D465" i="1"/>
  <c r="D1340" i="3" s="1"/>
  <c r="N465" i="1"/>
  <c r="N1340" i="3" s="1"/>
  <c r="L503" i="1"/>
  <c r="D513" i="1"/>
  <c r="L914" i="1"/>
  <c r="F916" i="1"/>
  <c r="N916" i="1"/>
  <c r="P391" i="3"/>
  <c r="N918" i="1"/>
  <c r="N926" i="1"/>
  <c r="P399" i="3"/>
  <c r="AH953" i="1"/>
  <c r="T995" i="1"/>
  <c r="I773" i="3"/>
  <c r="I1305" i="1"/>
  <c r="P1305" i="1"/>
  <c r="P773" i="3"/>
  <c r="I1304" i="1"/>
  <c r="I774" i="3" s="1"/>
  <c r="J821" i="3"/>
  <c r="J819" i="3"/>
  <c r="I51" i="33"/>
  <c r="E51" i="33"/>
  <c r="F925" i="3"/>
  <c r="F773" i="3"/>
  <c r="Y943" i="1"/>
  <c r="O943" i="1" s="1"/>
  <c r="O416" i="3" s="1"/>
  <c r="I53" i="33"/>
  <c r="Q53" i="33" s="1"/>
  <c r="E53" i="33"/>
  <c r="F107" i="1"/>
  <c r="P323" i="1"/>
  <c r="P1199" i="3" s="1"/>
  <c r="L445" i="1"/>
  <c r="P449" i="1"/>
  <c r="P1324" i="3" s="1"/>
  <c r="H918" i="1"/>
  <c r="H391" i="3" s="1"/>
  <c r="K821" i="3"/>
  <c r="T941" i="1"/>
  <c r="N25" i="41"/>
  <c r="N28" i="41" s="1"/>
  <c r="N936" i="1"/>
  <c r="D74" i="1"/>
  <c r="D960" i="3" s="1"/>
  <c r="Z943" i="1"/>
  <c r="P943" i="1" s="1"/>
  <c r="P416" i="3" s="1"/>
  <c r="F960" i="3"/>
  <c r="O72" i="1"/>
  <c r="AE44" i="30"/>
  <c r="AF44" i="30" s="1"/>
  <c r="H45" i="30" s="1"/>
  <c r="Q12" i="30"/>
  <c r="Q23" i="30"/>
  <c r="Q13" i="46"/>
  <c r="Q23" i="46"/>
  <c r="Q14" i="46"/>
  <c r="Q25" i="46"/>
  <c r="Q10" i="30"/>
  <c r="Q25" i="30"/>
  <c r="Q11" i="46"/>
  <c r="Q22" i="46"/>
  <c r="Q11" i="30"/>
  <c r="Q24" i="30"/>
  <c r="Q26" i="30"/>
  <c r="Q9" i="46"/>
  <c r="Q21" i="46"/>
  <c r="Q15" i="30"/>
  <c r="Q10" i="46"/>
  <c r="Q24" i="46"/>
  <c r="Q9" i="30"/>
  <c r="Q14" i="30"/>
  <c r="Q22" i="30"/>
  <c r="T1162" i="1" l="1"/>
  <c r="Y64" i="15"/>
  <c r="M212" i="15"/>
  <c r="O212" i="15" s="1"/>
  <c r="AB212" i="15" s="1"/>
  <c r="K66" i="15"/>
  <c r="M47" i="15"/>
  <c r="O47" i="15" s="1"/>
  <c r="AB47" i="15" s="1"/>
  <c r="U44" i="15"/>
  <c r="M38" i="15"/>
  <c r="O38" i="15" s="1"/>
  <c r="AB38" i="15" s="1"/>
  <c r="M56" i="15"/>
  <c r="O56" i="15" s="1"/>
  <c r="AB56" i="15" s="1"/>
  <c r="M93" i="15"/>
  <c r="O93" i="15" s="1"/>
  <c r="AB93" i="15" s="1"/>
  <c r="M109" i="15"/>
  <c r="O109" i="15" s="1"/>
  <c r="AB109" i="15" s="1"/>
  <c r="G66" i="15"/>
  <c r="K59" i="15"/>
  <c r="K48" i="15"/>
  <c r="K28" i="15"/>
  <c r="M21" i="15"/>
  <c r="O21" i="15" s="1"/>
  <c r="AB21" i="15" s="1"/>
  <c r="K95" i="15"/>
  <c r="K245" i="15"/>
  <c r="M32" i="15"/>
  <c r="O32" i="15" s="1"/>
  <c r="AB32" i="15" s="1"/>
  <c r="M238" i="15"/>
  <c r="M244" i="15"/>
  <c r="O244" i="15" s="1"/>
  <c r="AB244" i="15" s="1"/>
  <c r="M100" i="15"/>
  <c r="O100" i="15" s="1"/>
  <c r="AB100" i="15" s="1"/>
  <c r="K229" i="15"/>
  <c r="M206" i="15"/>
  <c r="O206" i="15" s="1"/>
  <c r="AB206" i="15" s="1"/>
  <c r="K112" i="15"/>
  <c r="M106" i="15"/>
  <c r="O106" i="15" s="1"/>
  <c r="AB106" i="15" s="1"/>
  <c r="M209" i="15"/>
  <c r="M72" i="15"/>
  <c r="O72" i="15" s="1"/>
  <c r="AB72" i="15" s="1"/>
  <c r="U242" i="15"/>
  <c r="U205" i="15"/>
  <c r="U15" i="15"/>
  <c r="M98" i="15"/>
  <c r="M24" i="15"/>
  <c r="O24" i="15" s="1"/>
  <c r="AB24" i="15" s="1"/>
  <c r="M14" i="15"/>
  <c r="O14" i="15" s="1"/>
  <c r="AB14" i="15" s="1"/>
  <c r="U201" i="15"/>
  <c r="M76" i="15"/>
  <c r="O76" i="15" s="1"/>
  <c r="AB76" i="15" s="1"/>
  <c r="T691" i="1"/>
  <c r="K69" i="33"/>
  <c r="O69" i="33" s="1"/>
  <c r="Q69" i="33" s="1"/>
  <c r="K36" i="33"/>
  <c r="O36" i="33" s="1"/>
  <c r="K30" i="33"/>
  <c r="O30" i="33" s="1"/>
  <c r="K14" i="33"/>
  <c r="O14" i="33" s="1"/>
  <c r="K27" i="33"/>
  <c r="O27" i="33" s="1"/>
  <c r="K65" i="33"/>
  <c r="O65" i="33" s="1"/>
  <c r="Q65" i="33" s="1"/>
  <c r="K49" i="33"/>
  <c r="K47" i="33"/>
  <c r="K45" i="33"/>
  <c r="K42" i="33"/>
  <c r="O42" i="33" s="1"/>
  <c r="K41" i="33"/>
  <c r="O41" i="33" s="1"/>
  <c r="K40" i="33"/>
  <c r="O40" i="33" s="1"/>
  <c r="K34" i="33"/>
  <c r="O34" i="33" s="1"/>
  <c r="K28" i="33"/>
  <c r="O28" i="33" s="1"/>
  <c r="K23" i="33"/>
  <c r="O23" i="33" s="1"/>
  <c r="Q23" i="33" s="1"/>
  <c r="K17" i="33"/>
  <c r="O17" i="33" s="1"/>
  <c r="K11" i="33"/>
  <c r="O11" i="33" s="1"/>
  <c r="K67" i="33"/>
  <c r="O67" i="33" s="1"/>
  <c r="Q67" i="33" s="1"/>
  <c r="K29" i="33"/>
  <c r="O29" i="33" s="1"/>
  <c r="Q29" i="33" s="1"/>
  <c r="K22" i="33"/>
  <c r="O22" i="33" s="1"/>
  <c r="K21" i="33"/>
  <c r="O21" i="33" s="1"/>
  <c r="K20" i="33"/>
  <c r="O20" i="33" s="1"/>
  <c r="K19" i="33"/>
  <c r="O19" i="33" s="1"/>
  <c r="K18" i="33"/>
  <c r="O18" i="33" s="1"/>
  <c r="K13" i="33"/>
  <c r="O13" i="33" s="1"/>
  <c r="K12" i="33"/>
  <c r="O12" i="33" s="1"/>
  <c r="K61" i="33"/>
  <c r="K59" i="33"/>
  <c r="O59" i="33" s="1"/>
  <c r="K57" i="33"/>
  <c r="K55" i="33"/>
  <c r="K51" i="33"/>
  <c r="K35" i="33"/>
  <c r="O35" i="33" s="1"/>
  <c r="K16" i="33"/>
  <c r="O16" i="33" s="1"/>
  <c r="K15" i="33"/>
  <c r="O15" i="33" s="1"/>
  <c r="K10" i="33"/>
  <c r="O10" i="33" s="1"/>
  <c r="Q30" i="33"/>
  <c r="O9" i="33"/>
  <c r="K80" i="15"/>
  <c r="K213" i="15"/>
  <c r="M19" i="15"/>
  <c r="O19" i="15" s="1"/>
  <c r="AB19" i="15" s="1"/>
  <c r="U217" i="15"/>
  <c r="M83" i="15"/>
  <c r="O83" i="15" s="1"/>
  <c r="AB83" i="15" s="1"/>
  <c r="M31" i="15"/>
  <c r="O31" i="15" s="1"/>
  <c r="AB31" i="15" s="1"/>
  <c r="M240" i="15"/>
  <c r="O240" i="15" s="1"/>
  <c r="AB240" i="15" s="1"/>
  <c r="M224" i="15"/>
  <c r="O224" i="15" s="1"/>
  <c r="AB224" i="15" s="1"/>
  <c r="M219" i="15"/>
  <c r="O219" i="15" s="1"/>
  <c r="AB219" i="15" s="1"/>
  <c r="M207" i="15"/>
  <c r="O207" i="15" s="1"/>
  <c r="AB207" i="15" s="1"/>
  <c r="M107" i="15"/>
  <c r="O107" i="15" s="1"/>
  <c r="AB107" i="15" s="1"/>
  <c r="M79" i="15"/>
  <c r="O79" i="15" s="1"/>
  <c r="AB79" i="15" s="1"/>
  <c r="M62" i="15"/>
  <c r="O62" i="15" s="1"/>
  <c r="O238" i="15"/>
  <c r="M44" i="15"/>
  <c r="O44" i="15" s="1"/>
  <c r="AB44" i="15" s="1"/>
  <c r="M17" i="15"/>
  <c r="O17" i="15" s="1"/>
  <c r="AB17" i="15" s="1"/>
  <c r="M55" i="15"/>
  <c r="O55" i="15" s="1"/>
  <c r="AB55" i="15" s="1"/>
  <c r="M25" i="15"/>
  <c r="O25" i="15" s="1"/>
  <c r="AB25" i="15" s="1"/>
  <c r="M236" i="15"/>
  <c r="O236" i="15" s="1"/>
  <c r="AB236" i="15" s="1"/>
  <c r="M204" i="15"/>
  <c r="O204" i="15" s="1"/>
  <c r="AB204" i="15" s="1"/>
  <c r="M71" i="15"/>
  <c r="O71" i="15" s="1"/>
  <c r="AB71" i="15" s="1"/>
  <c r="M52" i="15"/>
  <c r="O52" i="15" s="1"/>
  <c r="AB52" i="15" s="1"/>
  <c r="M16" i="15"/>
  <c r="O16" i="15" s="1"/>
  <c r="AB16" i="15" s="1"/>
  <c r="M239" i="15"/>
  <c r="O239" i="15" s="1"/>
  <c r="AB239" i="15" s="1"/>
  <c r="M110" i="15"/>
  <c r="O110" i="15" s="1"/>
  <c r="AB110" i="15" s="1"/>
  <c r="O98" i="15"/>
  <c r="M84" i="15"/>
  <c r="O84" i="15" s="1"/>
  <c r="AB84" i="15" s="1"/>
  <c r="M58" i="15"/>
  <c r="O58" i="15" s="1"/>
  <c r="AB58" i="15" s="1"/>
  <c r="M54" i="15"/>
  <c r="O54" i="15" s="1"/>
  <c r="AB54" i="15" s="1"/>
  <c r="M242" i="15"/>
  <c r="O242" i="15" s="1"/>
  <c r="AB242" i="15" s="1"/>
  <c r="M222" i="15"/>
  <c r="O222" i="15" s="1"/>
  <c r="AB222" i="15" s="1"/>
  <c r="M216" i="15"/>
  <c r="O216" i="15" s="1"/>
  <c r="AB216" i="15" s="1"/>
  <c r="M105" i="15"/>
  <c r="O105" i="15" s="1"/>
  <c r="AB105" i="15" s="1"/>
  <c r="M78" i="15"/>
  <c r="O78" i="15" s="1"/>
  <c r="AB78" i="15" s="1"/>
  <c r="M53" i="15"/>
  <c r="O53" i="15" s="1"/>
  <c r="AB53" i="15" s="1"/>
  <c r="M40" i="15"/>
  <c r="O40" i="15" s="1"/>
  <c r="AB40" i="15" s="1"/>
  <c r="M208" i="15"/>
  <c r="O208" i="15" s="1"/>
  <c r="AB208" i="15" s="1"/>
  <c r="M69" i="15"/>
  <c r="O69" i="15" s="1"/>
  <c r="AB69" i="15" s="1"/>
  <c r="M34" i="15"/>
  <c r="O34" i="15" s="1"/>
  <c r="AB34" i="15" s="1"/>
  <c r="M221" i="15"/>
  <c r="O221" i="15" s="1"/>
  <c r="AB221" i="15" s="1"/>
  <c r="M108" i="15"/>
  <c r="O108" i="15" s="1"/>
  <c r="AB108" i="15" s="1"/>
  <c r="M88" i="15"/>
  <c r="O88" i="15" s="1"/>
  <c r="AB88" i="15" s="1"/>
  <c r="M217" i="15"/>
  <c r="O217" i="15" s="1"/>
  <c r="AB217" i="15" s="1"/>
  <c r="M92" i="15"/>
  <c r="O92" i="15" s="1"/>
  <c r="AB92" i="15" s="1"/>
  <c r="M64" i="15"/>
  <c r="O64" i="15" s="1"/>
  <c r="AB64" i="15" s="1"/>
  <c r="M232" i="15"/>
  <c r="O232" i="15" s="1"/>
  <c r="M20" i="15"/>
  <c r="O20" i="15" s="1"/>
  <c r="AB20" i="15" s="1"/>
  <c r="M226" i="15"/>
  <c r="O226" i="15" s="1"/>
  <c r="AB226" i="15" s="1"/>
  <c r="O209" i="15"/>
  <c r="AB209" i="15" s="1"/>
  <c r="M201" i="15"/>
  <c r="O201" i="15" s="1"/>
  <c r="AB201" i="15" s="1"/>
  <c r="M57" i="15"/>
  <c r="O57" i="15" s="1"/>
  <c r="AB57" i="15" s="1"/>
  <c r="M225" i="15"/>
  <c r="O225" i="15" s="1"/>
  <c r="AB225" i="15" s="1"/>
  <c r="M199" i="15"/>
  <c r="O199" i="15" s="1"/>
  <c r="AB199" i="15" s="1"/>
  <c r="M102" i="15"/>
  <c r="O102" i="15" s="1"/>
  <c r="AB102" i="15" s="1"/>
  <c r="M26" i="15"/>
  <c r="O26" i="15" s="1"/>
  <c r="AB26" i="15" s="1"/>
  <c r="M203" i="15"/>
  <c r="O203" i="15" s="1"/>
  <c r="AB203" i="15" s="1"/>
  <c r="M75" i="15"/>
  <c r="O75" i="15" s="1"/>
  <c r="AB75" i="15" s="1"/>
  <c r="M42" i="15"/>
  <c r="O42" i="15" s="1"/>
  <c r="AB42" i="15" s="1"/>
  <c r="M15" i="15"/>
  <c r="O15" i="15" s="1"/>
  <c r="AB15" i="15" s="1"/>
  <c r="M243" i="15"/>
  <c r="O243" i="15" s="1"/>
  <c r="AB243" i="15" s="1"/>
  <c r="M228" i="15"/>
  <c r="O228" i="15" s="1"/>
  <c r="AB228" i="15" s="1"/>
  <c r="M223" i="15"/>
  <c r="O223" i="15" s="1"/>
  <c r="AB223" i="15" s="1"/>
  <c r="M211" i="15"/>
  <c r="O211" i="15" s="1"/>
  <c r="AB211" i="15" s="1"/>
  <c r="M202" i="15"/>
  <c r="O202" i="15" s="1"/>
  <c r="AB202" i="15" s="1"/>
  <c r="M74" i="15"/>
  <c r="O74" i="15" s="1"/>
  <c r="AB74" i="15" s="1"/>
  <c r="M41" i="15"/>
  <c r="O41" i="15" s="1"/>
  <c r="AB41" i="15" s="1"/>
  <c r="M18" i="15"/>
  <c r="O18" i="15" s="1"/>
  <c r="AB18" i="15" s="1"/>
  <c r="M43" i="15"/>
  <c r="O43" i="15" s="1"/>
  <c r="AB43" i="15" s="1"/>
  <c r="M205" i="15"/>
  <c r="O205" i="15" s="1"/>
  <c r="AB205" i="15" s="1"/>
  <c r="M90" i="15"/>
  <c r="O90" i="15" s="1"/>
  <c r="AB90" i="15" s="1"/>
  <c r="M63" i="15"/>
  <c r="O63" i="15" s="1"/>
  <c r="AB63" i="15" s="1"/>
  <c r="M13" i="15"/>
  <c r="O13" i="15" s="1"/>
  <c r="AB13" i="15" s="1"/>
  <c r="M241" i="15"/>
  <c r="O241" i="15" s="1"/>
  <c r="AB241" i="15" s="1"/>
  <c r="M86" i="15"/>
  <c r="O86" i="15" s="1"/>
  <c r="AB86" i="15" s="1"/>
  <c r="M51" i="15"/>
  <c r="O51" i="15" s="1"/>
  <c r="AB51" i="15" s="1"/>
  <c r="M347" i="15"/>
  <c r="O347" i="15" s="1"/>
  <c r="AB347" i="15" s="1"/>
  <c r="AB348" i="15" s="1"/>
  <c r="AB350" i="15" s="1"/>
  <c r="H45" i="8"/>
  <c r="H47" i="8" s="1"/>
  <c r="H27" i="46"/>
  <c r="H28" i="30"/>
  <c r="T631" i="1"/>
  <c r="F47" i="1"/>
  <c r="F933" i="3" s="1"/>
  <c r="U17" i="15"/>
  <c r="U208" i="15"/>
  <c r="U24" i="15"/>
  <c r="M11" i="15"/>
  <c r="O11" i="15" s="1"/>
  <c r="AB11" i="15" s="1"/>
  <c r="U35" i="15"/>
  <c r="U23" i="15"/>
  <c r="U210" i="15"/>
  <c r="U70" i="15"/>
  <c r="AB296" i="15"/>
  <c r="U47" i="15"/>
  <c r="U108" i="15"/>
  <c r="H55" i="1"/>
  <c r="H941" i="3" s="1"/>
  <c r="U53" i="15"/>
  <c r="AB297" i="15"/>
  <c r="U16" i="15"/>
  <c r="AB23" i="15"/>
  <c r="E28" i="15"/>
  <c r="T692" i="1"/>
  <c r="AB303" i="15"/>
  <c r="U222" i="15"/>
  <c r="U308" i="15"/>
  <c r="T698" i="1"/>
  <c r="T697" i="1" s="1"/>
  <c r="U73" i="15"/>
  <c r="U111" i="15"/>
  <c r="U34" i="15"/>
  <c r="U236" i="15"/>
  <c r="U88" i="15"/>
  <c r="U232" i="15"/>
  <c r="U233" i="15" s="1"/>
  <c r="U298" i="15"/>
  <c r="U106" i="15"/>
  <c r="U71" i="15"/>
  <c r="U200" i="15"/>
  <c r="U92" i="15"/>
  <c r="U89" i="15"/>
  <c r="U98" i="15"/>
  <c r="U41" i="15"/>
  <c r="U303" i="15"/>
  <c r="U32" i="15"/>
  <c r="U26" i="15"/>
  <c r="AB94" i="15"/>
  <c r="S245" i="15"/>
  <c r="C58" i="5" s="1"/>
  <c r="U57" i="15"/>
  <c r="U104" i="15"/>
  <c r="U86" i="15"/>
  <c r="U207" i="15"/>
  <c r="U38" i="15"/>
  <c r="I66" i="15"/>
  <c r="I95" i="15"/>
  <c r="I80" i="15"/>
  <c r="U72" i="15"/>
  <c r="U94" i="15"/>
  <c r="U54" i="15"/>
  <c r="U101" i="15"/>
  <c r="AB65" i="15"/>
  <c r="AB45" i="15"/>
  <c r="U25" i="15"/>
  <c r="U43" i="15"/>
  <c r="U12" i="15"/>
  <c r="U13" i="15"/>
  <c r="U103" i="15"/>
  <c r="U21" i="15"/>
  <c r="U219" i="15"/>
  <c r="AB200" i="15"/>
  <c r="U18" i="15"/>
  <c r="H39" i="16"/>
  <c r="W652" i="1" s="1"/>
  <c r="U244" i="15"/>
  <c r="AB91" i="15"/>
  <c r="S229" i="15"/>
  <c r="AB89" i="15"/>
  <c r="Q112" i="15"/>
  <c r="U84" i="15"/>
  <c r="U51" i="15"/>
  <c r="I245" i="15"/>
  <c r="T688" i="1"/>
  <c r="U209" i="15"/>
  <c r="U293" i="15"/>
  <c r="U45" i="15"/>
  <c r="U90" i="15"/>
  <c r="U62" i="15"/>
  <c r="U105" i="15"/>
  <c r="U218" i="15"/>
  <c r="T708" i="1"/>
  <c r="D52" i="1"/>
  <c r="D938" i="3" s="1"/>
  <c r="H938" i="3"/>
  <c r="Y305" i="15"/>
  <c r="U33" i="15"/>
  <c r="U297" i="15"/>
  <c r="T743" i="1"/>
  <c r="U20" i="15"/>
  <c r="U227" i="15"/>
  <c r="F44" i="1"/>
  <c r="D44" i="1" s="1"/>
  <c r="AB302" i="15"/>
  <c r="AB104" i="15"/>
  <c r="Q59" i="15"/>
  <c r="T628" i="1" s="1"/>
  <c r="U31" i="15"/>
  <c r="U11" i="15"/>
  <c r="U42" i="15"/>
  <c r="T699" i="1"/>
  <c r="U19" i="15"/>
  <c r="D92" i="1"/>
  <c r="D978" i="3" s="1"/>
  <c r="U65" i="15"/>
  <c r="U240" i="15"/>
  <c r="U52" i="15"/>
  <c r="U243" i="15"/>
  <c r="U301" i="15"/>
  <c r="Y63" i="15"/>
  <c r="U14" i="15"/>
  <c r="AB295" i="15"/>
  <c r="AB99" i="15"/>
  <c r="AB298" i="15"/>
  <c r="U107" i="15"/>
  <c r="F48" i="1"/>
  <c r="AB39" i="15"/>
  <c r="G92" i="12"/>
  <c r="W1325" i="1"/>
  <c r="F92" i="12"/>
  <c r="F94" i="12" s="1"/>
  <c r="W952" i="1"/>
  <c r="K45" i="30"/>
  <c r="O45" i="30"/>
  <c r="W248" i="15"/>
  <c r="E45" i="30"/>
  <c r="M45" i="30"/>
  <c r="F45" i="30"/>
  <c r="C23" i="5"/>
  <c r="G45" i="30"/>
  <c r="D45" i="30"/>
  <c r="L45" i="30"/>
  <c r="N45" i="30"/>
  <c r="P45" i="30"/>
  <c r="W832" i="1"/>
  <c r="D69" i="1"/>
  <c r="D955" i="3" s="1"/>
  <c r="F63" i="8"/>
  <c r="F82" i="8" s="1"/>
  <c r="X832" i="1" s="1"/>
  <c r="AE1178" i="1"/>
  <c r="O1178" i="1" s="1"/>
  <c r="J21" i="11"/>
  <c r="J22" i="11" s="1"/>
  <c r="T849" i="1" s="1"/>
  <c r="T841" i="1"/>
  <c r="I351" i="1"/>
  <c r="I1227" i="3" s="1"/>
  <c r="U295" i="15"/>
  <c r="AA48" i="15"/>
  <c r="AB308" i="15"/>
  <c r="U206" i="15"/>
  <c r="U27" i="15"/>
  <c r="U75" i="15"/>
  <c r="T741" i="1"/>
  <c r="U55" i="15"/>
  <c r="AA213" i="15"/>
  <c r="U78" i="15"/>
  <c r="U237" i="15"/>
  <c r="F93" i="1"/>
  <c r="D93" i="1" s="1"/>
  <c r="F342" i="1" s="1"/>
  <c r="T702" i="1"/>
  <c r="U300" i="15"/>
  <c r="H6" i="16"/>
  <c r="T607" i="1" s="1"/>
  <c r="T744" i="1"/>
  <c r="T742" i="1"/>
  <c r="AB37" i="15"/>
  <c r="AB101" i="15"/>
  <c r="AB36" i="15"/>
  <c r="U241" i="15"/>
  <c r="S28" i="15"/>
  <c r="C65" i="5" s="1"/>
  <c r="U223" i="15"/>
  <c r="S213" i="15"/>
  <c r="C74" i="5" s="1"/>
  <c r="Y311" i="15"/>
  <c r="S305" i="15"/>
  <c r="C76" i="5" s="1"/>
  <c r="U56" i="15"/>
  <c r="S48" i="15"/>
  <c r="S80" i="15"/>
  <c r="C42" i="5" s="1"/>
  <c r="U85" i="15"/>
  <c r="S112" i="15"/>
  <c r="C49" i="5" s="1"/>
  <c r="S59" i="15"/>
  <c r="C35" i="5" s="1"/>
  <c r="U87" i="15"/>
  <c r="AB77" i="15"/>
  <c r="AA59" i="15"/>
  <c r="E48" i="15"/>
  <c r="E213" i="15"/>
  <c r="E59" i="15"/>
  <c r="AB35" i="15"/>
  <c r="AB111" i="15"/>
  <c r="AB73" i="15"/>
  <c r="AB12" i="15"/>
  <c r="AB210" i="15"/>
  <c r="I112" i="15"/>
  <c r="E66" i="15"/>
  <c r="AA66" i="15"/>
  <c r="E311" i="15"/>
  <c r="AA80" i="15"/>
  <c r="AB218" i="15"/>
  <c r="AB309" i="15"/>
  <c r="AB227" i="15"/>
  <c r="AB292" i="15"/>
  <c r="AB103" i="15"/>
  <c r="I213" i="15"/>
  <c r="I28" i="15"/>
  <c r="I305" i="15"/>
  <c r="I314" i="15" s="1"/>
  <c r="I48" i="15"/>
  <c r="I59" i="15"/>
  <c r="AB85" i="15"/>
  <c r="G48" i="15"/>
  <c r="W45" i="15" s="1"/>
  <c r="Y45" i="15" s="1"/>
  <c r="AB70" i="15"/>
  <c r="AB22" i="15"/>
  <c r="G28" i="15"/>
  <c r="W14" i="15" s="1"/>
  <c r="Y14" i="15" s="1"/>
  <c r="G59" i="15"/>
  <c r="W53" i="15" s="1"/>
  <c r="Y53" i="15" s="1"/>
  <c r="AB33" i="15"/>
  <c r="Q28" i="15"/>
  <c r="G53" i="16"/>
  <c r="G54" i="16" s="1"/>
  <c r="U299" i="15"/>
  <c r="U74" i="15"/>
  <c r="U76" i="15"/>
  <c r="T745" i="1"/>
  <c r="D46" i="1"/>
  <c r="D932" i="3" s="1"/>
  <c r="U292" i="15"/>
  <c r="AA95" i="15"/>
  <c r="E80" i="15"/>
  <c r="I229" i="15"/>
  <c r="AB87" i="15"/>
  <c r="S66" i="15"/>
  <c r="C89" i="5" s="1"/>
  <c r="S95" i="15"/>
  <c r="C28" i="5" s="1"/>
  <c r="U83" i="15"/>
  <c r="AB294" i="15"/>
  <c r="E112" i="15"/>
  <c r="AA112" i="15"/>
  <c r="AB304" i="15"/>
  <c r="U109" i="15"/>
  <c r="U40" i="15"/>
  <c r="Q95" i="15"/>
  <c r="T615" i="1" s="1"/>
  <c r="AA28" i="15"/>
  <c r="H37" i="16"/>
  <c r="W650" i="1" s="1"/>
  <c r="H7" i="16"/>
  <c r="T608" i="1" s="1"/>
  <c r="AB27" i="15"/>
  <c r="U102" i="15"/>
  <c r="S311" i="15"/>
  <c r="C51" i="5" s="1"/>
  <c r="U220" i="15"/>
  <c r="U63" i="15"/>
  <c r="U46" i="15"/>
  <c r="H19" i="16"/>
  <c r="T623" i="1" s="1"/>
  <c r="Q311" i="15"/>
  <c r="AB293" i="15"/>
  <c r="H16" i="16"/>
  <c r="T620" i="1" s="1"/>
  <c r="Q80" i="15"/>
  <c r="T641" i="1" s="1"/>
  <c r="Q48" i="15"/>
  <c r="G95" i="15"/>
  <c r="W90" i="15" s="1"/>
  <c r="Y90" i="15" s="1"/>
  <c r="Q66" i="15"/>
  <c r="G229" i="15"/>
  <c r="W219" i="15" s="1"/>
  <c r="Y219" i="15" s="1"/>
  <c r="T718" i="1"/>
  <c r="U203" i="15"/>
  <c r="K314" i="15"/>
  <c r="AB46" i="15"/>
  <c r="T1134" i="1"/>
  <c r="T1132" i="1" s="1"/>
  <c r="H58" i="1"/>
  <c r="T716" i="1"/>
  <c r="T715" i="1" s="1"/>
  <c r="C84" i="5"/>
  <c r="AB301" i="15"/>
  <c r="AB299" i="15"/>
  <c r="U221" i="15"/>
  <c r="H25" i="16"/>
  <c r="T632" i="1" s="1"/>
  <c r="AB300" i="15"/>
  <c r="G213" i="15"/>
  <c r="W201" i="15" s="1"/>
  <c r="Y201" i="15" s="1"/>
  <c r="G112" i="15"/>
  <c r="W111" i="15" s="1"/>
  <c r="Y111" i="15" s="1"/>
  <c r="G80" i="15"/>
  <c r="L61" i="1"/>
  <c r="L947" i="3" s="1"/>
  <c r="H102" i="1"/>
  <c r="E229" i="15"/>
  <c r="T751" i="1"/>
  <c r="AA229" i="15"/>
  <c r="AA305" i="15"/>
  <c r="N1219" i="3"/>
  <c r="L63" i="1"/>
  <c r="L949" i="3" s="1"/>
  <c r="I305" i="1"/>
  <c r="I1181" i="3" s="1"/>
  <c r="Q229" i="15"/>
  <c r="T728" i="1"/>
  <c r="Q305" i="15"/>
  <c r="T717" i="1"/>
  <c r="H101" i="1"/>
  <c r="T703" i="1"/>
  <c r="F50" i="1"/>
  <c r="F936" i="3" s="1"/>
  <c r="T701" i="1"/>
  <c r="F94" i="1"/>
  <c r="F980" i="3" s="1"/>
  <c r="Q213" i="15"/>
  <c r="U309" i="15"/>
  <c r="U226" i="15"/>
  <c r="E95" i="15"/>
  <c r="T712" i="1"/>
  <c r="H57" i="1"/>
  <c r="U204" i="15"/>
  <c r="T711" i="1"/>
  <c r="H56" i="1"/>
  <c r="U58" i="15"/>
  <c r="T625" i="1"/>
  <c r="AA311" i="15"/>
  <c r="AA245" i="15"/>
  <c r="E305" i="15"/>
  <c r="U202" i="15"/>
  <c r="T709" i="1"/>
  <c r="H53" i="1"/>
  <c r="H939" i="3" s="1"/>
  <c r="T700" i="1"/>
  <c r="U79" i="15"/>
  <c r="T638" i="1"/>
  <c r="U199" i="15"/>
  <c r="H51" i="1"/>
  <c r="H937" i="3" s="1"/>
  <c r="T707" i="1"/>
  <c r="I300" i="1"/>
  <c r="I1176" i="3" s="1"/>
  <c r="Q245" i="15"/>
  <c r="L64" i="1"/>
  <c r="U296" i="15"/>
  <c r="E245" i="15"/>
  <c r="H49" i="16"/>
  <c r="X664" i="1" s="1"/>
  <c r="U64" i="15"/>
  <c r="T601" i="1"/>
  <c r="U93" i="15"/>
  <c r="T612" i="1"/>
  <c r="U211" i="15"/>
  <c r="T719" i="1"/>
  <c r="H103" i="1"/>
  <c r="AB220" i="15"/>
  <c r="E53" i="16"/>
  <c r="U216" i="15"/>
  <c r="T740" i="1"/>
  <c r="U110" i="15"/>
  <c r="T657" i="1"/>
  <c r="L62" i="1"/>
  <c r="L948" i="3" s="1"/>
  <c r="I344" i="1"/>
  <c r="I1220" i="3" s="1"/>
  <c r="N1229" i="3"/>
  <c r="U212" i="15"/>
  <c r="T720" i="1"/>
  <c r="H104" i="1"/>
  <c r="H990" i="3" s="1"/>
  <c r="H30" i="16"/>
  <c r="H17" i="16"/>
  <c r="H38" i="16"/>
  <c r="G31" i="16"/>
  <c r="T640" i="1" s="1"/>
  <c r="E11" i="16"/>
  <c r="T613" i="1" s="1"/>
  <c r="H52" i="16"/>
  <c r="H27" i="16"/>
  <c r="H9" i="16"/>
  <c r="L59" i="1"/>
  <c r="T724" i="1"/>
  <c r="U224" i="15"/>
  <c r="T746" i="1"/>
  <c r="T750" i="1"/>
  <c r="W663" i="1"/>
  <c r="T663" i="1" s="1"/>
  <c r="U310" i="15"/>
  <c r="U304" i="15"/>
  <c r="L67" i="1"/>
  <c r="T732" i="1"/>
  <c r="G245" i="15"/>
  <c r="W236" i="15" s="1"/>
  <c r="Y236" i="15" s="1"/>
  <c r="H42" i="16"/>
  <c r="H28" i="16"/>
  <c r="H10" i="16"/>
  <c r="G44" i="16"/>
  <c r="G305" i="15"/>
  <c r="H50" i="16"/>
  <c r="W665" i="1" s="1"/>
  <c r="T665" i="1" s="1"/>
  <c r="E31" i="16"/>
  <c r="T639" i="1" s="1"/>
  <c r="U239" i="15"/>
  <c r="W667" i="1"/>
  <c r="T667" i="1" s="1"/>
  <c r="Q233" i="15"/>
  <c r="T599" i="1"/>
  <c r="U100" i="15"/>
  <c r="H26" i="16"/>
  <c r="H8" i="16"/>
  <c r="G20" i="16"/>
  <c r="T627" i="1" s="1"/>
  <c r="H43" i="16"/>
  <c r="E44" i="16"/>
  <c r="H36" i="16"/>
  <c r="T649" i="1" s="1"/>
  <c r="H18" i="16"/>
  <c r="U225" i="15"/>
  <c r="T747" i="1"/>
  <c r="L65" i="1"/>
  <c r="T730" i="1"/>
  <c r="U228" i="15"/>
  <c r="T752" i="1"/>
  <c r="I304" i="1"/>
  <c r="I1180" i="3" s="1"/>
  <c r="G11" i="16"/>
  <c r="T614" i="1" s="1"/>
  <c r="H40" i="16"/>
  <c r="H41" i="16"/>
  <c r="W654" i="1" s="1"/>
  <c r="H29" i="16"/>
  <c r="E20" i="16"/>
  <c r="T626" i="1" s="1"/>
  <c r="U294" i="15"/>
  <c r="L60" i="1"/>
  <c r="T725" i="1"/>
  <c r="G311" i="15"/>
  <c r="U238" i="15"/>
  <c r="U302" i="15"/>
  <c r="T731" i="1"/>
  <c r="L66" i="1"/>
  <c r="U99" i="15"/>
  <c r="I301" i="1"/>
  <c r="I1177" i="3" s="1"/>
  <c r="I297" i="1"/>
  <c r="I1173" i="3" s="1"/>
  <c r="AB310" i="15"/>
  <c r="I352" i="1"/>
  <c r="I1228" i="3" s="1"/>
  <c r="AA350" i="15"/>
  <c r="F1201" i="3"/>
  <c r="D994" i="3"/>
  <c r="L357" i="1"/>
  <c r="F357" i="1"/>
  <c r="I1101" i="3"/>
  <c r="I464" i="1"/>
  <c r="I1339" i="3" s="1"/>
  <c r="I982" i="3"/>
  <c r="D96" i="1"/>
  <c r="F1179" i="3"/>
  <c r="I923" i="3"/>
  <c r="D37" i="1"/>
  <c r="N1195" i="3"/>
  <c r="I319" i="1"/>
  <c r="I1195" i="3" s="1"/>
  <c r="I1131" i="3"/>
  <c r="I504" i="1"/>
  <c r="I991" i="3"/>
  <c r="D105" i="1"/>
  <c r="I937" i="3"/>
  <c r="N917" i="3"/>
  <c r="I31" i="1"/>
  <c r="F1202" i="3"/>
  <c r="D326" i="1"/>
  <c r="D1202" i="3" s="1"/>
  <c r="D1135" i="3"/>
  <c r="H508" i="1"/>
  <c r="F993" i="3"/>
  <c r="D107" i="1"/>
  <c r="F356" i="1"/>
  <c r="P1306" i="1"/>
  <c r="P776" i="3" s="1"/>
  <c r="P775" i="3"/>
  <c r="N389" i="3"/>
  <c r="I916" i="1"/>
  <c r="I389" i="3" s="1"/>
  <c r="N1198" i="3"/>
  <c r="I322" i="1"/>
  <c r="I1198" i="3" s="1"/>
  <c r="O1225" i="3"/>
  <c r="N349" i="1"/>
  <c r="N1225" i="3" s="1"/>
  <c r="N985" i="3"/>
  <c r="I99" i="1"/>
  <c r="D80" i="1"/>
  <c r="I966" i="3"/>
  <c r="I1139" i="3"/>
  <c r="D263" i="1"/>
  <c r="D1139" i="3" s="1"/>
  <c r="I512" i="1"/>
  <c r="D512" i="1" s="1"/>
  <c r="H324" i="1"/>
  <c r="H1200" i="3" s="1"/>
  <c r="N388" i="3"/>
  <c r="I915" i="1"/>
  <c r="I388" i="3" s="1"/>
  <c r="H335" i="1"/>
  <c r="H1211" i="3" s="1"/>
  <c r="I296" i="1"/>
  <c r="I1172" i="3" s="1"/>
  <c r="N1155" i="3"/>
  <c r="I279" i="1"/>
  <c r="I1155" i="3" s="1"/>
  <c r="H357" i="1"/>
  <c r="H1233" i="3" s="1"/>
  <c r="C47" i="29"/>
  <c r="E47" i="29" s="1"/>
  <c r="C47" i="33"/>
  <c r="E47" i="33" s="1"/>
  <c r="N1170" i="3"/>
  <c r="I294" i="1"/>
  <c r="I1170" i="3" s="1"/>
  <c r="I992" i="3"/>
  <c r="D106" i="1"/>
  <c r="D98" i="1"/>
  <c r="I984" i="3"/>
  <c r="D940" i="3"/>
  <c r="H303" i="1"/>
  <c r="H1179" i="3" s="1"/>
  <c r="N1230" i="3"/>
  <c r="I354" i="1"/>
  <c r="I1230" i="3" s="1"/>
  <c r="I350" i="1"/>
  <c r="I1226" i="3" s="1"/>
  <c r="I328" i="1"/>
  <c r="O649" i="3"/>
  <c r="N1178" i="1"/>
  <c r="F346" i="1"/>
  <c r="D983" i="3"/>
  <c r="H346" i="1"/>
  <c r="H1222" i="3" s="1"/>
  <c r="O346" i="1"/>
  <c r="D959" i="3"/>
  <c r="F322" i="1"/>
  <c r="H322" i="1"/>
  <c r="H1198" i="3" s="1"/>
  <c r="I928" i="3"/>
  <c r="F42" i="1"/>
  <c r="N919" i="3"/>
  <c r="I33" i="1"/>
  <c r="N733" i="3"/>
  <c r="I1263" i="1"/>
  <c r="I325" i="1"/>
  <c r="I1201" i="3" s="1"/>
  <c r="N1161" i="3"/>
  <c r="I285" i="1"/>
  <c r="I1161" i="3" s="1"/>
  <c r="F508" i="1"/>
  <c r="F391" i="3"/>
  <c r="D918" i="1"/>
  <c r="D391" i="3" s="1"/>
  <c r="L335" i="1"/>
  <c r="N915" i="3"/>
  <c r="I29" i="1"/>
  <c r="N323" i="1"/>
  <c r="N1199" i="3" s="1"/>
  <c r="I775" i="3"/>
  <c r="I1306" i="1"/>
  <c r="I776" i="3" s="1"/>
  <c r="N399" i="3"/>
  <c r="I926" i="1"/>
  <c r="D255" i="1"/>
  <c r="I1058" i="3"/>
  <c r="D172" i="1"/>
  <c r="F1130" i="3"/>
  <c r="F914" i="1"/>
  <c r="D254" i="1"/>
  <c r="F503" i="1" s="1"/>
  <c r="D1112" i="1"/>
  <c r="D584" i="3" s="1"/>
  <c r="I584" i="3"/>
  <c r="N1277" i="3"/>
  <c r="I401" i="1"/>
  <c r="I1277" i="3" s="1"/>
  <c r="F324" i="1"/>
  <c r="F388" i="3"/>
  <c r="D915" i="1"/>
  <c r="D388" i="3" s="1"/>
  <c r="N58" i="3"/>
  <c r="I584" i="1"/>
  <c r="I58" i="3" s="1"/>
  <c r="N1182" i="3"/>
  <c r="I306" i="1"/>
  <c r="I1182" i="3" s="1"/>
  <c r="N1174" i="3"/>
  <c r="I298" i="1"/>
  <c r="I1174" i="3" s="1"/>
  <c r="H509" i="1"/>
  <c r="D1136" i="3"/>
  <c r="D45" i="1"/>
  <c r="N925" i="3"/>
  <c r="I39" i="1"/>
  <c r="I32" i="1"/>
  <c r="N918" i="3"/>
  <c r="N1235" i="3"/>
  <c r="I359" i="1"/>
  <c r="I1235" i="3" s="1"/>
  <c r="L1194" i="3"/>
  <c r="I318" i="1"/>
  <c r="I1194" i="3" s="1"/>
  <c r="I933" i="3"/>
  <c r="P924" i="3"/>
  <c r="I35" i="1"/>
  <c r="D449" i="1"/>
  <c r="D1324" i="3" s="1"/>
  <c r="O392" i="3"/>
  <c r="N919" i="1"/>
  <c r="F1225" i="3"/>
  <c r="E20" i="33" s="1"/>
  <c r="N38" i="1"/>
  <c r="I341" i="1"/>
  <c r="I1217" i="3" s="1"/>
  <c r="I935" i="3"/>
  <c r="D49" i="1"/>
  <c r="X861" i="1"/>
  <c r="P277" i="1"/>
  <c r="P1153" i="3" s="1"/>
  <c r="D914" i="3"/>
  <c r="H277" i="1"/>
  <c r="H1153" i="3" s="1"/>
  <c r="L277" i="1"/>
  <c r="F277" i="1"/>
  <c r="O277" i="1"/>
  <c r="L1320" i="3"/>
  <c r="I445" i="1"/>
  <c r="I1320" i="3" s="1"/>
  <c r="H25" i="11"/>
  <c r="H27" i="11" s="1"/>
  <c r="F1210" i="3"/>
  <c r="N1205" i="3"/>
  <c r="I329" i="1"/>
  <c r="I1205" i="3" s="1"/>
  <c r="D964" i="3"/>
  <c r="H327" i="1"/>
  <c r="I929" i="3"/>
  <c r="F43" i="1"/>
  <c r="I939" i="3"/>
  <c r="N1296" i="3"/>
  <c r="I421" i="1"/>
  <c r="I1296" i="3" s="1"/>
  <c r="W861" i="1"/>
  <c r="F389" i="3"/>
  <c r="F335" i="1"/>
  <c r="N391" i="3"/>
  <c r="I918" i="1"/>
  <c r="I391" i="3" s="1"/>
  <c r="I914" i="1"/>
  <c r="I387" i="3" s="1"/>
  <c r="L387" i="3"/>
  <c r="O1210" i="3"/>
  <c r="N334" i="1"/>
  <c r="N1210" i="3" s="1"/>
  <c r="I1137" i="3"/>
  <c r="I510" i="1"/>
  <c r="D510" i="1" s="1"/>
  <c r="D261" i="1"/>
  <c r="D1137" i="3" s="1"/>
  <c r="D996" i="3"/>
  <c r="H359" i="1"/>
  <c r="H1235" i="3" s="1"/>
  <c r="F359" i="1"/>
  <c r="D962" i="3"/>
  <c r="H325" i="1"/>
  <c r="H1201" i="3" s="1"/>
  <c r="D583" i="3"/>
  <c r="U1111" i="1"/>
  <c r="I1133" i="3"/>
  <c r="I506" i="1"/>
  <c r="D257" i="1"/>
  <c r="I1086" i="3"/>
  <c r="D200" i="1"/>
  <c r="D1086" i="3" s="1"/>
  <c r="L775" i="3"/>
  <c r="L1306" i="1"/>
  <c r="L776" i="3" s="1"/>
  <c r="I573" i="3"/>
  <c r="D1100" i="1"/>
  <c r="N59" i="3"/>
  <c r="I585" i="1"/>
  <c r="I59" i="3" s="1"/>
  <c r="E10" i="29"/>
  <c r="G10" i="29" s="1"/>
  <c r="I10" i="29" s="1"/>
  <c r="Q10" i="29" s="1"/>
  <c r="E11" i="29"/>
  <c r="G11" i="29" s="1"/>
  <c r="I11" i="29" s="1"/>
  <c r="Q11" i="29" s="1"/>
  <c r="G9" i="29"/>
  <c r="I9" i="29" s="1"/>
  <c r="Q9" i="29" s="1"/>
  <c r="E12" i="29"/>
  <c r="G12" i="29" s="1"/>
  <c r="I12" i="29" s="1"/>
  <c r="Q12" i="29" s="1"/>
  <c r="I1135" i="3"/>
  <c r="I508" i="1"/>
  <c r="L1210" i="3"/>
  <c r="I334" i="1"/>
  <c r="I1210" i="3" s="1"/>
  <c r="I574" i="3"/>
  <c r="D1101" i="1"/>
  <c r="N1178" i="3"/>
  <c r="I302" i="1"/>
  <c r="I1178" i="3" s="1"/>
  <c r="F509" i="1"/>
  <c r="D509" i="1" s="1"/>
  <c r="I981" i="3"/>
  <c r="D95" i="1"/>
  <c r="I957" i="3"/>
  <c r="D71" i="1"/>
  <c r="D957" i="3" s="1"/>
  <c r="H922" i="3"/>
  <c r="D36" i="1"/>
  <c r="D922" i="3" s="1"/>
  <c r="D916" i="3"/>
  <c r="H279" i="1"/>
  <c r="D320" i="1"/>
  <c r="D1196" i="3" s="1"/>
  <c r="N1183" i="3"/>
  <c r="I307" i="1"/>
  <c r="I1183" i="3" s="1"/>
  <c r="N1138" i="3"/>
  <c r="I262" i="1"/>
  <c r="F1320" i="3"/>
  <c r="D445" i="1"/>
  <c r="D1320" i="3" s="1"/>
  <c r="D986" i="3"/>
  <c r="L349" i="1"/>
  <c r="I980" i="3"/>
  <c r="I956" i="3"/>
  <c r="D70" i="1"/>
  <c r="I324" i="1"/>
  <c r="I1200" i="3" s="1"/>
  <c r="N1179" i="3"/>
  <c r="I303" i="1"/>
  <c r="I1179" i="3" s="1"/>
  <c r="N1175" i="3"/>
  <c r="I299" i="1"/>
  <c r="I1175" i="3" s="1"/>
  <c r="N1171" i="3"/>
  <c r="I295" i="1"/>
  <c r="I1171" i="3" s="1"/>
  <c r="F390" i="3"/>
  <c r="D917" i="1"/>
  <c r="D390" i="3" s="1"/>
  <c r="D997" i="3"/>
  <c r="P360" i="1"/>
  <c r="P1236" i="3" s="1"/>
  <c r="O360" i="1"/>
  <c r="F360" i="1"/>
  <c r="H360" i="1"/>
  <c r="H1236" i="3" s="1"/>
  <c r="F323" i="1"/>
  <c r="F1199" i="3" s="1"/>
  <c r="N943" i="1"/>
  <c r="I323" i="1"/>
  <c r="I1199" i="3" s="1"/>
  <c r="O958" i="3"/>
  <c r="N72" i="1"/>
  <c r="I936" i="1"/>
  <c r="N409" i="3"/>
  <c r="I45" i="30"/>
  <c r="J45" i="30"/>
  <c r="Q17" i="30"/>
  <c r="Q16" i="46"/>
  <c r="Y66" i="15" l="1"/>
  <c r="I61" i="1"/>
  <c r="I947" i="3" s="1"/>
  <c r="Y832" i="1"/>
  <c r="W623" i="1"/>
  <c r="M233" i="15"/>
  <c r="K115" i="15"/>
  <c r="D47" i="1"/>
  <c r="K248" i="15"/>
  <c r="F341" i="1"/>
  <c r="D55" i="1"/>
  <c r="D941" i="3" s="1"/>
  <c r="M51" i="33"/>
  <c r="O51" i="33"/>
  <c r="Q51" i="33" s="1"/>
  <c r="M61" i="33"/>
  <c r="O61" i="33"/>
  <c r="M49" i="33"/>
  <c r="O49" i="33" s="1"/>
  <c r="M55" i="33"/>
  <c r="O55" i="33"/>
  <c r="Q55" i="33" s="1"/>
  <c r="M57" i="33"/>
  <c r="O57" i="33" s="1"/>
  <c r="M45" i="33"/>
  <c r="O45" i="33" s="1"/>
  <c r="M47" i="33"/>
  <c r="O47" i="33" s="1"/>
  <c r="Q47" i="33" s="1"/>
  <c r="P27" i="46"/>
  <c r="P28" i="30"/>
  <c r="G27" i="46"/>
  <c r="G28" i="30"/>
  <c r="E28" i="30"/>
  <c r="E27" i="46"/>
  <c r="J28" i="30"/>
  <c r="J27" i="46"/>
  <c r="N28" i="30"/>
  <c r="N27" i="46"/>
  <c r="I27" i="46"/>
  <c r="I28" i="30"/>
  <c r="L27" i="46"/>
  <c r="L28" i="30"/>
  <c r="F28" i="30"/>
  <c r="F27" i="46"/>
  <c r="O28" i="30"/>
  <c r="O27" i="46"/>
  <c r="D27" i="46"/>
  <c r="D28" i="30"/>
  <c r="M28" i="30"/>
  <c r="M27" i="46"/>
  <c r="K27" i="46"/>
  <c r="K28" i="30"/>
  <c r="D51" i="1"/>
  <c r="D937" i="3" s="1"/>
  <c r="W22" i="15"/>
  <c r="Y22" i="15" s="1"/>
  <c r="H301" i="1"/>
  <c r="H1177" i="3" s="1"/>
  <c r="W58" i="15"/>
  <c r="Y58" i="15" s="1"/>
  <c r="M66" i="15"/>
  <c r="W20" i="15"/>
  <c r="Y20" i="15" s="1"/>
  <c r="D50" i="1"/>
  <c r="D936" i="3" s="1"/>
  <c r="W52" i="15"/>
  <c r="Y52" i="15" s="1"/>
  <c r="U311" i="15"/>
  <c r="E314" i="15"/>
  <c r="U59" i="15"/>
  <c r="W42" i="15"/>
  <c r="Y42" i="15" s="1"/>
  <c r="W32" i="15"/>
  <c r="Y32" i="15" s="1"/>
  <c r="M95" i="15"/>
  <c r="T652" i="1"/>
  <c r="AA248" i="15"/>
  <c r="W26" i="15"/>
  <c r="Y26" i="15" s="1"/>
  <c r="W11" i="15"/>
  <c r="Y11" i="15" s="1"/>
  <c r="W15" i="15"/>
  <c r="Y15" i="15" s="1"/>
  <c r="W218" i="15"/>
  <c r="Y218" i="15" s="1"/>
  <c r="I248" i="15"/>
  <c r="W27" i="15"/>
  <c r="Y27" i="15" s="1"/>
  <c r="AB62" i="15"/>
  <c r="AB66" i="15" s="1"/>
  <c r="W17" i="15"/>
  <c r="Y17" i="15" s="1"/>
  <c r="W23" i="15"/>
  <c r="Y23" i="15" s="1"/>
  <c r="U28" i="15"/>
  <c r="W607" i="1"/>
  <c r="W13" i="15"/>
  <c r="Y13" i="15" s="1"/>
  <c r="W664" i="1"/>
  <c r="T664" i="1" s="1"/>
  <c r="W220" i="15"/>
  <c r="Y220" i="15" s="1"/>
  <c r="W223" i="15"/>
  <c r="Y223" i="15" s="1"/>
  <c r="C83" i="5"/>
  <c r="V704" i="1"/>
  <c r="Y314" i="15"/>
  <c r="W92" i="15"/>
  <c r="Y92" i="15" s="1"/>
  <c r="W620" i="1"/>
  <c r="M59" i="15"/>
  <c r="W670" i="1"/>
  <c r="T670" i="1" s="1"/>
  <c r="M311" i="15"/>
  <c r="W100" i="15"/>
  <c r="Y100" i="15" s="1"/>
  <c r="W228" i="15"/>
  <c r="Y228" i="15" s="1"/>
  <c r="W221" i="15"/>
  <c r="Y221" i="15" s="1"/>
  <c r="F930" i="3"/>
  <c r="W35" i="15"/>
  <c r="Y35" i="15" s="1"/>
  <c r="W39" i="15"/>
  <c r="Y39" i="15" s="1"/>
  <c r="F979" i="3"/>
  <c r="U112" i="15"/>
  <c r="W216" i="15"/>
  <c r="Y216" i="15" s="1"/>
  <c r="W225" i="15"/>
  <c r="Y225" i="15" s="1"/>
  <c r="F293" i="1"/>
  <c r="F1169" i="3" s="1"/>
  <c r="M245" i="15"/>
  <c r="D104" i="1"/>
  <c r="D990" i="3" s="1"/>
  <c r="W54" i="15"/>
  <c r="Y54" i="15" s="1"/>
  <c r="W632" i="1"/>
  <c r="W41" i="15"/>
  <c r="Y41" i="15" s="1"/>
  <c r="O293" i="1"/>
  <c r="D930" i="3"/>
  <c r="D61" i="1"/>
  <c r="L310" i="1" s="1"/>
  <c r="O80" i="15"/>
  <c r="W57" i="15"/>
  <c r="Y57" i="15" s="1"/>
  <c r="O95" i="15"/>
  <c r="W12" i="15"/>
  <c r="Y12" i="15" s="1"/>
  <c r="W19" i="15"/>
  <c r="Y19" i="15" s="1"/>
  <c r="M80" i="15"/>
  <c r="M213" i="15"/>
  <c r="W25" i="15"/>
  <c r="Y25" i="15" s="1"/>
  <c r="T650" i="1"/>
  <c r="E248" i="15"/>
  <c r="E115" i="15"/>
  <c r="W40" i="15"/>
  <c r="Y40" i="15" s="1"/>
  <c r="W31" i="15"/>
  <c r="Y31" i="15" s="1"/>
  <c r="W43" i="15"/>
  <c r="Y43" i="15" s="1"/>
  <c r="W44" i="15"/>
  <c r="Y44" i="15" s="1"/>
  <c r="F934" i="3"/>
  <c r="D48" i="1"/>
  <c r="F295" i="1"/>
  <c r="F1171" i="3" s="1"/>
  <c r="AB80" i="15"/>
  <c r="W51" i="15"/>
  <c r="Y51" i="15" s="1"/>
  <c r="W47" i="15"/>
  <c r="Y47" i="15" s="1"/>
  <c r="W37" i="15"/>
  <c r="Y37" i="15" s="1"/>
  <c r="W24" i="15"/>
  <c r="Y24" i="15" s="1"/>
  <c r="M28" i="15"/>
  <c r="W16" i="15"/>
  <c r="Y16" i="15" s="1"/>
  <c r="W18" i="15"/>
  <c r="Y18" i="15" s="1"/>
  <c r="W55" i="15"/>
  <c r="Y55" i="15" s="1"/>
  <c r="M112" i="15"/>
  <c r="W21" i="15"/>
  <c r="Y21" i="15" s="1"/>
  <c r="W56" i="15"/>
  <c r="Y56" i="15" s="1"/>
  <c r="M48" i="15"/>
  <c r="W38" i="15"/>
  <c r="Y38" i="15" s="1"/>
  <c r="W34" i="15"/>
  <c r="Y34" i="15" s="1"/>
  <c r="W33" i="15"/>
  <c r="Y33" i="15" s="1"/>
  <c r="W968" i="1"/>
  <c r="W1012" i="1" s="1"/>
  <c r="T952" i="1"/>
  <c r="W210" i="15"/>
  <c r="Y210" i="15" s="1"/>
  <c r="W203" i="15"/>
  <c r="Y203" i="15" s="1"/>
  <c r="Q45" i="30"/>
  <c r="D18" i="5"/>
  <c r="D10" i="5"/>
  <c r="E10" i="5" s="1"/>
  <c r="D11" i="5"/>
  <c r="D22" i="5"/>
  <c r="D13" i="5"/>
  <c r="D16" i="5"/>
  <c r="D15" i="5"/>
  <c r="D7" i="5"/>
  <c r="E7" i="5" s="1"/>
  <c r="D14" i="5"/>
  <c r="D6" i="5"/>
  <c r="D9" i="5"/>
  <c r="D8" i="5"/>
  <c r="D12" i="5"/>
  <c r="E12" i="5" s="1"/>
  <c r="D21" i="5"/>
  <c r="E21" i="5" s="1"/>
  <c r="D20" i="5"/>
  <c r="E20" i="5" s="1"/>
  <c r="D17" i="5"/>
  <c r="H318" i="1"/>
  <c r="D318" i="1" s="1"/>
  <c r="D1194" i="3" s="1"/>
  <c r="AA115" i="15"/>
  <c r="H20" i="16"/>
  <c r="W624" i="1" s="1"/>
  <c r="U95" i="15"/>
  <c r="AB95" i="15"/>
  <c r="S248" i="15"/>
  <c r="U66" i="15"/>
  <c r="U48" i="15"/>
  <c r="W46" i="15"/>
  <c r="Y46" i="15" s="1"/>
  <c r="O112" i="15"/>
  <c r="I115" i="15"/>
  <c r="Q115" i="15"/>
  <c r="AB98" i="15"/>
  <c r="AB232" i="15"/>
  <c r="AB233" i="15" s="1"/>
  <c r="AB237" i="15"/>
  <c r="W224" i="15"/>
  <c r="Y224" i="15" s="1"/>
  <c r="W212" i="15"/>
  <c r="Y212" i="15" s="1"/>
  <c r="W217" i="15"/>
  <c r="Y217" i="15" s="1"/>
  <c r="W36" i="15"/>
  <c r="Y36" i="15" s="1"/>
  <c r="M229" i="15"/>
  <c r="AB48" i="15"/>
  <c r="W205" i="15"/>
  <c r="Y205" i="15" s="1"/>
  <c r="W202" i="15"/>
  <c r="Y202" i="15" s="1"/>
  <c r="W207" i="15"/>
  <c r="Y207" i="15" s="1"/>
  <c r="AB59" i="15"/>
  <c r="M305" i="15"/>
  <c r="W199" i="15"/>
  <c r="Y199" i="15" s="1"/>
  <c r="W206" i="15"/>
  <c r="Y206" i="15" s="1"/>
  <c r="O59" i="15"/>
  <c r="W209" i="15"/>
  <c r="Y209" i="15" s="1"/>
  <c r="W200" i="15"/>
  <c r="Y200" i="15" s="1"/>
  <c r="AB28" i="15"/>
  <c r="W105" i="15"/>
  <c r="Y105" i="15" s="1"/>
  <c r="W93" i="15"/>
  <c r="Y93" i="15" s="1"/>
  <c r="W91" i="15"/>
  <c r="Y91" i="15" s="1"/>
  <c r="W84" i="15"/>
  <c r="Y84" i="15" s="1"/>
  <c r="AB112" i="15"/>
  <c r="O213" i="15"/>
  <c r="G115" i="15"/>
  <c r="W608" i="1"/>
  <c r="W85" i="15"/>
  <c r="Y85" i="15" s="1"/>
  <c r="W99" i="15"/>
  <c r="Y99" i="15" s="1"/>
  <c r="W86" i="15"/>
  <c r="Y86" i="15" s="1"/>
  <c r="D94" i="1"/>
  <c r="D980" i="3" s="1"/>
  <c r="AB213" i="15"/>
  <c r="S115" i="15"/>
  <c r="I63" i="1"/>
  <c r="I949" i="3" s="1"/>
  <c r="U80" i="15"/>
  <c r="W103" i="15"/>
  <c r="Y103" i="15" s="1"/>
  <c r="O28" i="15"/>
  <c r="Q314" i="15"/>
  <c r="S314" i="15"/>
  <c r="W89" i="15"/>
  <c r="Y89" i="15" s="1"/>
  <c r="W88" i="15"/>
  <c r="Y88" i="15" s="1"/>
  <c r="W94" i="15"/>
  <c r="Y94" i="15" s="1"/>
  <c r="W87" i="15"/>
  <c r="Y87" i="15" s="1"/>
  <c r="W226" i="15"/>
  <c r="Y226" i="15" s="1"/>
  <c r="W222" i="15"/>
  <c r="Y222" i="15" s="1"/>
  <c r="W227" i="15"/>
  <c r="Y227" i="15" s="1"/>
  <c r="G56" i="16"/>
  <c r="H944" i="3"/>
  <c r="D58" i="1"/>
  <c r="W208" i="15"/>
  <c r="Y208" i="15" s="1"/>
  <c r="W211" i="15"/>
  <c r="Y211" i="15" s="1"/>
  <c r="W204" i="15"/>
  <c r="Y204" i="15" s="1"/>
  <c r="W110" i="15"/>
  <c r="Y110" i="15" s="1"/>
  <c r="W106" i="15"/>
  <c r="Y106" i="15" s="1"/>
  <c r="W108" i="15"/>
  <c r="Y108" i="15" s="1"/>
  <c r="W104" i="15"/>
  <c r="Y104" i="15" s="1"/>
  <c r="W102" i="15"/>
  <c r="Y102" i="15" s="1"/>
  <c r="W109" i="15"/>
  <c r="Y109" i="15" s="1"/>
  <c r="U213" i="15"/>
  <c r="AA314" i="15"/>
  <c r="W73" i="15"/>
  <c r="Y73" i="15" s="1"/>
  <c r="W78" i="15"/>
  <c r="Y78" i="15" s="1"/>
  <c r="W76" i="15"/>
  <c r="Y76" i="15" s="1"/>
  <c r="W77" i="15"/>
  <c r="Y77" i="15" s="1"/>
  <c r="W75" i="15"/>
  <c r="Y75" i="15" s="1"/>
  <c r="W74" i="15"/>
  <c r="Y74" i="15" s="1"/>
  <c r="W70" i="15"/>
  <c r="Y70" i="15" s="1"/>
  <c r="W79" i="15"/>
  <c r="Y79" i="15" s="1"/>
  <c r="W71" i="15"/>
  <c r="Y71" i="15" s="1"/>
  <c r="W72" i="15"/>
  <c r="Y72" i="15" s="1"/>
  <c r="W69" i="15"/>
  <c r="Y69" i="15" s="1"/>
  <c r="W98" i="15"/>
  <c r="Y98" i="15" s="1"/>
  <c r="W101" i="15"/>
  <c r="Y101" i="15" s="1"/>
  <c r="W107" i="15"/>
  <c r="Y107" i="15" s="1"/>
  <c r="I62" i="1"/>
  <c r="Q248" i="15"/>
  <c r="H988" i="3"/>
  <c r="D102" i="1"/>
  <c r="AB229" i="15"/>
  <c r="O48" i="15"/>
  <c r="AB311" i="15"/>
  <c r="O229" i="15"/>
  <c r="O305" i="15"/>
  <c r="H942" i="3"/>
  <c r="D56" i="1"/>
  <c r="H987" i="3"/>
  <c r="D101" i="1"/>
  <c r="H943" i="3"/>
  <c r="D57" i="1"/>
  <c r="D943" i="3" s="1"/>
  <c r="D53" i="1"/>
  <c r="H302" i="1" s="1"/>
  <c r="O311" i="15"/>
  <c r="O314" i="15" s="1"/>
  <c r="U305" i="15"/>
  <c r="AB305" i="15"/>
  <c r="U245" i="15"/>
  <c r="W669" i="1"/>
  <c r="T669" i="1" s="1"/>
  <c r="E54" i="16"/>
  <c r="U229" i="15"/>
  <c r="H352" i="1"/>
  <c r="H1228" i="3" s="1"/>
  <c r="H989" i="3"/>
  <c r="D103" i="1"/>
  <c r="D989" i="3" s="1"/>
  <c r="L950" i="3"/>
  <c r="I64" i="1"/>
  <c r="W653" i="1"/>
  <c r="T653" i="1"/>
  <c r="E45" i="16"/>
  <c r="T658" i="1"/>
  <c r="E56" i="16"/>
  <c r="W635" i="1"/>
  <c r="T635" i="1"/>
  <c r="X668" i="1"/>
  <c r="W668" i="1"/>
  <c r="T668" i="1" s="1"/>
  <c r="W237" i="15"/>
  <c r="Y237" i="15" s="1"/>
  <c r="H31" i="16"/>
  <c r="W638" i="1" s="1"/>
  <c r="T656" i="1"/>
  <c r="W656" i="1"/>
  <c r="W633" i="1"/>
  <c r="T633" i="1"/>
  <c r="G314" i="15"/>
  <c r="W655" i="1"/>
  <c r="T655" i="1"/>
  <c r="L945" i="3"/>
  <c r="I59" i="1"/>
  <c r="W637" i="1"/>
  <c r="T637" i="1"/>
  <c r="T609" i="1"/>
  <c r="W609" i="1"/>
  <c r="G248" i="15"/>
  <c r="W238" i="15"/>
  <c r="Y238" i="15" s="1"/>
  <c r="W243" i="15"/>
  <c r="Y243" i="15" s="1"/>
  <c r="W239" i="15"/>
  <c r="Y239" i="15" s="1"/>
  <c r="L316" i="1"/>
  <c r="L953" i="3"/>
  <c r="I67" i="1"/>
  <c r="W241" i="15"/>
  <c r="Y241" i="15" s="1"/>
  <c r="H11" i="16"/>
  <c r="W612" i="1" s="1"/>
  <c r="W242" i="15"/>
  <c r="Y242" i="15" s="1"/>
  <c r="W636" i="1"/>
  <c r="T636" i="1"/>
  <c r="W622" i="1"/>
  <c r="T622" i="1"/>
  <c r="G45" i="16"/>
  <c r="G55" i="16" s="1"/>
  <c r="N59" i="14" s="1"/>
  <c r="T659" i="1"/>
  <c r="T654" i="1"/>
  <c r="T610" i="1"/>
  <c r="W610" i="1"/>
  <c r="W240" i="15"/>
  <c r="Y240" i="15" s="1"/>
  <c r="X665" i="1"/>
  <c r="H53" i="16"/>
  <c r="X669" i="1" s="1"/>
  <c r="W621" i="1"/>
  <c r="T621" i="1"/>
  <c r="W244" i="15"/>
  <c r="Y244" i="15" s="1"/>
  <c r="I66" i="1"/>
  <c r="L952" i="3"/>
  <c r="L946" i="3"/>
  <c r="I60" i="1"/>
  <c r="L951" i="3"/>
  <c r="I65" i="1"/>
  <c r="H44" i="16"/>
  <c r="W657" i="1" s="1"/>
  <c r="W649" i="1"/>
  <c r="W611" i="1"/>
  <c r="T611" i="1"/>
  <c r="T634" i="1"/>
  <c r="W634" i="1"/>
  <c r="T651" i="1"/>
  <c r="W651" i="1"/>
  <c r="O66" i="15"/>
  <c r="AB238" i="15"/>
  <c r="D935" i="3"/>
  <c r="F298" i="1"/>
  <c r="L1211" i="3"/>
  <c r="I335" i="1"/>
  <c r="I1211" i="3" s="1"/>
  <c r="I919" i="3"/>
  <c r="D33" i="1"/>
  <c r="F1217" i="3"/>
  <c r="D341" i="1"/>
  <c r="D1217" i="3" s="1"/>
  <c r="I1204" i="3"/>
  <c r="D328" i="1"/>
  <c r="D1204" i="3" s="1"/>
  <c r="D992" i="3"/>
  <c r="L355" i="1"/>
  <c r="F355" i="1"/>
  <c r="H355" i="1"/>
  <c r="H1231" i="3" s="1"/>
  <c r="I917" i="3"/>
  <c r="D31" i="1"/>
  <c r="D923" i="3"/>
  <c r="F286" i="1"/>
  <c r="H286" i="1"/>
  <c r="H1162" i="3" s="1"/>
  <c r="L286" i="1"/>
  <c r="D982" i="3"/>
  <c r="H345" i="1"/>
  <c r="H1221" i="3" s="1"/>
  <c r="F345" i="1"/>
  <c r="F1233" i="3"/>
  <c r="D357" i="1"/>
  <c r="D1233" i="3" s="1"/>
  <c r="D956" i="3"/>
  <c r="H319" i="1"/>
  <c r="I1138" i="3"/>
  <c r="D262" i="1"/>
  <c r="I511" i="1" s="1"/>
  <c r="D511" i="1" s="1"/>
  <c r="D1133" i="3"/>
  <c r="F506" i="1"/>
  <c r="H506" i="1"/>
  <c r="L1153" i="3"/>
  <c r="N924" i="3"/>
  <c r="I38" i="1"/>
  <c r="D933" i="3"/>
  <c r="F296" i="1"/>
  <c r="D931" i="3"/>
  <c r="F294" i="1"/>
  <c r="I399" i="3"/>
  <c r="D926" i="1"/>
  <c r="D399" i="3" s="1"/>
  <c r="D508" i="1"/>
  <c r="F1222" i="3"/>
  <c r="F1232" i="3"/>
  <c r="L1233" i="3"/>
  <c r="I357" i="1"/>
  <c r="I1233" i="3" s="1"/>
  <c r="H285" i="1"/>
  <c r="D301" i="1"/>
  <c r="D1177" i="3" s="1"/>
  <c r="D916" i="1"/>
  <c r="D389" i="3" s="1"/>
  <c r="D334" i="1"/>
  <c r="D1210" i="3" s="1"/>
  <c r="I921" i="3"/>
  <c r="D35" i="1"/>
  <c r="I918" i="3"/>
  <c r="D32" i="1"/>
  <c r="D979" i="3"/>
  <c r="O342" i="1"/>
  <c r="P342" i="1"/>
  <c r="P1218" i="3" s="1"/>
  <c r="F387" i="3"/>
  <c r="D914" i="1"/>
  <c r="D387" i="3" s="1"/>
  <c r="H421" i="1"/>
  <c r="D1058" i="3"/>
  <c r="I915" i="3"/>
  <c r="D29" i="1"/>
  <c r="I733" i="3"/>
  <c r="D1263" i="1"/>
  <c r="D733" i="3" s="1"/>
  <c r="F928" i="3"/>
  <c r="D42" i="1"/>
  <c r="F291" i="1" s="1"/>
  <c r="F1198" i="3"/>
  <c r="D322" i="1"/>
  <c r="D1198" i="3" s="1"/>
  <c r="O1222" i="3"/>
  <c r="N346" i="1"/>
  <c r="N649" i="3"/>
  <c r="I1178" i="1"/>
  <c r="D966" i="3"/>
  <c r="H329" i="1"/>
  <c r="D993" i="3"/>
  <c r="L356" i="1"/>
  <c r="H356" i="1"/>
  <c r="H1232" i="3" s="1"/>
  <c r="H300" i="1"/>
  <c r="F354" i="1"/>
  <c r="D991" i="3"/>
  <c r="D303" i="1"/>
  <c r="D1179" i="3" s="1"/>
  <c r="F1236" i="3"/>
  <c r="H1155" i="3"/>
  <c r="D279" i="1"/>
  <c r="D1155" i="3" s="1"/>
  <c r="F1235" i="3"/>
  <c r="D359" i="1"/>
  <c r="D1235" i="3" s="1"/>
  <c r="F1211" i="3"/>
  <c r="D335" i="1"/>
  <c r="D1211" i="3" s="1"/>
  <c r="F929" i="3"/>
  <c r="D43" i="1"/>
  <c r="F292" i="1" s="1"/>
  <c r="H1203" i="3"/>
  <c r="D327" i="1"/>
  <c r="D1203" i="3" s="1"/>
  <c r="L25" i="11"/>
  <c r="L27" i="11" s="1"/>
  <c r="F1153" i="3"/>
  <c r="D1130" i="3"/>
  <c r="H503" i="1"/>
  <c r="D503" i="1" s="1"/>
  <c r="D1131" i="3"/>
  <c r="H504" i="1"/>
  <c r="F504" i="1"/>
  <c r="O1236" i="3"/>
  <c r="N360" i="1"/>
  <c r="L1225" i="3"/>
  <c r="I349" i="1"/>
  <c r="D981" i="3"/>
  <c r="F344" i="1"/>
  <c r="X1101" i="1"/>
  <c r="D574" i="3"/>
  <c r="X1100" i="1"/>
  <c r="D573" i="3"/>
  <c r="E9" i="33"/>
  <c r="O1153" i="3"/>
  <c r="N277" i="1"/>
  <c r="N1153" i="3" s="1"/>
  <c r="N392" i="3"/>
  <c r="I919" i="1"/>
  <c r="I925" i="3"/>
  <c r="D39" i="1"/>
  <c r="F1218" i="3"/>
  <c r="F1200" i="3"/>
  <c r="D324" i="1"/>
  <c r="D1200" i="3" s="1"/>
  <c r="D984" i="3"/>
  <c r="L347" i="1"/>
  <c r="O347" i="1"/>
  <c r="F347" i="1"/>
  <c r="P347" i="1"/>
  <c r="P1223" i="3" s="1"/>
  <c r="H347" i="1"/>
  <c r="H1223" i="3" s="1"/>
  <c r="I985" i="3"/>
  <c r="D99" i="1"/>
  <c r="D325" i="1"/>
  <c r="D1201" i="3" s="1"/>
  <c r="I409" i="3"/>
  <c r="D936" i="1"/>
  <c r="D409" i="3" s="1"/>
  <c r="D323" i="1"/>
  <c r="D1199" i="3" s="1"/>
  <c r="I72" i="1"/>
  <c r="N958" i="3"/>
  <c r="I943" i="1"/>
  <c r="N416" i="3"/>
  <c r="H304" i="1" l="1"/>
  <c r="H1180" i="3" s="1"/>
  <c r="D947" i="3"/>
  <c r="F299" i="1"/>
  <c r="H1194" i="3"/>
  <c r="Q28" i="30"/>
  <c r="Q27" i="46"/>
  <c r="H353" i="1"/>
  <c r="H1229" i="3" s="1"/>
  <c r="U314" i="15"/>
  <c r="O245" i="15"/>
  <c r="AB245" i="15"/>
  <c r="D63" i="1"/>
  <c r="D949" i="3" s="1"/>
  <c r="D939" i="3"/>
  <c r="M248" i="15"/>
  <c r="O233" i="15"/>
  <c r="Y59" i="15"/>
  <c r="M115" i="15"/>
  <c r="D295" i="1"/>
  <c r="D1171" i="3" s="1"/>
  <c r="U115" i="15"/>
  <c r="Y28" i="15"/>
  <c r="M314" i="15"/>
  <c r="D934" i="3"/>
  <c r="F297" i="1"/>
  <c r="F343" i="1"/>
  <c r="D343" i="1" s="1"/>
  <c r="D1219" i="3" s="1"/>
  <c r="D352" i="1"/>
  <c r="D1228" i="3" s="1"/>
  <c r="O1169" i="3"/>
  <c r="N293" i="1"/>
  <c r="C29" i="5"/>
  <c r="D32" i="5" s="1"/>
  <c r="T770" i="1" s="1"/>
  <c r="E6" i="5"/>
  <c r="D25" i="5"/>
  <c r="E16" i="5"/>
  <c r="C77" i="5"/>
  <c r="L68" i="1" s="1"/>
  <c r="E17" i="5"/>
  <c r="C75" i="5"/>
  <c r="E14" i="5"/>
  <c r="C68" i="5"/>
  <c r="C59" i="5"/>
  <c r="E13" i="5"/>
  <c r="C85" i="5"/>
  <c r="D86" i="5" s="1"/>
  <c r="T800" i="1" s="1"/>
  <c r="E18" i="5"/>
  <c r="E8" i="5"/>
  <c r="C36" i="5"/>
  <c r="D39" i="5" s="1"/>
  <c r="T776" i="1" s="1"/>
  <c r="C90" i="5"/>
  <c r="C91" i="5" s="1"/>
  <c r="E22" i="5"/>
  <c r="E9" i="5"/>
  <c r="C43" i="5"/>
  <c r="D46" i="5" s="1"/>
  <c r="T782" i="1" s="1"/>
  <c r="C67" i="5"/>
  <c r="E15" i="5"/>
  <c r="C52" i="5"/>
  <c r="E11" i="5"/>
  <c r="Y48" i="15"/>
  <c r="U248" i="15"/>
  <c r="AB115" i="15"/>
  <c r="Y229" i="15"/>
  <c r="Y95" i="15"/>
  <c r="Y112" i="15"/>
  <c r="H307" i="1"/>
  <c r="D944" i="3"/>
  <c r="Y213" i="15"/>
  <c r="E55" i="16"/>
  <c r="L59" i="14" s="1"/>
  <c r="C59" i="14" s="1"/>
  <c r="C62" i="14" s="1"/>
  <c r="Y80" i="15"/>
  <c r="O115" i="15"/>
  <c r="AB314" i="15"/>
  <c r="D988" i="3"/>
  <c r="H351" i="1"/>
  <c r="H306" i="1"/>
  <c r="AB248" i="15"/>
  <c r="I948" i="3"/>
  <c r="D62" i="1"/>
  <c r="D987" i="3"/>
  <c r="H350" i="1"/>
  <c r="D942" i="3"/>
  <c r="H305" i="1"/>
  <c r="V628" i="1"/>
  <c r="Y245" i="15"/>
  <c r="V615" i="1"/>
  <c r="V641" i="1"/>
  <c r="D64" i="1"/>
  <c r="I950" i="3"/>
  <c r="J59" i="14"/>
  <c r="J62" i="14" s="1"/>
  <c r="C54" i="5" s="1"/>
  <c r="D59" i="14"/>
  <c r="D62" i="14" s="1"/>
  <c r="I946" i="3"/>
  <c r="D60" i="1"/>
  <c r="H56" i="16"/>
  <c r="I951" i="3"/>
  <c r="D65" i="1"/>
  <c r="L1192" i="3"/>
  <c r="I316" i="1"/>
  <c r="I953" i="3"/>
  <c r="D67" i="1"/>
  <c r="D953" i="3" s="1"/>
  <c r="I952" i="3"/>
  <c r="D66" i="1"/>
  <c r="I945" i="3"/>
  <c r="D59" i="1"/>
  <c r="E12" i="33"/>
  <c r="G12" i="33" s="1"/>
  <c r="I12" i="33" s="1"/>
  <c r="Q12" i="33" s="1"/>
  <c r="E10" i="33"/>
  <c r="G10" i="33" s="1"/>
  <c r="I10" i="33" s="1"/>
  <c r="Q10" i="33" s="1"/>
  <c r="G9" i="33"/>
  <c r="I9" i="33" s="1"/>
  <c r="Q9" i="33" s="1"/>
  <c r="E11" i="33"/>
  <c r="G11" i="33" s="1"/>
  <c r="I11" i="33" s="1"/>
  <c r="Q11" i="33" s="1"/>
  <c r="H1205" i="3"/>
  <c r="D329" i="1"/>
  <c r="D1205" i="3" s="1"/>
  <c r="I649" i="3"/>
  <c r="D1178" i="1"/>
  <c r="D918" i="3"/>
  <c r="P281" i="1"/>
  <c r="F281" i="1"/>
  <c r="O281" i="1"/>
  <c r="F1170" i="3"/>
  <c r="D294" i="1"/>
  <c r="D1170" i="3" s="1"/>
  <c r="I924" i="3"/>
  <c r="D38" i="1"/>
  <c r="H1195" i="3"/>
  <c r="D319" i="1"/>
  <c r="D1195" i="3" s="1"/>
  <c r="F1221" i="3"/>
  <c r="D345" i="1"/>
  <c r="D1221" i="3" s="1"/>
  <c r="F1231" i="3"/>
  <c r="O1223" i="3"/>
  <c r="N347" i="1"/>
  <c r="N1223" i="3" s="1"/>
  <c r="F1220" i="3"/>
  <c r="D344" i="1"/>
  <c r="D1220" i="3" s="1"/>
  <c r="N1236" i="3"/>
  <c r="I360" i="1"/>
  <c r="D504" i="1"/>
  <c r="L1186" i="3"/>
  <c r="I310" i="1"/>
  <c r="O292" i="1"/>
  <c r="D929" i="3"/>
  <c r="D506" i="1"/>
  <c r="F1162" i="3"/>
  <c r="D917" i="3"/>
  <c r="F280" i="1"/>
  <c r="P280" i="1"/>
  <c r="O280" i="1"/>
  <c r="L1231" i="3"/>
  <c r="I355" i="1"/>
  <c r="I1231" i="3" s="1"/>
  <c r="D919" i="3"/>
  <c r="L282" i="1"/>
  <c r="P282" i="1"/>
  <c r="F282" i="1"/>
  <c r="O282" i="1"/>
  <c r="F1174" i="3"/>
  <c r="D298" i="1"/>
  <c r="D1174" i="3" s="1"/>
  <c r="F1223" i="3"/>
  <c r="I392" i="3"/>
  <c r="D919" i="1"/>
  <c r="D392" i="3" s="1"/>
  <c r="F1168" i="3"/>
  <c r="N1222" i="3"/>
  <c r="I346" i="1"/>
  <c r="H1296" i="3"/>
  <c r="D421" i="1"/>
  <c r="D1296" i="3" s="1"/>
  <c r="D921" i="3"/>
  <c r="P284" i="1"/>
  <c r="O284" i="1"/>
  <c r="H284" i="1"/>
  <c r="F284" i="1"/>
  <c r="L284" i="1"/>
  <c r="H1161" i="3"/>
  <c r="D285" i="1"/>
  <c r="D1161" i="3" s="1"/>
  <c r="F1172" i="3"/>
  <c r="D296" i="1"/>
  <c r="D1172" i="3" s="1"/>
  <c r="D985" i="3"/>
  <c r="L348" i="1"/>
  <c r="F348" i="1"/>
  <c r="H348" i="1"/>
  <c r="O348" i="1"/>
  <c r="P348" i="1"/>
  <c r="D925" i="3"/>
  <c r="L288" i="1"/>
  <c r="F288" i="1"/>
  <c r="L1223" i="3"/>
  <c r="I347" i="1"/>
  <c r="I1223" i="3" s="1"/>
  <c r="F1230" i="3"/>
  <c r="D354" i="1"/>
  <c r="D1230" i="3" s="1"/>
  <c r="L1232" i="3"/>
  <c r="I356" i="1"/>
  <c r="I1232" i="3" s="1"/>
  <c r="F1167" i="3"/>
  <c r="O1218" i="3"/>
  <c r="N342" i="1"/>
  <c r="D1138" i="3"/>
  <c r="P511" i="1"/>
  <c r="O511" i="1"/>
  <c r="I1225" i="3"/>
  <c r="D349" i="1"/>
  <c r="D1225" i="3" s="1"/>
  <c r="H1176" i="3"/>
  <c r="D300" i="1"/>
  <c r="D1176" i="3" s="1"/>
  <c r="D928" i="3"/>
  <c r="O291" i="1"/>
  <c r="D915" i="3"/>
  <c r="F278" i="1"/>
  <c r="O278" i="1"/>
  <c r="P278" i="1"/>
  <c r="H278" i="1"/>
  <c r="H1178" i="3"/>
  <c r="D302" i="1"/>
  <c r="D1178" i="3" s="1"/>
  <c r="D356" i="1"/>
  <c r="D1232" i="3" s="1"/>
  <c r="I277" i="1"/>
  <c r="L1162" i="3"/>
  <c r="I286" i="1"/>
  <c r="I1162" i="3" s="1"/>
  <c r="F1175" i="3"/>
  <c r="D299" i="1"/>
  <c r="D1175" i="3" s="1"/>
  <c r="I958" i="3"/>
  <c r="F72" i="1"/>
  <c r="I416" i="3"/>
  <c r="D943" i="1"/>
  <c r="D416" i="3" s="1"/>
  <c r="D304" i="1" l="1"/>
  <c r="D1180" i="3" s="1"/>
  <c r="O248" i="15"/>
  <c r="F1219" i="3"/>
  <c r="D353" i="1"/>
  <c r="D1229" i="3" s="1"/>
  <c r="L312" i="1"/>
  <c r="L1188" i="3" s="1"/>
  <c r="I59" i="14"/>
  <c r="I62" i="14" s="1"/>
  <c r="C53" i="5" s="1"/>
  <c r="I293" i="1"/>
  <c r="N1169" i="3"/>
  <c r="D297" i="1"/>
  <c r="D1173" i="3" s="1"/>
  <c r="F1173" i="3"/>
  <c r="D71" i="5"/>
  <c r="T797" i="1" s="1"/>
  <c r="D93" i="5"/>
  <c r="T803" i="1"/>
  <c r="H68" i="1"/>
  <c r="D80" i="5"/>
  <c r="T796" i="1" s="1"/>
  <c r="I68" i="1"/>
  <c r="I954" i="3" s="1"/>
  <c r="L954" i="3"/>
  <c r="N511" i="1"/>
  <c r="Y248" i="15"/>
  <c r="Y115" i="15"/>
  <c r="C61" i="5"/>
  <c r="T793" i="1" s="1"/>
  <c r="H1183" i="3"/>
  <c r="D307" i="1"/>
  <c r="D1183" i="3" s="1"/>
  <c r="H1182" i="3"/>
  <c r="D306" i="1"/>
  <c r="D1182" i="3" s="1"/>
  <c r="L311" i="1"/>
  <c r="D948" i="3"/>
  <c r="H1227" i="3"/>
  <c r="D351" i="1"/>
  <c r="D1227" i="3" s="1"/>
  <c r="H1181" i="3"/>
  <c r="D305" i="1"/>
  <c r="D1181" i="3" s="1"/>
  <c r="H1226" i="3"/>
  <c r="D350" i="1"/>
  <c r="D1226" i="3" s="1"/>
  <c r="D950" i="3"/>
  <c r="L313" i="1"/>
  <c r="D945" i="3"/>
  <c r="L308" i="1"/>
  <c r="I1192" i="3"/>
  <c r="D316" i="1"/>
  <c r="D1192" i="3" s="1"/>
  <c r="D952" i="3"/>
  <c r="L315" i="1"/>
  <c r="L314" i="1"/>
  <c r="D951" i="3"/>
  <c r="D946" i="3"/>
  <c r="L309" i="1"/>
  <c r="J64" i="14"/>
  <c r="L1224" i="3"/>
  <c r="H1160" i="3"/>
  <c r="O1158" i="3"/>
  <c r="N282" i="1"/>
  <c r="N1158" i="3" s="1"/>
  <c r="I1153" i="3"/>
  <c r="D277" i="1"/>
  <c r="D1153" i="3" s="1"/>
  <c r="H1154" i="3"/>
  <c r="F1224" i="3"/>
  <c r="F1160" i="3"/>
  <c r="D284" i="1"/>
  <c r="D1160" i="3" s="1"/>
  <c r="L1158" i="3"/>
  <c r="I282" i="1"/>
  <c r="I1158" i="3" s="1"/>
  <c r="O1156" i="3"/>
  <c r="N280" i="1"/>
  <c r="D286" i="1"/>
  <c r="D1162" i="3" s="1"/>
  <c r="D355" i="1"/>
  <c r="D1231" i="3" s="1"/>
  <c r="O1157" i="3"/>
  <c r="N281" i="1"/>
  <c r="D649" i="3"/>
  <c r="X1178" i="1"/>
  <c r="P1154" i="3"/>
  <c r="O1167" i="3"/>
  <c r="N291" i="1"/>
  <c r="P1224" i="3"/>
  <c r="P1156" i="3"/>
  <c r="O1154" i="3"/>
  <c r="N278" i="1"/>
  <c r="N1218" i="3"/>
  <c r="I342" i="1"/>
  <c r="F1164" i="3"/>
  <c r="O1224" i="3"/>
  <c r="N348" i="1"/>
  <c r="N1224" i="3" s="1"/>
  <c r="N284" i="1"/>
  <c r="N1160" i="3" s="1"/>
  <c r="O1160" i="3"/>
  <c r="F1158" i="3"/>
  <c r="D282" i="1"/>
  <c r="D1158" i="3" s="1"/>
  <c r="F1156" i="3"/>
  <c r="O1168" i="3"/>
  <c r="N292" i="1"/>
  <c r="I1236" i="3"/>
  <c r="D360" i="1"/>
  <c r="D1236" i="3" s="1"/>
  <c r="D924" i="3"/>
  <c r="O287" i="1"/>
  <c r="H287" i="1"/>
  <c r="P287" i="1"/>
  <c r="P1163" i="3" s="1"/>
  <c r="P1157" i="3"/>
  <c r="F1157" i="3"/>
  <c r="F1154" i="3"/>
  <c r="L1164" i="3"/>
  <c r="I288" i="1"/>
  <c r="I1164" i="3" s="1"/>
  <c r="H1224" i="3"/>
  <c r="L1160" i="3"/>
  <c r="I284" i="1"/>
  <c r="I1160" i="3" s="1"/>
  <c r="P1160" i="3"/>
  <c r="I1222" i="3"/>
  <c r="D346" i="1"/>
  <c r="D1222" i="3" s="1"/>
  <c r="D347" i="1"/>
  <c r="D1223" i="3" s="1"/>
  <c r="P1158" i="3"/>
  <c r="I1186" i="3"/>
  <c r="D310" i="1"/>
  <c r="D1186" i="3" s="1"/>
  <c r="F958" i="3"/>
  <c r="D72" i="1"/>
  <c r="F321" i="1" s="1"/>
  <c r="I312" i="1" l="1"/>
  <c r="C60" i="5"/>
  <c r="D62" i="5" s="1"/>
  <c r="T791" i="1" s="1"/>
  <c r="D293" i="1"/>
  <c r="D1169" i="3" s="1"/>
  <c r="I1169" i="3"/>
  <c r="F557" i="1"/>
  <c r="F31" i="3" s="1"/>
  <c r="F332" i="3"/>
  <c r="D101" i="5"/>
  <c r="H954" i="3"/>
  <c r="D68" i="1"/>
  <c r="H317" i="1" s="1"/>
  <c r="L1187" i="3"/>
  <c r="I311" i="1"/>
  <c r="D55" i="5"/>
  <c r="T790" i="1" s="1"/>
  <c r="L1189" i="3"/>
  <c r="I313" i="1"/>
  <c r="I64" i="14"/>
  <c r="L1190" i="3"/>
  <c r="I314" i="1"/>
  <c r="L1185" i="3"/>
  <c r="I309" i="1"/>
  <c r="L1191" i="3"/>
  <c r="I315" i="1"/>
  <c r="I308" i="1"/>
  <c r="L1184" i="3"/>
  <c r="O1163" i="3"/>
  <c r="N287" i="1"/>
  <c r="N1168" i="3"/>
  <c r="I292" i="1"/>
  <c r="N1157" i="3"/>
  <c r="I281" i="1"/>
  <c r="N1156" i="3"/>
  <c r="I280" i="1"/>
  <c r="N1154" i="3"/>
  <c r="I278" i="1"/>
  <c r="D288" i="1"/>
  <c r="D1164" i="3" s="1"/>
  <c r="I348" i="1"/>
  <c r="H1163" i="3"/>
  <c r="I1218" i="3"/>
  <c r="D342" i="1"/>
  <c r="D1218" i="3" s="1"/>
  <c r="N1167" i="3"/>
  <c r="I291" i="1"/>
  <c r="L321" i="1"/>
  <c r="D958" i="3"/>
  <c r="H321" i="1"/>
  <c r="O321" i="1"/>
  <c r="F1197" i="3"/>
  <c r="C96" i="5" l="1"/>
  <c r="E96" i="5" s="1"/>
  <c r="T792" i="1"/>
  <c r="I1188" i="3"/>
  <c r="D312" i="1"/>
  <c r="D1188" i="3" s="1"/>
  <c r="H1193" i="3"/>
  <c r="D954" i="3"/>
  <c r="L317" i="1"/>
  <c r="D95" i="5"/>
  <c r="D311" i="1"/>
  <c r="D1187" i="3" s="1"/>
  <c r="I1187" i="3"/>
  <c r="I1189" i="3"/>
  <c r="D313" i="1"/>
  <c r="D1189" i="3" s="1"/>
  <c r="I1185" i="3"/>
  <c r="D309" i="1"/>
  <c r="D1185" i="3" s="1"/>
  <c r="I1184" i="3"/>
  <c r="D308" i="1"/>
  <c r="D1184" i="3" s="1"/>
  <c r="I1191" i="3"/>
  <c r="D315" i="1"/>
  <c r="D1191" i="3" s="1"/>
  <c r="I1190" i="3"/>
  <c r="D314" i="1"/>
  <c r="D1190" i="3" s="1"/>
  <c r="I1154" i="3"/>
  <c r="D278" i="1"/>
  <c r="D1154" i="3" s="1"/>
  <c r="I1156" i="3"/>
  <c r="D280" i="1"/>
  <c r="D1156" i="3" s="1"/>
  <c r="I1168" i="3"/>
  <c r="D292" i="1"/>
  <c r="D1168" i="3" s="1"/>
  <c r="I1157" i="3"/>
  <c r="D281" i="1"/>
  <c r="D1157" i="3" s="1"/>
  <c r="N1163" i="3"/>
  <c r="I287" i="1"/>
  <c r="I1167" i="3"/>
  <c r="D291" i="1"/>
  <c r="D1167" i="3" s="1"/>
  <c r="I1224" i="3"/>
  <c r="D348" i="1"/>
  <c r="D1224" i="3" s="1"/>
  <c r="H1197" i="3"/>
  <c r="L1197" i="3"/>
  <c r="O1197" i="3"/>
  <c r="N321" i="1"/>
  <c r="N1197" i="3" s="1"/>
  <c r="D98" i="5" l="1"/>
  <c r="D103" i="5" s="1"/>
  <c r="I317" i="1"/>
  <c r="L1193" i="3"/>
  <c r="I1163" i="3"/>
  <c r="D287" i="1"/>
  <c r="D1163" i="3" s="1"/>
  <c r="I321" i="1"/>
  <c r="I1197" i="3" s="1"/>
  <c r="I1193" i="3" l="1"/>
  <c r="D317" i="1"/>
  <c r="D1193" i="3" s="1"/>
  <c r="D321" i="1"/>
  <c r="D1197" i="3" s="1"/>
  <c r="AD43" i="30" l="1"/>
  <c r="AE43" i="30" s="1"/>
  <c r="AF43" i="30" s="1"/>
  <c r="E41" i="30" l="1"/>
  <c r="I41" i="30"/>
  <c r="M41" i="30"/>
  <c r="K41" i="30"/>
  <c r="F41" i="30"/>
  <c r="J41" i="30"/>
  <c r="N41" i="30"/>
  <c r="G41" i="30"/>
  <c r="O41" i="30"/>
  <c r="D41" i="30"/>
  <c r="H41" i="30"/>
  <c r="L41" i="30"/>
  <c r="P41" i="30"/>
  <c r="K26" i="46" l="1"/>
  <c r="K27" i="30"/>
  <c r="D26" i="46"/>
  <c r="Q41" i="30"/>
  <c r="D27" i="30"/>
  <c r="J26" i="46"/>
  <c r="J27" i="30"/>
  <c r="I26" i="46"/>
  <c r="I27" i="30"/>
  <c r="L26" i="46"/>
  <c r="L27" i="30"/>
  <c r="G26" i="46"/>
  <c r="G27" i="30"/>
  <c r="H26" i="46"/>
  <c r="H27" i="30"/>
  <c r="N26" i="46"/>
  <c r="N27" i="30"/>
  <c r="M26" i="46"/>
  <c r="M27" i="30"/>
  <c r="P26" i="46"/>
  <c r="P27" i="30"/>
  <c r="O26" i="46"/>
  <c r="O27" i="30"/>
  <c r="F26" i="46"/>
  <c r="F27" i="30"/>
  <c r="E26" i="46"/>
  <c r="E27" i="30"/>
  <c r="Q26" i="46" l="1"/>
  <c r="Q27" i="30"/>
  <c r="Q30" i="30" l="1"/>
  <c r="Q32" i="30" s="1"/>
  <c r="Q29" i="46"/>
  <c r="Q31" i="46" s="1"/>
  <c r="P620" i="1"/>
  <c r="O688" i="1"/>
  <c r="O729" i="1"/>
  <c r="H653" i="1"/>
  <c r="O784" i="1"/>
  <c r="O670" i="1"/>
  <c r="P1021" i="1"/>
  <c r="P1362" i="1"/>
  <c r="F932" i="1"/>
  <c r="Q692" i="1"/>
  <c r="P712" i="1"/>
  <c r="H679" i="1"/>
  <c r="P718" i="1"/>
  <c r="P664" i="1"/>
  <c r="F702" i="1"/>
  <c r="O817" i="1"/>
  <c r="Q1117" i="1"/>
  <c r="L632" i="1"/>
  <c r="L899" i="1"/>
  <c r="Q1320" i="1"/>
  <c r="P730" i="1"/>
  <c r="O1239" i="1"/>
  <c r="P657" i="1"/>
  <c r="O638" i="1"/>
  <c r="H626" i="1"/>
  <c r="O1114" i="1"/>
  <c r="H727" i="1"/>
  <c r="O608" i="1"/>
  <c r="O693" i="1"/>
  <c r="H1285" i="1"/>
  <c r="H1225" i="1"/>
  <c r="P1145" i="1"/>
  <c r="Q620" i="1"/>
  <c r="H783" i="1"/>
  <c r="O665" i="1"/>
  <c r="O712" i="1"/>
  <c r="P703" i="1"/>
  <c r="Q1022" i="1"/>
  <c r="Q1020" i="1"/>
  <c r="O1019" i="1"/>
  <c r="L654" i="1"/>
  <c r="L777" i="1"/>
  <c r="O663" i="1"/>
  <c r="H725" i="1"/>
  <c r="H606" i="1"/>
  <c r="F710" i="1"/>
  <c r="P627" i="1"/>
  <c r="Q665" i="1"/>
  <c r="Q757" i="1"/>
  <c r="Q821" i="1"/>
  <c r="P1006" i="1"/>
  <c r="Q719" i="1"/>
  <c r="L1226" i="1"/>
  <c r="P932" i="1"/>
  <c r="L612" i="1"/>
  <c r="Q638" i="1"/>
  <c r="F727" i="1"/>
  <c r="H784" i="1"/>
  <c r="Q649" i="1"/>
  <c r="F989" i="1"/>
  <c r="L932" i="1"/>
  <c r="O677" i="1"/>
  <c r="P777" i="1"/>
  <c r="L783" i="1"/>
  <c r="L653" i="1"/>
  <c r="F937" i="1"/>
  <c r="L1134" i="1"/>
  <c r="H710" i="1"/>
  <c r="P989" i="1"/>
  <c r="H638" i="1"/>
  <c r="Q1225" i="1"/>
  <c r="O1139" i="1"/>
  <c r="O631" i="1"/>
  <c r="Q656" i="1"/>
  <c r="H726" i="1"/>
  <c r="O669" i="1"/>
  <c r="H870" i="1"/>
  <c r="P702" i="1"/>
  <c r="P792" i="1"/>
  <c r="P656" i="1"/>
  <c r="O659" i="1"/>
  <c r="Q607" i="1"/>
  <c r="H1232" i="1"/>
  <c r="L728" i="1"/>
  <c r="Q731" i="1"/>
  <c r="H1068" i="1"/>
  <c r="P981" i="1"/>
  <c r="L1082" i="1"/>
  <c r="H670" i="1"/>
  <c r="Q1083" i="1"/>
  <c r="F633" i="1"/>
  <c r="F606" i="1"/>
  <c r="H900" i="1"/>
  <c r="O614" i="1"/>
  <c r="H871" i="1"/>
  <c r="H627" i="1"/>
  <c r="F690" i="1"/>
  <c r="F941" i="1"/>
  <c r="Q717" i="1"/>
  <c r="H613" i="1"/>
  <c r="O675" i="1"/>
  <c r="L838" i="1"/>
  <c r="H658" i="1"/>
  <c r="O600" i="1"/>
  <c r="H729" i="1"/>
  <c r="Q674" i="1"/>
  <c r="Q822" i="1"/>
  <c r="Q879" i="1"/>
  <c r="H935" i="1"/>
  <c r="L607" i="1"/>
  <c r="P1009" i="1"/>
  <c r="H610" i="1"/>
  <c r="Q1363" i="1"/>
  <c r="Q1025" i="1"/>
  <c r="F778" i="1"/>
  <c r="O841" i="1"/>
  <c r="L1146" i="1"/>
  <c r="O656" i="1"/>
  <c r="Q1152" i="1"/>
  <c r="Q1432" i="1"/>
  <c r="F981" i="1"/>
  <c r="O725" i="1"/>
  <c r="L717" i="1"/>
  <c r="Q658" i="1"/>
  <c r="Q1433" i="1"/>
  <c r="P894" i="1"/>
  <c r="F696" i="1"/>
  <c r="O1318" i="1"/>
  <c r="O989" i="1"/>
  <c r="L678" i="1"/>
  <c r="H942" i="1"/>
  <c r="F1005" i="1"/>
  <c r="O708" i="1"/>
  <c r="Q651" i="1"/>
  <c r="P1018" i="1"/>
  <c r="H665" i="1"/>
  <c r="P635" i="1"/>
  <c r="F638" i="1"/>
  <c r="P1152" i="1"/>
  <c r="P613" i="1"/>
  <c r="L618" i="1"/>
  <c r="H1118" i="1"/>
  <c r="O1020" i="1"/>
  <c r="O850" i="1"/>
  <c r="P825" i="1"/>
  <c r="F708" i="1"/>
  <c r="H649" i="1"/>
  <c r="F838" i="1"/>
  <c r="F901" i="1"/>
  <c r="O783" i="1"/>
  <c r="Q1427" i="1"/>
  <c r="H1133" i="1"/>
  <c r="P939" i="1"/>
  <c r="L720" i="1"/>
  <c r="Q1139" i="1"/>
  <c r="Q934" i="1"/>
  <c r="O711" i="1"/>
  <c r="P633" i="1"/>
  <c r="H656" i="1"/>
  <c r="Q778" i="1"/>
  <c r="O694" i="1"/>
  <c r="Q1360" i="1"/>
  <c r="O1067" i="1"/>
  <c r="O899" i="1"/>
  <c r="F659" i="1"/>
  <c r="H700" i="1"/>
  <c r="L626" i="1"/>
  <c r="L1317" i="1"/>
  <c r="H937" i="1"/>
  <c r="F756" i="1"/>
  <c r="F1316" i="1"/>
  <c r="Q729" i="1"/>
  <c r="L1133" i="1"/>
  <c r="F625" i="1"/>
  <c r="F674" i="1"/>
  <c r="Q728" i="1"/>
  <c r="L1069" i="1"/>
  <c r="P710" i="1"/>
  <c r="Q666" i="1"/>
  <c r="F618" i="1"/>
  <c r="F718" i="1"/>
  <c r="O1287" i="1"/>
  <c r="L939" i="1"/>
  <c r="L724" i="1"/>
  <c r="Q691" i="1"/>
  <c r="O1366" i="1"/>
  <c r="O667" i="1"/>
  <c r="P1364" i="1"/>
  <c r="P1139" i="1"/>
  <c r="F668" i="1"/>
  <c r="O715" i="1"/>
  <c r="P1225" i="1"/>
  <c r="L941" i="1"/>
  <c r="L1114" i="1"/>
  <c r="L639" i="1"/>
  <c r="Q923" i="1"/>
  <c r="P1069" i="1"/>
  <c r="H1117" i="1"/>
  <c r="L638" i="1"/>
  <c r="L1318" i="1"/>
  <c r="O1146" i="1"/>
  <c r="F652" i="1"/>
  <c r="F1083" i="1"/>
  <c r="F1117" i="1"/>
  <c r="O624" i="1"/>
  <c r="H1241" i="1"/>
  <c r="L613" i="1"/>
  <c r="P639" i="1"/>
  <c r="H829" i="1"/>
  <c r="Q841" i="1"/>
  <c r="Q1268" i="1"/>
  <c r="P655" i="1"/>
  <c r="L659" i="1"/>
  <c r="P670" i="1"/>
  <c r="P600" i="1"/>
  <c r="H651" i="1"/>
  <c r="O607" i="1"/>
  <c r="O625" i="1"/>
  <c r="P607" i="1"/>
  <c r="F640" i="1"/>
  <c r="P708" i="1"/>
  <c r="L665" i="1"/>
  <c r="P1273" i="1"/>
  <c r="P1360" i="1"/>
  <c r="F1133" i="1"/>
  <c r="Q650" i="1"/>
  <c r="L857" i="1"/>
  <c r="L1068" i="1"/>
  <c r="L674" i="1"/>
  <c r="H859" i="1"/>
  <c r="F1139" i="1"/>
  <c r="O619" i="1"/>
  <c r="L707" i="1"/>
  <c r="H718" i="1"/>
  <c r="P964" i="1"/>
  <c r="L879" i="1"/>
  <c r="F688" i="1"/>
  <c r="L627" i="1"/>
  <c r="Q850" i="1"/>
  <c r="F621" i="1"/>
  <c r="L656" i="1"/>
  <c r="O649" i="1"/>
  <c r="Q678" i="1"/>
  <c r="F717" i="1"/>
  <c r="O717" i="1"/>
  <c r="O1024" i="1"/>
  <c r="H691" i="1"/>
  <c r="H901" i="1"/>
  <c r="Q1028" i="1"/>
  <c r="P1104" i="1"/>
  <c r="H712" i="1"/>
  <c r="L611" i="1"/>
  <c r="Q726" i="1"/>
  <c r="Q633" i="1"/>
  <c r="F923" i="1"/>
  <c r="O1009" i="1"/>
  <c r="P1320" i="1"/>
  <c r="H1140" i="1"/>
  <c r="P1024" i="1"/>
  <c r="O1361" i="1"/>
  <c r="O824" i="1"/>
  <c r="H636" i="1"/>
  <c r="O1134" i="1"/>
  <c r="P1075" i="1"/>
  <c r="P1032" i="1"/>
  <c r="P1029" i="1"/>
  <c r="F942" i="1"/>
  <c r="Q714" i="1"/>
  <c r="Q931" i="1"/>
  <c r="F715" i="1"/>
  <c r="Q941" i="1"/>
  <c r="F624" i="1"/>
  <c r="L655" i="1"/>
  <c r="O1226" i="1"/>
  <c r="H655" i="1"/>
  <c r="L675" i="1"/>
  <c r="P1317" i="1"/>
  <c r="F609" i="1"/>
  <c r="Q613" i="1"/>
  <c r="O1154" i="1"/>
  <c r="O654" i="1"/>
  <c r="H676" i="1"/>
  <c r="H939" i="1"/>
  <c r="Q1185" i="1"/>
  <c r="L637" i="1"/>
  <c r="F817" i="1"/>
  <c r="Q942" i="1"/>
  <c r="H1275" i="1"/>
  <c r="H933" i="1"/>
  <c r="O931" i="1"/>
  <c r="O756" i="1"/>
  <c r="H882" i="1"/>
  <c r="H714" i="1"/>
  <c r="O1118" i="1"/>
  <c r="O1367" i="1"/>
  <c r="H637" i="1"/>
  <c r="O726" i="1"/>
  <c r="L620" i="1"/>
  <c r="H1005" i="1"/>
  <c r="O622" i="1"/>
  <c r="F1268" i="1"/>
  <c r="P1118" i="1"/>
  <c r="P935" i="1"/>
  <c r="Q618" i="1"/>
  <c r="O1028" i="1"/>
  <c r="H1284" i="1"/>
  <c r="P676" i="1"/>
  <c r="Q612" i="1"/>
  <c r="Q816" i="1"/>
  <c r="Q878" i="1"/>
  <c r="F1155" i="1"/>
  <c r="O1316" i="1"/>
  <c r="P758" i="1"/>
  <c r="F675" i="1"/>
  <c r="H711" i="1"/>
  <c r="P1208" i="1"/>
  <c r="O829" i="1"/>
  <c r="P1367" i="1"/>
  <c r="P1134" i="1"/>
  <c r="P817" i="1"/>
  <c r="L1275" i="1"/>
  <c r="F663" i="1"/>
  <c r="P1369" i="1"/>
  <c r="O875" i="1"/>
  <c r="P667" i="1"/>
  <c r="H1006" i="1"/>
  <c r="H600" i="1"/>
  <c r="O691" i="1"/>
  <c r="L652" i="1"/>
  <c r="P829" i="1"/>
  <c r="Q1429" i="1"/>
  <c r="O1032" i="1"/>
  <c r="L719" i="1"/>
  <c r="Q981" i="1"/>
  <c r="O635" i="1"/>
  <c r="H719" i="1"/>
  <c r="H694" i="1"/>
  <c r="P1154" i="1"/>
  <c r="O1030" i="1"/>
  <c r="F730" i="1"/>
  <c r="O778" i="1"/>
  <c r="L690" i="1"/>
  <c r="F796" i="1"/>
  <c r="O636" i="1"/>
  <c r="P1117" i="1"/>
  <c r="O1029" i="1"/>
  <c r="O1140" i="1"/>
  <c r="Q1276" i="1"/>
  <c r="H953" i="1"/>
  <c r="F728" i="1"/>
  <c r="H828" i="1"/>
  <c r="O1104" i="1"/>
  <c r="Q654" i="1"/>
  <c r="L609" i="1"/>
  <c r="P784" i="1"/>
  <c r="P724" i="1"/>
  <c r="P614" i="1"/>
  <c r="P1284" i="1"/>
  <c r="P631" i="1"/>
  <c r="Q749" i="1"/>
  <c r="P1140" i="1"/>
  <c r="F784" i="1"/>
  <c r="L1154" i="1"/>
  <c r="O1076" i="1"/>
  <c r="O623" i="1"/>
  <c r="O1369" i="1"/>
  <c r="P640" i="1"/>
  <c r="P666" i="1"/>
  <c r="P719" i="1"/>
  <c r="Q652" i="1"/>
  <c r="Q636" i="1"/>
  <c r="O657" i="1"/>
  <c r="Q857" i="1"/>
  <c r="L981" i="1"/>
  <c r="Q1437" i="1"/>
  <c r="O666" i="1"/>
  <c r="P963" i="1"/>
  <c r="O1319" i="1"/>
  <c r="L828" i="1"/>
  <c r="L711" i="1"/>
  <c r="F612" i="1"/>
  <c r="F931" i="1"/>
  <c r="P1076" i="1"/>
  <c r="L793" i="1"/>
  <c r="L636" i="1"/>
  <c r="F711" i="1"/>
  <c r="P953" i="1"/>
  <c r="Q709" i="1"/>
  <c r="H1114" i="1"/>
  <c r="F870" i="1"/>
  <c r="O1075" i="1"/>
  <c r="Q677" i="1"/>
  <c r="L688" i="1"/>
  <c r="F1114" i="1"/>
  <c r="H666" i="1"/>
  <c r="O757" i="1"/>
  <c r="P922" i="1"/>
  <c r="P726" i="1"/>
  <c r="F953" i="1"/>
  <c r="O610" i="1"/>
  <c r="L635" i="1"/>
  <c r="H771" i="1"/>
  <c r="P828" i="1"/>
  <c r="O689" i="1"/>
  <c r="H692" i="1"/>
  <c r="F828" i="1"/>
  <c r="Q689" i="1"/>
  <c r="F938" i="1"/>
  <c r="O1152" i="1"/>
  <c r="O1185" i="1"/>
  <c r="O639" i="1"/>
  <c r="P1316" i="1"/>
  <c r="Q824" i="1"/>
  <c r="L792" i="1"/>
  <c r="F614" i="1"/>
  <c r="P923" i="1"/>
  <c r="P871" i="1"/>
  <c r="P689" i="1"/>
  <c r="H796" i="1"/>
  <c r="P732" i="1"/>
  <c r="Q871" i="1"/>
  <c r="L772" i="1"/>
  <c r="F720" i="1"/>
  <c r="O626" i="1"/>
  <c r="P669" i="1"/>
  <c r="Q1368" i="1"/>
  <c r="F793" i="1"/>
  <c r="P882" i="1"/>
  <c r="H938" i="1"/>
  <c r="P675" i="1"/>
  <c r="L697" i="1"/>
  <c r="P1031" i="1"/>
  <c r="L756" i="1"/>
  <c r="H1139" i="1"/>
  <c r="H732" i="1"/>
  <c r="H857" i="1"/>
  <c r="L1320" i="1"/>
  <c r="O714" i="1"/>
  <c r="O702" i="1"/>
  <c r="P674" i="1"/>
  <c r="P711" i="1"/>
  <c r="O894" i="1"/>
  <c r="L901" i="1"/>
  <c r="L634" i="1"/>
  <c r="Q1273" i="1"/>
  <c r="F792" i="1"/>
  <c r="Q1104" i="1"/>
  <c r="L729" i="1"/>
  <c r="F1067" i="1"/>
  <c r="Q1029" i="1"/>
  <c r="P715" i="1"/>
  <c r="F922" i="1"/>
  <c r="H707" i="1"/>
  <c r="P665" i="1"/>
  <c r="H625" i="1"/>
  <c r="F725" i="1"/>
  <c r="P850" i="1"/>
  <c r="O678" i="1"/>
  <c r="O935" i="1"/>
  <c r="F679" i="1"/>
  <c r="H689" i="1"/>
  <c r="P790" i="1"/>
  <c r="H1075" i="1"/>
  <c r="L1009" i="1"/>
  <c r="H717" i="1"/>
  <c r="Q1319" i="1"/>
  <c r="L689" i="1"/>
  <c r="O707" i="1"/>
  <c r="L778" i="1"/>
  <c r="L1117" i="1"/>
  <c r="L725" i="1"/>
  <c r="Q825" i="1"/>
  <c r="Q712" i="1"/>
  <c r="F689" i="1"/>
  <c r="O828" i="1"/>
  <c r="Q688" i="1"/>
  <c r="P677" i="1"/>
  <c r="O749" i="1"/>
  <c r="F879" i="1"/>
  <c r="F636" i="1"/>
  <c r="F719" i="1"/>
  <c r="L692" i="1"/>
  <c r="O1320" i="1"/>
  <c r="F676" i="1"/>
  <c r="F694" i="1"/>
  <c r="P749" i="1"/>
  <c r="F709" i="1"/>
  <c r="H989" i="1"/>
  <c r="L963" i="1"/>
  <c r="Q1009" i="1"/>
  <c r="H899" i="1"/>
  <c r="P899" i="1"/>
  <c r="F1009" i="1"/>
  <c r="F772" i="1"/>
  <c r="F610" i="1"/>
  <c r="P678" i="1"/>
  <c r="Q870" i="1"/>
  <c r="H697" i="1"/>
  <c r="F933" i="1"/>
  <c r="P1067" i="1"/>
  <c r="L663" i="1"/>
  <c r="L633" i="1"/>
  <c r="Q694" i="1"/>
  <c r="F712" i="1"/>
  <c r="L667" i="1"/>
  <c r="H1067" i="1"/>
  <c r="H932" i="1"/>
  <c r="P626" i="1"/>
  <c r="F658" i="1"/>
  <c r="H731" i="1"/>
  <c r="Q938" i="1"/>
  <c r="L649" i="1"/>
  <c r="Q696" i="1"/>
  <c r="O1133" i="1"/>
  <c r="O718" i="1"/>
  <c r="O634" i="1"/>
  <c r="F1318" i="1"/>
  <c r="Q772" i="1"/>
  <c r="P900" i="1"/>
  <c r="P707" i="1"/>
  <c r="Q670" i="1"/>
  <c r="Q1232" i="1"/>
  <c r="H825" i="1"/>
  <c r="Q699" i="1"/>
  <c r="O700" i="1"/>
  <c r="L651" i="1"/>
  <c r="Q939" i="1"/>
  <c r="H1273" i="1"/>
  <c r="L894" i="1"/>
  <c r="O859" i="1"/>
  <c r="H931" i="1"/>
  <c r="O606" i="1"/>
  <c r="H777" i="1"/>
  <c r="L989" i="1"/>
  <c r="Q606" i="1"/>
  <c r="P701" i="1"/>
  <c r="Q1082" i="1"/>
  <c r="O1068" i="1"/>
  <c r="F1276" i="1"/>
  <c r="H611" i="1"/>
  <c r="H669" i="1"/>
  <c r="F611" i="1"/>
  <c r="P624" i="1"/>
  <c r="O1069" i="1"/>
  <c r="L677" i="1"/>
  <c r="Q1118" i="1"/>
  <c r="O1273" i="1"/>
  <c r="P1028" i="1"/>
  <c r="F894" i="1"/>
  <c r="P720" i="1"/>
  <c r="L796" i="1"/>
  <c r="Q1364" i="1"/>
  <c r="F732" i="1"/>
  <c r="F703" i="1"/>
  <c r="Q756" i="1"/>
  <c r="L731" i="1"/>
  <c r="P1025" i="1"/>
  <c r="F1287" i="1"/>
  <c r="L619" i="1"/>
  <c r="O719" i="1"/>
  <c r="P634" i="1"/>
  <c r="Q882" i="1"/>
  <c r="O730" i="1"/>
  <c r="O938" i="1"/>
  <c r="L784" i="1"/>
  <c r="L730" i="1"/>
  <c r="H793" i="1"/>
  <c r="F700" i="1"/>
  <c r="Q702" i="1"/>
  <c r="O621" i="1"/>
  <c r="H657" i="1"/>
  <c r="O825" i="1"/>
  <c r="P1318" i="1"/>
  <c r="L708" i="1"/>
  <c r="Q1208" i="1"/>
  <c r="P668" i="1"/>
  <c r="L727" i="1"/>
  <c r="Q783" i="1"/>
  <c r="P892" i="1"/>
  <c r="F714" i="1"/>
  <c r="L625" i="1"/>
  <c r="L1284" i="1"/>
  <c r="H923" i="1"/>
  <c r="H772" i="1"/>
  <c r="O1025" i="1"/>
  <c r="P1133" i="1"/>
  <c r="F626" i="1"/>
  <c r="O699" i="1"/>
  <c r="F613" i="1"/>
  <c r="H1134" i="1"/>
  <c r="P757" i="1"/>
  <c r="O676" i="1"/>
  <c r="H678" i="1"/>
  <c r="P694" i="1"/>
  <c r="Q933" i="1"/>
  <c r="Q828" i="1"/>
  <c r="P649" i="1"/>
  <c r="Q989" i="1"/>
  <c r="Q635" i="1"/>
  <c r="P934" i="1"/>
  <c r="Q900" i="1"/>
  <c r="P652" i="1"/>
  <c r="F1082" i="1"/>
  <c r="L666" i="1"/>
  <c r="Q655" i="1"/>
  <c r="L876" i="1"/>
  <c r="O876" i="1"/>
  <c r="F631" i="1"/>
  <c r="O1027" i="1"/>
  <c r="Q829" i="1"/>
  <c r="F632" i="1"/>
  <c r="F934" i="1"/>
  <c r="P727" i="1"/>
  <c r="H778" i="1"/>
  <c r="Q859" i="1"/>
  <c r="F1226" i="1"/>
  <c r="P659" i="1"/>
  <c r="H702" i="1"/>
  <c r="F693" i="1"/>
  <c r="Q639" i="1"/>
  <c r="Q1435" i="1"/>
  <c r="Q720" i="1"/>
  <c r="H621" i="1"/>
  <c r="O941" i="1"/>
  <c r="O792" i="1"/>
  <c r="Q1316" i="1"/>
  <c r="L623" i="1"/>
  <c r="H934" i="1"/>
  <c r="Q707" i="1"/>
  <c r="O652" i="1"/>
  <c r="Q634" i="1"/>
  <c r="O1362" i="1"/>
  <c r="H1146" i="1"/>
  <c r="L871" i="1"/>
  <c r="L657" i="1"/>
  <c r="O1155" i="1"/>
  <c r="Q653" i="1"/>
  <c r="O655" i="1"/>
  <c r="H1155" i="1"/>
  <c r="H618" i="1"/>
  <c r="L1268" i="1"/>
  <c r="Q619" i="1"/>
  <c r="L922" i="1"/>
  <c r="O879" i="1"/>
  <c r="P1155" i="1"/>
  <c r="F619" i="1"/>
  <c r="Q1239" i="1"/>
  <c r="P822" i="1"/>
  <c r="P606" i="1"/>
  <c r="H756" i="1"/>
  <c r="O728" i="1"/>
  <c r="O1284" i="1"/>
  <c r="F1319" i="1"/>
  <c r="F657" i="1"/>
  <c r="Q777" i="1"/>
  <c r="O1241" i="1"/>
  <c r="L732" i="1"/>
  <c r="P700" i="1"/>
  <c r="F724" i="1"/>
  <c r="H1069" i="1"/>
  <c r="O697" i="1"/>
  <c r="H652" i="1"/>
  <c r="P1268" i="1"/>
  <c r="L1241" i="1"/>
  <c r="F1269" i="1"/>
  <c r="H1113" i="1"/>
  <c r="L1145" i="1"/>
  <c r="Q1024" i="1"/>
  <c r="O934" i="1"/>
  <c r="O668" i="1"/>
  <c r="H1268" i="1"/>
  <c r="H879" i="1"/>
  <c r="H757" i="1"/>
  <c r="H1009" i="1"/>
  <c r="Q732" i="1"/>
  <c r="F1140" i="1"/>
  <c r="O963" i="1"/>
  <c r="O796" i="1"/>
  <c r="Q631" i="1"/>
  <c r="F771" i="1"/>
  <c r="Q793" i="1"/>
  <c r="F1069" i="1"/>
  <c r="Q899" i="1"/>
  <c r="Q669" i="1"/>
  <c r="O878" i="1"/>
  <c r="F650" i="1"/>
  <c r="Q817" i="1"/>
  <c r="H838" i="1"/>
  <c r="F1145" i="1"/>
  <c r="L699" i="1"/>
  <c r="P1365" i="1"/>
  <c r="F692" i="1"/>
  <c r="F940" i="1"/>
  <c r="O1370" i="1"/>
  <c r="P1185" i="1"/>
  <c r="O696" i="1"/>
  <c r="O932" i="1"/>
  <c r="P1005" i="1"/>
  <c r="O1371" i="1"/>
  <c r="F1113" i="1"/>
  <c r="Q664" i="1"/>
  <c r="Q711" i="1"/>
  <c r="O870" i="1"/>
  <c r="O618" i="1"/>
  <c r="H677" i="1"/>
  <c r="Q1069" i="1"/>
  <c r="Q614" i="1"/>
  <c r="Q790" i="1"/>
  <c r="O953" i="1"/>
  <c r="H715" i="1"/>
  <c r="P1023" i="1"/>
  <c r="P650" i="1"/>
  <c r="F635" i="1"/>
  <c r="P622" i="1"/>
  <c r="H635" i="1"/>
  <c r="P725" i="1"/>
  <c r="F1154" i="1"/>
  <c r="O922" i="1"/>
  <c r="H639" i="1"/>
  <c r="P608" i="1"/>
  <c r="O838" i="1"/>
  <c r="L938" i="1"/>
  <c r="P878" i="1"/>
  <c r="L622" i="1"/>
  <c r="P1068" i="1"/>
  <c r="H609" i="1"/>
  <c r="Q1114" i="1"/>
  <c r="O1268" i="1"/>
  <c r="O1005" i="1"/>
  <c r="Q937" i="1"/>
  <c r="L749" i="1"/>
  <c r="O632" i="1"/>
  <c r="P637" i="1"/>
  <c r="Q659" i="1"/>
  <c r="O1021" i="1"/>
  <c r="H981" i="1"/>
  <c r="Q1436" i="1"/>
  <c r="P728" i="1"/>
  <c r="Q693" i="1"/>
  <c r="H817" i="1"/>
  <c r="F656" i="1"/>
  <c r="Q1434" i="1"/>
  <c r="L878" i="1"/>
  <c r="Q1019" i="1"/>
  <c r="H850" i="1"/>
  <c r="L1269" i="1"/>
  <c r="F729" i="1"/>
  <c r="L1276" i="1"/>
  <c r="P1030" i="1"/>
  <c r="L714" i="1"/>
  <c r="Q1145" i="1"/>
  <c r="L696" i="1"/>
  <c r="Q725" i="1"/>
  <c r="P663" i="1"/>
  <c r="O816" i="1"/>
  <c r="Q1431" i="1"/>
  <c r="Q940" i="1"/>
  <c r="Q1113" i="1"/>
  <c r="Q1317" i="1"/>
  <c r="L758" i="1"/>
  <c r="Q1361" i="1"/>
  <c r="L934" i="1"/>
  <c r="P697" i="1"/>
  <c r="Q1369" i="1"/>
  <c r="Q1031" i="1"/>
  <c r="O1083" i="1"/>
  <c r="Q1287" i="1"/>
  <c r="F825" i="1"/>
  <c r="H693" i="1"/>
  <c r="H632" i="1"/>
  <c r="Q1370" i="1"/>
  <c r="O703" i="1"/>
  <c r="Q894" i="1"/>
  <c r="P938" i="1"/>
  <c r="H922" i="1"/>
  <c r="Q876" i="1"/>
  <c r="O627" i="1"/>
  <c r="Q715" i="1"/>
  <c r="H894" i="1"/>
  <c r="L1113" i="1"/>
  <c r="Q1426" i="1"/>
  <c r="Q1366" i="1"/>
  <c r="O981" i="1"/>
  <c r="H1082" i="1"/>
  <c r="P1232" i="1"/>
  <c r="P679" i="1"/>
  <c r="F1075" i="1"/>
  <c r="O1117" i="1"/>
  <c r="Q703" i="1"/>
  <c r="Q1226" i="1"/>
  <c r="H816" i="1"/>
  <c r="F620" i="1"/>
  <c r="L693" i="1"/>
  <c r="H1320" i="1"/>
  <c r="Q600" i="1"/>
  <c r="P714" i="1"/>
  <c r="F667" i="1"/>
  <c r="H1083" i="1"/>
  <c r="L703" i="1"/>
  <c r="L610" i="1"/>
  <c r="F1134" i="1"/>
  <c r="L726" i="1"/>
  <c r="Q611" i="1"/>
  <c r="L771" i="1"/>
  <c r="Q935" i="1"/>
  <c r="P1361" i="1"/>
  <c r="H963" i="1"/>
  <c r="Q892" i="1"/>
  <c r="Q1075" i="1"/>
  <c r="P941" i="1"/>
  <c r="P1022" i="1"/>
  <c r="H792" i="1"/>
  <c r="L817" i="1"/>
  <c r="L631" i="1"/>
  <c r="P816" i="1"/>
  <c r="P876" i="1"/>
  <c r="L1319" i="1"/>
  <c r="L694" i="1"/>
  <c r="H728" i="1"/>
  <c r="P841" i="1"/>
  <c r="Q676" i="1"/>
  <c r="H1145" i="1"/>
  <c r="H690" i="1"/>
  <c r="Q1146" i="1"/>
  <c r="F1006" i="1"/>
  <c r="Q621" i="1"/>
  <c r="L718" i="1"/>
  <c r="H668" i="1"/>
  <c r="H1276" i="1"/>
  <c r="F699" i="1"/>
  <c r="Q1155" i="1"/>
  <c r="P610" i="1"/>
  <c r="O637" i="1"/>
  <c r="F1118" i="1"/>
  <c r="L870" i="1"/>
  <c r="O679" i="1"/>
  <c r="F1241" i="1"/>
  <c r="F731" i="1"/>
  <c r="L942" i="1"/>
  <c r="O1363" i="1"/>
  <c r="Q663" i="1"/>
  <c r="P1363" i="1"/>
  <c r="P688" i="1"/>
  <c r="O1225" i="1"/>
  <c r="Q701" i="1"/>
  <c r="L600" i="1"/>
  <c r="L679" i="1"/>
  <c r="O690" i="1"/>
  <c r="H607" i="1"/>
  <c r="L715" i="1"/>
  <c r="Q1027" i="1"/>
  <c r="L825" i="1"/>
  <c r="L614" i="1"/>
  <c r="O674" i="1"/>
  <c r="P875" i="1"/>
  <c r="L702" i="1"/>
  <c r="P692" i="1"/>
  <c r="L621" i="1"/>
  <c r="H674" i="1"/>
  <c r="H708" i="1"/>
  <c r="L935" i="1"/>
  <c r="O964" i="1"/>
  <c r="P1114" i="1"/>
  <c r="Q1367" i="1"/>
  <c r="F622" i="1"/>
  <c r="L829" i="1"/>
  <c r="Q1076" i="1"/>
  <c r="Q932" i="1"/>
  <c r="L1067" i="1"/>
  <c r="O772" i="1"/>
  <c r="L1118" i="1"/>
  <c r="Q1032" i="1"/>
  <c r="Q627" i="1"/>
  <c r="Q1006" i="1"/>
  <c r="H1269" i="1"/>
  <c r="L606" i="1"/>
  <c r="Q624" i="1"/>
  <c r="O901" i="1"/>
  <c r="P1287" i="1"/>
  <c r="L608" i="1"/>
  <c r="L668" i="1"/>
  <c r="L882" i="1"/>
  <c r="Q1067" i="1"/>
  <c r="O923" i="1"/>
  <c r="Q1023" i="1"/>
  <c r="P709" i="1"/>
  <c r="P623" i="1"/>
  <c r="Q875" i="1"/>
  <c r="H622" i="1"/>
  <c r="L850" i="1"/>
  <c r="Q771" i="1"/>
  <c r="O1031" i="1"/>
  <c r="L712" i="1"/>
  <c r="P756" i="1"/>
  <c r="L650" i="1"/>
  <c r="L1083" i="1"/>
  <c r="O1232" i="1"/>
  <c r="Q1430" i="1"/>
  <c r="P1241" i="1"/>
  <c r="O892" i="1"/>
  <c r="H612" i="1"/>
  <c r="Q622" i="1"/>
  <c r="O650" i="1"/>
  <c r="L1155" i="1"/>
  <c r="P838" i="1"/>
  <c r="O1082" i="1"/>
  <c r="O664" i="1"/>
  <c r="P1020" i="1"/>
  <c r="Q730" i="1"/>
  <c r="F1146" i="1"/>
  <c r="P632" i="1"/>
  <c r="O731" i="1"/>
  <c r="L937" i="1"/>
  <c r="H720" i="1"/>
  <c r="Q792" i="1"/>
  <c r="Q1140" i="1"/>
  <c r="Q1068" i="1"/>
  <c r="P619" i="1"/>
  <c r="O882" i="1"/>
  <c r="P870" i="1"/>
  <c r="Q1318" i="1"/>
  <c r="P771" i="1"/>
  <c r="Q700" i="1"/>
  <c r="P693" i="1"/>
  <c r="F607" i="1"/>
  <c r="Q668" i="1"/>
  <c r="O900" i="1"/>
  <c r="F878" i="1"/>
  <c r="L1005" i="1"/>
  <c r="H1076" i="1"/>
  <c r="Q1005" i="1"/>
  <c r="H623" i="1"/>
  <c r="Q1030" i="1"/>
  <c r="O692" i="1"/>
  <c r="L1232" i="1"/>
  <c r="L964" i="1"/>
  <c r="L931" i="1"/>
  <c r="F899" i="1"/>
  <c r="F637" i="1"/>
  <c r="P696" i="1"/>
  <c r="Q667" i="1"/>
  <c r="L701" i="1"/>
  <c r="P859" i="1"/>
  <c r="P653" i="1"/>
  <c r="P609" i="1"/>
  <c r="L953" i="1"/>
  <c r="F1273" i="1"/>
  <c r="L923" i="1"/>
  <c r="P1019" i="1"/>
  <c r="O724" i="1"/>
  <c r="Q838" i="1"/>
  <c r="L658" i="1"/>
  <c r="Q953" i="1"/>
  <c r="O758" i="1"/>
  <c r="H730" i="1"/>
  <c r="Q1134" i="1"/>
  <c r="Q675" i="1"/>
  <c r="P612" i="1"/>
  <c r="Q901" i="1"/>
  <c r="H696" i="1"/>
  <c r="L1287" i="1"/>
  <c r="O871" i="1"/>
  <c r="F758" i="1"/>
  <c r="O942" i="1"/>
  <c r="P1239" i="1"/>
  <c r="H749" i="1"/>
  <c r="H620" i="1"/>
  <c r="F816" i="1"/>
  <c r="Q922" i="1"/>
  <c r="L709" i="1"/>
  <c r="O640" i="1"/>
  <c r="L933" i="1"/>
  <c r="O732" i="1"/>
  <c r="Q1428" i="1"/>
  <c r="L1076" i="1"/>
  <c r="H667" i="1"/>
  <c r="O720" i="1"/>
  <c r="P618" i="1"/>
  <c r="Q963" i="1"/>
  <c r="F649" i="1"/>
  <c r="F678" i="1"/>
  <c r="O933" i="1"/>
  <c r="P1319" i="1"/>
  <c r="P625" i="1"/>
  <c r="F1076" i="1"/>
  <c r="H650" i="1"/>
  <c r="P636" i="1"/>
  <c r="L1006" i="1"/>
  <c r="F608" i="1"/>
  <c r="Q679" i="1"/>
  <c r="P933" i="1"/>
  <c r="F651" i="1"/>
  <c r="F824" i="1"/>
  <c r="H675" i="1"/>
  <c r="Q625" i="1"/>
  <c r="F757" i="1"/>
  <c r="Q784" i="1"/>
  <c r="F623" i="1"/>
  <c r="F1068" i="1"/>
  <c r="L676" i="1"/>
  <c r="F665" i="1"/>
  <c r="O611" i="1"/>
  <c r="Q796" i="1"/>
  <c r="O1364" i="1"/>
  <c r="F664" i="1"/>
  <c r="P611" i="1"/>
  <c r="H876" i="1"/>
  <c r="P1027" i="1"/>
  <c r="O771" i="1"/>
  <c r="Q1154" i="1"/>
  <c r="O857" i="1"/>
  <c r="H1316" i="1"/>
  <c r="L624" i="1"/>
  <c r="P942" i="1"/>
  <c r="P821" i="1"/>
  <c r="O821" i="1"/>
  <c r="H634" i="1"/>
  <c r="O633" i="1"/>
  <c r="L859" i="1"/>
  <c r="O1368" i="1"/>
  <c r="O658" i="1"/>
  <c r="H633" i="1"/>
  <c r="Q1284" i="1"/>
  <c r="Q626" i="1"/>
  <c r="H659" i="1"/>
  <c r="P699" i="1"/>
  <c r="Q697" i="1"/>
  <c r="P651" i="1"/>
  <c r="F669" i="1"/>
  <c r="L640" i="1"/>
  <c r="O613" i="1"/>
  <c r="P1083" i="1"/>
  <c r="Q610" i="1"/>
  <c r="H709" i="1"/>
  <c r="Q727" i="1"/>
  <c r="Q724" i="1"/>
  <c r="H614" i="1"/>
  <c r="F697" i="1"/>
  <c r="P772" i="1"/>
  <c r="O793" i="1"/>
  <c r="P931" i="1"/>
  <c r="O1145" i="1"/>
  <c r="F653" i="1"/>
  <c r="F655" i="1"/>
  <c r="Q1275" i="1"/>
  <c r="Q657" i="1"/>
  <c r="F691" i="1"/>
  <c r="P691" i="1"/>
  <c r="F670" i="1"/>
  <c r="O1317" i="1"/>
  <c r="O710" i="1"/>
  <c r="P778" i="1"/>
  <c r="F666" i="1"/>
  <c r="P731" i="1"/>
  <c r="F701" i="1"/>
  <c r="F857" i="1"/>
  <c r="H1319" i="1"/>
  <c r="H688" i="1"/>
  <c r="O1018" i="1"/>
  <c r="Q1241" i="1"/>
  <c r="Q1362" i="1"/>
  <c r="L757" i="1"/>
  <c r="P621" i="1"/>
  <c r="L1225" i="1"/>
  <c r="F726" i="1"/>
  <c r="P729" i="1"/>
  <c r="P654" i="1"/>
  <c r="Q708" i="1"/>
  <c r="Q1021" i="1"/>
  <c r="O1023" i="1"/>
  <c r="L670" i="1"/>
  <c r="Q710" i="1"/>
  <c r="O1275" i="1"/>
  <c r="H1318" i="1"/>
  <c r="L940" i="1"/>
  <c r="Q690" i="1"/>
  <c r="P717" i="1"/>
  <c r="H940" i="1"/>
  <c r="F1284" i="1"/>
  <c r="P783" i="1"/>
  <c r="Q1018" i="1"/>
  <c r="O701" i="1"/>
  <c r="H703" i="1"/>
  <c r="L1273" i="1"/>
  <c r="Q758" i="1"/>
  <c r="Q623" i="1"/>
  <c r="Q1133" i="1"/>
  <c r="H878" i="1"/>
  <c r="O1006" i="1"/>
  <c r="H664" i="1"/>
  <c r="F639" i="1"/>
  <c r="P658" i="1"/>
  <c r="O1360" i="1"/>
  <c r="L1316" i="1"/>
  <c r="O1208" i="1"/>
  <c r="O1365" i="1"/>
  <c r="P793" i="1"/>
  <c r="F1320" i="1"/>
  <c r="P1368" i="1"/>
  <c r="O1276" i="1"/>
  <c r="F707" i="1"/>
  <c r="F634" i="1"/>
  <c r="P1370" i="1"/>
  <c r="H608" i="1"/>
  <c r="P901" i="1"/>
  <c r="F1317" i="1"/>
  <c r="L710" i="1"/>
  <c r="L900" i="1"/>
  <c r="P1276" i="1"/>
  <c r="P940" i="1"/>
  <c r="O777" i="1"/>
  <c r="H619" i="1"/>
  <c r="H699" i="1"/>
  <c r="O709" i="1"/>
  <c r="H1154" i="1"/>
  <c r="H724" i="1"/>
  <c r="P1226" i="1"/>
  <c r="Q964" i="1"/>
  <c r="F654" i="1"/>
  <c r="O620" i="1"/>
  <c r="O651" i="1"/>
  <c r="Q1365" i="1"/>
  <c r="O940" i="1"/>
  <c r="Q718" i="1"/>
  <c r="P824" i="1"/>
  <c r="F871" i="1"/>
  <c r="P1146" i="1"/>
  <c r="O653" i="1"/>
  <c r="O939" i="1"/>
  <c r="H701" i="1"/>
  <c r="L691" i="1"/>
  <c r="P690" i="1"/>
  <c r="H640" i="1"/>
  <c r="H624" i="1"/>
  <c r="P879" i="1"/>
  <c r="H941" i="1"/>
  <c r="O822" i="1"/>
  <c r="Q637" i="1"/>
  <c r="L669" i="1"/>
  <c r="P857" i="1"/>
  <c r="Q632" i="1"/>
  <c r="P638" i="1"/>
  <c r="Q609" i="1"/>
  <c r="F963" i="1"/>
  <c r="P1371" i="1"/>
  <c r="P796" i="1"/>
  <c r="O1022" i="1"/>
  <c r="O609" i="1"/>
  <c r="F882" i="1"/>
  <c r="H631" i="1"/>
  <c r="H824" i="1"/>
  <c r="H663" i="1"/>
  <c r="L824" i="1"/>
  <c r="Q1371" i="1"/>
  <c r="O790" i="1"/>
  <c r="P1275" i="1"/>
  <c r="F783" i="1"/>
  <c r="L1140" i="1"/>
  <c r="L1075" i="1"/>
  <c r="L1139" i="1"/>
  <c r="O727" i="1"/>
  <c r="F1275" i="1"/>
  <c r="F964" i="1"/>
  <c r="L816" i="1"/>
  <c r="H758" i="1"/>
  <c r="F777" i="1"/>
  <c r="H654" i="1"/>
  <c r="O612" i="1"/>
  <c r="L664" i="1"/>
  <c r="Q608" i="1"/>
  <c r="H964" i="1"/>
  <c r="H1317" i="1"/>
  <c r="P1366" i="1"/>
  <c r="F1232" i="1"/>
  <c r="F876" i="1"/>
  <c r="P1082" i="1"/>
  <c r="L700" i="1"/>
  <c r="Q640" i="1"/>
  <c r="F627" i="1"/>
  <c r="F677" i="1"/>
  <c r="F150" i="3" l="1"/>
  <c r="F100" i="3"/>
  <c r="L173" i="3"/>
  <c r="L159" i="1"/>
  <c r="L1045" i="3" s="1"/>
  <c r="P555" i="3"/>
  <c r="P168" i="1"/>
  <c r="P1054" i="3" s="1"/>
  <c r="F349" i="3"/>
  <c r="F583" i="1"/>
  <c r="F57" i="3" s="1"/>
  <c r="F703" i="3"/>
  <c r="G49" i="33" s="1"/>
  <c r="I49" i="33" s="1"/>
  <c r="Q49" i="33" s="1"/>
  <c r="P192" i="1"/>
  <c r="P1078" i="3" s="1"/>
  <c r="P188" i="1"/>
  <c r="P437" i="1" s="1"/>
  <c r="P1312" i="3" s="1"/>
  <c r="P189" i="1"/>
  <c r="P1075" i="3" s="1"/>
  <c r="P833" i="3"/>
  <c r="P187" i="1"/>
  <c r="P436" i="1" s="1"/>
  <c r="P1311" i="3" s="1"/>
  <c r="P191" i="1"/>
  <c r="P1077" i="3" s="1"/>
  <c r="P190" i="1"/>
  <c r="P439" i="1" s="1"/>
  <c r="P1314" i="3" s="1"/>
  <c r="H784" i="3"/>
  <c r="H437" i="3"/>
  <c r="L137" i="3"/>
  <c r="O85" i="3"/>
  <c r="N612" i="1"/>
  <c r="N85" i="3" s="1"/>
  <c r="H127" i="3"/>
  <c r="F250" i="3"/>
  <c r="H231" i="3"/>
  <c r="L289" i="3"/>
  <c r="F437" i="3"/>
  <c r="F745" i="3"/>
  <c r="N727" i="1"/>
  <c r="N200" i="3" s="1"/>
  <c r="O200" i="3"/>
  <c r="L610" i="3"/>
  <c r="L548" i="3"/>
  <c r="L163" i="1"/>
  <c r="L1049" i="3" s="1"/>
  <c r="L611" i="3"/>
  <c r="F256" i="3"/>
  <c r="P745" i="3"/>
  <c r="O263" i="3"/>
  <c r="N790" i="1"/>
  <c r="N263" i="3" s="1"/>
  <c r="L297" i="3"/>
  <c r="H136" i="3"/>
  <c r="H671" i="1"/>
  <c r="H144" i="3" s="1"/>
  <c r="H297" i="3"/>
  <c r="H641" i="1"/>
  <c r="H155" i="1" s="1"/>
  <c r="H104" i="3"/>
  <c r="H126" i="1"/>
  <c r="H1012" i="3" s="1"/>
  <c r="F355" i="3"/>
  <c r="O82" i="3"/>
  <c r="N609" i="1"/>
  <c r="N82" i="3" s="1"/>
  <c r="O495" i="3"/>
  <c r="N1022" i="1"/>
  <c r="N495" i="3" s="1"/>
  <c r="P269" i="3"/>
  <c r="P838" i="3"/>
  <c r="F436" i="3"/>
  <c r="P111" i="3"/>
  <c r="P330" i="3"/>
  <c r="P556" i="1"/>
  <c r="P30" i="3" s="1"/>
  <c r="L142" i="3"/>
  <c r="O295" i="3"/>
  <c r="N822" i="1"/>
  <c r="N295" i="3" s="1"/>
  <c r="H414" i="3"/>
  <c r="P352" i="3"/>
  <c r="H97" i="3"/>
  <c r="H113" i="3"/>
  <c r="P163" i="3"/>
  <c r="L148" i="1"/>
  <c r="L1034" i="3" s="1"/>
  <c r="L164" i="3"/>
  <c r="H174" i="3"/>
  <c r="H160" i="1"/>
  <c r="H409" i="1" s="1"/>
  <c r="H1285" i="3" s="1"/>
  <c r="O412" i="3"/>
  <c r="N939" i="1"/>
  <c r="N412" i="3" s="1"/>
  <c r="N653" i="1"/>
  <c r="N126" i="3" s="1"/>
  <c r="O126" i="3"/>
  <c r="P617" i="3"/>
  <c r="F344" i="3"/>
  <c r="P297" i="3"/>
  <c r="N940" i="1"/>
  <c r="N413" i="3" s="1"/>
  <c r="O413" i="3"/>
  <c r="N651" i="1"/>
  <c r="N124" i="3" s="1"/>
  <c r="O124" i="3"/>
  <c r="O93" i="3"/>
  <c r="N620" i="1"/>
  <c r="N93" i="3" s="1"/>
  <c r="F127" i="3"/>
  <c r="P697" i="3"/>
  <c r="H733" i="1"/>
  <c r="H206" i="3" s="1"/>
  <c r="H197" i="3"/>
  <c r="H625" i="3"/>
  <c r="O182" i="3"/>
  <c r="N709" i="1"/>
  <c r="I709" i="1" s="1"/>
  <c r="H172" i="3"/>
  <c r="H92" i="3"/>
  <c r="O250" i="3"/>
  <c r="N777" i="1"/>
  <c r="N250" i="3" s="1"/>
  <c r="P413" i="3"/>
  <c r="P746" i="3"/>
  <c r="L373" i="3"/>
  <c r="L564" i="1"/>
  <c r="L38" i="3" s="1"/>
  <c r="L183" i="3"/>
  <c r="F784" i="3"/>
  <c r="P565" i="1"/>
  <c r="P39" i="3" s="1"/>
  <c r="P374" i="3"/>
  <c r="H81" i="3"/>
  <c r="P837" i="3"/>
  <c r="F107" i="3"/>
  <c r="F180" i="3"/>
  <c r="F721" i="1"/>
  <c r="F175" i="1" s="1"/>
  <c r="N1276" i="1"/>
  <c r="N746" i="3" s="1"/>
  <c r="O746" i="3"/>
  <c r="P835" i="3"/>
  <c r="F787" i="3"/>
  <c r="P266" i="3"/>
  <c r="N1365" i="1"/>
  <c r="N832" i="3" s="1"/>
  <c r="O832" i="3"/>
  <c r="N1208" i="1"/>
  <c r="N679" i="3" s="1"/>
  <c r="O679" i="3"/>
  <c r="L1322" i="1"/>
  <c r="L789" i="3" s="1"/>
  <c r="L783" i="3"/>
  <c r="O827" i="3"/>
  <c r="O1373" i="1"/>
  <c r="O840" i="3" s="1"/>
  <c r="N1360" i="1"/>
  <c r="N827" i="3" s="1"/>
  <c r="P131" i="3"/>
  <c r="F112" i="3"/>
  <c r="H137" i="3"/>
  <c r="O479" i="3"/>
  <c r="N1006" i="1"/>
  <c r="N479" i="3" s="1"/>
  <c r="O1007" i="1"/>
  <c r="O480" i="3" s="1"/>
  <c r="H351" i="3"/>
  <c r="L743" i="3"/>
  <c r="H176" i="3"/>
  <c r="N701" i="1"/>
  <c r="N174" i="3" s="1"/>
  <c r="O160" i="1"/>
  <c r="O174" i="3"/>
  <c r="P256" i="3"/>
  <c r="F754" i="3"/>
  <c r="H413" i="3"/>
  <c r="P190" i="3"/>
  <c r="L413" i="3"/>
  <c r="H785" i="3"/>
  <c r="N1275" i="1"/>
  <c r="N745" i="3" s="1"/>
  <c r="O745" i="3"/>
  <c r="L143" i="3"/>
  <c r="N1023" i="1"/>
  <c r="N496" i="3" s="1"/>
  <c r="O496" i="3"/>
  <c r="P127" i="3"/>
  <c r="P202" i="3"/>
  <c r="F199" i="3"/>
  <c r="L696" i="3"/>
  <c r="P94" i="3"/>
  <c r="L230" i="3"/>
  <c r="N1018" i="1"/>
  <c r="N491" i="3" s="1"/>
  <c r="O491" i="3"/>
  <c r="H161" i="3"/>
  <c r="H156" i="1"/>
  <c r="H1042" i="3" s="1"/>
  <c r="H704" i="1"/>
  <c r="H131" i="1" s="1"/>
  <c r="H786" i="3"/>
  <c r="F330" i="3"/>
  <c r="F556" i="1"/>
  <c r="F30" i="3" s="1"/>
  <c r="F160" i="1"/>
  <c r="F1046" i="3" s="1"/>
  <c r="F174" i="3"/>
  <c r="P204" i="3"/>
  <c r="F139" i="3"/>
  <c r="P251" i="3"/>
  <c r="N710" i="1"/>
  <c r="N183" i="3" s="1"/>
  <c r="O183" i="3"/>
  <c r="O784" i="3"/>
  <c r="N1317" i="1"/>
  <c r="N784" i="3" s="1"/>
  <c r="F143" i="3"/>
  <c r="P164" i="3"/>
  <c r="P148" i="1"/>
  <c r="P397" i="1" s="1"/>
  <c r="F148" i="1"/>
  <c r="F1034" i="3" s="1"/>
  <c r="F164" i="3"/>
  <c r="F128" i="3"/>
  <c r="F126" i="3"/>
  <c r="O616" i="3"/>
  <c r="N1145" i="1"/>
  <c r="N616" i="3" s="1"/>
  <c r="P404" i="3"/>
  <c r="P944" i="1"/>
  <c r="P417" i="3" s="1"/>
  <c r="O266" i="3"/>
  <c r="N793" i="1"/>
  <c r="N266" i="3" s="1"/>
  <c r="P245" i="3"/>
  <c r="F170" i="3"/>
  <c r="F698" i="1"/>
  <c r="F171" i="3" s="1"/>
  <c r="H87" i="3"/>
  <c r="Q733" i="1"/>
  <c r="Q176" i="1" s="1"/>
  <c r="Q425" i="1" s="1"/>
  <c r="H182" i="3"/>
  <c r="P556" i="3"/>
  <c r="O86" i="3"/>
  <c r="N613" i="1"/>
  <c r="N86" i="3" s="1"/>
  <c r="L113" i="3"/>
  <c r="F142" i="3"/>
  <c r="P124" i="3"/>
  <c r="Q698" i="1"/>
  <c r="P172" i="3"/>
  <c r="H132" i="3"/>
  <c r="H106" i="3"/>
  <c r="O131" i="3"/>
  <c r="N658" i="1"/>
  <c r="N131" i="3" s="1"/>
  <c r="N1368" i="1"/>
  <c r="N835" i="3" s="1"/>
  <c r="O835" i="3"/>
  <c r="L557" i="1"/>
  <c r="L31" i="3" s="1"/>
  <c r="L332" i="3"/>
  <c r="O106" i="3"/>
  <c r="N633" i="1"/>
  <c r="N106" i="3" s="1"/>
  <c r="H107" i="3"/>
  <c r="O294" i="3"/>
  <c r="N821" i="1"/>
  <c r="N294" i="3" s="1"/>
  <c r="P294" i="3"/>
  <c r="P415" i="3"/>
  <c r="L97" i="3"/>
  <c r="H1322" i="1"/>
  <c r="H789" i="3" s="1"/>
  <c r="H783" i="3"/>
  <c r="O330" i="3"/>
  <c r="N857" i="1"/>
  <c r="N330" i="3" s="1"/>
  <c r="O556" i="1"/>
  <c r="O30" i="3" s="1"/>
  <c r="N771" i="1"/>
  <c r="N244" i="3" s="1"/>
  <c r="O244" i="3"/>
  <c r="P1033" i="1"/>
  <c r="P506" i="3" s="1"/>
  <c r="P500" i="3"/>
  <c r="H349" i="3"/>
  <c r="P84" i="3"/>
  <c r="F137" i="3"/>
  <c r="N1364" i="1"/>
  <c r="N831" i="3" s="1"/>
  <c r="O831" i="3"/>
  <c r="O84" i="3"/>
  <c r="N611" i="1"/>
  <c r="N84" i="3" s="1"/>
  <c r="F138" i="3"/>
  <c r="L149" i="3"/>
  <c r="F541" i="3"/>
  <c r="F96" i="3"/>
  <c r="F230" i="3"/>
  <c r="H148" i="3"/>
  <c r="F297" i="3"/>
  <c r="F124" i="3"/>
  <c r="P406" i="3"/>
  <c r="F81" i="3"/>
  <c r="L479" i="3"/>
  <c r="L1007" i="1"/>
  <c r="L480" i="3" s="1"/>
  <c r="P109" i="3"/>
  <c r="H123" i="3"/>
  <c r="F549" i="3"/>
  <c r="P98" i="3"/>
  <c r="P786" i="3"/>
  <c r="N933" i="1"/>
  <c r="N406" i="3" s="1"/>
  <c r="O406" i="3"/>
  <c r="F151" i="3"/>
  <c r="F660" i="1"/>
  <c r="F146" i="1" s="1"/>
  <c r="F122" i="3"/>
  <c r="P91" i="3"/>
  <c r="P628" i="1"/>
  <c r="P101" i="3" s="1"/>
  <c r="P125" i="1"/>
  <c r="P1011" i="3" s="1"/>
  <c r="O193" i="3"/>
  <c r="N720" i="1"/>
  <c r="N193" i="3" s="1"/>
  <c r="H140" i="3"/>
  <c r="L549" i="3"/>
  <c r="O205" i="3"/>
  <c r="N732" i="1"/>
  <c r="N205" i="3" s="1"/>
  <c r="L406" i="3"/>
  <c r="N640" i="1"/>
  <c r="N113" i="3" s="1"/>
  <c r="O113" i="3"/>
  <c r="L182" i="3"/>
  <c r="Q924" i="1"/>
  <c r="Q928" i="1" s="1"/>
  <c r="Q171" i="1" s="1"/>
  <c r="Q420" i="1" s="1"/>
  <c r="F289" i="3"/>
  <c r="H93" i="3"/>
  <c r="H222" i="3"/>
  <c r="P709" i="3"/>
  <c r="O415" i="3"/>
  <c r="N942" i="1"/>
  <c r="N415" i="3" s="1"/>
  <c r="F231" i="3"/>
  <c r="O144" i="1"/>
  <c r="O1030" i="3" s="1"/>
  <c r="N871" i="1"/>
  <c r="N344" i="3" s="1"/>
  <c r="O344" i="3"/>
  <c r="L757" i="3"/>
  <c r="H169" i="3"/>
  <c r="Q565" i="1"/>
  <c r="P85" i="3"/>
  <c r="H203" i="3"/>
  <c r="O231" i="3"/>
  <c r="N758" i="1"/>
  <c r="N231" i="3" s="1"/>
  <c r="L131" i="3"/>
  <c r="Q553" i="1"/>
  <c r="O197" i="3"/>
  <c r="O733" i="1"/>
  <c r="O206" i="3" s="1"/>
  <c r="N724" i="1"/>
  <c r="N197" i="3" s="1"/>
  <c r="P193" i="1"/>
  <c r="P1079" i="3" s="1"/>
  <c r="P492" i="3"/>
  <c r="L396" i="3"/>
  <c r="F743" i="3"/>
  <c r="L426" i="3"/>
  <c r="P82" i="3"/>
  <c r="P126" i="3"/>
  <c r="P332" i="3"/>
  <c r="P557" i="1"/>
  <c r="P31" i="3" s="1"/>
  <c r="L160" i="1"/>
  <c r="L1046" i="3" s="1"/>
  <c r="L174" i="3"/>
  <c r="P169" i="3"/>
  <c r="F110" i="3"/>
  <c r="F563" i="1"/>
  <c r="F372" i="3"/>
  <c r="L944" i="1"/>
  <c r="L417" i="3" s="1"/>
  <c r="L404" i="3"/>
  <c r="L437" i="3"/>
  <c r="L583" i="1"/>
  <c r="L57" i="3" s="1"/>
  <c r="L703" i="3"/>
  <c r="N692" i="1"/>
  <c r="N165" i="3" s="1"/>
  <c r="O165" i="3"/>
  <c r="H96" i="3"/>
  <c r="H549" i="3"/>
  <c r="L478" i="3"/>
  <c r="F351" i="3"/>
  <c r="N900" i="1"/>
  <c r="N373" i="3" s="1"/>
  <c r="O373" i="3"/>
  <c r="O564" i="1"/>
  <c r="O38" i="3" s="1"/>
  <c r="F80" i="3"/>
  <c r="P157" i="1"/>
  <c r="P1043" i="3" s="1"/>
  <c r="P166" i="3"/>
  <c r="Q159" i="1"/>
  <c r="Q408" i="1" s="1"/>
  <c r="P244" i="3"/>
  <c r="P343" i="3"/>
  <c r="N882" i="1"/>
  <c r="N355" i="3" s="1"/>
  <c r="O355" i="3"/>
  <c r="P92" i="3"/>
  <c r="H193" i="3"/>
  <c r="L410" i="3"/>
  <c r="O204" i="3"/>
  <c r="N731" i="1"/>
  <c r="N204" i="3" s="1"/>
  <c r="P105" i="3"/>
  <c r="F617" i="3"/>
  <c r="P493" i="3"/>
  <c r="O137" i="3"/>
  <c r="N664" i="1"/>
  <c r="N137" i="3" s="1"/>
  <c r="O555" i="3"/>
  <c r="N1082" i="1"/>
  <c r="N555" i="3" s="1"/>
  <c r="O168" i="1"/>
  <c r="O417" i="1" s="1"/>
  <c r="P553" i="1"/>
  <c r="P27" i="3" s="1"/>
  <c r="P311" i="3"/>
  <c r="L626" i="3"/>
  <c r="N650" i="1"/>
  <c r="N123" i="3" s="1"/>
  <c r="O123" i="3"/>
  <c r="H85" i="3"/>
  <c r="N892" i="1"/>
  <c r="N365" i="3" s="1"/>
  <c r="O365" i="3"/>
  <c r="P711" i="3"/>
  <c r="N1232" i="1"/>
  <c r="N703" i="3" s="1"/>
  <c r="O703" i="3"/>
  <c r="O583" i="1"/>
  <c r="O57" i="3" s="1"/>
  <c r="L556" i="3"/>
  <c r="L123" i="3"/>
  <c r="P229" i="3"/>
  <c r="L185" i="3"/>
  <c r="N1031" i="1"/>
  <c r="N504" i="3" s="1"/>
  <c r="O504" i="3"/>
  <c r="L323" i="3"/>
  <c r="H95" i="3"/>
  <c r="P96" i="3"/>
  <c r="P182" i="3"/>
  <c r="O396" i="3"/>
  <c r="N923" i="1"/>
  <c r="N396" i="3" s="1"/>
  <c r="Q162" i="1"/>
  <c r="Q411" i="1" s="1"/>
  <c r="L355" i="3"/>
  <c r="L141" i="3"/>
  <c r="L81" i="3"/>
  <c r="P757" i="3"/>
  <c r="N901" i="1"/>
  <c r="N374" i="3" s="1"/>
  <c r="O565" i="1"/>
  <c r="O39" i="3" s="1"/>
  <c r="O374" i="3"/>
  <c r="L615" i="1"/>
  <c r="L153" i="1" s="1"/>
  <c r="L135" i="1"/>
  <c r="L1021" i="3" s="1"/>
  <c r="L123" i="1"/>
  <c r="L1009" i="3" s="1"/>
  <c r="L79" i="3"/>
  <c r="H739" i="3"/>
  <c r="G45" i="29" s="1"/>
  <c r="I45" i="29" s="1"/>
  <c r="Q45" i="29" s="1"/>
  <c r="Q1007" i="1"/>
  <c r="L590" i="3"/>
  <c r="N772" i="1"/>
  <c r="N245" i="3" s="1"/>
  <c r="O245" i="3"/>
  <c r="L162" i="1"/>
  <c r="L1048" i="3" s="1"/>
  <c r="L540" i="3"/>
  <c r="L302" i="3"/>
  <c r="F95" i="3"/>
  <c r="P586" i="3"/>
  <c r="N964" i="1"/>
  <c r="N437" i="3" s="1"/>
  <c r="O437" i="3"/>
  <c r="L408" i="3"/>
  <c r="H181" i="3"/>
  <c r="H147" i="3"/>
  <c r="H680" i="1"/>
  <c r="H153" i="3" s="1"/>
  <c r="L94" i="3"/>
  <c r="P165" i="3"/>
  <c r="L158" i="1"/>
  <c r="L407" i="1" s="1"/>
  <c r="L175" i="3"/>
  <c r="P348" i="3"/>
  <c r="N674" i="1"/>
  <c r="N147" i="3" s="1"/>
  <c r="O147" i="3"/>
  <c r="O680" i="1"/>
  <c r="O153" i="3" s="1"/>
  <c r="L87" i="3"/>
  <c r="L298" i="3"/>
  <c r="Q1033" i="1"/>
  <c r="L716" i="1"/>
  <c r="L189" i="3" s="1"/>
  <c r="L188" i="3"/>
  <c r="H80" i="3"/>
  <c r="N690" i="1"/>
  <c r="N163" i="3" s="1"/>
  <c r="O163" i="3"/>
  <c r="L152" i="3"/>
  <c r="L73" i="3"/>
  <c r="L133" i="1"/>
  <c r="L382" i="1" s="1"/>
  <c r="Q160" i="1"/>
  <c r="Q409" i="1" s="1"/>
  <c r="O696" i="3"/>
  <c r="N1225" i="1"/>
  <c r="N696" i="3" s="1"/>
  <c r="P161" i="3"/>
  <c r="P156" i="1"/>
  <c r="P405" i="1" s="1"/>
  <c r="P704" i="1"/>
  <c r="P131" i="1" s="1"/>
  <c r="P830" i="3"/>
  <c r="Q671" i="1"/>
  <c r="Q128" i="1" s="1"/>
  <c r="Q377" i="1" s="1"/>
  <c r="N1363" i="1"/>
  <c r="N830" i="3" s="1"/>
  <c r="O830" i="3"/>
  <c r="L415" i="3"/>
  <c r="F204" i="3"/>
  <c r="F711" i="3"/>
  <c r="O152" i="3"/>
  <c r="N679" i="1"/>
  <c r="N152" i="3" s="1"/>
  <c r="L343" i="3"/>
  <c r="F590" i="3"/>
  <c r="N637" i="1"/>
  <c r="N110" i="3" s="1"/>
  <c r="O110" i="3"/>
  <c r="P83" i="3"/>
  <c r="F172" i="3"/>
  <c r="H746" i="3"/>
  <c r="H141" i="3"/>
  <c r="L191" i="3"/>
  <c r="F1007" i="1"/>
  <c r="F480" i="3" s="1"/>
  <c r="G13" i="33" s="1"/>
  <c r="I13" i="33" s="1"/>
  <c r="Q13" i="33" s="1"/>
  <c r="F479" i="3"/>
  <c r="H163" i="3"/>
  <c r="H616" i="3"/>
  <c r="P314" i="3"/>
  <c r="H201" i="3"/>
  <c r="L167" i="3"/>
  <c r="L786" i="3"/>
  <c r="P349" i="3"/>
  <c r="P289" i="3"/>
  <c r="L104" i="3"/>
  <c r="L641" i="1"/>
  <c r="L155" i="1" s="1"/>
  <c r="L126" i="1"/>
  <c r="L1012" i="3" s="1"/>
  <c r="L179" i="1"/>
  <c r="L428" i="1" s="1"/>
  <c r="L1303" i="3" s="1"/>
  <c r="L290" i="3"/>
  <c r="H265" i="3"/>
  <c r="P495" i="3"/>
  <c r="P414" i="3"/>
  <c r="Q163" i="1"/>
  <c r="Q412" i="1" s="1"/>
  <c r="H436" i="3"/>
  <c r="P828" i="3"/>
  <c r="L244" i="3"/>
  <c r="L199" i="3"/>
  <c r="F605" i="3"/>
  <c r="L83" i="3"/>
  <c r="L176" i="3"/>
  <c r="H556" i="3"/>
  <c r="F140" i="3"/>
  <c r="P187" i="3"/>
  <c r="Q133" i="1"/>
  <c r="Q382" i="1" s="1"/>
  <c r="H787" i="3"/>
  <c r="L166" i="3"/>
  <c r="L157" i="1"/>
  <c r="L406" i="1" s="1"/>
  <c r="F93" i="3"/>
  <c r="H289" i="3"/>
  <c r="N1117" i="1"/>
  <c r="N589" i="3" s="1"/>
  <c r="O589" i="3"/>
  <c r="F548" i="3"/>
  <c r="F163" i="1"/>
  <c r="F1049" i="3" s="1"/>
  <c r="P152" i="3"/>
  <c r="P583" i="1"/>
  <c r="P57" i="3" s="1"/>
  <c r="P703" i="3"/>
  <c r="H555" i="3"/>
  <c r="H168" i="1"/>
  <c r="H1054" i="3" s="1"/>
  <c r="O454" i="3"/>
  <c r="N981" i="1"/>
  <c r="N454" i="3" s="1"/>
  <c r="Q190" i="1"/>
  <c r="Q439" i="1" s="1"/>
  <c r="Q187" i="1"/>
  <c r="Q436" i="1" s="1"/>
  <c r="Q192" i="1"/>
  <c r="Q441" i="1" s="1"/>
  <c r="Q191" i="1"/>
  <c r="Q440" i="1" s="1"/>
  <c r="Q189" i="1"/>
  <c r="Q438" i="1" s="1"/>
  <c r="Q188" i="1"/>
  <c r="Q437" i="1" s="1"/>
  <c r="Q1439" i="1"/>
  <c r="L585" i="3"/>
  <c r="L1115" i="1"/>
  <c r="L587" i="3" s="1"/>
  <c r="H367" i="3"/>
  <c r="Q716" i="1"/>
  <c r="N627" i="1"/>
  <c r="N100" i="3" s="1"/>
  <c r="O100" i="3"/>
  <c r="H924" i="1"/>
  <c r="H928" i="1" s="1"/>
  <c r="H395" i="3"/>
  <c r="P411" i="3"/>
  <c r="O176" i="3"/>
  <c r="N703" i="1"/>
  <c r="N176" i="3" s="1"/>
  <c r="H105" i="3"/>
  <c r="H157" i="1"/>
  <c r="H1043" i="3" s="1"/>
  <c r="H166" i="3"/>
  <c r="F298" i="3"/>
  <c r="O556" i="3"/>
  <c r="N1083" i="1"/>
  <c r="N556" i="3" s="1"/>
  <c r="P698" i="1"/>
  <c r="P171" i="3" s="1"/>
  <c r="P170" i="3"/>
  <c r="L407" i="3"/>
  <c r="L231" i="3"/>
  <c r="Q1115" i="1"/>
  <c r="N816" i="1"/>
  <c r="N289" i="3" s="1"/>
  <c r="O289" i="3"/>
  <c r="P136" i="3"/>
  <c r="P671" i="1"/>
  <c r="L169" i="3"/>
  <c r="L187" i="3"/>
  <c r="P503" i="3"/>
  <c r="L746" i="3"/>
  <c r="F202" i="3"/>
  <c r="L739" i="3"/>
  <c r="H851" i="1"/>
  <c r="H324" i="3" s="1"/>
  <c r="H323" i="3"/>
  <c r="Q193" i="1"/>
  <c r="Q442" i="1" s="1"/>
  <c r="L351" i="3"/>
  <c r="F129" i="3"/>
  <c r="H179" i="1"/>
  <c r="H1065" i="3" s="1"/>
  <c r="H290" i="3"/>
  <c r="Q157" i="1"/>
  <c r="Q406" i="1" s="1"/>
  <c r="P201" i="3"/>
  <c r="H454" i="3"/>
  <c r="N1021" i="1"/>
  <c r="N494" i="3" s="1"/>
  <c r="O494" i="3"/>
  <c r="P110" i="3"/>
  <c r="O105" i="3"/>
  <c r="N632" i="1"/>
  <c r="N105" i="3" s="1"/>
  <c r="L222" i="3"/>
  <c r="N937" i="1"/>
  <c r="N410" i="3" s="1"/>
  <c r="O478" i="3"/>
  <c r="N1005" i="1"/>
  <c r="N478" i="3" s="1"/>
  <c r="N1268" i="1"/>
  <c r="N738" i="3" s="1"/>
  <c r="O738" i="3"/>
  <c r="H82" i="3"/>
  <c r="P541" i="3"/>
  <c r="L95" i="3"/>
  <c r="P351" i="3"/>
  <c r="L411" i="3"/>
  <c r="O553" i="1"/>
  <c r="O27" i="3" s="1"/>
  <c r="O311" i="3"/>
  <c r="N838" i="1"/>
  <c r="N311" i="3" s="1"/>
  <c r="P81" i="3"/>
  <c r="H112" i="3"/>
  <c r="N922" i="1"/>
  <c r="N395" i="3" s="1"/>
  <c r="O924" i="1"/>
  <c r="O928" i="1" s="1"/>
  <c r="O395" i="3"/>
  <c r="F625" i="3"/>
  <c r="P198" i="3"/>
  <c r="H108" i="3"/>
  <c r="P95" i="3"/>
  <c r="F108" i="3"/>
  <c r="P123" i="3"/>
  <c r="P496" i="3"/>
  <c r="H188" i="3"/>
  <c r="H716" i="1"/>
  <c r="H189" i="3" s="1"/>
  <c r="O426" i="3"/>
  <c r="N953" i="1"/>
  <c r="N426" i="3" s="1"/>
  <c r="H150" i="3"/>
  <c r="O628" i="1"/>
  <c r="O101" i="3" s="1"/>
  <c r="N618" i="1"/>
  <c r="N91" i="3" s="1"/>
  <c r="O91" i="3"/>
  <c r="O125" i="1"/>
  <c r="O1011" i="3" s="1"/>
  <c r="O343" i="3"/>
  <c r="N870" i="1"/>
  <c r="N343" i="3" s="1"/>
  <c r="F585" i="3"/>
  <c r="F1115" i="1"/>
  <c r="O838" i="3"/>
  <c r="N1371" i="1"/>
  <c r="N838" i="3" s="1"/>
  <c r="P478" i="3"/>
  <c r="O405" i="3"/>
  <c r="N932" i="1"/>
  <c r="N405" i="3" s="1"/>
  <c r="O169" i="3"/>
  <c r="N696" i="1"/>
  <c r="N169" i="3" s="1"/>
  <c r="P656" i="3"/>
  <c r="N1370" i="1"/>
  <c r="N837" i="3" s="1"/>
  <c r="O837" i="3"/>
  <c r="F413" i="3"/>
  <c r="F165" i="3"/>
  <c r="P832" i="3"/>
  <c r="L172" i="3"/>
  <c r="F616" i="3"/>
  <c r="H553" i="1"/>
  <c r="H27" i="3" s="1"/>
  <c r="H311" i="3"/>
  <c r="Q179" i="1"/>
  <c r="Q428" i="1" s="1"/>
  <c r="F123" i="3"/>
  <c r="O351" i="3"/>
  <c r="N878" i="1"/>
  <c r="N351" i="3" s="1"/>
  <c r="Q563" i="1"/>
  <c r="F542" i="3"/>
  <c r="F244" i="3"/>
  <c r="Q126" i="1"/>
  <c r="Q375" i="1" s="1"/>
  <c r="Q641" i="1"/>
  <c r="Q155" i="1" s="1"/>
  <c r="Q404" i="1" s="1"/>
  <c r="N796" i="1"/>
  <c r="N269" i="3" s="1"/>
  <c r="O269" i="3"/>
  <c r="N963" i="1"/>
  <c r="N436" i="3" s="1"/>
  <c r="O436" i="3"/>
  <c r="F611" i="3"/>
  <c r="H482" i="3"/>
  <c r="H230" i="3"/>
  <c r="H352" i="3"/>
  <c r="H586" i="1"/>
  <c r="H60" i="3" s="1"/>
  <c r="G53" i="29" s="1"/>
  <c r="I53" i="29" s="1"/>
  <c r="Q53" i="29" s="1"/>
  <c r="H738" i="3"/>
  <c r="Y1268" i="1"/>
  <c r="O141" i="3"/>
  <c r="N668" i="1"/>
  <c r="I668" i="1" s="1"/>
  <c r="N934" i="1"/>
  <c r="N407" i="3" s="1"/>
  <c r="O407" i="3"/>
  <c r="L616" i="3"/>
  <c r="H1115" i="1"/>
  <c r="H587" i="3" s="1"/>
  <c r="H585" i="3"/>
  <c r="F739" i="3"/>
  <c r="G45" i="33" s="1"/>
  <c r="I45" i="33" s="1"/>
  <c r="Q45" i="33" s="1"/>
  <c r="L711" i="3"/>
  <c r="P738" i="3"/>
  <c r="H125" i="3"/>
  <c r="N697" i="1"/>
  <c r="N170" i="3" s="1"/>
  <c r="O170" i="3"/>
  <c r="O698" i="1"/>
  <c r="O171" i="3" s="1"/>
  <c r="H542" i="3"/>
  <c r="F733" i="1"/>
  <c r="F176" i="1" s="1"/>
  <c r="F197" i="3"/>
  <c r="P173" i="3"/>
  <c r="P159" i="1"/>
  <c r="P1045" i="3" s="1"/>
  <c r="L205" i="3"/>
  <c r="O711" i="3"/>
  <c r="N1241" i="1"/>
  <c r="I1241" i="1" s="1"/>
  <c r="F130" i="3"/>
  <c r="F786" i="3"/>
  <c r="N1284" i="1"/>
  <c r="N754" i="3" s="1"/>
  <c r="O754" i="3"/>
  <c r="O201" i="3"/>
  <c r="N728" i="1"/>
  <c r="N201" i="3" s="1"/>
  <c r="H229" i="3"/>
  <c r="P135" i="1"/>
  <c r="P1021" i="3" s="1"/>
  <c r="P79" i="3"/>
  <c r="P123" i="1"/>
  <c r="P1009" i="3" s="1"/>
  <c r="P615" i="1"/>
  <c r="P88" i="3" s="1"/>
  <c r="P295" i="3"/>
  <c r="F92" i="3"/>
  <c r="P626" i="3"/>
  <c r="N879" i="1"/>
  <c r="N352" i="3" s="1"/>
  <c r="O352" i="3"/>
  <c r="L924" i="1"/>
  <c r="L928" i="1" s="1"/>
  <c r="L946" i="1" s="1"/>
  <c r="L395" i="3"/>
  <c r="L738" i="3"/>
  <c r="H91" i="3"/>
  <c r="H125" i="1"/>
  <c r="H1011" i="3" s="1"/>
  <c r="H628" i="1"/>
  <c r="H101" i="3" s="1"/>
  <c r="H626" i="3"/>
  <c r="N655" i="1"/>
  <c r="N128" i="3" s="1"/>
  <c r="O128" i="3"/>
  <c r="N1155" i="1"/>
  <c r="N626" i="3" s="1"/>
  <c r="O626" i="3"/>
  <c r="L130" i="3"/>
  <c r="L344" i="3"/>
  <c r="H617" i="3"/>
  <c r="O829" i="3"/>
  <c r="N1362" i="1"/>
  <c r="N829" i="3" s="1"/>
  <c r="N652" i="1"/>
  <c r="N125" i="3" s="1"/>
  <c r="O125" i="3"/>
  <c r="Q721" i="1"/>
  <c r="Q175" i="1" s="1"/>
  <c r="Q424" i="1" s="1"/>
  <c r="H407" i="3"/>
  <c r="L96" i="3"/>
  <c r="Q1322" i="1"/>
  <c r="N792" i="1"/>
  <c r="N265" i="3" s="1"/>
  <c r="O265" i="3"/>
  <c r="O414" i="3"/>
  <c r="N941" i="1"/>
  <c r="N414" i="3" s="1"/>
  <c r="H94" i="3"/>
  <c r="F157" i="1"/>
  <c r="F1043" i="3" s="1"/>
  <c r="F166" i="3"/>
  <c r="H175" i="3"/>
  <c r="H158" i="1"/>
  <c r="H1044" i="3" s="1"/>
  <c r="P132" i="3"/>
  <c r="F697" i="3"/>
  <c r="Q557" i="1"/>
  <c r="H251" i="3"/>
  <c r="P200" i="3"/>
  <c r="F407" i="3"/>
  <c r="F105" i="3"/>
  <c r="O1033" i="1"/>
  <c r="O506" i="3" s="1"/>
  <c r="N1027" i="1"/>
  <c r="N500" i="3" s="1"/>
  <c r="O500" i="3"/>
  <c r="F126" i="1"/>
  <c r="F1012" i="3" s="1"/>
  <c r="F641" i="1"/>
  <c r="F114" i="3" s="1"/>
  <c r="F104" i="3"/>
  <c r="N876" i="1"/>
  <c r="N349" i="3" s="1"/>
  <c r="O349" i="3"/>
  <c r="L349" i="3"/>
  <c r="L139" i="3"/>
  <c r="F168" i="1"/>
  <c r="F1054" i="3" s="1"/>
  <c r="F555" i="3"/>
  <c r="P125" i="3"/>
  <c r="Q564" i="1"/>
  <c r="P407" i="3"/>
  <c r="P122" i="3"/>
  <c r="P660" i="1"/>
  <c r="P133" i="3" s="1"/>
  <c r="Q830" i="1"/>
  <c r="P167" i="3"/>
  <c r="H151" i="3"/>
  <c r="N676" i="1"/>
  <c r="N149" i="3" s="1"/>
  <c r="O149" i="3"/>
  <c r="P230" i="3"/>
  <c r="H605" i="3"/>
  <c r="F86" i="3"/>
  <c r="O172" i="3"/>
  <c r="N699" i="1"/>
  <c r="N172" i="3" s="1"/>
  <c r="F99" i="3"/>
  <c r="P604" i="3"/>
  <c r="N1025" i="1"/>
  <c r="N498" i="3" s="1"/>
  <c r="O498" i="3"/>
  <c r="H245" i="3"/>
  <c r="H396" i="3"/>
  <c r="L754" i="3"/>
  <c r="L98" i="3"/>
  <c r="F187" i="3"/>
  <c r="P365" i="3"/>
  <c r="L200" i="3"/>
  <c r="P141" i="3"/>
  <c r="L181" i="3"/>
  <c r="P785" i="3"/>
  <c r="O298" i="3"/>
  <c r="N825" i="1"/>
  <c r="N298" i="3" s="1"/>
  <c r="H130" i="3"/>
  <c r="O94" i="3"/>
  <c r="N621" i="1"/>
  <c r="N94" i="3" s="1"/>
  <c r="Q158" i="1"/>
  <c r="Q407" i="1" s="1"/>
  <c r="F159" i="1"/>
  <c r="F1045" i="3" s="1"/>
  <c r="F173" i="3"/>
  <c r="H266" i="3"/>
  <c r="L203" i="3"/>
  <c r="L257" i="3"/>
  <c r="O411" i="3"/>
  <c r="N938" i="1"/>
  <c r="N411" i="3" s="1"/>
  <c r="N730" i="1"/>
  <c r="N203" i="3" s="1"/>
  <c r="O203" i="3"/>
  <c r="P107" i="3"/>
  <c r="O192" i="3"/>
  <c r="N719" i="1"/>
  <c r="N192" i="3" s="1"/>
  <c r="L92" i="3"/>
  <c r="F757" i="3"/>
  <c r="P498" i="3"/>
  <c r="L204" i="3"/>
  <c r="F176" i="3"/>
  <c r="F205" i="3"/>
  <c r="L269" i="3"/>
  <c r="P193" i="3"/>
  <c r="F367" i="3"/>
  <c r="P501" i="3"/>
  <c r="P194" i="1"/>
  <c r="P443" i="1" s="1"/>
  <c r="P1318" i="3" s="1"/>
  <c r="N1273" i="1"/>
  <c r="N743" i="3" s="1"/>
  <c r="O743" i="3"/>
  <c r="L150" i="3"/>
  <c r="O542" i="3"/>
  <c r="N1069" i="1"/>
  <c r="N542" i="3" s="1"/>
  <c r="P97" i="3"/>
  <c r="F84" i="3"/>
  <c r="H142" i="3"/>
  <c r="H84" i="3"/>
  <c r="F746" i="3"/>
  <c r="N1068" i="1"/>
  <c r="I1068" i="1" s="1"/>
  <c r="O541" i="3"/>
  <c r="Q168" i="1"/>
  <c r="Q417" i="1" s="1"/>
  <c r="P160" i="1"/>
  <c r="P1046" i="3" s="1"/>
  <c r="P174" i="3"/>
  <c r="Q135" i="1"/>
  <c r="Q384" i="1" s="1"/>
  <c r="Q123" i="1"/>
  <c r="Q373" i="1" s="1"/>
  <c r="Q615" i="1"/>
  <c r="Q153" i="1" s="1"/>
  <c r="Q402" i="1" s="1"/>
  <c r="L462" i="3"/>
  <c r="H250" i="3"/>
  <c r="O615" i="1"/>
  <c r="O88" i="3" s="1"/>
  <c r="O123" i="1"/>
  <c r="O1009" i="3" s="1"/>
  <c r="O79" i="3"/>
  <c r="O135" i="1"/>
  <c r="O1021" i="3" s="1"/>
  <c r="N606" i="1"/>
  <c r="N79" i="3" s="1"/>
  <c r="H404" i="3"/>
  <c r="H944" i="1"/>
  <c r="H417" i="3" s="1"/>
  <c r="O332" i="3"/>
  <c r="N859" i="1"/>
  <c r="N332" i="3" s="1"/>
  <c r="O557" i="1"/>
  <c r="O31" i="3" s="1"/>
  <c r="L367" i="3"/>
  <c r="H743" i="3"/>
  <c r="L124" i="3"/>
  <c r="N700" i="1"/>
  <c r="N173" i="3" s="1"/>
  <c r="O173" i="3"/>
  <c r="O159" i="1"/>
  <c r="O1045" i="3" s="1"/>
  <c r="H298" i="3"/>
  <c r="Q583" i="1"/>
  <c r="P180" i="3"/>
  <c r="P721" i="1"/>
  <c r="P194" i="3" s="1"/>
  <c r="P373" i="3"/>
  <c r="P564" i="1"/>
  <c r="P38" i="3" s="1"/>
  <c r="F785" i="3"/>
  <c r="N634" i="1"/>
  <c r="N107" i="3" s="1"/>
  <c r="O107" i="3"/>
  <c r="O191" i="3"/>
  <c r="N718" i="1"/>
  <c r="N191" i="3" s="1"/>
  <c r="O604" i="3"/>
  <c r="N1133" i="1"/>
  <c r="N604" i="3" s="1"/>
  <c r="L660" i="1"/>
  <c r="L146" i="1" s="1"/>
  <c r="L122" i="3"/>
  <c r="H204" i="3"/>
  <c r="F131" i="3"/>
  <c r="P99" i="3"/>
  <c r="H405" i="3"/>
  <c r="H162" i="1"/>
  <c r="H1048" i="3" s="1"/>
  <c r="H540" i="3"/>
  <c r="L140" i="3"/>
  <c r="F185" i="3"/>
  <c r="L106" i="3"/>
  <c r="L136" i="3"/>
  <c r="L671" i="1"/>
  <c r="L144" i="3" s="1"/>
  <c r="P540" i="3"/>
  <c r="P162" i="1"/>
  <c r="P1048" i="3" s="1"/>
  <c r="F406" i="3"/>
  <c r="H698" i="1"/>
  <c r="H171" i="3" s="1"/>
  <c r="H170" i="3"/>
  <c r="P151" i="3"/>
  <c r="F83" i="3"/>
  <c r="F245" i="3"/>
  <c r="F482" i="3"/>
  <c r="P563" i="1"/>
  <c r="P37" i="3" s="1"/>
  <c r="P372" i="3"/>
  <c r="H372" i="3"/>
  <c r="H563" i="1"/>
  <c r="H37" i="3" s="1"/>
  <c r="L436" i="3"/>
  <c r="H462" i="3"/>
  <c r="F182" i="3"/>
  <c r="P222" i="3"/>
  <c r="F167" i="3"/>
  <c r="F149" i="3"/>
  <c r="N1320" i="1"/>
  <c r="N787" i="3" s="1"/>
  <c r="O787" i="3"/>
  <c r="L165" i="3"/>
  <c r="F192" i="3"/>
  <c r="F109" i="3"/>
  <c r="F352" i="3"/>
  <c r="N749" i="1"/>
  <c r="N222" i="3" s="1"/>
  <c r="O222" i="3"/>
  <c r="P150" i="3"/>
  <c r="Q704" i="1"/>
  <c r="Q174" i="1" s="1"/>
  <c r="Q423" i="1" s="1"/>
  <c r="Q156" i="1"/>
  <c r="Q405" i="1" s="1"/>
  <c r="O301" i="3"/>
  <c r="O830" i="1"/>
  <c r="O303" i="3" s="1"/>
  <c r="N828" i="1"/>
  <c r="N301" i="3" s="1"/>
  <c r="F162" i="3"/>
  <c r="L198" i="3"/>
  <c r="L589" i="3"/>
  <c r="L251" i="3"/>
  <c r="O721" i="1"/>
  <c r="O175" i="1" s="1"/>
  <c r="O180" i="3"/>
  <c r="N707" i="1"/>
  <c r="N180" i="3" s="1"/>
  <c r="L162" i="3"/>
  <c r="H190" i="3"/>
  <c r="L482" i="3"/>
  <c r="H163" i="1"/>
  <c r="H1049" i="3" s="1"/>
  <c r="H548" i="3"/>
  <c r="P263" i="3"/>
  <c r="H162" i="3"/>
  <c r="F152" i="3"/>
  <c r="N935" i="1"/>
  <c r="N408" i="3" s="1"/>
  <c r="O408" i="3"/>
  <c r="N678" i="1"/>
  <c r="N151" i="3" s="1"/>
  <c r="O151" i="3"/>
  <c r="P323" i="3"/>
  <c r="F198" i="3"/>
  <c r="H98" i="3"/>
  <c r="P138" i="3"/>
  <c r="H180" i="3"/>
  <c r="H721" i="1"/>
  <c r="H194" i="3" s="1"/>
  <c r="F395" i="3"/>
  <c r="F924" i="1"/>
  <c r="F928" i="1" s="1"/>
  <c r="P716" i="1"/>
  <c r="P189" i="3" s="1"/>
  <c r="P188" i="3"/>
  <c r="F540" i="3"/>
  <c r="F162" i="1"/>
  <c r="F1048" i="3" s="1"/>
  <c r="L202" i="3"/>
  <c r="F265" i="3"/>
  <c r="L107" i="3"/>
  <c r="L565" i="1"/>
  <c r="L39" i="3" s="1"/>
  <c r="L374" i="3"/>
  <c r="O367" i="3"/>
  <c r="N894" i="1"/>
  <c r="N367" i="3" s="1"/>
  <c r="P184" i="3"/>
  <c r="P680" i="1"/>
  <c r="P153" i="3" s="1"/>
  <c r="P147" i="3"/>
  <c r="N702" i="1"/>
  <c r="I702" i="1" s="1"/>
  <c r="O175" i="3"/>
  <c r="O158" i="1"/>
  <c r="O1044" i="3" s="1"/>
  <c r="N714" i="1"/>
  <c r="N187" i="3" s="1"/>
  <c r="O187" i="3"/>
  <c r="L787" i="3"/>
  <c r="H330" i="3"/>
  <c r="H556" i="1"/>
  <c r="H30" i="3" s="1"/>
  <c r="H205" i="3"/>
  <c r="H610" i="3"/>
  <c r="L229" i="3"/>
  <c r="P504" i="3"/>
  <c r="L698" i="1"/>
  <c r="L171" i="3" s="1"/>
  <c r="L170" i="3"/>
  <c r="P148" i="3"/>
  <c r="H411" i="3"/>
  <c r="P355" i="3"/>
  <c r="F266" i="3"/>
  <c r="P142" i="3"/>
  <c r="O99" i="3"/>
  <c r="N626" i="1"/>
  <c r="N99" i="3" s="1"/>
  <c r="F193" i="3"/>
  <c r="L245" i="3"/>
  <c r="Q144" i="1"/>
  <c r="Q393" i="1" s="1"/>
  <c r="P205" i="3"/>
  <c r="H269" i="3"/>
  <c r="P162" i="3"/>
  <c r="P344" i="3"/>
  <c r="P144" i="1"/>
  <c r="P1030" i="3" s="1"/>
  <c r="P396" i="3"/>
  <c r="F87" i="3"/>
  <c r="L265" i="3"/>
  <c r="P1322" i="1"/>
  <c r="P789" i="3" s="1"/>
  <c r="P783" i="3"/>
  <c r="N639" i="1"/>
  <c r="N112" i="3" s="1"/>
  <c r="O112" i="3"/>
  <c r="N1185" i="1"/>
  <c r="N656" i="3" s="1"/>
  <c r="O656" i="3"/>
  <c r="N1152" i="1"/>
  <c r="N623" i="3" s="1"/>
  <c r="O623" i="3"/>
  <c r="F411" i="3"/>
  <c r="F301" i="3"/>
  <c r="H165" i="3"/>
  <c r="O162" i="3"/>
  <c r="N689" i="1"/>
  <c r="N162" i="3" s="1"/>
  <c r="P830" i="1"/>
  <c r="P303" i="3" s="1"/>
  <c r="P301" i="3"/>
  <c r="H244" i="3"/>
  <c r="L108" i="3"/>
  <c r="N610" i="1"/>
  <c r="N83" i="3" s="1"/>
  <c r="O83" i="3"/>
  <c r="F426" i="3"/>
  <c r="P199" i="3"/>
  <c r="P395" i="3"/>
  <c r="P924" i="1"/>
  <c r="P928" i="1" s="1"/>
  <c r="O230" i="3"/>
  <c r="N757" i="1"/>
  <c r="N230" i="3" s="1"/>
  <c r="H139" i="3"/>
  <c r="F586" i="3"/>
  <c r="L161" i="3"/>
  <c r="L704" i="1"/>
  <c r="L177" i="3" s="1"/>
  <c r="L156" i="1"/>
  <c r="L1042" i="3" s="1"/>
  <c r="O163" i="1"/>
  <c r="O412" i="1" s="1"/>
  <c r="O548" i="3"/>
  <c r="N1075" i="1"/>
  <c r="N548" i="3" s="1"/>
  <c r="F343" i="3"/>
  <c r="H586" i="3"/>
  <c r="P426" i="3"/>
  <c r="F184" i="3"/>
  <c r="L109" i="3"/>
  <c r="L266" i="3"/>
  <c r="P549" i="3"/>
  <c r="F404" i="3"/>
  <c r="F85" i="3"/>
  <c r="L184" i="3"/>
  <c r="L301" i="3"/>
  <c r="L830" i="1"/>
  <c r="L303" i="3" s="1"/>
  <c r="N1319" i="1"/>
  <c r="N786" i="3" s="1"/>
  <c r="O786" i="3"/>
  <c r="P436" i="3"/>
  <c r="N666" i="1"/>
  <c r="N139" i="3" s="1"/>
  <c r="O139" i="3"/>
  <c r="L454" i="3"/>
  <c r="Q556" i="1"/>
  <c r="N657" i="1"/>
  <c r="N130" i="3" s="1"/>
  <c r="O130" i="3"/>
  <c r="P192" i="3"/>
  <c r="P139" i="3"/>
  <c r="P113" i="3"/>
  <c r="N1369" i="1"/>
  <c r="N836" i="3" s="1"/>
  <c r="O836" i="3"/>
  <c r="N623" i="1"/>
  <c r="N96" i="3" s="1"/>
  <c r="O96" i="3"/>
  <c r="O549" i="3"/>
  <c r="N1076" i="1"/>
  <c r="N549" i="3" s="1"/>
  <c r="L625" i="3"/>
  <c r="F257" i="3"/>
  <c r="P611" i="3"/>
  <c r="P641" i="1"/>
  <c r="P155" i="1" s="1"/>
  <c r="P1041" i="3" s="1"/>
  <c r="P104" i="3"/>
  <c r="P126" i="1"/>
  <c r="P1012" i="3" s="1"/>
  <c r="P754" i="3"/>
  <c r="P87" i="3"/>
  <c r="P733" i="1"/>
  <c r="P735" i="1" s="1"/>
  <c r="P197" i="3"/>
  <c r="P257" i="3"/>
  <c r="L82" i="3"/>
  <c r="N1104" i="1"/>
  <c r="N576" i="3" s="1"/>
  <c r="O576" i="3"/>
  <c r="H830" i="1"/>
  <c r="H303" i="3" s="1"/>
  <c r="H301" i="3"/>
  <c r="F201" i="3"/>
  <c r="H426" i="3"/>
  <c r="O611" i="3"/>
  <c r="N1140" i="1"/>
  <c r="N611" i="3" s="1"/>
  <c r="O502" i="3"/>
  <c r="N1029" i="1"/>
  <c r="N502" i="3" s="1"/>
  <c r="P589" i="3"/>
  <c r="N636" i="1"/>
  <c r="N109" i="3" s="1"/>
  <c r="O109" i="3"/>
  <c r="F269" i="3"/>
  <c r="L163" i="3"/>
  <c r="N778" i="1"/>
  <c r="N251" i="3" s="1"/>
  <c r="O251" i="3"/>
  <c r="F203" i="3"/>
  <c r="N1030" i="1"/>
  <c r="N503" i="3" s="1"/>
  <c r="O503" i="3"/>
  <c r="P625" i="3"/>
  <c r="H167" i="3"/>
  <c r="H192" i="3"/>
  <c r="O108" i="3"/>
  <c r="N635" i="1"/>
  <c r="N108" i="3" s="1"/>
  <c r="L192" i="3"/>
  <c r="O505" i="3"/>
  <c r="N1032" i="1"/>
  <c r="N505" i="3" s="1"/>
  <c r="P302" i="3"/>
  <c r="L125" i="3"/>
  <c r="O164" i="3"/>
  <c r="O148" i="1"/>
  <c r="O1034" i="3" s="1"/>
  <c r="N691" i="1"/>
  <c r="N164" i="3" s="1"/>
  <c r="H133" i="1"/>
  <c r="H1019" i="3" s="1"/>
  <c r="H73" i="3"/>
  <c r="H479" i="3"/>
  <c r="H1007" i="1"/>
  <c r="H480" i="3" s="1"/>
  <c r="G13" i="29" s="1"/>
  <c r="I13" i="29" s="1"/>
  <c r="Q13" i="29" s="1"/>
  <c r="P140" i="3"/>
  <c r="N875" i="1"/>
  <c r="N348" i="3" s="1"/>
  <c r="O348" i="3"/>
  <c r="P836" i="3"/>
  <c r="F671" i="1"/>
  <c r="F144" i="3" s="1"/>
  <c r="F136" i="3"/>
  <c r="L745" i="3"/>
  <c r="P290" i="3"/>
  <c r="P179" i="1"/>
  <c r="P1065" i="3" s="1"/>
  <c r="P605" i="3"/>
  <c r="P834" i="3"/>
  <c r="N829" i="1"/>
  <c r="N302" i="3" s="1"/>
  <c r="O302" i="3"/>
  <c r="P679" i="3"/>
  <c r="H184" i="3"/>
  <c r="F148" i="3"/>
  <c r="P231" i="3"/>
  <c r="N1316" i="1"/>
  <c r="I1316" i="1" s="1"/>
  <c r="I783" i="3" s="1"/>
  <c r="O1322" i="1"/>
  <c r="O789" i="3" s="1"/>
  <c r="O783" i="3"/>
  <c r="F626" i="3"/>
  <c r="P149" i="3"/>
  <c r="H754" i="3"/>
  <c r="O194" i="1"/>
  <c r="O443" i="1" s="1"/>
  <c r="O501" i="3"/>
  <c r="N1028" i="1"/>
  <c r="N501" i="3" s="1"/>
  <c r="Q628" i="1"/>
  <c r="Q154" i="1" s="1"/>
  <c r="Q403" i="1" s="1"/>
  <c r="Q125" i="1"/>
  <c r="Q374" i="1" s="1"/>
  <c r="P408" i="3"/>
  <c r="P590" i="3"/>
  <c r="F738" i="3"/>
  <c r="N622" i="1"/>
  <c r="N95" i="3" s="1"/>
  <c r="O95" i="3"/>
  <c r="H478" i="3"/>
  <c r="L93" i="3"/>
  <c r="N726" i="1"/>
  <c r="N199" i="3" s="1"/>
  <c r="O199" i="3"/>
  <c r="H110" i="3"/>
  <c r="O834" i="3"/>
  <c r="N1367" i="1"/>
  <c r="N834" i="3" s="1"/>
  <c r="N1118" i="1"/>
  <c r="N590" i="3" s="1"/>
  <c r="O590" i="3"/>
  <c r="H187" i="3"/>
  <c r="H355" i="3"/>
  <c r="O229" i="3"/>
  <c r="N756" i="1"/>
  <c r="N229" i="3" s="1"/>
  <c r="O944" i="1"/>
  <c r="O417" i="3" s="1"/>
  <c r="N931" i="1"/>
  <c r="N404" i="3" s="1"/>
  <c r="O404" i="3"/>
  <c r="H406" i="3"/>
  <c r="H745" i="3"/>
  <c r="F179" i="1"/>
  <c r="F1065" i="3" s="1"/>
  <c r="F290" i="3"/>
  <c r="L110" i="3"/>
  <c r="H412" i="3"/>
  <c r="H149" i="3"/>
  <c r="O127" i="3"/>
  <c r="N654" i="1"/>
  <c r="N127" i="3" s="1"/>
  <c r="N1154" i="1"/>
  <c r="N625" i="3" s="1"/>
  <c r="O625" i="3"/>
  <c r="F82" i="3"/>
  <c r="P784" i="3"/>
  <c r="L148" i="3"/>
  <c r="H128" i="3"/>
  <c r="N1226" i="1"/>
  <c r="N697" i="3" s="1"/>
  <c r="O697" i="3"/>
  <c r="L128" i="3"/>
  <c r="F97" i="3"/>
  <c r="F188" i="3"/>
  <c r="F716" i="1"/>
  <c r="F189" i="3" s="1"/>
  <c r="Q944" i="1"/>
  <c r="N944" i="1" s="1"/>
  <c r="N417" i="3" s="1"/>
  <c r="F415" i="3"/>
  <c r="P502" i="3"/>
  <c r="P505" i="3"/>
  <c r="P163" i="1"/>
  <c r="P1049" i="3" s="1"/>
  <c r="P548" i="3"/>
  <c r="O605" i="3"/>
  <c r="N1134" i="1"/>
  <c r="N605" i="3" s="1"/>
  <c r="H109" i="3"/>
  <c r="N824" i="1"/>
  <c r="N297" i="3" s="1"/>
  <c r="O297" i="3"/>
  <c r="N1361" i="1"/>
  <c r="N828" i="3" s="1"/>
  <c r="O828" i="3"/>
  <c r="P497" i="3"/>
  <c r="H611" i="3"/>
  <c r="P787" i="3"/>
  <c r="O482" i="3"/>
  <c r="N1009" i="1"/>
  <c r="N482" i="3" s="1"/>
  <c r="F396" i="3"/>
  <c r="L84" i="3"/>
  <c r="H185" i="3"/>
  <c r="P576" i="3"/>
  <c r="Q194" i="1"/>
  <c r="Q443" i="1" s="1"/>
  <c r="H565" i="1"/>
  <c r="H39" i="3" s="1"/>
  <c r="H374" i="3"/>
  <c r="H164" i="3"/>
  <c r="H148" i="1"/>
  <c r="H1034" i="3" s="1"/>
  <c r="N1024" i="1"/>
  <c r="N497" i="3" s="1"/>
  <c r="O497" i="3"/>
  <c r="N717" i="1"/>
  <c r="N190" i="3" s="1"/>
  <c r="O190" i="3"/>
  <c r="F190" i="3"/>
  <c r="N649" i="1"/>
  <c r="N122" i="3" s="1"/>
  <c r="O660" i="1"/>
  <c r="O127" i="1" s="1"/>
  <c r="O122" i="3"/>
  <c r="L129" i="3"/>
  <c r="F94" i="3"/>
  <c r="L100" i="3"/>
  <c r="F704" i="1"/>
  <c r="F174" i="1" s="1"/>
  <c r="F161" i="3"/>
  <c r="F156" i="1"/>
  <c r="F1042" i="3" s="1"/>
  <c r="L352" i="3"/>
  <c r="P437" i="3"/>
  <c r="H191" i="3"/>
  <c r="L180" i="3"/>
  <c r="L721" i="1"/>
  <c r="L175" i="1" s="1"/>
  <c r="N619" i="1"/>
  <c r="N92" i="3" s="1"/>
  <c r="O92" i="3"/>
  <c r="F610" i="3"/>
  <c r="H332" i="3"/>
  <c r="H557" i="1"/>
  <c r="H31" i="3" s="1"/>
  <c r="L147" i="3"/>
  <c r="L680" i="1"/>
  <c r="L153" i="3" s="1"/>
  <c r="L541" i="3"/>
  <c r="L556" i="1"/>
  <c r="L30" i="3" s="1"/>
  <c r="L330" i="3"/>
  <c r="F604" i="3"/>
  <c r="P827" i="3"/>
  <c r="P1373" i="1"/>
  <c r="P840" i="3" s="1"/>
  <c r="P743" i="3"/>
  <c r="L138" i="3"/>
  <c r="P181" i="3"/>
  <c r="F113" i="3"/>
  <c r="P80" i="3"/>
  <c r="N625" i="1"/>
  <c r="N98" i="3" s="1"/>
  <c r="O98" i="3"/>
  <c r="O80" i="3"/>
  <c r="N607" i="1"/>
  <c r="N80" i="3" s="1"/>
  <c r="H124" i="3"/>
  <c r="P133" i="1"/>
  <c r="P1019" i="3" s="1"/>
  <c r="P73" i="3"/>
  <c r="P143" i="3"/>
  <c r="L132" i="3"/>
  <c r="P128" i="3"/>
  <c r="H302" i="3"/>
  <c r="P112" i="3"/>
  <c r="L86" i="3"/>
  <c r="H711" i="3"/>
  <c r="N624" i="1"/>
  <c r="N97" i="3" s="1"/>
  <c r="O97" i="3"/>
  <c r="F589" i="3"/>
  <c r="F556" i="3"/>
  <c r="F125" i="3"/>
  <c r="O617" i="3"/>
  <c r="N1146" i="1"/>
  <c r="N617" i="3" s="1"/>
  <c r="L785" i="3"/>
  <c r="L111" i="3"/>
  <c r="H589" i="3"/>
  <c r="P542" i="3"/>
  <c r="L112" i="3"/>
  <c r="L586" i="3"/>
  <c r="L414" i="3"/>
  <c r="P696" i="3"/>
  <c r="N715" i="1"/>
  <c r="N188" i="3" s="1"/>
  <c r="O716" i="1"/>
  <c r="O189" i="3" s="1"/>
  <c r="O188" i="3"/>
  <c r="F141" i="3"/>
  <c r="P610" i="3"/>
  <c r="P831" i="3"/>
  <c r="N667" i="1"/>
  <c r="N140" i="3" s="1"/>
  <c r="O140" i="3"/>
  <c r="O190" i="1"/>
  <c r="O439" i="1" s="1"/>
  <c r="O188" i="1"/>
  <c r="O437" i="1" s="1"/>
  <c r="O833" i="3"/>
  <c r="O191" i="1"/>
  <c r="O440" i="1" s="1"/>
  <c r="N1366" i="1"/>
  <c r="N833" i="3" s="1"/>
  <c r="O189" i="1"/>
  <c r="O438" i="1" s="1"/>
  <c r="O192" i="1"/>
  <c r="O441" i="1" s="1"/>
  <c r="O187" i="1"/>
  <c r="O436" i="1" s="1"/>
  <c r="Q148" i="1"/>
  <c r="Q397" i="1" s="1"/>
  <c r="L733" i="1"/>
  <c r="L176" i="1" s="1"/>
  <c r="L197" i="3"/>
  <c r="L412" i="3"/>
  <c r="N1287" i="1"/>
  <c r="N757" i="3" s="1"/>
  <c r="O757" i="3"/>
  <c r="F191" i="3"/>
  <c r="F125" i="1"/>
  <c r="F1011" i="3" s="1"/>
  <c r="F91" i="3"/>
  <c r="F628" i="1"/>
  <c r="F101" i="3" s="1"/>
  <c r="P183" i="3"/>
  <c r="L542" i="3"/>
  <c r="F147" i="3"/>
  <c r="F680" i="1"/>
  <c r="F153" i="3" s="1"/>
  <c r="F98" i="3"/>
  <c r="L604" i="3"/>
  <c r="F1322" i="1"/>
  <c r="F789" i="3" s="1"/>
  <c r="F783" i="3"/>
  <c r="F229" i="3"/>
  <c r="H410" i="3"/>
  <c r="L784" i="3"/>
  <c r="L99" i="3"/>
  <c r="H159" i="1"/>
  <c r="H1045" i="3" s="1"/>
  <c r="H173" i="3"/>
  <c r="F132" i="3"/>
  <c r="N899" i="1"/>
  <c r="N372" i="3" s="1"/>
  <c r="O372" i="3"/>
  <c r="O563" i="1"/>
  <c r="O37" i="3" s="1"/>
  <c r="O162" i="1"/>
  <c r="O1048" i="3" s="1"/>
  <c r="O540" i="3"/>
  <c r="N1067" i="1"/>
  <c r="N540" i="3" s="1"/>
  <c r="Q1373" i="1"/>
  <c r="Q195" i="1" s="1"/>
  <c r="Q444" i="1" s="1"/>
  <c r="O167" i="3"/>
  <c r="N694" i="1"/>
  <c r="N167" i="3" s="1"/>
  <c r="H129" i="3"/>
  <c r="P106" i="3"/>
  <c r="O184" i="3"/>
  <c r="N711" i="1"/>
  <c r="N184" i="3" s="1"/>
  <c r="L193" i="3"/>
  <c r="P412" i="3"/>
  <c r="H604" i="3"/>
  <c r="O256" i="3"/>
  <c r="N783" i="1"/>
  <c r="N256" i="3" s="1"/>
  <c r="F374" i="3"/>
  <c r="F565" i="1"/>
  <c r="F39" i="3" s="1"/>
  <c r="F311" i="3"/>
  <c r="F553" i="1"/>
  <c r="F27" i="3" s="1"/>
  <c r="H660" i="1"/>
  <c r="H127" i="1" s="1"/>
  <c r="H122" i="3"/>
  <c r="F181" i="3"/>
  <c r="P298" i="3"/>
  <c r="O323" i="3"/>
  <c r="N850" i="1"/>
  <c r="N323" i="3" s="1"/>
  <c r="O493" i="3"/>
  <c r="N1020" i="1"/>
  <c r="N493" i="3" s="1"/>
  <c r="H590" i="3"/>
  <c r="L628" i="1"/>
  <c r="L125" i="1"/>
  <c r="L1011" i="3" s="1"/>
  <c r="L91" i="3"/>
  <c r="P86" i="3"/>
  <c r="P623" i="3"/>
  <c r="F111" i="3"/>
  <c r="P108" i="3"/>
  <c r="H138" i="3"/>
  <c r="P491" i="3"/>
  <c r="O181" i="3"/>
  <c r="N708" i="1"/>
  <c r="N181" i="3" s="1"/>
  <c r="F478" i="3"/>
  <c r="H415" i="3"/>
  <c r="L151" i="3"/>
  <c r="N989" i="1"/>
  <c r="N462" i="3" s="1"/>
  <c r="O462" i="3"/>
  <c r="N1318" i="1"/>
  <c r="N785" i="3" s="1"/>
  <c r="O785" i="3"/>
  <c r="F169" i="3"/>
  <c r="P367" i="3"/>
  <c r="L190" i="3"/>
  <c r="O198" i="3"/>
  <c r="N725" i="1"/>
  <c r="N198" i="3" s="1"/>
  <c r="F454" i="3"/>
  <c r="O129" i="3"/>
  <c r="N656" i="1"/>
  <c r="N129" i="3" s="1"/>
  <c r="L617" i="3"/>
  <c r="N841" i="1"/>
  <c r="N314" i="3" s="1"/>
  <c r="O314" i="3"/>
  <c r="F251" i="3"/>
  <c r="H83" i="3"/>
  <c r="P482" i="3"/>
  <c r="L80" i="3"/>
  <c r="H408" i="3"/>
  <c r="Q680" i="1"/>
  <c r="H202" i="3"/>
  <c r="O133" i="1"/>
  <c r="N133" i="1" s="1"/>
  <c r="N1019" i="3" s="1"/>
  <c r="N600" i="1"/>
  <c r="N73" i="3" s="1"/>
  <c r="O73" i="3"/>
  <c r="H131" i="3"/>
  <c r="L553" i="1"/>
  <c r="L27" i="3" s="1"/>
  <c r="L311" i="3"/>
  <c r="O148" i="3"/>
  <c r="N675" i="1"/>
  <c r="N148" i="3" s="1"/>
  <c r="H86" i="3"/>
  <c r="F414" i="3"/>
  <c r="F163" i="3"/>
  <c r="H100" i="3"/>
  <c r="H344" i="3"/>
  <c r="O87" i="3"/>
  <c r="N614" i="1"/>
  <c r="N87" i="3" s="1"/>
  <c r="H373" i="3"/>
  <c r="H564" i="1"/>
  <c r="H38" i="3" s="1"/>
  <c r="F615" i="1"/>
  <c r="F153" i="1" s="1"/>
  <c r="F79" i="3"/>
  <c r="F123" i="1"/>
  <c r="F1009" i="3" s="1"/>
  <c r="F135" i="1"/>
  <c r="F1021" i="3" s="1"/>
  <c r="F106" i="3"/>
  <c r="H143" i="3"/>
  <c r="L168" i="1"/>
  <c r="L1054" i="3" s="1"/>
  <c r="L555" i="3"/>
  <c r="P454" i="3"/>
  <c r="H541" i="3"/>
  <c r="L201" i="3"/>
  <c r="H703" i="3"/>
  <c r="G49" i="29" s="1"/>
  <c r="I49" i="29" s="1"/>
  <c r="Q49" i="29" s="1"/>
  <c r="H583" i="1"/>
  <c r="H57" i="3" s="1"/>
  <c r="O132" i="3"/>
  <c r="N659" i="1"/>
  <c r="N132" i="3" s="1"/>
  <c r="P129" i="3"/>
  <c r="P265" i="3"/>
  <c r="P158" i="1"/>
  <c r="P407" i="1" s="1"/>
  <c r="P175" i="3"/>
  <c r="H343" i="3"/>
  <c r="N669" i="1"/>
  <c r="N142" i="3" s="1"/>
  <c r="O142" i="3"/>
  <c r="H199" i="3"/>
  <c r="O126" i="1"/>
  <c r="O104" i="3"/>
  <c r="N631" i="1"/>
  <c r="N104" i="3" s="1"/>
  <c r="O641" i="1"/>
  <c r="O155" i="1" s="1"/>
  <c r="N1139" i="1"/>
  <c r="N610" i="3" s="1"/>
  <c r="O610" i="3"/>
  <c r="H111" i="3"/>
  <c r="P462" i="3"/>
  <c r="H183" i="3"/>
  <c r="L605" i="3"/>
  <c r="F410" i="3"/>
  <c r="L126" i="3"/>
  <c r="L256" i="3"/>
  <c r="P250" i="3"/>
  <c r="O150" i="3"/>
  <c r="N677" i="1"/>
  <c r="I677" i="1" s="1"/>
  <c r="L405" i="3"/>
  <c r="F462" i="3"/>
  <c r="Q660" i="1"/>
  <c r="Q146" i="1" s="1"/>
  <c r="Q395" i="1" s="1"/>
  <c r="H257" i="3"/>
  <c r="F200" i="3"/>
  <c r="L85" i="3"/>
  <c r="P405" i="3"/>
  <c r="L697" i="3"/>
  <c r="P479" i="3"/>
  <c r="P1007" i="1"/>
  <c r="P480" i="3" s="1"/>
  <c r="P100" i="3"/>
  <c r="F183" i="3"/>
  <c r="H123" i="1"/>
  <c r="H1009" i="3" s="1"/>
  <c r="H615" i="1"/>
  <c r="H88" i="3" s="1"/>
  <c r="H79" i="3"/>
  <c r="H135" i="1"/>
  <c r="H1021" i="3" s="1"/>
  <c r="H198" i="3"/>
  <c r="O136" i="3"/>
  <c r="N663" i="1"/>
  <c r="N136" i="3" s="1"/>
  <c r="O671" i="1"/>
  <c r="O147" i="1" s="1"/>
  <c r="L250" i="3"/>
  <c r="L127" i="3"/>
  <c r="O193" i="1"/>
  <c r="N193" i="1" s="1"/>
  <c r="N1079" i="3" s="1"/>
  <c r="O492" i="3"/>
  <c r="N1019" i="1"/>
  <c r="N492" i="3" s="1"/>
  <c r="P176" i="3"/>
  <c r="N712" i="1"/>
  <c r="N185" i="3" s="1"/>
  <c r="O185" i="3"/>
  <c r="O138" i="3"/>
  <c r="N665" i="1"/>
  <c r="N138" i="3" s="1"/>
  <c r="H256" i="3"/>
  <c r="P616" i="3"/>
  <c r="H696" i="3"/>
  <c r="H755" i="3"/>
  <c r="H218" i="1"/>
  <c r="H467" i="1" s="1"/>
  <c r="H1342" i="3" s="1"/>
  <c r="O166" i="3"/>
  <c r="N693" i="1"/>
  <c r="N166" i="3" s="1"/>
  <c r="O157" i="1"/>
  <c r="O1043" i="3" s="1"/>
  <c r="O81" i="3"/>
  <c r="N608" i="1"/>
  <c r="I608" i="1" s="1"/>
  <c r="H200" i="3"/>
  <c r="O586" i="3"/>
  <c r="N1114" i="1"/>
  <c r="N586" i="3" s="1"/>
  <c r="H99" i="3"/>
  <c r="N638" i="1"/>
  <c r="N111" i="3" s="1"/>
  <c r="O111" i="3"/>
  <c r="P130" i="3"/>
  <c r="O709" i="3"/>
  <c r="N1239" i="1"/>
  <c r="N709" i="3" s="1"/>
  <c r="P203" i="3"/>
  <c r="L563" i="1"/>
  <c r="L37" i="3" s="1"/>
  <c r="L372" i="3"/>
  <c r="L105" i="3"/>
  <c r="O179" i="1"/>
  <c r="O1065" i="3" s="1"/>
  <c r="O290" i="3"/>
  <c r="N817" i="1"/>
  <c r="N290" i="3" s="1"/>
  <c r="F158" i="1"/>
  <c r="F1044" i="3" s="1"/>
  <c r="F175" i="3"/>
  <c r="P137" i="3"/>
  <c r="P191" i="3"/>
  <c r="H152" i="3"/>
  <c r="P185" i="3"/>
  <c r="F405" i="3"/>
  <c r="P829" i="3"/>
  <c r="P494" i="3"/>
  <c r="N670" i="1"/>
  <c r="N143" i="3" s="1"/>
  <c r="O143" i="3"/>
  <c r="N784" i="1"/>
  <c r="N257" i="3" s="1"/>
  <c r="O257" i="3"/>
  <c r="H126" i="3"/>
  <c r="O202" i="3"/>
  <c r="N729" i="1"/>
  <c r="N202" i="3" s="1"/>
  <c r="O704" i="1"/>
  <c r="O177" i="3" s="1"/>
  <c r="O156" i="1"/>
  <c r="O1042" i="3" s="1"/>
  <c r="N688" i="1"/>
  <c r="N161" i="3" s="1"/>
  <c r="O161" i="3"/>
  <c r="P93" i="3"/>
  <c r="I1275" i="1"/>
  <c r="I745" i="3" s="1"/>
  <c r="I692" i="1"/>
  <c r="I165" i="3" s="1"/>
  <c r="I699" i="1"/>
  <c r="I172" i="3" s="1"/>
  <c r="I838" i="1"/>
  <c r="I1145" i="1"/>
  <c r="I616" i="3" s="1"/>
  <c r="I772" i="1"/>
  <c r="D772" i="1" s="1"/>
  <c r="D245" i="3" s="1"/>
  <c r="I793" i="1"/>
  <c r="D793" i="1" s="1"/>
  <c r="D266" i="3" s="1"/>
  <c r="I719" i="1"/>
  <c r="I192" i="3" s="1"/>
  <c r="I1273" i="1"/>
  <c r="I743" i="3" s="1"/>
  <c r="I678" i="1"/>
  <c r="P1074" i="3"/>
  <c r="L174" i="1"/>
  <c r="L397" i="3"/>
  <c r="F37" i="3"/>
  <c r="O1046" i="3"/>
  <c r="F587" i="3"/>
  <c r="I679" i="1"/>
  <c r="Q1070" i="1"/>
  <c r="Q1168" i="1"/>
  <c r="Q802" i="1"/>
  <c r="Q980" i="1"/>
  <c r="Q978" i="1"/>
  <c r="Q976" i="1"/>
  <c r="Q975" i="1"/>
  <c r="Q973" i="1"/>
  <c r="Q971" i="1"/>
  <c r="Q972" i="1"/>
  <c r="Q979" i="1"/>
  <c r="Q974" i="1"/>
  <c r="Q982" i="1"/>
  <c r="Q1017" i="1"/>
  <c r="P1050" i="1"/>
  <c r="Q992" i="1"/>
  <c r="Q994" i="1"/>
  <c r="Q1159" i="1"/>
  <c r="Q1161" i="1"/>
  <c r="L1053" i="1"/>
  <c r="P1043" i="1"/>
  <c r="L1055" i="1"/>
  <c r="Q1056" i="1"/>
  <c r="Q1044" i="1"/>
  <c r="Q1077" i="1"/>
  <c r="Q1202" i="1"/>
  <c r="Q776" i="1"/>
  <c r="Q1138" i="1"/>
  <c r="Q1179" i="1"/>
  <c r="Q1052" i="1"/>
  <c r="Q1041" i="1"/>
  <c r="Q991" i="1"/>
  <c r="Q869" i="1"/>
  <c r="Q815" i="1"/>
  <c r="Q1051" i="1"/>
  <c r="Q1039" i="1"/>
  <c r="Q1050" i="1"/>
  <c r="Q1040" i="1"/>
  <c r="P1040" i="1"/>
  <c r="Q990" i="1"/>
  <c r="Q877" i="1"/>
  <c r="P1055" i="1"/>
  <c r="Q1055" i="1"/>
  <c r="Q1043" i="1"/>
  <c r="Q1045" i="1"/>
  <c r="Q1084" i="1"/>
  <c r="P1039" i="1"/>
  <c r="Q995" i="1"/>
  <c r="Q1214" i="1"/>
  <c r="L802" i="1"/>
  <c r="P1051" i="1"/>
  <c r="P1041" i="1"/>
  <c r="L1168" i="1"/>
  <c r="Q1203" i="1"/>
  <c r="Q1144" i="1"/>
  <c r="Q1180" i="1"/>
  <c r="Q782" i="1"/>
  <c r="Q770" i="1"/>
  <c r="Q1274" i="1"/>
  <c r="Q1132" i="1"/>
  <c r="Q1201" i="1"/>
  <c r="O1084" i="1"/>
  <c r="Q996" i="1"/>
  <c r="Q823" i="1"/>
  <c r="P1052" i="1"/>
  <c r="L1045" i="1"/>
  <c r="Q988" i="1"/>
  <c r="L1042" i="1"/>
  <c r="O1077" i="1"/>
  <c r="Q1042" i="1"/>
  <c r="Q1053" i="1"/>
  <c r="Q1160" i="1"/>
  <c r="Q1192" i="1"/>
  <c r="Q961" i="1"/>
  <c r="Q956" i="1"/>
  <c r="Q965" i="1"/>
  <c r="Q958" i="1"/>
  <c r="Q959" i="1"/>
  <c r="Q962" i="1"/>
  <c r="Q954" i="1"/>
  <c r="Q955" i="1"/>
  <c r="Q957" i="1"/>
  <c r="Q952" i="1"/>
  <c r="Q997" i="1"/>
  <c r="Q1191" i="1"/>
  <c r="P1045" i="1"/>
  <c r="L1043" i="1"/>
  <c r="L206" i="3" l="1"/>
  <c r="F147" i="1"/>
  <c r="I777" i="1"/>
  <c r="I250" i="3" s="1"/>
  <c r="I666" i="1"/>
  <c r="I139" i="3" s="1"/>
  <c r="H153" i="1"/>
  <c r="O406" i="1"/>
  <c r="I655" i="1"/>
  <c r="I128" i="3" s="1"/>
  <c r="L1065" i="3"/>
  <c r="N135" i="1"/>
  <c r="N1021" i="3" s="1"/>
  <c r="I670" i="1"/>
  <c r="I143" i="3" s="1"/>
  <c r="I824" i="1"/>
  <c r="D824" i="1" s="1"/>
  <c r="D297" i="3" s="1"/>
  <c r="L1044" i="3"/>
  <c r="Q682" i="1"/>
  <c r="Q137" i="1" s="1"/>
  <c r="Q386" i="1" s="1"/>
  <c r="P397" i="3"/>
  <c r="P409" i="1"/>
  <c r="P1285" i="3" s="1"/>
  <c r="I697" i="1"/>
  <c r="D697" i="1" s="1"/>
  <c r="D170" i="3" s="1"/>
  <c r="F206" i="3"/>
  <c r="I1082" i="1"/>
  <c r="I555" i="3" s="1"/>
  <c r="I1320" i="1"/>
  <c r="D1320" i="1" s="1"/>
  <c r="P441" i="1"/>
  <c r="P1316" i="3" s="1"/>
  <c r="P417" i="1"/>
  <c r="N417" i="1" s="1"/>
  <c r="N1292" i="3" s="1"/>
  <c r="N123" i="1"/>
  <c r="N1009" i="3" s="1"/>
  <c r="L128" i="1"/>
  <c r="L377" i="1" s="1"/>
  <c r="H114" i="3"/>
  <c r="N557" i="1"/>
  <c r="N31" i="3" s="1"/>
  <c r="I1067" i="1"/>
  <c r="I540" i="3" s="1"/>
  <c r="P1073" i="3"/>
  <c r="D1316" i="1"/>
  <c r="X1316" i="1" s="1"/>
  <c r="I720" i="1"/>
  <c r="I193" i="3" s="1"/>
  <c r="P442" i="1"/>
  <c r="P1317" i="3" s="1"/>
  <c r="L133" i="3"/>
  <c r="F397" i="3"/>
  <c r="L1019" i="3"/>
  <c r="I707" i="1"/>
  <c r="D707" i="1" s="1"/>
  <c r="D180" i="3" s="1"/>
  <c r="I654" i="1"/>
  <c r="I127" i="3" s="1"/>
  <c r="I653" i="1"/>
  <c r="I126" i="3" s="1"/>
  <c r="I632" i="1"/>
  <c r="I105" i="3" s="1"/>
  <c r="I1134" i="1"/>
  <c r="I605" i="3" s="1"/>
  <c r="I690" i="1"/>
  <c r="I163" i="3" s="1"/>
  <c r="I732" i="1"/>
  <c r="D732" i="1" s="1"/>
  <c r="U732" i="1" s="1"/>
  <c r="H397" i="3"/>
  <c r="L127" i="1"/>
  <c r="L1013" i="3" s="1"/>
  <c r="I932" i="1"/>
  <c r="I405" i="3" s="1"/>
  <c r="H154" i="1"/>
  <c r="H1040" i="3" s="1"/>
  <c r="I1319" i="1"/>
  <c r="I786" i="3" s="1"/>
  <c r="I1155" i="1"/>
  <c r="D1155" i="1" s="1"/>
  <c r="D626" i="3" s="1"/>
  <c r="I725" i="1"/>
  <c r="D725" i="1" s="1"/>
  <c r="H1104" i="3"/>
  <c r="I728" i="1"/>
  <c r="I201" i="3" s="1"/>
  <c r="I613" i="1"/>
  <c r="I86" i="3" s="1"/>
  <c r="L643" i="1"/>
  <c r="L116" i="3" s="1"/>
  <c r="Q147" i="1"/>
  <c r="Q396" i="1" s="1"/>
  <c r="N615" i="1"/>
  <c r="N88" i="3" s="1"/>
  <c r="O1078" i="3"/>
  <c r="O442" i="1"/>
  <c r="H161" i="1"/>
  <c r="H1047" i="3" s="1"/>
  <c r="L114" i="3"/>
  <c r="I878" i="1"/>
  <c r="I351" i="3" s="1"/>
  <c r="I610" i="1"/>
  <c r="I83" i="3" s="1"/>
  <c r="L682" i="1"/>
  <c r="L138" i="1" s="1"/>
  <c r="P440" i="1"/>
  <c r="P1315" i="3" s="1"/>
  <c r="P154" i="1"/>
  <c r="P1040" i="3" s="1"/>
  <c r="H220" i="1"/>
  <c r="H1106" i="3" s="1"/>
  <c r="O144" i="3"/>
  <c r="P114" i="3"/>
  <c r="N628" i="1"/>
  <c r="N101" i="3" s="1"/>
  <c r="O397" i="1"/>
  <c r="N397" i="1" s="1"/>
  <c r="N1273" i="3" s="1"/>
  <c r="I870" i="1"/>
  <c r="I343" i="3" s="1"/>
  <c r="N150" i="3"/>
  <c r="N830" i="1"/>
  <c r="N303" i="3" s="1"/>
  <c r="N564" i="1"/>
  <c r="N38" i="3" s="1"/>
  <c r="N144" i="1"/>
  <c r="N1030" i="3" s="1"/>
  <c r="O397" i="3"/>
  <c r="I634" i="1"/>
  <c r="I107" i="3" s="1"/>
  <c r="H735" i="1"/>
  <c r="H208" i="3" s="1"/>
  <c r="I717" i="1"/>
  <c r="I190" i="3" s="1"/>
  <c r="P174" i="1"/>
  <c r="P1060" i="3" s="1"/>
  <c r="I696" i="1"/>
  <c r="D696" i="1" s="1"/>
  <c r="D169" i="3" s="1"/>
  <c r="I1083" i="1"/>
  <c r="I556" i="3" s="1"/>
  <c r="I796" i="1"/>
  <c r="I269" i="3" s="1"/>
  <c r="I638" i="1"/>
  <c r="D638" i="1" s="1"/>
  <c r="D111" i="3" s="1"/>
  <c r="I749" i="1"/>
  <c r="I222" i="3" s="1"/>
  <c r="P406" i="1"/>
  <c r="N406" i="1" s="1"/>
  <c r="N1282" i="3" s="1"/>
  <c r="I726" i="1"/>
  <c r="I199" i="3" s="1"/>
  <c r="I935" i="1"/>
  <c r="I408" i="3" s="1"/>
  <c r="I718" i="1"/>
  <c r="D718" i="1" s="1"/>
  <c r="D191" i="3" s="1"/>
  <c r="I729" i="1"/>
  <c r="I202" i="3" s="1"/>
  <c r="H133" i="3"/>
  <c r="I828" i="1"/>
  <c r="D828" i="1" s="1"/>
  <c r="D301" i="3" s="1"/>
  <c r="P1034" i="3"/>
  <c r="I676" i="1"/>
  <c r="D676" i="1" s="1"/>
  <c r="D149" i="3" s="1"/>
  <c r="O128" i="1"/>
  <c r="O377" i="1" s="1"/>
  <c r="N680" i="1"/>
  <c r="N153" i="3" s="1"/>
  <c r="F155" i="1"/>
  <c r="F1041" i="3" s="1"/>
  <c r="N541" i="3"/>
  <c r="H946" i="1"/>
  <c r="H575" i="1" s="1"/>
  <c r="H49" i="3" s="1"/>
  <c r="N187" i="1"/>
  <c r="N1073" i="3" s="1"/>
  <c r="I675" i="1"/>
  <c r="D675" i="1" s="1"/>
  <c r="D148" i="3" s="1"/>
  <c r="P146" i="1"/>
  <c r="P1032" i="3" s="1"/>
  <c r="I1140" i="1"/>
  <c r="I611" i="3" s="1"/>
  <c r="I1268" i="1"/>
  <c r="I738" i="3" s="1"/>
  <c r="I923" i="1"/>
  <c r="D923" i="1" s="1"/>
  <c r="D396" i="3" s="1"/>
  <c r="I1154" i="1"/>
  <c r="I625" i="3" s="1"/>
  <c r="Q131" i="1"/>
  <c r="Q380" i="1" s="1"/>
  <c r="O407" i="1"/>
  <c r="N407" i="1" s="1"/>
  <c r="N1283" i="3" s="1"/>
  <c r="O1073" i="3"/>
  <c r="P412" i="1"/>
  <c r="N412" i="1" s="1"/>
  <c r="N1288" i="3" s="1"/>
  <c r="N641" i="1"/>
  <c r="N114" i="3" s="1"/>
  <c r="P127" i="1"/>
  <c r="P1013" i="3" s="1"/>
  <c r="N81" i="3"/>
  <c r="H176" i="1"/>
  <c r="H425" i="1" s="1"/>
  <c r="I649" i="1"/>
  <c r="I122" i="3" s="1"/>
  <c r="I778" i="1"/>
  <c r="D778" i="1" s="1"/>
  <c r="D251" i="3" s="1"/>
  <c r="L409" i="1"/>
  <c r="L1285" i="3" s="1"/>
  <c r="I1076" i="1"/>
  <c r="I549" i="3" s="1"/>
  <c r="I784" i="1"/>
  <c r="I257" i="3" s="1"/>
  <c r="I611" i="1"/>
  <c r="D611" i="1" s="1"/>
  <c r="D84" i="3" s="1"/>
  <c r="I639" i="1"/>
  <c r="I112" i="3" s="1"/>
  <c r="O1077" i="3"/>
  <c r="H146" i="1"/>
  <c r="H1032" i="3" s="1"/>
  <c r="O1049" i="3"/>
  <c r="H1046" i="3"/>
  <c r="I1284" i="1"/>
  <c r="I754" i="3" s="1"/>
  <c r="I636" i="1"/>
  <c r="D636" i="1" s="1"/>
  <c r="D109" i="3" s="1"/>
  <c r="I922" i="1"/>
  <c r="I395" i="3" s="1"/>
  <c r="O114" i="3"/>
  <c r="I1146" i="1"/>
  <c r="I617" i="3" s="1"/>
  <c r="I731" i="1"/>
  <c r="I204" i="3" s="1"/>
  <c r="L1043" i="3"/>
  <c r="P153" i="1"/>
  <c r="P1039" i="3" s="1"/>
  <c r="I625" i="1"/>
  <c r="I98" i="3" s="1"/>
  <c r="I817" i="1"/>
  <c r="I290" i="3" s="1"/>
  <c r="I659" i="1"/>
  <c r="I132" i="3" s="1"/>
  <c r="O1054" i="3"/>
  <c r="P1042" i="3"/>
  <c r="I792" i="1"/>
  <c r="I265" i="3" s="1"/>
  <c r="I879" i="1"/>
  <c r="I352" i="3" s="1"/>
  <c r="P147" i="1"/>
  <c r="P1033" i="3" s="1"/>
  <c r="N160" i="1"/>
  <c r="N1046" i="3" s="1"/>
  <c r="O195" i="1"/>
  <c r="L161" i="1"/>
  <c r="L1047" i="3" s="1"/>
  <c r="I757" i="1"/>
  <c r="I230" i="3" s="1"/>
  <c r="I633" i="1"/>
  <c r="I106" i="3" s="1"/>
  <c r="N126" i="1"/>
  <c r="N1012" i="3" s="1"/>
  <c r="N698" i="1"/>
  <c r="N171" i="3" s="1"/>
  <c r="N565" i="1"/>
  <c r="N39" i="3" s="1"/>
  <c r="D1275" i="1"/>
  <c r="D745" i="3" s="1"/>
  <c r="I600" i="1"/>
  <c r="I73" i="3" s="1"/>
  <c r="N190" i="1"/>
  <c r="N1076" i="3" s="1"/>
  <c r="P682" i="1"/>
  <c r="F682" i="1"/>
  <c r="F138" i="1" s="1"/>
  <c r="O1074" i="3"/>
  <c r="I882" i="1"/>
  <c r="D882" i="1" s="1"/>
  <c r="D355" i="3" s="1"/>
  <c r="F643" i="1"/>
  <c r="F116" i="3" s="1"/>
  <c r="I657" i="1"/>
  <c r="D657" i="1" s="1"/>
  <c r="D130" i="3" s="1"/>
  <c r="I1069" i="1"/>
  <c r="D1069" i="1" s="1"/>
  <c r="D542" i="3" s="1"/>
  <c r="F131" i="1"/>
  <c r="F1017" i="3" s="1"/>
  <c r="O409" i="1"/>
  <c r="I651" i="1"/>
  <c r="I124" i="3" s="1"/>
  <c r="I934" i="1"/>
  <c r="I407" i="3" s="1"/>
  <c r="F88" i="3"/>
  <c r="N188" i="1"/>
  <c r="N1074" i="3" s="1"/>
  <c r="I771" i="1"/>
  <c r="D771" i="1" s="1"/>
  <c r="D244" i="3" s="1"/>
  <c r="N716" i="1"/>
  <c r="N189" i="3" s="1"/>
  <c r="N163" i="1"/>
  <c r="N1049" i="3" s="1"/>
  <c r="P144" i="3"/>
  <c r="I899" i="1"/>
  <c r="D899" i="1" s="1"/>
  <c r="D372" i="3" s="1"/>
  <c r="I1226" i="1"/>
  <c r="I697" i="3" s="1"/>
  <c r="I710" i="1"/>
  <c r="D710" i="1" s="1"/>
  <c r="D183" i="3" s="1"/>
  <c r="I825" i="1"/>
  <c r="I298" i="3" s="1"/>
  <c r="I612" i="1"/>
  <c r="I85" i="3" s="1"/>
  <c r="N671" i="1"/>
  <c r="N144" i="3" s="1"/>
  <c r="I859" i="1"/>
  <c r="D859" i="1" s="1"/>
  <c r="D332" i="3" s="1"/>
  <c r="H428" i="1"/>
  <c r="H1303" i="3" s="1"/>
  <c r="I1232" i="1"/>
  <c r="D1232" i="1" s="1"/>
  <c r="D703" i="3" s="1"/>
  <c r="F129" i="1"/>
  <c r="F1015" i="3" s="1"/>
  <c r="P128" i="1"/>
  <c r="I669" i="1"/>
  <c r="I142" i="3" s="1"/>
  <c r="I933" i="1"/>
  <c r="I406" i="3" s="1"/>
  <c r="H643" i="1"/>
  <c r="H116" i="3" s="1"/>
  <c r="I1276" i="1"/>
  <c r="D1276" i="1" s="1"/>
  <c r="D746" i="3" s="1"/>
  <c r="I656" i="1"/>
  <c r="I129" i="3" s="1"/>
  <c r="F177" i="3"/>
  <c r="H382" i="1"/>
  <c r="H1258" i="3" s="1"/>
  <c r="L131" i="1"/>
  <c r="L380" i="1" s="1"/>
  <c r="I942" i="1"/>
  <c r="I415" i="3" s="1"/>
  <c r="I694" i="1"/>
  <c r="D694" i="1" s="1"/>
  <c r="D167" i="3" s="1"/>
  <c r="P195" i="1"/>
  <c r="P1081" i="3" s="1"/>
  <c r="I689" i="1"/>
  <c r="I162" i="3" s="1"/>
  <c r="I674" i="1"/>
  <c r="I147" i="3" s="1"/>
  <c r="I939" i="1"/>
  <c r="I412" i="3" s="1"/>
  <c r="I724" i="1"/>
  <c r="I197" i="3" s="1"/>
  <c r="N1033" i="1"/>
  <c r="N506" i="3" s="1"/>
  <c r="N733" i="1"/>
  <c r="N206" i="3" s="1"/>
  <c r="H682" i="1"/>
  <c r="H138" i="1" s="1"/>
  <c r="Q129" i="1"/>
  <c r="Q378" i="1" s="1"/>
  <c r="L154" i="1"/>
  <c r="L1040" i="3" s="1"/>
  <c r="P382" i="1"/>
  <c r="P1258" i="3" s="1"/>
  <c r="I607" i="1"/>
  <c r="I80" i="3" s="1"/>
  <c r="O131" i="1"/>
  <c r="I1139" i="1"/>
  <c r="D1139" i="1" s="1"/>
  <c r="D610" i="3" s="1"/>
  <c r="O133" i="3"/>
  <c r="N158" i="1"/>
  <c r="I158" i="1" s="1"/>
  <c r="I989" i="1"/>
  <c r="I462" i="3" s="1"/>
  <c r="L194" i="3"/>
  <c r="I708" i="1"/>
  <c r="I181" i="3" s="1"/>
  <c r="I712" i="1"/>
  <c r="I185" i="3" s="1"/>
  <c r="O1012" i="3"/>
  <c r="Q127" i="1"/>
  <c r="Q376" i="1" s="1"/>
  <c r="I1114" i="1"/>
  <c r="I586" i="3" s="1"/>
  <c r="L88" i="3"/>
  <c r="N162" i="1"/>
  <c r="N1048" i="3" s="1"/>
  <c r="I701" i="1"/>
  <c r="D701" i="1" s="1"/>
  <c r="D174" i="3" s="1"/>
  <c r="N148" i="1"/>
  <c r="N1034" i="3" s="1"/>
  <c r="F735" i="1"/>
  <c r="F213" i="1" s="1"/>
  <c r="I850" i="1"/>
  <c r="I323" i="3" s="1"/>
  <c r="I714" i="1"/>
  <c r="I187" i="3" s="1"/>
  <c r="I1317" i="1"/>
  <c r="D1317" i="1" s="1"/>
  <c r="X1317" i="1" s="1"/>
  <c r="I1009" i="1"/>
  <c r="I482" i="3" s="1"/>
  <c r="I627" i="1"/>
  <c r="I100" i="3" s="1"/>
  <c r="I871" i="1"/>
  <c r="I344" i="3" s="1"/>
  <c r="I953" i="1"/>
  <c r="I426" i="3" s="1"/>
  <c r="P1076" i="3"/>
  <c r="N125" i="1"/>
  <c r="N1011" i="3" s="1"/>
  <c r="I937" i="1"/>
  <c r="D937" i="1" s="1"/>
  <c r="D410" i="3" s="1"/>
  <c r="N660" i="1"/>
  <c r="N133" i="3" s="1"/>
  <c r="O1019" i="3"/>
  <c r="N1322" i="1"/>
  <c r="N789" i="3" s="1"/>
  <c r="N556" i="1"/>
  <c r="N30" i="3" s="1"/>
  <c r="O1080" i="3"/>
  <c r="I691" i="1"/>
  <c r="I164" i="3" s="1"/>
  <c r="H177" i="3"/>
  <c r="F194" i="3"/>
  <c r="E53" i="29"/>
  <c r="N159" i="1"/>
  <c r="N1045" i="3" s="1"/>
  <c r="O682" i="1"/>
  <c r="O137" i="1" s="1"/>
  <c r="O382" i="1"/>
  <c r="H128" i="1"/>
  <c r="H1014" i="3" s="1"/>
  <c r="H174" i="1"/>
  <c r="H423" i="1" s="1"/>
  <c r="H554" i="1"/>
  <c r="H28" i="3" s="1"/>
  <c r="I622" i="1"/>
  <c r="I95" i="3" s="1"/>
  <c r="F127" i="1"/>
  <c r="F1013" i="3" s="1"/>
  <c r="P177" i="3"/>
  <c r="I900" i="1"/>
  <c r="I373" i="3" s="1"/>
  <c r="P206" i="3"/>
  <c r="N704" i="1"/>
  <c r="N177" i="3" s="1"/>
  <c r="O176" i="1"/>
  <c r="O1062" i="3" s="1"/>
  <c r="N189" i="1"/>
  <c r="N1075" i="3" s="1"/>
  <c r="P438" i="1"/>
  <c r="P1313" i="3" s="1"/>
  <c r="I758" i="1"/>
  <c r="I231" i="3" s="1"/>
  <c r="N711" i="3"/>
  <c r="N721" i="1"/>
  <c r="N194" i="3" s="1"/>
  <c r="N141" i="3"/>
  <c r="H175" i="1"/>
  <c r="H1061" i="3" s="1"/>
  <c r="I1318" i="1"/>
  <c r="I785" i="3" s="1"/>
  <c r="I727" i="1"/>
  <c r="D727" i="1" s="1"/>
  <c r="I635" i="1"/>
  <c r="I108" i="3" s="1"/>
  <c r="I829" i="1"/>
  <c r="I302" i="3" s="1"/>
  <c r="L101" i="3"/>
  <c r="O1076" i="3"/>
  <c r="F220" i="1"/>
  <c r="F1106" i="3" s="1"/>
  <c r="O146" i="1"/>
  <c r="O1032" i="3" s="1"/>
  <c r="N563" i="1"/>
  <c r="N37" i="3" s="1"/>
  <c r="I620" i="1"/>
  <c r="I93" i="3" s="1"/>
  <c r="H147" i="1"/>
  <c r="H1033" i="3" s="1"/>
  <c r="F133" i="3"/>
  <c r="I715" i="1"/>
  <c r="I188" i="3" s="1"/>
  <c r="P175" i="1"/>
  <c r="N175" i="1" s="1"/>
  <c r="N1061" i="3" s="1"/>
  <c r="I981" i="1"/>
  <c r="D981" i="1" s="1"/>
  <c r="P176" i="1"/>
  <c r="P1062" i="3" s="1"/>
  <c r="O174" i="1"/>
  <c r="O1060" i="3" s="1"/>
  <c r="I664" i="1"/>
  <c r="I137" i="3" s="1"/>
  <c r="O194" i="3"/>
  <c r="N191" i="1"/>
  <c r="N1077" i="3" s="1"/>
  <c r="P1080" i="3"/>
  <c r="I637" i="1"/>
  <c r="I110" i="3" s="1"/>
  <c r="N157" i="1"/>
  <c r="N1043" i="3" s="1"/>
  <c r="L735" i="1"/>
  <c r="L213" i="1" s="1"/>
  <c r="O161" i="1"/>
  <c r="O1047" i="3" s="1"/>
  <c r="N194" i="1"/>
  <c r="N1080" i="3" s="1"/>
  <c r="O735" i="1"/>
  <c r="O130" i="1" s="1"/>
  <c r="N1007" i="1"/>
  <c r="N480" i="3" s="1"/>
  <c r="H129" i="1"/>
  <c r="H1015" i="3" s="1"/>
  <c r="O129" i="1"/>
  <c r="O378" i="1" s="1"/>
  <c r="P643" i="1"/>
  <c r="P116" i="3" s="1"/>
  <c r="L129" i="1"/>
  <c r="L1015" i="3" s="1"/>
  <c r="O643" i="1"/>
  <c r="O136" i="1" s="1"/>
  <c r="Q161" i="1"/>
  <c r="Q410" i="1" s="1"/>
  <c r="Q735" i="1"/>
  <c r="Q130" i="1" s="1"/>
  <c r="Q379" i="1" s="1"/>
  <c r="N1373" i="1"/>
  <c r="N840" i="3" s="1"/>
  <c r="P129" i="1"/>
  <c r="P378" i="1" s="1"/>
  <c r="P1254" i="3" s="1"/>
  <c r="P161" i="1"/>
  <c r="P410" i="1" s="1"/>
  <c r="Q960" i="1"/>
  <c r="Q181" i="1"/>
  <c r="Q430" i="1" s="1"/>
  <c r="Q182" i="1"/>
  <c r="Q431" i="1" s="1"/>
  <c r="Q966" i="1"/>
  <c r="Q1205" i="1"/>
  <c r="Q1135" i="1"/>
  <c r="Q773" i="1"/>
  <c r="Q785" i="1"/>
  <c r="Q1147" i="1"/>
  <c r="Q205" i="1"/>
  <c r="Q454" i="1" s="1"/>
  <c r="Q818" i="1"/>
  <c r="Q142" i="1"/>
  <c r="Q391" i="1" s="1"/>
  <c r="Q872" i="1"/>
  <c r="Q1182" i="1"/>
  <c r="Q1141" i="1"/>
  <c r="Q779" i="1"/>
  <c r="Q203" i="1"/>
  <c r="Q452" i="1" s="1"/>
  <c r="Q1026" i="1"/>
  <c r="Q1035" i="1" s="1"/>
  <c r="Q184" i="1"/>
  <c r="Q433" i="1" s="1"/>
  <c r="Q183" i="1"/>
  <c r="Q432" i="1" s="1"/>
  <c r="Q977" i="1"/>
  <c r="Q983" i="1"/>
  <c r="Q201" i="1"/>
  <c r="Q450" i="1" s="1"/>
  <c r="N553" i="1"/>
  <c r="N27" i="3" s="1"/>
  <c r="I667" i="1"/>
  <c r="I140" i="3" s="1"/>
  <c r="I783" i="1"/>
  <c r="I256" i="3" s="1"/>
  <c r="N192" i="1"/>
  <c r="N1078" i="3" s="1"/>
  <c r="O1079" i="3"/>
  <c r="N924" i="1"/>
  <c r="N397" i="3" s="1"/>
  <c r="O154" i="1"/>
  <c r="O1040" i="3" s="1"/>
  <c r="Q643" i="1"/>
  <c r="Q136" i="1" s="1"/>
  <c r="Q385" i="1" s="1"/>
  <c r="O1075" i="3"/>
  <c r="I816" i="1"/>
  <c r="D816" i="1" s="1"/>
  <c r="D289" i="3" s="1"/>
  <c r="I619" i="1"/>
  <c r="I92" i="3" s="1"/>
  <c r="I703" i="1"/>
  <c r="D703" i="1" s="1"/>
  <c r="D176" i="3" s="1"/>
  <c r="N168" i="1"/>
  <c r="N1054" i="3" s="1"/>
  <c r="L147" i="1"/>
  <c r="L1033" i="3" s="1"/>
  <c r="F154" i="1"/>
  <c r="F1040" i="3" s="1"/>
  <c r="N156" i="1"/>
  <c r="N1042" i="3" s="1"/>
  <c r="I941" i="1"/>
  <c r="I414" i="3" s="1"/>
  <c r="I609" i="1"/>
  <c r="I82" i="3" s="1"/>
  <c r="Q169" i="1"/>
  <c r="Q418" i="1" s="1"/>
  <c r="O153" i="1"/>
  <c r="O1039" i="3" s="1"/>
  <c r="N583" i="1"/>
  <c r="N57" i="3" s="1"/>
  <c r="P1044" i="3"/>
  <c r="N783" i="3"/>
  <c r="I1075" i="1"/>
  <c r="D1075" i="1" s="1"/>
  <c r="I1118" i="1"/>
  <c r="I590" i="3" s="1"/>
  <c r="I631" i="1"/>
  <c r="I104" i="3" s="1"/>
  <c r="N175" i="3"/>
  <c r="N182" i="3"/>
  <c r="I624" i="1"/>
  <c r="D624" i="1" s="1"/>
  <c r="D97" i="3" s="1"/>
  <c r="F128" i="1"/>
  <c r="F377" i="1" s="1"/>
  <c r="N179" i="1"/>
  <c r="N1065" i="3" s="1"/>
  <c r="F161" i="1"/>
  <c r="F1047" i="3" s="1"/>
  <c r="I1005" i="1"/>
  <c r="D1005" i="1" s="1"/>
  <c r="D478" i="3" s="1"/>
  <c r="I1006" i="1"/>
  <c r="D1006" i="1" s="1"/>
  <c r="D479" i="3" s="1"/>
  <c r="I940" i="1"/>
  <c r="I413" i="3" s="1"/>
  <c r="I658" i="1"/>
  <c r="I131" i="3" s="1"/>
  <c r="I665" i="1"/>
  <c r="I138" i="3" s="1"/>
  <c r="Q946" i="1"/>
  <c r="Q575" i="1" s="1"/>
  <c r="I756" i="1"/>
  <c r="D756" i="1" s="1"/>
  <c r="D229" i="3" s="1"/>
  <c r="I711" i="1"/>
  <c r="D711" i="1" s="1"/>
  <c r="D184" i="3" s="1"/>
  <c r="I606" i="1"/>
  <c r="I79" i="3" s="1"/>
  <c r="I614" i="1"/>
  <c r="I87" i="3" s="1"/>
  <c r="I1287" i="1"/>
  <c r="I757" i="3" s="1"/>
  <c r="I894" i="1"/>
  <c r="D894" i="1" s="1"/>
  <c r="D367" i="3" s="1"/>
  <c r="I663" i="1"/>
  <c r="I136" i="3" s="1"/>
  <c r="I1133" i="1"/>
  <c r="I604" i="3" s="1"/>
  <c r="I688" i="1"/>
  <c r="I161" i="3" s="1"/>
  <c r="L220" i="1"/>
  <c r="I220" i="1" s="1"/>
  <c r="I623" i="1"/>
  <c r="D623" i="1" s="1"/>
  <c r="D96" i="3" s="1"/>
  <c r="I693" i="1"/>
  <c r="D693" i="1" s="1"/>
  <c r="D166" i="3" s="1"/>
  <c r="I652" i="1"/>
  <c r="D652" i="1" s="1"/>
  <c r="D125" i="3" s="1"/>
  <c r="I938" i="1"/>
  <c r="I411" i="3" s="1"/>
  <c r="P946" i="1"/>
  <c r="P575" i="1" s="1"/>
  <c r="P49" i="3" s="1"/>
  <c r="I857" i="1"/>
  <c r="I330" i="3" s="1"/>
  <c r="I626" i="1"/>
  <c r="D626" i="1" s="1"/>
  <c r="D99" i="3" s="1"/>
  <c r="I621" i="1"/>
  <c r="I94" i="3" s="1"/>
  <c r="I640" i="1"/>
  <c r="I113" i="3" s="1"/>
  <c r="I931" i="1"/>
  <c r="I404" i="3" s="1"/>
  <c r="I1117" i="1"/>
  <c r="I589" i="3" s="1"/>
  <c r="I901" i="1"/>
  <c r="I374" i="3" s="1"/>
  <c r="I618" i="1"/>
  <c r="D618" i="1" s="1"/>
  <c r="D91" i="3" s="1"/>
  <c r="I964" i="1"/>
  <c r="I437" i="3" s="1"/>
  <c r="I1225" i="1"/>
  <c r="I696" i="3" s="1"/>
  <c r="I700" i="1"/>
  <c r="I173" i="3" s="1"/>
  <c r="I730" i="1"/>
  <c r="I203" i="3" s="1"/>
  <c r="I963" i="1"/>
  <c r="I436" i="3" s="1"/>
  <c r="I876" i="1"/>
  <c r="I650" i="1"/>
  <c r="D719" i="1"/>
  <c r="D192" i="3" s="1"/>
  <c r="I266" i="3"/>
  <c r="D699" i="1"/>
  <c r="D172" i="3" s="1"/>
  <c r="D726" i="1"/>
  <c r="D199" i="3" s="1"/>
  <c r="D1145" i="1"/>
  <c r="D616" i="3" s="1"/>
  <c r="D692" i="1"/>
  <c r="D165" i="3" s="1"/>
  <c r="D1273" i="1"/>
  <c r="D743" i="3" s="1"/>
  <c r="D777" i="1"/>
  <c r="D250" i="3" s="1"/>
  <c r="I135" i="1"/>
  <c r="I1021" i="3" s="1"/>
  <c r="I311" i="3"/>
  <c r="D838" i="1"/>
  <c r="D311" i="3" s="1"/>
  <c r="I245" i="3"/>
  <c r="D666" i="1"/>
  <c r="D139" i="3" s="1"/>
  <c r="I944" i="1"/>
  <c r="I417" i="3" s="1"/>
  <c r="L528" i="3"/>
  <c r="L516" i="3"/>
  <c r="L518" i="3"/>
  <c r="L639" i="3"/>
  <c r="L275" i="3"/>
  <c r="O550" i="3"/>
  <c r="O203" i="1"/>
  <c r="P528" i="3"/>
  <c r="P516" i="3"/>
  <c r="P518" i="3"/>
  <c r="P514" i="3"/>
  <c r="P525" i="3"/>
  <c r="L526" i="3"/>
  <c r="L515" i="3"/>
  <c r="Q143" i="1"/>
  <c r="Q392" i="1" s="1"/>
  <c r="Q826" i="1"/>
  <c r="Q880" i="1"/>
  <c r="Q145" i="1"/>
  <c r="Q394" i="1" s="1"/>
  <c r="Q1162" i="1"/>
  <c r="Q1194" i="1"/>
  <c r="Q998" i="1"/>
  <c r="Q993" i="1"/>
  <c r="Q186" i="1"/>
  <c r="Q435" i="1" s="1"/>
  <c r="Q185" i="1"/>
  <c r="Q434" i="1" s="1"/>
  <c r="O557" i="3"/>
  <c r="O205" i="1"/>
  <c r="P524" i="3"/>
  <c r="P512" i="3"/>
  <c r="P513" i="3"/>
  <c r="P523" i="3"/>
  <c r="O444" i="1"/>
  <c r="F1061" i="3"/>
  <c r="F424" i="1"/>
  <c r="D1068" i="1"/>
  <c r="D541" i="3" s="1"/>
  <c r="I541" i="3"/>
  <c r="O1316" i="3"/>
  <c r="O1311" i="3"/>
  <c r="N436" i="1"/>
  <c r="N1311" i="3" s="1"/>
  <c r="O1318" i="3"/>
  <c r="N443" i="1"/>
  <c r="N1318" i="3" s="1"/>
  <c r="H213" i="1"/>
  <c r="L1283" i="3"/>
  <c r="F1032" i="3"/>
  <c r="O1312" i="3"/>
  <c r="N437" i="1"/>
  <c r="N1312" i="3" s="1"/>
  <c r="L1258" i="3"/>
  <c r="I703" i="3"/>
  <c r="I711" i="3"/>
  <c r="D1241" i="1"/>
  <c r="D711" i="3" s="1"/>
  <c r="I626" i="3"/>
  <c r="O1315" i="3"/>
  <c r="O1282" i="3"/>
  <c r="O1288" i="3"/>
  <c r="D678" i="1"/>
  <c r="D151" i="3" s="1"/>
  <c r="I151" i="3"/>
  <c r="D668" i="1"/>
  <c r="D141" i="3" s="1"/>
  <c r="I141" i="3"/>
  <c r="H1041" i="3"/>
  <c r="D679" i="1"/>
  <c r="D152" i="3" s="1"/>
  <c r="I152" i="3"/>
  <c r="O1013" i="3"/>
  <c r="D1082" i="1"/>
  <c r="P1283" i="3"/>
  <c r="O1317" i="3"/>
  <c r="L155" i="3"/>
  <c r="I81" i="3"/>
  <c r="D608" i="1"/>
  <c r="D81" i="3" s="1"/>
  <c r="O171" i="1"/>
  <c r="O169" i="1"/>
  <c r="O401" i="3"/>
  <c r="N928" i="1"/>
  <c r="N401" i="3" s="1"/>
  <c r="L419" i="3"/>
  <c r="L575" i="1"/>
  <c r="L171" i="1"/>
  <c r="L173" i="1"/>
  <c r="L401" i="3"/>
  <c r="L424" i="1"/>
  <c r="L1061" i="3"/>
  <c r="F1039" i="3"/>
  <c r="I175" i="3"/>
  <c r="D702" i="1"/>
  <c r="D175" i="3" s="1"/>
  <c r="L1060" i="3"/>
  <c r="L423" i="1"/>
  <c r="F173" i="1"/>
  <c r="F141" i="1"/>
  <c r="F171" i="1"/>
  <c r="F401" i="3"/>
  <c r="O1313" i="3"/>
  <c r="D709" i="1"/>
  <c r="D182" i="3" s="1"/>
  <c r="I182" i="3"/>
  <c r="O424" i="1"/>
  <c r="O1061" i="3"/>
  <c r="O946" i="1"/>
  <c r="H1013" i="3"/>
  <c r="D655" i="1"/>
  <c r="D128" i="3" s="1"/>
  <c r="P1273" i="3"/>
  <c r="D714" i="1"/>
  <c r="D187" i="3" s="1"/>
  <c r="L1039" i="3"/>
  <c r="L1282" i="3"/>
  <c r="H170" i="1"/>
  <c r="H171" i="1"/>
  <c r="H173" i="1"/>
  <c r="H401" i="3"/>
  <c r="O1314" i="3"/>
  <c r="N439" i="1"/>
  <c r="N1314" i="3" s="1"/>
  <c r="H380" i="1"/>
  <c r="H1017" i="3"/>
  <c r="I454" i="3"/>
  <c r="P130" i="1"/>
  <c r="P208" i="3"/>
  <c r="P213" i="1"/>
  <c r="I251" i="3"/>
  <c r="I133" i="1"/>
  <c r="I1019" i="3" s="1"/>
  <c r="I84" i="3"/>
  <c r="I150" i="3"/>
  <c r="D677" i="1"/>
  <c r="D150" i="3" s="1"/>
  <c r="I301" i="3"/>
  <c r="P401" i="3"/>
  <c r="P169" i="1"/>
  <c r="P171" i="1"/>
  <c r="L1062" i="3"/>
  <c r="H1039" i="3"/>
  <c r="O1041" i="3"/>
  <c r="N155" i="1"/>
  <c r="N1041" i="3" s="1"/>
  <c r="P155" i="3"/>
  <c r="L1032" i="3"/>
  <c r="F1060" i="3"/>
  <c r="P1017" i="3"/>
  <c r="L1041" i="3"/>
  <c r="F425" i="1"/>
  <c r="F1062" i="3"/>
  <c r="D670" i="1"/>
  <c r="D143" i="3" s="1"/>
  <c r="I169" i="3"/>
  <c r="O1292" i="3"/>
  <c r="F1033" i="3"/>
  <c r="D654" i="1"/>
  <c r="D127" i="3" s="1"/>
  <c r="P1281" i="3"/>
  <c r="O396" i="1"/>
  <c r="O1033" i="3"/>
  <c r="O1053" i="1"/>
  <c r="O1042" i="1"/>
  <c r="P1084" i="1"/>
  <c r="Q1153" i="1"/>
  <c r="Q1186" i="1"/>
  <c r="Q893" i="1"/>
  <c r="Q1240" i="1"/>
  <c r="Q791" i="1"/>
  <c r="Q1209" i="1"/>
  <c r="O1041" i="1"/>
  <c r="O1052" i="1"/>
  <c r="P1042" i="1"/>
  <c r="P1053" i="1"/>
  <c r="O1055" i="1"/>
  <c r="O1043" i="1"/>
  <c r="O1045" i="1"/>
  <c r="P1077" i="1"/>
  <c r="Q797" i="1"/>
  <c r="H802" i="1"/>
  <c r="H1168" i="1"/>
  <c r="P802" i="1"/>
  <c r="P1168" i="1"/>
  <c r="O1168" i="1"/>
  <c r="O802" i="1"/>
  <c r="Q1054" i="1"/>
  <c r="Q1416" i="1"/>
  <c r="Q1415" i="1"/>
  <c r="Q1414" i="1"/>
  <c r="Q1419" i="1"/>
  <c r="Q1413" i="1"/>
  <c r="Q1417" i="1"/>
  <c r="Q1418" i="1"/>
  <c r="F1160" i="1"/>
  <c r="L1160" i="1"/>
  <c r="L1159" i="1"/>
  <c r="O877" i="1"/>
  <c r="F1161" i="1"/>
  <c r="H1191" i="1"/>
  <c r="Q1049" i="1"/>
  <c r="Q1387" i="1"/>
  <c r="Q1378" i="1"/>
  <c r="Q1047" i="1"/>
  <c r="Q1046" i="1"/>
  <c r="Q1038" i="1"/>
  <c r="L877" i="1"/>
  <c r="O1153" i="1"/>
  <c r="Q1342" i="1"/>
  <c r="Q1341" i="1"/>
  <c r="Q1328" i="1"/>
  <c r="Q1343" i="1"/>
  <c r="Q1331" i="1"/>
  <c r="Q1329" i="1"/>
  <c r="Q1337" i="1"/>
  <c r="F1192" i="1"/>
  <c r="L1192" i="1"/>
  <c r="O1160" i="1"/>
  <c r="H797" i="1"/>
  <c r="O1017" i="1"/>
  <c r="Q1392" i="1"/>
  <c r="Q1380" i="1"/>
  <c r="Q1376" i="1"/>
  <c r="Q1391" i="1"/>
  <c r="Q1386" i="1"/>
  <c r="Q1382" i="1"/>
  <c r="Q1385" i="1"/>
  <c r="L797" i="1"/>
  <c r="O1209" i="1"/>
  <c r="O791" i="1"/>
  <c r="Q840" i="1"/>
  <c r="Q1332" i="1"/>
  <c r="Q1333" i="1"/>
  <c r="Q1345" i="1"/>
  <c r="Q891" i="1"/>
  <c r="Q1348" i="1"/>
  <c r="Q1325" i="1"/>
  <c r="Q1408" i="1"/>
  <c r="Q1404" i="1"/>
  <c r="Q1406" i="1"/>
  <c r="Q1407" i="1"/>
  <c r="Q1405" i="1"/>
  <c r="L1191" i="1"/>
  <c r="O1192" i="1"/>
  <c r="H1161" i="1"/>
  <c r="H1159" i="1"/>
  <c r="Q1383" i="1"/>
  <c r="Q1393" i="1"/>
  <c r="Q1389" i="1"/>
  <c r="Q1377" i="1"/>
  <c r="Q1384" i="1"/>
  <c r="Q1057" i="1"/>
  <c r="F823" i="1"/>
  <c r="O1186" i="1"/>
  <c r="O1240" i="1"/>
  <c r="Q1335" i="1"/>
  <c r="Q1336" i="1"/>
  <c r="Q1010" i="1"/>
  <c r="Q1327" i="1"/>
  <c r="Q1238" i="1"/>
  <c r="Q1326" i="1"/>
  <c r="Q1349" i="1"/>
  <c r="Q1269" i="1"/>
  <c r="L1214" i="1"/>
  <c r="O823" i="1"/>
  <c r="P1054" i="1"/>
  <c r="H1214" i="1"/>
  <c r="Q842" i="1"/>
  <c r="Q1379" i="1"/>
  <c r="Q1390" i="1"/>
  <c r="Q1388" i="1"/>
  <c r="Q1394" i="1"/>
  <c r="Q1381" i="1"/>
  <c r="F877" i="1"/>
  <c r="L823" i="1"/>
  <c r="O893" i="1"/>
  <c r="Q1338" i="1"/>
  <c r="Q1339" i="1"/>
  <c r="Q1330" i="1"/>
  <c r="Q1344" i="1"/>
  <c r="Q1334" i="1"/>
  <c r="Q1347" i="1"/>
  <c r="Q1350" i="1"/>
  <c r="Q1340" i="1"/>
  <c r="Q1346" i="1"/>
  <c r="I660" i="1" l="1"/>
  <c r="D708" i="1"/>
  <c r="D181" i="3" s="1"/>
  <c r="D1284" i="1"/>
  <c r="D754" i="3" s="1"/>
  <c r="D205" i="3"/>
  <c r="D934" i="1"/>
  <c r="D407" i="3" s="1"/>
  <c r="D783" i="3"/>
  <c r="N441" i="1"/>
  <c r="N1316" i="3" s="1"/>
  <c r="D653" i="1"/>
  <c r="D126" i="3" s="1"/>
  <c r="I111" i="3"/>
  <c r="I542" i="3"/>
  <c r="L137" i="1"/>
  <c r="I716" i="1"/>
  <c r="I189" i="3" s="1"/>
  <c r="I205" i="3"/>
  <c r="D659" i="1"/>
  <c r="D132" i="3" s="1"/>
  <c r="I170" i="3"/>
  <c r="L1014" i="3"/>
  <c r="D610" i="1"/>
  <c r="D83" i="3" s="1"/>
  <c r="D717" i="1"/>
  <c r="D190" i="3" s="1"/>
  <c r="F137" i="1"/>
  <c r="D649" i="1"/>
  <c r="D122" i="3" s="1"/>
  <c r="D932" i="1"/>
  <c r="D405" i="3" s="1"/>
  <c r="P444" i="1"/>
  <c r="P1319" i="3" s="1"/>
  <c r="L136" i="1"/>
  <c r="I628" i="1"/>
  <c r="I101" i="3" s="1"/>
  <c r="D724" i="1"/>
  <c r="D197" i="3" s="1"/>
  <c r="O515" i="3"/>
  <c r="O526" i="3"/>
  <c r="I167" i="3"/>
  <c r="D1134" i="1"/>
  <c r="D605" i="3" s="1"/>
  <c r="I125" i="3"/>
  <c r="D1067" i="1"/>
  <c r="D540" i="3" s="1"/>
  <c r="I149" i="3"/>
  <c r="P425" i="1"/>
  <c r="I180" i="3"/>
  <c r="D784" i="3"/>
  <c r="N382" i="1"/>
  <c r="N1258" i="3" s="1"/>
  <c r="D640" i="1"/>
  <c r="D113" i="3" s="1"/>
  <c r="I610" i="3"/>
  <c r="I396" i="3"/>
  <c r="I557" i="1"/>
  <c r="I31" i="3" s="1"/>
  <c r="D667" i="1"/>
  <c r="D140" i="3" s="1"/>
  <c r="D931" i="1"/>
  <c r="D404" i="3" s="1"/>
  <c r="D635" i="1"/>
  <c r="D108" i="3" s="1"/>
  <c r="D870" i="1"/>
  <c r="D343" i="3" s="1"/>
  <c r="I174" i="3"/>
  <c r="D622" i="1"/>
  <c r="D95" i="3" s="1"/>
  <c r="O1258" i="3"/>
  <c r="Q213" i="1"/>
  <c r="Q462" i="1" s="1"/>
  <c r="N735" i="1"/>
  <c r="N208" i="3" s="1"/>
  <c r="P136" i="1"/>
  <c r="N136" i="1" s="1"/>
  <c r="N1022" i="3" s="1"/>
  <c r="I556" i="1"/>
  <c r="D556" i="1" s="1"/>
  <c r="D30" i="3" s="1"/>
  <c r="I479" i="3"/>
  <c r="I410" i="3"/>
  <c r="I355" i="3"/>
  <c r="F1014" i="3"/>
  <c r="D1319" i="1"/>
  <c r="D786" i="3" s="1"/>
  <c r="N438" i="1"/>
  <c r="N1313" i="3" s="1"/>
  <c r="O213" i="1"/>
  <c r="O1099" i="3" s="1"/>
  <c r="P396" i="1"/>
  <c r="P1272" i="3" s="1"/>
  <c r="D964" i="1"/>
  <c r="X964" i="1" s="1"/>
  <c r="AC964" i="1" s="1"/>
  <c r="I130" i="3"/>
  <c r="D784" i="1"/>
  <c r="D257" i="3" s="1"/>
  <c r="D1140" i="1"/>
  <c r="D611" i="3" s="1"/>
  <c r="O1014" i="3"/>
  <c r="D817" i="1"/>
  <c r="D290" i="3" s="1"/>
  <c r="I787" i="3"/>
  <c r="I144" i="1"/>
  <c r="D144" i="1" s="1"/>
  <c r="D731" i="1"/>
  <c r="D204" i="3" s="1"/>
  <c r="H136" i="1"/>
  <c r="H419" i="3"/>
  <c r="I297" i="3"/>
  <c r="D690" i="1"/>
  <c r="D163" i="3" s="1"/>
  <c r="D612" i="1"/>
  <c r="D85" i="3" s="1"/>
  <c r="I109" i="3"/>
  <c r="I198" i="3"/>
  <c r="I176" i="3"/>
  <c r="I698" i="1"/>
  <c r="D698" i="1" s="1"/>
  <c r="D792" i="1"/>
  <c r="D265" i="3" s="1"/>
  <c r="D796" i="1"/>
  <c r="D269" i="3" s="1"/>
  <c r="N131" i="1"/>
  <c r="N1017" i="3" s="1"/>
  <c r="N128" i="1"/>
  <c r="N1014" i="3" s="1"/>
  <c r="I641" i="1"/>
  <c r="D641" i="1" s="1"/>
  <c r="D712" i="1"/>
  <c r="D185" i="3" s="1"/>
  <c r="D938" i="1"/>
  <c r="D411" i="3" s="1"/>
  <c r="N409" i="1"/>
  <c r="N1285" i="3" s="1"/>
  <c r="D664" i="1"/>
  <c r="D137" i="3" s="1"/>
  <c r="I830" i="1"/>
  <c r="I303" i="3" s="1"/>
  <c r="P1292" i="3"/>
  <c r="I191" i="3"/>
  <c r="I183" i="3"/>
  <c r="D728" i="1"/>
  <c r="U728" i="1" s="1"/>
  <c r="D633" i="1"/>
  <c r="D106" i="3" s="1"/>
  <c r="N147" i="1"/>
  <c r="N1033" i="3" s="1"/>
  <c r="I332" i="3"/>
  <c r="D639" i="1"/>
  <c r="D112" i="3" s="1"/>
  <c r="P1061" i="3"/>
  <c r="N440" i="1"/>
  <c r="N1315" i="3" s="1"/>
  <c r="I163" i="1"/>
  <c r="I1049" i="3" s="1"/>
  <c r="D632" i="1"/>
  <c r="D105" i="3" s="1"/>
  <c r="D720" i="1"/>
  <c r="D193" i="3" s="1"/>
  <c r="I148" i="3"/>
  <c r="I125" i="1"/>
  <c r="D125" i="1" s="1"/>
  <c r="D620" i="1"/>
  <c r="D93" i="3" s="1"/>
  <c r="I615" i="1"/>
  <c r="I88" i="3" s="1"/>
  <c r="D634" i="1"/>
  <c r="D107" i="3" s="1"/>
  <c r="P205" i="1"/>
  <c r="N205" i="1" s="1"/>
  <c r="N1091" i="3" s="1"/>
  <c r="P557" i="3"/>
  <c r="N1084" i="1"/>
  <c r="N557" i="3" s="1"/>
  <c r="I160" i="1"/>
  <c r="I1046" i="3" s="1"/>
  <c r="P1282" i="3"/>
  <c r="I96" i="3"/>
  <c r="D1146" i="1"/>
  <c r="D617" i="3" s="1"/>
  <c r="D606" i="1"/>
  <c r="D79" i="3" s="1"/>
  <c r="I168" i="1"/>
  <c r="I1054" i="3" s="1"/>
  <c r="P419" i="3"/>
  <c r="D1076" i="1"/>
  <c r="D549" i="3" s="1"/>
  <c r="P424" i="1"/>
  <c r="N424" i="1" s="1"/>
  <c r="N1299" i="3" s="1"/>
  <c r="D1118" i="1"/>
  <c r="D590" i="3" s="1"/>
  <c r="P1288" i="3"/>
  <c r="D729" i="1"/>
  <c r="U729" i="1" s="1"/>
  <c r="D1083" i="1"/>
  <c r="X1083" i="1" s="1"/>
  <c r="H130" i="1"/>
  <c r="H1016" i="3" s="1"/>
  <c r="D1154" i="1"/>
  <c r="D625" i="3" s="1"/>
  <c r="I200" i="3"/>
  <c r="I721" i="1"/>
  <c r="I194" i="3" s="1"/>
  <c r="D878" i="1"/>
  <c r="D351" i="3" s="1"/>
  <c r="P1047" i="3"/>
  <c r="I583" i="1"/>
  <c r="I57" i="3" s="1"/>
  <c r="H1062" i="3"/>
  <c r="D656" i="1"/>
  <c r="D129" i="3" s="1"/>
  <c r="I97" i="3"/>
  <c r="O1015" i="3"/>
  <c r="D625" i="1"/>
  <c r="D98" i="3" s="1"/>
  <c r="O1285" i="3"/>
  <c r="D941" i="1"/>
  <c r="D414" i="3" s="1"/>
  <c r="N154" i="1"/>
  <c r="N1040" i="3" s="1"/>
  <c r="H164" i="1"/>
  <c r="H1050" i="3" s="1"/>
  <c r="I553" i="1"/>
  <c r="D553" i="1" s="1"/>
  <c r="D27" i="3" s="1"/>
  <c r="O155" i="3"/>
  <c r="N442" i="1"/>
  <c r="N1317" i="3" s="1"/>
  <c r="D663" i="1"/>
  <c r="D136" i="3" s="1"/>
  <c r="I123" i="1"/>
  <c r="D123" i="1" s="1"/>
  <c r="I478" i="3"/>
  <c r="D613" i="1"/>
  <c r="D86" i="3" s="1"/>
  <c r="I564" i="1"/>
  <c r="I38" i="3" s="1"/>
  <c r="Q1211" i="1"/>
  <c r="Q794" i="1"/>
  <c r="Q1188" i="1"/>
  <c r="Q1196" i="1" s="1"/>
  <c r="Q580" i="1" s="1"/>
  <c r="Q1156" i="1"/>
  <c r="I166" i="3"/>
  <c r="D614" i="1"/>
  <c r="D87" i="3" s="1"/>
  <c r="I91" i="3"/>
  <c r="D933" i="1"/>
  <c r="D406" i="3" s="1"/>
  <c r="D730" i="1"/>
  <c r="U730" i="1" s="1"/>
  <c r="I157" i="1"/>
  <c r="I1043" i="3" s="1"/>
  <c r="D871" i="1"/>
  <c r="D344" i="3" s="1"/>
  <c r="D627" i="1"/>
  <c r="D100" i="3" s="1"/>
  <c r="D1133" i="1"/>
  <c r="D604" i="3" s="1"/>
  <c r="D631" i="1"/>
  <c r="D104" i="3" s="1"/>
  <c r="I733" i="1"/>
  <c r="I206" i="3" s="1"/>
  <c r="D637" i="1"/>
  <c r="D110" i="3" s="1"/>
  <c r="O525" i="3"/>
  <c r="N1052" i="1"/>
  <c r="N525" i="3" s="1"/>
  <c r="O514" i="3"/>
  <c r="N1041" i="1"/>
  <c r="N514" i="3" s="1"/>
  <c r="O1017" i="3"/>
  <c r="N127" i="1"/>
  <c r="N1013" i="3" s="1"/>
  <c r="L1017" i="3"/>
  <c r="P1014" i="3"/>
  <c r="O1283" i="3"/>
  <c r="D1117" i="1"/>
  <c r="D589" i="3" s="1"/>
  <c r="I680" i="1"/>
  <c r="D680" i="1" s="1"/>
  <c r="O116" i="3"/>
  <c r="O1273" i="3"/>
  <c r="H1060" i="3"/>
  <c r="D716" i="1"/>
  <c r="D189" i="3" s="1"/>
  <c r="D879" i="1"/>
  <c r="D352" i="3" s="1"/>
  <c r="I671" i="1"/>
  <c r="I144" i="3" s="1"/>
  <c r="D922" i="1"/>
  <c r="D395" i="3" s="1"/>
  <c r="N1053" i="1"/>
  <c r="N526" i="3" s="1"/>
  <c r="P526" i="3"/>
  <c r="N1042" i="1"/>
  <c r="N515" i="3" s="1"/>
  <c r="P515" i="3"/>
  <c r="Q787" i="1"/>
  <c r="Q798" i="1"/>
  <c r="N1077" i="1"/>
  <c r="N550" i="3" s="1"/>
  <c r="P550" i="3"/>
  <c r="P203" i="1"/>
  <c r="P1089" i="3" s="1"/>
  <c r="O518" i="3"/>
  <c r="N1045" i="1"/>
  <c r="N518" i="3" s="1"/>
  <c r="N1043" i="1"/>
  <c r="N516" i="3" s="1"/>
  <c r="O516" i="3"/>
  <c r="N1055" i="1"/>
  <c r="N528" i="3" s="1"/>
  <c r="O528" i="3"/>
  <c r="N682" i="1"/>
  <c r="N155" i="3" s="1"/>
  <c r="N161" i="1"/>
  <c r="N1047" i="3" s="1"/>
  <c r="O425" i="1"/>
  <c r="N425" i="1" s="1"/>
  <c r="N1300" i="3" s="1"/>
  <c r="L1106" i="3"/>
  <c r="I367" i="3"/>
  <c r="D942" i="1"/>
  <c r="D415" i="3" s="1"/>
  <c r="F130" i="1"/>
  <c r="F1016" i="3" s="1"/>
  <c r="D715" i="1"/>
  <c r="D188" i="3" s="1"/>
  <c r="D691" i="1"/>
  <c r="D164" i="3" s="1"/>
  <c r="I563" i="1"/>
  <c r="I37" i="3" s="1"/>
  <c r="F136" i="1"/>
  <c r="F1022" i="3" s="1"/>
  <c r="D901" i="1"/>
  <c r="D374" i="3" s="1"/>
  <c r="D757" i="1"/>
  <c r="D230" i="3" s="1"/>
  <c r="Q1149" i="1"/>
  <c r="P164" i="1"/>
  <c r="P1050" i="3" s="1"/>
  <c r="F208" i="3"/>
  <c r="N174" i="1"/>
  <c r="N1060" i="3" s="1"/>
  <c r="D989" i="1"/>
  <c r="X989" i="1" s="1"/>
  <c r="I548" i="3"/>
  <c r="O410" i="1"/>
  <c r="N410" i="1" s="1"/>
  <c r="N1286" i="3" s="1"/>
  <c r="I156" i="1"/>
  <c r="I1042" i="3" s="1"/>
  <c r="D621" i="1"/>
  <c r="D94" i="3" s="1"/>
  <c r="D825" i="1"/>
  <c r="D298" i="3" s="1"/>
  <c r="D1318" i="1"/>
  <c r="X1318" i="1" s="1"/>
  <c r="I565" i="1"/>
  <c r="I39" i="3" s="1"/>
  <c r="I184" i="3"/>
  <c r="D1009" i="1"/>
  <c r="D482" i="3" s="1"/>
  <c r="N195" i="1"/>
  <c r="N1081" i="3" s="1"/>
  <c r="P137" i="1"/>
  <c r="N137" i="1" s="1"/>
  <c r="N1023" i="3" s="1"/>
  <c r="P1015" i="3"/>
  <c r="N643" i="1"/>
  <c r="N116" i="3" s="1"/>
  <c r="N153" i="1"/>
  <c r="N1039" i="3" s="1"/>
  <c r="I159" i="1"/>
  <c r="D159" i="1" s="1"/>
  <c r="D669" i="1"/>
  <c r="D142" i="3" s="1"/>
  <c r="D674" i="1"/>
  <c r="D147" i="3" s="1"/>
  <c r="H639" i="3"/>
  <c r="H275" i="3"/>
  <c r="D651" i="1"/>
  <c r="D124" i="3" s="1"/>
  <c r="I746" i="3"/>
  <c r="P377" i="1"/>
  <c r="I244" i="3"/>
  <c r="F155" i="3"/>
  <c r="L164" i="1"/>
  <c r="L1050" i="3" s="1"/>
  <c r="H155" i="3"/>
  <c r="O1081" i="3"/>
  <c r="I1007" i="1"/>
  <c r="I480" i="3" s="1"/>
  <c r="I126" i="1"/>
  <c r="I1012" i="3" s="1"/>
  <c r="D758" i="1"/>
  <c r="D231" i="3" s="1"/>
  <c r="N176" i="1"/>
  <c r="N1062" i="3" s="1"/>
  <c r="I704" i="1"/>
  <c r="I177" i="3" s="1"/>
  <c r="D619" i="1"/>
  <c r="D92" i="3" s="1"/>
  <c r="F164" i="1"/>
  <c r="F1050" i="3" s="1"/>
  <c r="D688" i="1"/>
  <c r="D161" i="3" s="1"/>
  <c r="L208" i="3"/>
  <c r="N1044" i="3"/>
  <c r="H137" i="1"/>
  <c r="H1023" i="3" s="1"/>
  <c r="N146" i="1"/>
  <c r="N1032" i="3" s="1"/>
  <c r="D940" i="1"/>
  <c r="D413" i="3" s="1"/>
  <c r="D689" i="1"/>
  <c r="D162" i="3" s="1"/>
  <c r="D607" i="1"/>
  <c r="D80" i="3" s="1"/>
  <c r="I372" i="3"/>
  <c r="I784" i="3"/>
  <c r="D783" i="1"/>
  <c r="D256" i="3" s="1"/>
  <c r="L130" i="1"/>
  <c r="L1016" i="3" s="1"/>
  <c r="I148" i="1"/>
  <c r="I1034" i="3" s="1"/>
  <c r="I179" i="1"/>
  <c r="D179" i="1" s="1"/>
  <c r="F428" i="1" s="1"/>
  <c r="D1114" i="1"/>
  <c r="X1114" i="1" s="1"/>
  <c r="P639" i="3"/>
  <c r="P275" i="3"/>
  <c r="Q968" i="1"/>
  <c r="O275" i="3"/>
  <c r="N802" i="1"/>
  <c r="N275" i="3" s="1"/>
  <c r="O639" i="3"/>
  <c r="N1168" i="1"/>
  <c r="N639" i="3" s="1"/>
  <c r="Q985" i="1"/>
  <c r="I229" i="3"/>
  <c r="I1322" i="1"/>
  <c r="I789" i="3" s="1"/>
  <c r="I289" i="3"/>
  <c r="D665" i="1"/>
  <c r="D138" i="3" s="1"/>
  <c r="I99" i="3"/>
  <c r="I162" i="1"/>
  <c r="I1048" i="3" s="1"/>
  <c r="D953" i="1"/>
  <c r="D220" i="1"/>
  <c r="H469" i="1" s="1"/>
  <c r="D963" i="1"/>
  <c r="X963" i="1" s="1"/>
  <c r="AC963" i="1" s="1"/>
  <c r="Q164" i="1"/>
  <c r="Q413" i="1" s="1"/>
  <c r="I924" i="1"/>
  <c r="I397" i="3" s="1"/>
  <c r="N129" i="1"/>
  <c r="N1015" i="3" s="1"/>
  <c r="O208" i="3"/>
  <c r="D857" i="1"/>
  <c r="D330" i="3" s="1"/>
  <c r="D609" i="1"/>
  <c r="D82" i="3" s="1"/>
  <c r="D700" i="1"/>
  <c r="D173" i="3" s="1"/>
  <c r="O164" i="1"/>
  <c r="O1050" i="3" s="1"/>
  <c r="D658" i="1"/>
  <c r="D131" i="3" s="1"/>
  <c r="Q204" i="1"/>
  <c r="Q453" i="1" s="1"/>
  <c r="Q1410" i="1"/>
  <c r="Q202" i="1"/>
  <c r="Q451" i="1" s="1"/>
  <c r="Q1421" i="1"/>
  <c r="Q206" i="1" s="1"/>
  <c r="Q455" i="1" s="1"/>
  <c r="I123" i="3"/>
  <c r="D650" i="1"/>
  <c r="D123" i="3" s="1"/>
  <c r="I349" i="3"/>
  <c r="D876" i="1"/>
  <c r="D349" i="3" s="1"/>
  <c r="U726" i="1"/>
  <c r="D201" i="3"/>
  <c r="U724" i="1"/>
  <c r="I407" i="1"/>
  <c r="I1283" i="3" s="1"/>
  <c r="I155" i="1"/>
  <c r="I1041" i="3" s="1"/>
  <c r="D135" i="1"/>
  <c r="I928" i="1"/>
  <c r="D928" i="1" s="1"/>
  <c r="D401" i="3" s="1"/>
  <c r="U727" i="1"/>
  <c r="D200" i="3"/>
  <c r="I406" i="1"/>
  <c r="I1282" i="3" s="1"/>
  <c r="D437" i="3"/>
  <c r="Q1352" i="1"/>
  <c r="Q1354" i="1" s="1"/>
  <c r="O710" i="3"/>
  <c r="O264" i="3"/>
  <c r="O794" i="1"/>
  <c r="O624" i="3"/>
  <c r="O1156" i="1"/>
  <c r="O366" i="3"/>
  <c r="O657" i="3"/>
  <c r="O1188" i="1"/>
  <c r="O680" i="3"/>
  <c r="O1211" i="1"/>
  <c r="L350" i="3"/>
  <c r="L296" i="3"/>
  <c r="L270" i="3"/>
  <c r="L798" i="1"/>
  <c r="F350" i="3"/>
  <c r="F296" i="3"/>
  <c r="Q1048" i="1"/>
  <c r="Q198" i="1"/>
  <c r="Q447" i="1" s="1"/>
  <c r="Q197" i="1"/>
  <c r="Q446" i="1" s="1"/>
  <c r="Q1396" i="1"/>
  <c r="Q199" i="1" s="1"/>
  <c r="Q448" i="1" s="1"/>
  <c r="Q1058" i="1"/>
  <c r="H662" i="3"/>
  <c r="H685" i="3"/>
  <c r="H630" i="3"/>
  <c r="O1026" i="1"/>
  <c r="O490" i="3"/>
  <c r="F632" i="3"/>
  <c r="P527" i="3"/>
  <c r="H632" i="3"/>
  <c r="H270" i="3"/>
  <c r="H798" i="1"/>
  <c r="H271" i="3" s="1"/>
  <c r="O350" i="3"/>
  <c r="O880" i="1"/>
  <c r="O145" i="1"/>
  <c r="O296" i="3"/>
  <c r="O143" i="1"/>
  <c r="O826" i="1"/>
  <c r="O663" i="3"/>
  <c r="O631" i="3"/>
  <c r="L630" i="3"/>
  <c r="L685" i="3"/>
  <c r="L662" i="3"/>
  <c r="L1194" i="1"/>
  <c r="L663" i="3"/>
  <c r="L631" i="3"/>
  <c r="F663" i="3"/>
  <c r="F631" i="3"/>
  <c r="O1272" i="3"/>
  <c r="N396" i="1"/>
  <c r="N1272" i="3" s="1"/>
  <c r="L1253" i="3"/>
  <c r="L1023" i="3"/>
  <c r="I1044" i="3"/>
  <c r="D158" i="1"/>
  <c r="H1024" i="3"/>
  <c r="I171" i="3"/>
  <c r="L1256" i="3"/>
  <c r="X1319" i="1"/>
  <c r="F1059" i="3"/>
  <c r="L1057" i="3"/>
  <c r="U725" i="1"/>
  <c r="D198" i="3"/>
  <c r="P1300" i="3"/>
  <c r="C20" i="29"/>
  <c r="G20" i="29" s="1"/>
  <c r="I20" i="29" s="1"/>
  <c r="Q20" i="29" s="1"/>
  <c r="C20" i="33"/>
  <c r="G20" i="33" s="1"/>
  <c r="I20" i="33" s="1"/>
  <c r="Q20" i="33" s="1"/>
  <c r="P1057" i="3"/>
  <c r="F1099" i="3"/>
  <c r="H1057" i="3"/>
  <c r="F1253" i="3"/>
  <c r="H1298" i="3"/>
  <c r="P1022" i="3"/>
  <c r="C49" i="29"/>
  <c r="E49" i="29" s="1"/>
  <c r="C49" i="33"/>
  <c r="E49" i="33" s="1"/>
  <c r="N444" i="1"/>
  <c r="N1319" i="3" s="1"/>
  <c r="O1319" i="3"/>
  <c r="O454" i="1"/>
  <c r="O1091" i="3"/>
  <c r="X981" i="1"/>
  <c r="D454" i="3"/>
  <c r="D660" i="1"/>
  <c r="I133" i="3"/>
  <c r="I1106" i="3"/>
  <c r="P1099" i="3"/>
  <c r="H1059" i="3"/>
  <c r="O1254" i="3"/>
  <c r="N378" i="1"/>
  <c r="N1254" i="3" s="1"/>
  <c r="I175" i="1"/>
  <c r="O1057" i="3"/>
  <c r="N171" i="1"/>
  <c r="N1057" i="3" s="1"/>
  <c r="F1300" i="3"/>
  <c r="P1286" i="3"/>
  <c r="H1300" i="3"/>
  <c r="P1055" i="3"/>
  <c r="P1016" i="3"/>
  <c r="H1256" i="3"/>
  <c r="O1022" i="3"/>
  <c r="D170" i="1"/>
  <c r="D1056" i="3" s="1"/>
  <c r="H1056" i="3"/>
  <c r="O1253" i="3"/>
  <c r="O419" i="3"/>
  <c r="O575" i="1"/>
  <c r="N946" i="1"/>
  <c r="O1299" i="3"/>
  <c r="F1057" i="3"/>
  <c r="L1298" i="3"/>
  <c r="L1299" i="3"/>
  <c r="F1024" i="3"/>
  <c r="X1118" i="1"/>
  <c r="X1075" i="1"/>
  <c r="D548" i="3"/>
  <c r="L1099" i="3"/>
  <c r="X1320" i="1"/>
  <c r="D787" i="3"/>
  <c r="H1022" i="3"/>
  <c r="P1091" i="3"/>
  <c r="O1089" i="3"/>
  <c r="O452" i="1"/>
  <c r="O1023" i="3"/>
  <c r="I1011" i="3"/>
  <c r="D141" i="1"/>
  <c r="D1027" i="3" s="1"/>
  <c r="F1027" i="3"/>
  <c r="L1022" i="3"/>
  <c r="O1016" i="3"/>
  <c r="N130" i="1"/>
  <c r="N1016" i="3" s="1"/>
  <c r="L1059" i="3"/>
  <c r="I173" i="1"/>
  <c r="I1059" i="3" s="1"/>
  <c r="L49" i="3"/>
  <c r="O1055" i="3"/>
  <c r="N169" i="1"/>
  <c r="F1023" i="3"/>
  <c r="L1024" i="3"/>
  <c r="I138" i="1"/>
  <c r="I1024" i="3" s="1"/>
  <c r="D555" i="3"/>
  <c r="X1082" i="1"/>
  <c r="I1009" i="3"/>
  <c r="I131" i="1"/>
  <c r="H462" i="1"/>
  <c r="H1099" i="3"/>
  <c r="F1299" i="3"/>
  <c r="Q1000" i="1"/>
  <c r="P1017" i="1"/>
  <c r="P1161" i="1"/>
  <c r="P1240" i="1"/>
  <c r="P791" i="1"/>
  <c r="P1209" i="1"/>
  <c r="P1186" i="1"/>
  <c r="P893" i="1"/>
  <c r="P1153" i="1"/>
  <c r="Q883" i="1"/>
  <c r="Q1242" i="1"/>
  <c r="Q1215" i="1"/>
  <c r="Q895" i="1"/>
  <c r="P1192" i="1"/>
  <c r="P1160" i="1"/>
  <c r="O1161" i="1"/>
  <c r="O1054" i="1"/>
  <c r="P823" i="1"/>
  <c r="P877" i="1"/>
  <c r="H1185" i="1"/>
  <c r="H1242" i="1"/>
  <c r="O1414" i="1"/>
  <c r="H821" i="1"/>
  <c r="H1208" i="1"/>
  <c r="H895" i="1"/>
  <c r="O1416" i="1"/>
  <c r="O1415" i="1"/>
  <c r="Q1066" i="1"/>
  <c r="H875" i="1"/>
  <c r="Q1074" i="1"/>
  <c r="Q1081" i="1"/>
  <c r="H790" i="1"/>
  <c r="H822" i="1"/>
  <c r="H1215" i="1"/>
  <c r="O1419" i="1"/>
  <c r="O1418" i="1"/>
  <c r="O1413" i="1"/>
  <c r="H1152" i="1"/>
  <c r="H883" i="1"/>
  <c r="O1417" i="1"/>
  <c r="D557" i="1" l="1"/>
  <c r="D31" i="3" s="1"/>
  <c r="D628" i="1"/>
  <c r="D101" i="3" s="1"/>
  <c r="I382" i="1"/>
  <c r="I1258" i="3" s="1"/>
  <c r="N213" i="1"/>
  <c r="N1099" i="3" s="1"/>
  <c r="U731" i="1"/>
  <c r="I154" i="1"/>
  <c r="D154" i="1" s="1"/>
  <c r="D203" i="3"/>
  <c r="I114" i="3"/>
  <c r="P428" i="1"/>
  <c r="P1303" i="3" s="1"/>
  <c r="D160" i="1"/>
  <c r="D163" i="1"/>
  <c r="D1049" i="3" s="1"/>
  <c r="P490" i="3"/>
  <c r="N1017" i="1"/>
  <c r="N490" i="3" s="1"/>
  <c r="P1026" i="1"/>
  <c r="I1030" i="3"/>
  <c r="P454" i="1"/>
  <c r="P1329" i="3" s="1"/>
  <c r="I643" i="1"/>
  <c r="D643" i="1" s="1"/>
  <c r="D116" i="3" s="1"/>
  <c r="D1065" i="3"/>
  <c r="D436" i="3"/>
  <c r="D704" i="1"/>
  <c r="D177" i="3" s="1"/>
  <c r="I27" i="3"/>
  <c r="I802" i="1"/>
  <c r="I275" i="3" s="1"/>
  <c r="O428" i="1"/>
  <c r="O1303" i="3" s="1"/>
  <c r="D168" i="1"/>
  <c r="H417" i="1" s="1"/>
  <c r="I1065" i="3"/>
  <c r="D126" i="1"/>
  <c r="F375" i="1" s="1"/>
  <c r="I30" i="3"/>
  <c r="I1043" i="1"/>
  <c r="I516" i="3" s="1"/>
  <c r="P632" i="3"/>
  <c r="I409" i="1"/>
  <c r="I1285" i="3" s="1"/>
  <c r="I735" i="1"/>
  <c r="D735" i="1" s="1"/>
  <c r="D208" i="3" s="1"/>
  <c r="D583" i="1"/>
  <c r="D57" i="3" s="1"/>
  <c r="I128" i="1"/>
  <c r="I1014" i="3" s="1"/>
  <c r="D615" i="1"/>
  <c r="D88" i="3" s="1"/>
  <c r="I1045" i="3"/>
  <c r="Q1217" i="1"/>
  <c r="Q1219" i="1" s="1"/>
  <c r="Q587" i="1" s="1"/>
  <c r="Q884" i="1"/>
  <c r="N1153" i="1"/>
  <c r="N624" i="3" s="1"/>
  <c r="P1156" i="1"/>
  <c r="P627" i="3" s="1"/>
  <c r="P624" i="3"/>
  <c r="P366" i="3"/>
  <c r="N893" i="1"/>
  <c r="N366" i="3" s="1"/>
  <c r="N1186" i="1"/>
  <c r="N657" i="3" s="1"/>
  <c r="P1188" i="1"/>
  <c r="P659" i="3" s="1"/>
  <c r="P657" i="3"/>
  <c r="N1209" i="1"/>
  <c r="N680" i="3" s="1"/>
  <c r="P680" i="3"/>
  <c r="P1211" i="1"/>
  <c r="N1211" i="1" s="1"/>
  <c r="N682" i="3" s="1"/>
  <c r="N791" i="1"/>
  <c r="N264" i="3" s="1"/>
  <c r="P264" i="3"/>
  <c r="P794" i="1"/>
  <c r="P267" i="3" s="1"/>
  <c r="N1240" i="1"/>
  <c r="N710" i="3" s="1"/>
  <c r="P710" i="3"/>
  <c r="D202" i="3"/>
  <c r="I147" i="1"/>
  <c r="I1033" i="3" s="1"/>
  <c r="P1023" i="3"/>
  <c r="X1076" i="1"/>
  <c r="O1300" i="3"/>
  <c r="I1055" i="1"/>
  <c r="I528" i="3" s="1"/>
  <c r="I127" i="1"/>
  <c r="I1013" i="3" s="1"/>
  <c r="X1117" i="1"/>
  <c r="X1009" i="1"/>
  <c r="P1299" i="3"/>
  <c r="I161" i="1"/>
  <c r="I1047" i="3" s="1"/>
  <c r="I1053" i="1"/>
  <c r="I526" i="3" s="1"/>
  <c r="D462" i="3"/>
  <c r="D157" i="1"/>
  <c r="D1043" i="3" s="1"/>
  <c r="D1322" i="1"/>
  <c r="D789" i="3" s="1"/>
  <c r="N203" i="1"/>
  <c r="N1089" i="3" s="1"/>
  <c r="D721" i="1"/>
  <c r="U721" i="1" s="1"/>
  <c r="N164" i="1"/>
  <c r="N1050" i="3" s="1"/>
  <c r="D162" i="1"/>
  <c r="D1048" i="3" s="1"/>
  <c r="D671" i="1"/>
  <c r="U671" i="1" s="1"/>
  <c r="N1160" i="1"/>
  <c r="N631" i="3" s="1"/>
  <c r="P631" i="3"/>
  <c r="N1192" i="1"/>
  <c r="N663" i="3" s="1"/>
  <c r="P663" i="3"/>
  <c r="D556" i="3"/>
  <c r="I153" i="3"/>
  <c r="D148" i="1"/>
  <c r="L397" i="1" s="1"/>
  <c r="L1273" i="3" s="1"/>
  <c r="D1007" i="1"/>
  <c r="X1004" i="1" s="1"/>
  <c r="F469" i="1"/>
  <c r="F1344" i="3" s="1"/>
  <c r="D1106" i="3"/>
  <c r="D733" i="1"/>
  <c r="D206" i="3" s="1"/>
  <c r="O1286" i="3"/>
  <c r="D565" i="1"/>
  <c r="D39" i="3" s="1"/>
  <c r="I1042" i="1"/>
  <c r="I515" i="3" s="1"/>
  <c r="I1045" i="1"/>
  <c r="I518" i="3" s="1"/>
  <c r="D785" i="3"/>
  <c r="U716" i="1"/>
  <c r="I176" i="1"/>
  <c r="I1062" i="3" s="1"/>
  <c r="I682" i="1"/>
  <c r="I155" i="3" s="1"/>
  <c r="I146" i="1"/>
  <c r="I1032" i="3" s="1"/>
  <c r="D156" i="1"/>
  <c r="D1042" i="3" s="1"/>
  <c r="I174" i="1"/>
  <c r="I1060" i="3" s="1"/>
  <c r="P452" i="1"/>
  <c r="P1327" i="3" s="1"/>
  <c r="D563" i="1"/>
  <c r="D37" i="3" s="1"/>
  <c r="I153" i="1"/>
  <c r="D153" i="1" s="1"/>
  <c r="L469" i="1"/>
  <c r="L1344" i="3" s="1"/>
  <c r="D586" i="3"/>
  <c r="I129" i="1"/>
  <c r="I1015" i="3" s="1"/>
  <c r="I469" i="1"/>
  <c r="I1344" i="3" s="1"/>
  <c r="O527" i="3"/>
  <c r="N1054" i="1"/>
  <c r="N527" i="3" s="1"/>
  <c r="O632" i="3"/>
  <c r="N1161" i="1"/>
  <c r="N632" i="3" s="1"/>
  <c r="P145" i="1"/>
  <c r="P1031" i="3" s="1"/>
  <c r="N877" i="1"/>
  <c r="N350" i="3" s="1"/>
  <c r="P350" i="3"/>
  <c r="P880" i="1"/>
  <c r="P353" i="3" s="1"/>
  <c r="P143" i="1"/>
  <c r="N143" i="1" s="1"/>
  <c r="N823" i="1"/>
  <c r="N296" i="3" s="1"/>
  <c r="P826" i="1"/>
  <c r="P299" i="3" s="1"/>
  <c r="P296" i="3"/>
  <c r="N377" i="1"/>
  <c r="N1253" i="3" s="1"/>
  <c r="P1253" i="3"/>
  <c r="Q1012" i="1"/>
  <c r="D924" i="1"/>
  <c r="D397" i="3" s="1"/>
  <c r="I1168" i="1"/>
  <c r="I639" i="3" s="1"/>
  <c r="X953" i="1"/>
  <c r="AC953" i="1" s="1"/>
  <c r="D426" i="3"/>
  <c r="Q1085" i="1"/>
  <c r="Q1078" i="1"/>
  <c r="Q212" i="1" s="1"/>
  <c r="Q461" i="1" s="1"/>
  <c r="Q1071" i="1"/>
  <c r="Q1060" i="1"/>
  <c r="D144" i="3"/>
  <c r="L375" i="1"/>
  <c r="L1251" i="3" s="1"/>
  <c r="U628" i="1"/>
  <c r="D155" i="1"/>
  <c r="L404" i="1" s="1"/>
  <c r="D1021" i="3"/>
  <c r="F384" i="1"/>
  <c r="H384" i="1"/>
  <c r="P384" i="1"/>
  <c r="O384" i="1"/>
  <c r="L384" i="1"/>
  <c r="I401" i="3"/>
  <c r="I1040" i="3"/>
  <c r="I136" i="1"/>
  <c r="I1022" i="3" s="1"/>
  <c r="D128" i="1"/>
  <c r="D1014" i="3" s="1"/>
  <c r="H419" i="1"/>
  <c r="H1294" i="3" s="1"/>
  <c r="F390" i="1"/>
  <c r="O25" i="11" s="1"/>
  <c r="O27" i="11" s="1"/>
  <c r="O881" i="3"/>
  <c r="O880" i="3"/>
  <c r="O884" i="3"/>
  <c r="O883" i="3"/>
  <c r="O882" i="3"/>
  <c r="O879" i="3"/>
  <c r="O1421" i="1"/>
  <c r="O885" i="3"/>
  <c r="H712" i="3"/>
  <c r="H686" i="3"/>
  <c r="H1217" i="1"/>
  <c r="H688" i="3" s="1"/>
  <c r="H356" i="3"/>
  <c r="H884" i="1"/>
  <c r="H357" i="3" s="1"/>
  <c r="H368" i="3"/>
  <c r="H295" i="3"/>
  <c r="H623" i="3"/>
  <c r="H679" i="3"/>
  <c r="H656" i="3"/>
  <c r="H263" i="3"/>
  <c r="H348" i="3"/>
  <c r="H294" i="3"/>
  <c r="O393" i="1"/>
  <c r="D1030" i="3"/>
  <c r="P393" i="1"/>
  <c r="P1269" i="3" s="1"/>
  <c r="O1327" i="3"/>
  <c r="U660" i="1"/>
  <c r="D133" i="3"/>
  <c r="F1303" i="3"/>
  <c r="I137" i="1"/>
  <c r="O374" i="1"/>
  <c r="D1011" i="3"/>
  <c r="L374" i="1"/>
  <c r="H374" i="1"/>
  <c r="P374" i="1"/>
  <c r="F374" i="1"/>
  <c r="D175" i="1"/>
  <c r="I1061" i="3"/>
  <c r="O1329" i="3"/>
  <c r="D173" i="1"/>
  <c r="D171" i="3"/>
  <c r="U698" i="1"/>
  <c r="P499" i="3"/>
  <c r="P1035" i="1"/>
  <c r="P508" i="3" s="1"/>
  <c r="O682" i="3"/>
  <c r="O627" i="3"/>
  <c r="Q1398" i="1"/>
  <c r="Q1441" i="1" s="1"/>
  <c r="D114" i="3"/>
  <c r="U641" i="1"/>
  <c r="L665" i="3"/>
  <c r="O299" i="3"/>
  <c r="O1031" i="3"/>
  <c r="U680" i="1"/>
  <c r="D153" i="3"/>
  <c r="F409" i="1"/>
  <c r="D1046" i="3"/>
  <c r="D1044" i="3"/>
  <c r="F407" i="1"/>
  <c r="H407" i="1"/>
  <c r="L271" i="3"/>
  <c r="O659" i="3"/>
  <c r="O267" i="3"/>
  <c r="H1337" i="3"/>
  <c r="I1017" i="3"/>
  <c r="D131" i="1"/>
  <c r="L373" i="1"/>
  <c r="D1009" i="3"/>
  <c r="H373" i="1"/>
  <c r="F373" i="1"/>
  <c r="O373" i="1"/>
  <c r="P373" i="1"/>
  <c r="N1055" i="3"/>
  <c r="I169" i="1"/>
  <c r="I116" i="3"/>
  <c r="D1045" i="3"/>
  <c r="H408" i="1"/>
  <c r="F408" i="1"/>
  <c r="P408" i="1"/>
  <c r="L408" i="1"/>
  <c r="O408" i="1"/>
  <c r="N419" i="3"/>
  <c r="I946" i="1"/>
  <c r="I419" i="3" s="1"/>
  <c r="D138" i="1"/>
  <c r="I424" i="1"/>
  <c r="I1299" i="3" s="1"/>
  <c r="O49" i="3"/>
  <c r="N575" i="1"/>
  <c r="P403" i="1"/>
  <c r="D1040" i="3"/>
  <c r="F403" i="1"/>
  <c r="L403" i="1"/>
  <c r="O403" i="1"/>
  <c r="H403" i="1"/>
  <c r="I171" i="1"/>
  <c r="I130" i="1"/>
  <c r="H1344" i="3"/>
  <c r="O392" i="1"/>
  <c r="O1029" i="3"/>
  <c r="O353" i="3"/>
  <c r="O499" i="3"/>
  <c r="N1026" i="1"/>
  <c r="N499" i="3" s="1"/>
  <c r="O1035" i="1"/>
  <c r="F1180" i="1"/>
  <c r="F1144" i="1"/>
  <c r="F782" i="1"/>
  <c r="F1203" i="1"/>
  <c r="F875" i="1"/>
  <c r="F821" i="1"/>
  <c r="F1185" i="1"/>
  <c r="F822" i="1"/>
  <c r="F1152" i="1"/>
  <c r="F1208" i="1"/>
  <c r="F790" i="1"/>
  <c r="L1041" i="1"/>
  <c r="L1052" i="1"/>
  <c r="P1416" i="1"/>
  <c r="P1415" i="1"/>
  <c r="P1419" i="1"/>
  <c r="P1418" i="1"/>
  <c r="P1413" i="1"/>
  <c r="P1417" i="1"/>
  <c r="P1414" i="1"/>
  <c r="L875" i="1"/>
  <c r="L1152" i="1"/>
  <c r="L821" i="1"/>
  <c r="L1208" i="1"/>
  <c r="L822" i="1"/>
  <c r="L1185" i="1"/>
  <c r="L790" i="1"/>
  <c r="L782" i="1"/>
  <c r="F869" i="1"/>
  <c r="H869" i="1"/>
  <c r="F850" i="1"/>
  <c r="H1202" i="1"/>
  <c r="P1201" i="1"/>
  <c r="O1044" i="1"/>
  <c r="L971" i="1"/>
  <c r="L972" i="1"/>
  <c r="F1202" i="1"/>
  <c r="P1056" i="1"/>
  <c r="H978" i="1"/>
  <c r="H971" i="1"/>
  <c r="H1084" i="1"/>
  <c r="L1274" i="1"/>
  <c r="L1044" i="1"/>
  <c r="O776" i="1"/>
  <c r="P1138" i="1"/>
  <c r="L991" i="1"/>
  <c r="L994" i="1"/>
  <c r="H1201" i="1"/>
  <c r="F1056" i="1"/>
  <c r="P976" i="1"/>
  <c r="P973" i="1"/>
  <c r="O980" i="1"/>
  <c r="O979" i="1"/>
  <c r="O975" i="1"/>
  <c r="F770" i="1"/>
  <c r="L1179" i="1"/>
  <c r="O1201" i="1"/>
  <c r="F982" i="1"/>
  <c r="F978" i="1"/>
  <c r="F975" i="1"/>
  <c r="O971" i="1"/>
  <c r="F973" i="1"/>
  <c r="L1203" i="1"/>
  <c r="O869" i="1"/>
  <c r="L869" i="1"/>
  <c r="P815" i="1"/>
  <c r="F1225" i="1"/>
  <c r="H1138" i="1"/>
  <c r="P770" i="1"/>
  <c r="H1044" i="1"/>
  <c r="L980" i="1"/>
  <c r="L978" i="1"/>
  <c r="L979" i="1"/>
  <c r="F1179" i="1"/>
  <c r="F1045" i="1"/>
  <c r="P1044" i="1"/>
  <c r="H972" i="1"/>
  <c r="H980" i="1"/>
  <c r="H1045" i="1"/>
  <c r="L1201" i="1"/>
  <c r="L1056" i="1"/>
  <c r="O1202" i="1"/>
  <c r="P1179" i="1"/>
  <c r="L995" i="1"/>
  <c r="L990" i="1"/>
  <c r="H1132" i="1"/>
  <c r="F1044" i="1"/>
  <c r="P978" i="1"/>
  <c r="P980" i="1"/>
  <c r="O978" i="1"/>
  <c r="O982" i="1"/>
  <c r="O976" i="1"/>
  <c r="F1201" i="1"/>
  <c r="L1202" i="1"/>
  <c r="O1274" i="1"/>
  <c r="F979" i="1"/>
  <c r="O973" i="1"/>
  <c r="F1274" i="1"/>
  <c r="F972" i="1"/>
  <c r="L1144" i="1"/>
  <c r="O815" i="1"/>
  <c r="L815" i="1"/>
  <c r="P869" i="1"/>
  <c r="F939" i="1"/>
  <c r="H1179" i="1"/>
  <c r="P1132" i="1"/>
  <c r="H1056" i="1"/>
  <c r="L974" i="1"/>
  <c r="L973" i="1"/>
  <c r="L975" i="1"/>
  <c r="F776" i="1"/>
  <c r="F1043" i="1"/>
  <c r="H973" i="1"/>
  <c r="H982" i="1"/>
  <c r="H976" i="1"/>
  <c r="H1043" i="1"/>
  <c r="L770" i="1"/>
  <c r="O1138" i="1"/>
  <c r="P776" i="1"/>
  <c r="L996" i="1"/>
  <c r="L992" i="1"/>
  <c r="H770" i="1"/>
  <c r="P982" i="1"/>
  <c r="P975" i="1"/>
  <c r="P974" i="1"/>
  <c r="O972" i="1"/>
  <c r="O974" i="1"/>
  <c r="F1132" i="1"/>
  <c r="L776" i="1"/>
  <c r="O770" i="1"/>
  <c r="F974" i="1"/>
  <c r="F971" i="1"/>
  <c r="F976" i="1"/>
  <c r="P971" i="1"/>
  <c r="O1132" i="1"/>
  <c r="L1180" i="1"/>
  <c r="F815" i="1"/>
  <c r="H815" i="1"/>
  <c r="H1226" i="1"/>
  <c r="F935" i="1"/>
  <c r="H776" i="1"/>
  <c r="P1274" i="1"/>
  <c r="O1056" i="1"/>
  <c r="L982" i="1"/>
  <c r="L976" i="1"/>
  <c r="F1138" i="1"/>
  <c r="F1055" i="1"/>
  <c r="H974" i="1"/>
  <c r="H975" i="1"/>
  <c r="H979" i="1"/>
  <c r="H1055" i="1"/>
  <c r="L1132" i="1"/>
  <c r="O1179" i="1"/>
  <c r="P1202" i="1"/>
  <c r="L997" i="1"/>
  <c r="L988" i="1"/>
  <c r="H1274" i="1"/>
  <c r="P972" i="1"/>
  <c r="P979" i="1"/>
  <c r="L1138" i="1"/>
  <c r="F980" i="1"/>
  <c r="F417" i="1" l="1"/>
  <c r="D1054" i="3"/>
  <c r="N454" i="1"/>
  <c r="N1329" i="3" s="1"/>
  <c r="I213" i="1"/>
  <c r="I1099" i="3" s="1"/>
  <c r="U704" i="1"/>
  <c r="N452" i="1"/>
  <c r="N1327" i="3" s="1"/>
  <c r="O411" i="1"/>
  <c r="I208" i="3"/>
  <c r="N428" i="1"/>
  <c r="W704" i="1"/>
  <c r="L417" i="1"/>
  <c r="P682" i="3"/>
  <c r="L412" i="1"/>
  <c r="F412" i="1"/>
  <c r="H412" i="1"/>
  <c r="H375" i="1"/>
  <c r="F674" i="3"/>
  <c r="F785" i="1"/>
  <c r="F258" i="3" s="1"/>
  <c r="F255" i="3"/>
  <c r="F1147" i="1"/>
  <c r="F618" i="3" s="1"/>
  <c r="F615" i="3"/>
  <c r="F651" i="3"/>
  <c r="P375" i="1"/>
  <c r="P392" i="1"/>
  <c r="P1268" i="3" s="1"/>
  <c r="F1251" i="3"/>
  <c r="D194" i="3"/>
  <c r="O375" i="1"/>
  <c r="D1012" i="3"/>
  <c r="D127" i="1"/>
  <c r="D1013" i="3" s="1"/>
  <c r="I397" i="1"/>
  <c r="I1273" i="3" s="1"/>
  <c r="H411" i="1"/>
  <c r="N1188" i="1"/>
  <c r="N659" i="3" s="1"/>
  <c r="I1160" i="1"/>
  <c r="I631" i="3" s="1"/>
  <c r="U615" i="1"/>
  <c r="D147" i="1"/>
  <c r="H406" i="1"/>
  <c r="H1282" i="3" s="1"/>
  <c r="F406" i="1"/>
  <c r="N794" i="1"/>
  <c r="N267" i="3" s="1"/>
  <c r="N1156" i="1"/>
  <c r="N627" i="3" s="1"/>
  <c r="I164" i="1"/>
  <c r="I1050" i="3" s="1"/>
  <c r="O405" i="1"/>
  <c r="F397" i="1"/>
  <c r="P411" i="1"/>
  <c r="N411" i="1" s="1"/>
  <c r="N1287" i="3" s="1"/>
  <c r="F411" i="1"/>
  <c r="D161" i="1"/>
  <c r="H410" i="1" s="1"/>
  <c r="U733" i="1"/>
  <c r="I1192" i="1"/>
  <c r="I663" i="3" s="1"/>
  <c r="D1034" i="3"/>
  <c r="H397" i="1"/>
  <c r="L411" i="1"/>
  <c r="P1029" i="3"/>
  <c r="N145" i="1"/>
  <c r="N1031" i="3" s="1"/>
  <c r="I377" i="1"/>
  <c r="I1253" i="3" s="1"/>
  <c r="D129" i="1"/>
  <c r="D1015" i="3" s="1"/>
  <c r="D146" i="1"/>
  <c r="O395" i="1" s="1"/>
  <c r="O1271" i="3" s="1"/>
  <c r="I1052" i="1"/>
  <c r="I525" i="3" s="1"/>
  <c r="L525" i="3"/>
  <c r="L514" i="3"/>
  <c r="I1041" i="1"/>
  <c r="I514" i="3" s="1"/>
  <c r="F263" i="3"/>
  <c r="F679" i="3"/>
  <c r="F623" i="3"/>
  <c r="F295" i="3"/>
  <c r="F656" i="3"/>
  <c r="F294" i="3"/>
  <c r="F826" i="1"/>
  <c r="F299" i="3" s="1"/>
  <c r="F348" i="3"/>
  <c r="F880" i="1"/>
  <c r="D480" i="3"/>
  <c r="D419" i="1"/>
  <c r="D1294" i="3" s="1"/>
  <c r="N826" i="1"/>
  <c r="N299" i="3" s="1"/>
  <c r="D174" i="1"/>
  <c r="D176" i="1"/>
  <c r="D1062" i="3" s="1"/>
  <c r="D682" i="1"/>
  <c r="D155" i="3" s="1"/>
  <c r="I1039" i="3"/>
  <c r="L405" i="1"/>
  <c r="H405" i="1"/>
  <c r="F405" i="1"/>
  <c r="I877" i="1"/>
  <c r="I350" i="3" s="1"/>
  <c r="I823" i="1"/>
  <c r="I296" i="3" s="1"/>
  <c r="D469" i="1"/>
  <c r="D1344" i="3" s="1"/>
  <c r="I790" i="1"/>
  <c r="I263" i="3" s="1"/>
  <c r="L263" i="3"/>
  <c r="L656" i="3"/>
  <c r="I1185" i="1"/>
  <c r="I656" i="3" s="1"/>
  <c r="I822" i="1"/>
  <c r="I295" i="3" s="1"/>
  <c r="L295" i="3"/>
  <c r="L679" i="3"/>
  <c r="I1208" i="1"/>
  <c r="I679" i="3" s="1"/>
  <c r="L826" i="1"/>
  <c r="L299" i="3" s="1"/>
  <c r="L294" i="3"/>
  <c r="I821" i="1"/>
  <c r="I294" i="3" s="1"/>
  <c r="L623" i="3"/>
  <c r="I1152" i="1"/>
  <c r="I623" i="3" s="1"/>
  <c r="L880" i="1"/>
  <c r="I875" i="1"/>
  <c r="L348" i="3"/>
  <c r="N1414" i="1"/>
  <c r="N880" i="3" s="1"/>
  <c r="P880" i="3"/>
  <c r="N1417" i="1"/>
  <c r="N883" i="3" s="1"/>
  <c r="P883" i="3"/>
  <c r="N1413" i="1"/>
  <c r="N879" i="3" s="1"/>
  <c r="P879" i="3"/>
  <c r="P1421" i="1"/>
  <c r="P887" i="3" s="1"/>
  <c r="N1418" i="1"/>
  <c r="N884" i="3" s="1"/>
  <c r="P884" i="3"/>
  <c r="P885" i="3"/>
  <c r="N1419" i="1"/>
  <c r="N885" i="3" s="1"/>
  <c r="P881" i="3"/>
  <c r="N1415" i="1"/>
  <c r="N881" i="3" s="1"/>
  <c r="P882" i="3"/>
  <c r="N1416" i="1"/>
  <c r="N882" i="3" s="1"/>
  <c r="N880" i="1"/>
  <c r="N353" i="3" s="1"/>
  <c r="L255" i="3"/>
  <c r="L785" i="1"/>
  <c r="L258" i="3" s="1"/>
  <c r="L651" i="3"/>
  <c r="L615" i="3"/>
  <c r="L1147" i="1"/>
  <c r="L618" i="3" s="1"/>
  <c r="L674" i="3"/>
  <c r="P404" i="1"/>
  <c r="P1280" i="3" s="1"/>
  <c r="D213" i="1"/>
  <c r="I462" i="1" s="1"/>
  <c r="I1337" i="3" s="1"/>
  <c r="O1281" i="3"/>
  <c r="N375" i="1"/>
  <c r="N1251" i="3" s="1"/>
  <c r="L1288" i="3"/>
  <c r="P1251" i="3"/>
  <c r="O404" i="1"/>
  <c r="F376" i="1"/>
  <c r="F1252" i="3" s="1"/>
  <c r="F1266" i="3"/>
  <c r="P376" i="1"/>
  <c r="P1252" i="3" s="1"/>
  <c r="L376" i="1"/>
  <c r="L1252" i="3" s="1"/>
  <c r="H404" i="1"/>
  <c r="H1280" i="3" s="1"/>
  <c r="O376" i="1"/>
  <c r="F404" i="1"/>
  <c r="D1041" i="3"/>
  <c r="H376" i="1"/>
  <c r="H1252" i="3" s="1"/>
  <c r="D390" i="1"/>
  <c r="D1266" i="3" s="1"/>
  <c r="D136" i="1"/>
  <c r="D1022" i="3" s="1"/>
  <c r="P342" i="3"/>
  <c r="P872" i="1"/>
  <c r="P345" i="3" s="1"/>
  <c r="P142" i="1"/>
  <c r="P1028" i="3" s="1"/>
  <c r="P818" i="1"/>
  <c r="P291" i="3" s="1"/>
  <c r="P288" i="3"/>
  <c r="H872" i="1"/>
  <c r="H345" i="3" s="1"/>
  <c r="H342" i="3"/>
  <c r="H288" i="3"/>
  <c r="H818" i="1"/>
  <c r="H291" i="3" s="1"/>
  <c r="L288" i="3"/>
  <c r="L818" i="1"/>
  <c r="L291" i="3" s="1"/>
  <c r="L342" i="3"/>
  <c r="L872" i="1"/>
  <c r="L345" i="3" s="1"/>
  <c r="F872" i="1"/>
  <c r="F345" i="3" s="1"/>
  <c r="F342" i="3"/>
  <c r="F288" i="3"/>
  <c r="F818" i="1"/>
  <c r="F291" i="3" s="1"/>
  <c r="N815" i="1"/>
  <c r="N288" i="3" s="1"/>
  <c r="O818" i="1"/>
  <c r="O142" i="1"/>
  <c r="O288" i="3"/>
  <c r="O872" i="1"/>
  <c r="N869" i="1"/>
  <c r="N342" i="3" s="1"/>
  <c r="O342" i="3"/>
  <c r="P1260" i="3"/>
  <c r="H1260" i="3"/>
  <c r="L1260" i="3"/>
  <c r="F1260" i="3"/>
  <c r="O1260" i="3"/>
  <c r="N384" i="1"/>
  <c r="H377" i="1"/>
  <c r="D377" i="1" s="1"/>
  <c r="D1253" i="3" s="1"/>
  <c r="H697" i="3"/>
  <c r="D1226" i="1"/>
  <c r="D697" i="3" s="1"/>
  <c r="D935" i="1"/>
  <c r="D408" i="3" s="1"/>
  <c r="F408" i="3"/>
  <c r="F944" i="1"/>
  <c r="F946" i="1" s="1"/>
  <c r="D939" i="1"/>
  <c r="D412" i="3" s="1"/>
  <c r="F412" i="3"/>
  <c r="D1225" i="1"/>
  <c r="D696" i="3" s="1"/>
  <c r="F696" i="3"/>
  <c r="D850" i="1"/>
  <c r="D323" i="3" s="1"/>
  <c r="F323" i="3"/>
  <c r="F453" i="3"/>
  <c r="F449" i="3"/>
  <c r="F448" i="3"/>
  <c r="F451" i="3"/>
  <c r="F983" i="1"/>
  <c r="F183" i="1"/>
  <c r="F445" i="3"/>
  <c r="F977" i="1"/>
  <c r="F450" i="3" s="1"/>
  <c r="F444" i="3"/>
  <c r="F184" i="1"/>
  <c r="F452" i="3"/>
  <c r="F455" i="3"/>
  <c r="F446" i="3"/>
  <c r="F447" i="3"/>
  <c r="O744" i="3"/>
  <c r="N1274" i="1"/>
  <c r="N744" i="3" s="1"/>
  <c r="O672" i="3"/>
  <c r="N1201" i="1"/>
  <c r="N672" i="3" s="1"/>
  <c r="N1132" i="1"/>
  <c r="N603" i="3" s="1"/>
  <c r="O1135" i="1"/>
  <c r="O603" i="3"/>
  <c r="O243" i="3"/>
  <c r="O773" i="1"/>
  <c r="N770" i="1"/>
  <c r="N243" i="3" s="1"/>
  <c r="L673" i="3"/>
  <c r="L1182" i="1"/>
  <c r="L650" i="3"/>
  <c r="L609" i="3"/>
  <c r="L1141" i="1"/>
  <c r="L249" i="3"/>
  <c r="L779" i="1"/>
  <c r="F672" i="3"/>
  <c r="F1205" i="1"/>
  <c r="F773" i="1"/>
  <c r="F243" i="3"/>
  <c r="F744" i="3"/>
  <c r="F603" i="3"/>
  <c r="F1135" i="1"/>
  <c r="O449" i="3"/>
  <c r="N976" i="1"/>
  <c r="N449" i="3" s="1"/>
  <c r="O448" i="3"/>
  <c r="N975" i="1"/>
  <c r="N448" i="3" s="1"/>
  <c r="O444" i="3"/>
  <c r="O977" i="1"/>
  <c r="N971" i="1"/>
  <c r="N444" i="3" s="1"/>
  <c r="O447" i="3"/>
  <c r="N974" i="1"/>
  <c r="N447" i="3" s="1"/>
  <c r="O455" i="3"/>
  <c r="N982" i="1"/>
  <c r="N455" i="3" s="1"/>
  <c r="O184" i="1"/>
  <c r="O452" i="3"/>
  <c r="N979" i="1"/>
  <c r="N452" i="3" s="1"/>
  <c r="N973" i="1"/>
  <c r="N446" i="3" s="1"/>
  <c r="O446" i="3"/>
  <c r="N972" i="1"/>
  <c r="N445" i="3" s="1"/>
  <c r="O183" i="1"/>
  <c r="O445" i="3"/>
  <c r="O451" i="3"/>
  <c r="O983" i="1"/>
  <c r="N978" i="1"/>
  <c r="N451" i="3" s="1"/>
  <c r="O453" i="3"/>
  <c r="N980" i="1"/>
  <c r="N453" i="3" s="1"/>
  <c r="P184" i="1"/>
  <c r="P452" i="3"/>
  <c r="P447" i="3"/>
  <c r="P453" i="3"/>
  <c r="P446" i="3"/>
  <c r="P444" i="3"/>
  <c r="P977" i="1"/>
  <c r="P450" i="3" s="1"/>
  <c r="P448" i="3"/>
  <c r="P983" i="1"/>
  <c r="P451" i="3"/>
  <c r="P449" i="3"/>
  <c r="P445" i="3"/>
  <c r="P183" i="1"/>
  <c r="P1069" i="3" s="1"/>
  <c r="P455" i="3"/>
  <c r="F517" i="3"/>
  <c r="F529" i="3"/>
  <c r="H744" i="3"/>
  <c r="H773" i="1"/>
  <c r="H243" i="3"/>
  <c r="H1135" i="1"/>
  <c r="H603" i="3"/>
  <c r="H672" i="3"/>
  <c r="L465" i="3"/>
  <c r="L463" i="3"/>
  <c r="L185" i="1"/>
  <c r="L467" i="3"/>
  <c r="L998" i="1"/>
  <c r="L461" i="3"/>
  <c r="L993" i="1"/>
  <c r="L469" i="3"/>
  <c r="L186" i="1"/>
  <c r="L468" i="3"/>
  <c r="L464" i="3"/>
  <c r="L470" i="3"/>
  <c r="P650" i="3"/>
  <c r="P1141" i="1"/>
  <c r="P612" i="3" s="1"/>
  <c r="P609" i="3"/>
  <c r="P673" i="3"/>
  <c r="P779" i="1"/>
  <c r="P252" i="3" s="1"/>
  <c r="P249" i="3"/>
  <c r="O673" i="3"/>
  <c r="N1202" i="1"/>
  <c r="N673" i="3" s="1"/>
  <c r="O779" i="1"/>
  <c r="O249" i="3"/>
  <c r="N776" i="1"/>
  <c r="N249" i="3" s="1"/>
  <c r="O650" i="3"/>
  <c r="N1179" i="1"/>
  <c r="N650" i="3" s="1"/>
  <c r="O1141" i="1"/>
  <c r="O609" i="3"/>
  <c r="N1138" i="1"/>
  <c r="N609" i="3" s="1"/>
  <c r="L529" i="3"/>
  <c r="L517" i="3"/>
  <c r="L603" i="3"/>
  <c r="L1135" i="1"/>
  <c r="L243" i="3"/>
  <c r="L773" i="1"/>
  <c r="L672" i="3"/>
  <c r="L1205" i="1"/>
  <c r="L744" i="3"/>
  <c r="H528" i="3"/>
  <c r="H516" i="3"/>
  <c r="H518" i="3"/>
  <c r="H557" i="3"/>
  <c r="H205" i="1"/>
  <c r="H1091" i="3" s="1"/>
  <c r="H184" i="1"/>
  <c r="H452" i="3"/>
  <c r="H449" i="3"/>
  <c r="H453" i="3"/>
  <c r="H444" i="3"/>
  <c r="H977" i="1"/>
  <c r="H450" i="3" s="1"/>
  <c r="H448" i="3"/>
  <c r="H455" i="3"/>
  <c r="H183" i="1"/>
  <c r="H445" i="3"/>
  <c r="H983" i="1"/>
  <c r="H451" i="3"/>
  <c r="H447" i="3"/>
  <c r="H446" i="3"/>
  <c r="P517" i="3"/>
  <c r="P529" i="3"/>
  <c r="F528" i="3"/>
  <c r="D1055" i="1"/>
  <c r="F516" i="3"/>
  <c r="D1043" i="1"/>
  <c r="D1045" i="1"/>
  <c r="F518" i="3"/>
  <c r="F779" i="1"/>
  <c r="F252" i="3" s="1"/>
  <c r="F249" i="3"/>
  <c r="F650" i="3"/>
  <c r="F1182" i="1"/>
  <c r="F653" i="3" s="1"/>
  <c r="F673" i="3"/>
  <c r="F609" i="3"/>
  <c r="F1141" i="1"/>
  <c r="L448" i="3"/>
  <c r="L452" i="3"/>
  <c r="L184" i="1"/>
  <c r="L445" i="3"/>
  <c r="L183" i="1"/>
  <c r="L449" i="3"/>
  <c r="L446" i="3"/>
  <c r="L983" i="1"/>
  <c r="L451" i="3"/>
  <c r="L444" i="3"/>
  <c r="L977" i="1"/>
  <c r="L455" i="3"/>
  <c r="L447" i="3"/>
  <c r="L453" i="3"/>
  <c r="N1044" i="1"/>
  <c r="N517" i="3" s="1"/>
  <c r="O517" i="3"/>
  <c r="O529" i="3"/>
  <c r="N1056" i="1"/>
  <c r="N529" i="3" s="1"/>
  <c r="H529" i="3"/>
  <c r="H517" i="3"/>
  <c r="P672" i="3"/>
  <c r="P744" i="3"/>
  <c r="P1135" i="1"/>
  <c r="P603" i="3"/>
  <c r="P243" i="3"/>
  <c r="P773" i="1"/>
  <c r="H249" i="3"/>
  <c r="H779" i="1"/>
  <c r="H252" i="3" s="1"/>
  <c r="H650" i="3"/>
  <c r="H609" i="3"/>
  <c r="H1141" i="1"/>
  <c r="H612" i="3" s="1"/>
  <c r="H673" i="3"/>
  <c r="F1279" i="3"/>
  <c r="N373" i="1"/>
  <c r="O1249" i="3"/>
  <c r="D1059" i="3"/>
  <c r="F422" i="1"/>
  <c r="H422" i="1"/>
  <c r="H1297" i="3" s="1"/>
  <c r="L422" i="1"/>
  <c r="L1250" i="3"/>
  <c r="F1249" i="3"/>
  <c r="D1017" i="3"/>
  <c r="F380" i="1"/>
  <c r="O380" i="1"/>
  <c r="P380" i="1"/>
  <c r="P402" i="1"/>
  <c r="D1039" i="3"/>
  <c r="F402" i="1"/>
  <c r="L402" i="1"/>
  <c r="O402" i="1"/>
  <c r="H402" i="1"/>
  <c r="D1033" i="3"/>
  <c r="F396" i="1"/>
  <c r="H396" i="1"/>
  <c r="L396" i="1"/>
  <c r="P206" i="1"/>
  <c r="O1268" i="3"/>
  <c r="N392" i="1"/>
  <c r="N403" i="1"/>
  <c r="N1279" i="3" s="1"/>
  <c r="O1279" i="3"/>
  <c r="P1279" i="3"/>
  <c r="L387" i="1"/>
  <c r="D1024" i="3"/>
  <c r="F387" i="1"/>
  <c r="H387" i="1"/>
  <c r="F1284" i="3"/>
  <c r="H1249" i="3"/>
  <c r="F1285" i="3"/>
  <c r="D409" i="1"/>
  <c r="D1285" i="3" s="1"/>
  <c r="L1292" i="3"/>
  <c r="I417" i="1"/>
  <c r="I1292" i="3" s="1"/>
  <c r="L1280" i="3"/>
  <c r="P1250" i="3"/>
  <c r="O1250" i="3"/>
  <c r="N374" i="1"/>
  <c r="N1250" i="3" s="1"/>
  <c r="F353" i="3"/>
  <c r="I1057" i="3"/>
  <c r="D171" i="1"/>
  <c r="L1284" i="3"/>
  <c r="L1249" i="3"/>
  <c r="H1283" i="3"/>
  <c r="H1292" i="3"/>
  <c r="L378" i="1"/>
  <c r="L353" i="3"/>
  <c r="O508" i="3"/>
  <c r="N1035" i="1"/>
  <c r="N508" i="3" s="1"/>
  <c r="H1279" i="3"/>
  <c r="P1284" i="3"/>
  <c r="I1055" i="3"/>
  <c r="D169" i="1"/>
  <c r="F1283" i="3"/>
  <c r="D407" i="1"/>
  <c r="D1283" i="3" s="1"/>
  <c r="F1292" i="3"/>
  <c r="D1060" i="3"/>
  <c r="O423" i="1"/>
  <c r="P423" i="1"/>
  <c r="F423" i="1"/>
  <c r="F1250" i="3"/>
  <c r="O1269" i="3"/>
  <c r="N393" i="1"/>
  <c r="N1421" i="1"/>
  <c r="N887" i="3" s="1"/>
  <c r="O887" i="3"/>
  <c r="O206" i="1"/>
  <c r="N1029" i="3"/>
  <c r="I143" i="1"/>
  <c r="I1016" i="3"/>
  <c r="D130" i="1"/>
  <c r="L1279" i="3"/>
  <c r="I428" i="1"/>
  <c r="N1303" i="3"/>
  <c r="N49" i="3"/>
  <c r="I575" i="1"/>
  <c r="I49" i="3" s="1"/>
  <c r="O1284" i="3"/>
  <c r="N408" i="1"/>
  <c r="N1284" i="3" s="1"/>
  <c r="H1284" i="3"/>
  <c r="P1249" i="3"/>
  <c r="H1286" i="3"/>
  <c r="H424" i="1"/>
  <c r="D1061" i="3"/>
  <c r="H1250" i="3"/>
  <c r="I1023" i="3"/>
  <c r="D137" i="1"/>
  <c r="F1084" i="1"/>
  <c r="O1070" i="1"/>
  <c r="L1084" i="1"/>
  <c r="L1077" i="1"/>
  <c r="F1077" i="1"/>
  <c r="H1077" i="1"/>
  <c r="H1144" i="1"/>
  <c r="H1180" i="1"/>
  <c r="H1203" i="1"/>
  <c r="H782" i="1"/>
  <c r="P1180" i="1"/>
  <c r="P1203" i="1"/>
  <c r="P1144" i="1"/>
  <c r="P782" i="1"/>
  <c r="O782" i="1"/>
  <c r="O1144" i="1"/>
  <c r="O1203" i="1"/>
  <c r="O1180" i="1"/>
  <c r="H1070" i="1"/>
  <c r="H1053" i="1"/>
  <c r="H1042" i="1"/>
  <c r="F1042" i="1"/>
  <c r="F1053" i="1"/>
  <c r="O1051" i="1"/>
  <c r="O1050" i="1"/>
  <c r="O1039" i="1"/>
  <c r="O1040" i="1"/>
  <c r="H1054" i="1"/>
  <c r="H1041" i="1"/>
  <c r="H1052" i="1"/>
  <c r="P1070" i="1"/>
  <c r="F1052" i="1"/>
  <c r="F1041" i="1"/>
  <c r="L1070" i="1"/>
  <c r="F1070" i="1"/>
  <c r="L1040" i="1"/>
  <c r="L1050" i="1"/>
  <c r="L1039" i="1"/>
  <c r="L1051" i="1"/>
  <c r="H1039" i="1"/>
  <c r="H1051" i="1"/>
  <c r="H1050" i="1"/>
  <c r="H1040" i="1"/>
  <c r="F1039" i="1"/>
  <c r="F1050" i="1"/>
  <c r="F1040" i="1"/>
  <c r="F1051" i="1"/>
  <c r="P996" i="1"/>
  <c r="P997" i="1"/>
  <c r="O994" i="1"/>
  <c r="O991" i="1"/>
  <c r="H994" i="1"/>
  <c r="H995" i="1"/>
  <c r="F990" i="1"/>
  <c r="F994" i="1"/>
  <c r="H823" i="1"/>
  <c r="F959" i="1"/>
  <c r="F952" i="1"/>
  <c r="F962" i="1"/>
  <c r="H791" i="1"/>
  <c r="F1018" i="1"/>
  <c r="F841" i="1"/>
  <c r="F1032" i="1"/>
  <c r="F1370" i="1"/>
  <c r="F1030" i="1"/>
  <c r="F1031" i="1"/>
  <c r="F1362" i="1"/>
  <c r="P1191" i="1"/>
  <c r="L959" i="1"/>
  <c r="L955" i="1"/>
  <c r="L952" i="1"/>
  <c r="L791" i="1"/>
  <c r="H1025" i="1"/>
  <c r="H1021" i="1"/>
  <c r="H1030" i="1"/>
  <c r="H1024" i="1"/>
  <c r="H1365" i="1"/>
  <c r="H1018" i="1"/>
  <c r="H1360" i="1"/>
  <c r="H841" i="1"/>
  <c r="P797" i="1"/>
  <c r="P954" i="1"/>
  <c r="P956" i="1"/>
  <c r="O956" i="1"/>
  <c r="O952" i="1"/>
  <c r="O958" i="1"/>
  <c r="L1028" i="1"/>
  <c r="L1370" i="1"/>
  <c r="L1022" i="1"/>
  <c r="L1032" i="1"/>
  <c r="L1020" i="1"/>
  <c r="L1360" i="1"/>
  <c r="L1025" i="1"/>
  <c r="H1287" i="1"/>
  <c r="H952" i="1"/>
  <c r="H959" i="1"/>
  <c r="F1240" i="1"/>
  <c r="F1209" i="1"/>
  <c r="H1361" i="1"/>
  <c r="P958" i="1"/>
  <c r="P955" i="1"/>
  <c r="O959" i="1"/>
  <c r="L1363" i="1"/>
  <c r="L1366" i="1"/>
  <c r="L1023" i="1"/>
  <c r="L1027" i="1"/>
  <c r="H956" i="1"/>
  <c r="H954" i="1"/>
  <c r="F1186" i="1"/>
  <c r="H955" i="1"/>
  <c r="O1159" i="1"/>
  <c r="P995" i="1"/>
  <c r="H997" i="1"/>
  <c r="F995" i="1"/>
  <c r="F958" i="1"/>
  <c r="F954" i="1"/>
  <c r="F1363" i="1"/>
  <c r="F892" i="1"/>
  <c r="F1364" i="1"/>
  <c r="L956" i="1"/>
  <c r="H1366" i="1"/>
  <c r="H1369" i="1"/>
  <c r="H1027" i="1"/>
  <c r="P952" i="1"/>
  <c r="O954" i="1"/>
  <c r="L892" i="1"/>
  <c r="L1018" i="1"/>
  <c r="L1021" i="1"/>
  <c r="H957" i="1"/>
  <c r="F893" i="1"/>
  <c r="P991" i="1"/>
  <c r="P990" i="1"/>
  <c r="O996" i="1"/>
  <c r="O997" i="1"/>
  <c r="H992" i="1"/>
  <c r="H996" i="1"/>
  <c r="F991" i="1"/>
  <c r="F997" i="1"/>
  <c r="F957" i="1"/>
  <c r="F961" i="1"/>
  <c r="H1153" i="1"/>
  <c r="H1186" i="1"/>
  <c r="F1027" i="1"/>
  <c r="F1019" i="1"/>
  <c r="F1365" i="1"/>
  <c r="F1360" i="1"/>
  <c r="F1368" i="1"/>
  <c r="F1369" i="1"/>
  <c r="F1029" i="1"/>
  <c r="P1159" i="1"/>
  <c r="L957" i="1"/>
  <c r="L965" i="1"/>
  <c r="L961" i="1"/>
  <c r="L1186" i="1"/>
  <c r="H1019" i="1"/>
  <c r="H1028" i="1"/>
  <c r="H1370" i="1"/>
  <c r="H1029" i="1"/>
  <c r="H1371" i="1"/>
  <c r="H1020" i="1"/>
  <c r="F1159" i="1"/>
  <c r="P961" i="1"/>
  <c r="O965" i="1"/>
  <c r="L1019" i="1"/>
  <c r="L1031" i="1"/>
  <c r="L1367" i="1"/>
  <c r="L1362" i="1"/>
  <c r="H962" i="1"/>
  <c r="O1191" i="1"/>
  <c r="F1153" i="1"/>
  <c r="O990" i="1"/>
  <c r="O995" i="1"/>
  <c r="F988" i="1"/>
  <c r="H877" i="1"/>
  <c r="H1240" i="1"/>
  <c r="F1239" i="1"/>
  <c r="F1361" i="1"/>
  <c r="F1024" i="1"/>
  <c r="L962" i="1"/>
  <c r="L1240" i="1"/>
  <c r="H1362" i="1"/>
  <c r="H1031" i="1"/>
  <c r="H1032" i="1"/>
  <c r="P965" i="1"/>
  <c r="O955" i="1"/>
  <c r="L1365" i="1"/>
  <c r="L1024" i="1"/>
  <c r="H1160" i="1"/>
  <c r="F791" i="1"/>
  <c r="P994" i="1"/>
  <c r="P992" i="1"/>
  <c r="O988" i="1"/>
  <c r="O992" i="1"/>
  <c r="H991" i="1"/>
  <c r="H988" i="1"/>
  <c r="F996" i="1"/>
  <c r="F992" i="1"/>
  <c r="F797" i="1"/>
  <c r="F955" i="1"/>
  <c r="F965" i="1"/>
  <c r="H893" i="1"/>
  <c r="H1209" i="1"/>
  <c r="F1028" i="1"/>
  <c r="F1367" i="1"/>
  <c r="F1021" i="1"/>
  <c r="F1020" i="1"/>
  <c r="F1025" i="1"/>
  <c r="F1023" i="1"/>
  <c r="F1371" i="1"/>
  <c r="P1214" i="1"/>
  <c r="L958" i="1"/>
  <c r="L954" i="1"/>
  <c r="L1153" i="1"/>
  <c r="L893" i="1"/>
  <c r="H1239" i="1"/>
  <c r="H1022" i="1"/>
  <c r="H1023" i="1"/>
  <c r="H892" i="1"/>
  <c r="H1367" i="1"/>
  <c r="H1368" i="1"/>
  <c r="H1363" i="1"/>
  <c r="F1191" i="1"/>
  <c r="P962" i="1"/>
  <c r="P957" i="1"/>
  <c r="P959" i="1"/>
  <c r="O957" i="1"/>
  <c r="O961" i="1"/>
  <c r="L1029" i="1"/>
  <c r="L1368" i="1"/>
  <c r="L1371" i="1"/>
  <c r="L1239" i="1"/>
  <c r="L841" i="1"/>
  <c r="L1030" i="1"/>
  <c r="L1364" i="1"/>
  <c r="H1192" i="1"/>
  <c r="H961" i="1"/>
  <c r="H965" i="1"/>
  <c r="P988" i="1"/>
  <c r="H990" i="1"/>
  <c r="F956" i="1"/>
  <c r="F1366" i="1"/>
  <c r="F1022" i="1"/>
  <c r="O797" i="1"/>
  <c r="L1209" i="1"/>
  <c r="H1364" i="1"/>
  <c r="F1214" i="1"/>
  <c r="O962" i="1"/>
  <c r="L1369" i="1"/>
  <c r="L1361" i="1"/>
  <c r="H958" i="1"/>
  <c r="O1214" i="1"/>
  <c r="O201" i="1" l="1"/>
  <c r="O1087" i="3" s="1"/>
  <c r="O543" i="3"/>
  <c r="F557" i="3"/>
  <c r="F205" i="1"/>
  <c r="F1091" i="3" s="1"/>
  <c r="O1287" i="3"/>
  <c r="F410" i="1"/>
  <c r="L410" i="1"/>
  <c r="I410" i="1" s="1"/>
  <c r="I1286" i="3" s="1"/>
  <c r="D397" i="1"/>
  <c r="D1273" i="3" s="1"/>
  <c r="L557" i="3"/>
  <c r="I1084" i="1"/>
  <c r="I557" i="3" s="1"/>
  <c r="L205" i="1"/>
  <c r="L1091" i="3" s="1"/>
  <c r="H550" i="3"/>
  <c r="H203" i="1"/>
  <c r="H1089" i="3" s="1"/>
  <c r="F203" i="1"/>
  <c r="F550" i="3"/>
  <c r="L203" i="1"/>
  <c r="I203" i="1" s="1"/>
  <c r="I1089" i="3" s="1"/>
  <c r="I1077" i="1"/>
  <c r="I550" i="3" s="1"/>
  <c r="L550" i="3"/>
  <c r="H1288" i="3"/>
  <c r="F1288" i="3"/>
  <c r="I412" i="1"/>
  <c r="H255" i="3"/>
  <c r="H785" i="1"/>
  <c r="H258" i="3" s="1"/>
  <c r="H1205" i="1"/>
  <c r="H676" i="3" s="1"/>
  <c r="H674" i="3"/>
  <c r="H1182" i="1"/>
  <c r="H653" i="3" s="1"/>
  <c r="H651" i="3"/>
  <c r="H615" i="3"/>
  <c r="H1147" i="1"/>
  <c r="H618" i="3" s="1"/>
  <c r="H1251" i="3"/>
  <c r="O651" i="3"/>
  <c r="N1180" i="1"/>
  <c r="N651" i="3" s="1"/>
  <c r="O1182" i="1"/>
  <c r="N1203" i="1"/>
  <c r="N674" i="3" s="1"/>
  <c r="O1205" i="1"/>
  <c r="O674" i="3"/>
  <c r="O615" i="3"/>
  <c r="O1147" i="1"/>
  <c r="O618" i="3" s="1"/>
  <c r="N1144" i="1"/>
  <c r="N615" i="3" s="1"/>
  <c r="N782" i="1"/>
  <c r="N255" i="3" s="1"/>
  <c r="O785" i="1"/>
  <c r="O258" i="3" s="1"/>
  <c r="O255" i="3"/>
  <c r="P255" i="3"/>
  <c r="P785" i="1"/>
  <c r="P258" i="3" s="1"/>
  <c r="P615" i="3"/>
  <c r="P1147" i="1"/>
  <c r="P618" i="3" s="1"/>
  <c r="P674" i="3"/>
  <c r="P1205" i="1"/>
  <c r="P676" i="3" s="1"/>
  <c r="P1182" i="1"/>
  <c r="P653" i="3" s="1"/>
  <c r="P651" i="3"/>
  <c r="O1251" i="3"/>
  <c r="H543" i="3"/>
  <c r="H201" i="1"/>
  <c r="H1087" i="3" s="1"/>
  <c r="H1287" i="3"/>
  <c r="D406" i="1"/>
  <c r="D1282" i="3" s="1"/>
  <c r="D1053" i="1"/>
  <c r="D526" i="3" s="1"/>
  <c r="F526" i="3"/>
  <c r="F515" i="3"/>
  <c r="D1042" i="1"/>
  <c r="X1042" i="1" s="1"/>
  <c r="H515" i="3"/>
  <c r="H526" i="3"/>
  <c r="D1047" i="3"/>
  <c r="F1282" i="3"/>
  <c r="D164" i="1"/>
  <c r="P413" i="1" s="1"/>
  <c r="P1289" i="3" s="1"/>
  <c r="I145" i="1"/>
  <c r="D145" i="1" s="1"/>
  <c r="F395" i="1"/>
  <c r="F1271" i="3" s="1"/>
  <c r="F201" i="1"/>
  <c r="F1087" i="3" s="1"/>
  <c r="F543" i="3"/>
  <c r="L201" i="1"/>
  <c r="L1087" i="3" s="1"/>
  <c r="L543" i="3"/>
  <c r="D1041" i="1"/>
  <c r="X1041" i="1" s="1"/>
  <c r="F514" i="3"/>
  <c r="F525" i="3"/>
  <c r="D1052" i="1"/>
  <c r="X1052" i="1" s="1"/>
  <c r="P201" i="1"/>
  <c r="P1087" i="3" s="1"/>
  <c r="P543" i="3"/>
  <c r="N1070" i="1"/>
  <c r="N543" i="3" s="1"/>
  <c r="H525" i="3"/>
  <c r="H514" i="3"/>
  <c r="H527" i="3"/>
  <c r="O513" i="3"/>
  <c r="N1040" i="1"/>
  <c r="N513" i="3" s="1"/>
  <c r="O512" i="3"/>
  <c r="N1039" i="1"/>
  <c r="N512" i="3" s="1"/>
  <c r="N1050" i="1"/>
  <c r="N523" i="3" s="1"/>
  <c r="O523" i="3"/>
  <c r="N1051" i="1"/>
  <c r="N524" i="3" s="1"/>
  <c r="O524" i="3"/>
  <c r="F1287" i="3"/>
  <c r="L1287" i="3"/>
  <c r="F1273" i="3"/>
  <c r="P1287" i="3"/>
  <c r="H1273" i="3"/>
  <c r="N405" i="1"/>
  <c r="H378" i="1"/>
  <c r="H1254" i="3" s="1"/>
  <c r="F378" i="1"/>
  <c r="F1254" i="3" s="1"/>
  <c r="L425" i="1"/>
  <c r="L1300" i="3" s="1"/>
  <c r="D821" i="1"/>
  <c r="D294" i="3" s="1"/>
  <c r="U682" i="1"/>
  <c r="I880" i="1"/>
  <c r="I353" i="3" s="1"/>
  <c r="L395" i="1"/>
  <c r="L1271" i="3" s="1"/>
  <c r="H395" i="1"/>
  <c r="H1271" i="3" s="1"/>
  <c r="P395" i="1"/>
  <c r="P1271" i="3" s="1"/>
  <c r="D1032" i="3"/>
  <c r="D822" i="1"/>
  <c r="D295" i="3" s="1"/>
  <c r="I826" i="1"/>
  <c r="I299" i="3" s="1"/>
  <c r="D1152" i="1"/>
  <c r="D623" i="3" s="1"/>
  <c r="C13" i="33"/>
  <c r="C13" i="29"/>
  <c r="D790" i="1"/>
  <c r="D263" i="3" s="1"/>
  <c r="F524" i="3"/>
  <c r="F513" i="3"/>
  <c r="F523" i="3"/>
  <c r="F512" i="3"/>
  <c r="H513" i="3"/>
  <c r="H523" i="3"/>
  <c r="H524" i="3"/>
  <c r="H512" i="3"/>
  <c r="L524" i="3"/>
  <c r="L512" i="3"/>
  <c r="L523" i="3"/>
  <c r="L513" i="3"/>
  <c r="F1281" i="3"/>
  <c r="D1185" i="1"/>
  <c r="D656" i="3" s="1"/>
  <c r="H1281" i="3"/>
  <c r="L1281" i="3"/>
  <c r="D1208" i="1"/>
  <c r="D679" i="3" s="1"/>
  <c r="I348" i="3"/>
  <c r="D875" i="1"/>
  <c r="D348" i="3" s="1"/>
  <c r="F462" i="1"/>
  <c r="F1337" i="3" s="1"/>
  <c r="D1099" i="3"/>
  <c r="O462" i="1"/>
  <c r="L462" i="1"/>
  <c r="L1337" i="3" s="1"/>
  <c r="P462" i="1"/>
  <c r="P1337" i="3" s="1"/>
  <c r="I375" i="1"/>
  <c r="I1251" i="3" s="1"/>
  <c r="N404" i="1"/>
  <c r="N1280" i="3" s="1"/>
  <c r="P465" i="3"/>
  <c r="P185" i="1"/>
  <c r="P1071" i="3" s="1"/>
  <c r="P463" i="3"/>
  <c r="P470" i="3"/>
  <c r="P468" i="3"/>
  <c r="P186" i="1"/>
  <c r="P1072" i="3" s="1"/>
  <c r="P998" i="1"/>
  <c r="P471" i="3" s="1"/>
  <c r="P467" i="3"/>
  <c r="P464" i="3"/>
  <c r="P469" i="3"/>
  <c r="P461" i="3"/>
  <c r="P993" i="1"/>
  <c r="P466" i="3" s="1"/>
  <c r="I411" i="1"/>
  <c r="I1287" i="3" s="1"/>
  <c r="N785" i="1"/>
  <c r="N258" i="3" s="1"/>
  <c r="O1280" i="3"/>
  <c r="I980" i="1"/>
  <c r="I453" i="3" s="1"/>
  <c r="O385" i="1"/>
  <c r="O1261" i="3" s="1"/>
  <c r="I975" i="1"/>
  <c r="D975" i="1" s="1"/>
  <c r="N992" i="1"/>
  <c r="O465" i="3"/>
  <c r="O470" i="3"/>
  <c r="N997" i="1"/>
  <c r="N470" i="3" s="1"/>
  <c r="O464" i="3"/>
  <c r="N991" i="1"/>
  <c r="N995" i="1"/>
  <c r="N468" i="3" s="1"/>
  <c r="O468" i="3"/>
  <c r="O186" i="1"/>
  <c r="O1072" i="3" s="1"/>
  <c r="O993" i="1"/>
  <c r="O466" i="3" s="1"/>
  <c r="N988" i="1"/>
  <c r="N461" i="3" s="1"/>
  <c r="O461" i="3"/>
  <c r="O469" i="3"/>
  <c r="N996" i="1"/>
  <c r="N994" i="1"/>
  <c r="N467" i="3" s="1"/>
  <c r="O998" i="1"/>
  <c r="O467" i="3"/>
  <c r="N990" i="1"/>
  <c r="N463" i="3" s="1"/>
  <c r="O463" i="3"/>
  <c r="O185" i="1"/>
  <c r="O1071" i="3" s="1"/>
  <c r="H1253" i="3"/>
  <c r="F465" i="3"/>
  <c r="F470" i="3"/>
  <c r="F467" i="3"/>
  <c r="F998" i="1"/>
  <c r="F471" i="3" s="1"/>
  <c r="F468" i="3"/>
  <c r="F186" i="1"/>
  <c r="F1072" i="3" s="1"/>
  <c r="F469" i="3"/>
  <c r="F464" i="3"/>
  <c r="F463" i="3"/>
  <c r="F185" i="1"/>
  <c r="F1071" i="3" s="1"/>
  <c r="F461" i="3"/>
  <c r="F993" i="1"/>
  <c r="F466" i="3" s="1"/>
  <c r="H993" i="1"/>
  <c r="H466" i="3" s="1"/>
  <c r="H461" i="3"/>
  <c r="H469" i="3"/>
  <c r="H186" i="1"/>
  <c r="H1072" i="3" s="1"/>
  <c r="H468" i="3"/>
  <c r="H463" i="3"/>
  <c r="H185" i="1"/>
  <c r="H1071" i="3" s="1"/>
  <c r="H464" i="3"/>
  <c r="H465" i="3"/>
  <c r="H998" i="1"/>
  <c r="H471" i="3" s="1"/>
  <c r="H467" i="3"/>
  <c r="H470" i="3"/>
  <c r="O1252" i="3"/>
  <c r="N376" i="1"/>
  <c r="F1280" i="3"/>
  <c r="I1051" i="1"/>
  <c r="I524" i="3" s="1"/>
  <c r="D525" i="3"/>
  <c r="I403" i="1"/>
  <c r="I1279" i="3" s="1"/>
  <c r="F385" i="1"/>
  <c r="H35" i="11" s="1"/>
  <c r="J35" i="11" s="1"/>
  <c r="L385" i="1"/>
  <c r="L1261" i="3" s="1"/>
  <c r="P385" i="1"/>
  <c r="P1261" i="3" s="1"/>
  <c r="H385" i="1"/>
  <c r="H1261" i="3" s="1"/>
  <c r="D1084" i="1"/>
  <c r="D557" i="3" s="1"/>
  <c r="F417" i="3"/>
  <c r="I869" i="1"/>
  <c r="N1260" i="3"/>
  <c r="I384" i="1"/>
  <c r="O345" i="3"/>
  <c r="N872" i="1"/>
  <c r="I815" i="1"/>
  <c r="N142" i="1"/>
  <c r="O1028" i="3"/>
  <c r="O291" i="3"/>
  <c r="N818" i="1"/>
  <c r="I770" i="1"/>
  <c r="I243" i="3" s="1"/>
  <c r="D417" i="1"/>
  <c r="D1292" i="3" s="1"/>
  <c r="I978" i="1"/>
  <c r="I451" i="3" s="1"/>
  <c r="I976" i="1"/>
  <c r="I449" i="3" s="1"/>
  <c r="I979" i="1"/>
  <c r="I452" i="3" s="1"/>
  <c r="H296" i="3"/>
  <c r="D823" i="1"/>
  <c r="D296" i="3" s="1"/>
  <c r="H826" i="1"/>
  <c r="H880" i="1"/>
  <c r="H353" i="3" s="1"/>
  <c r="H350" i="3"/>
  <c r="D877" i="1"/>
  <c r="D350" i="3" s="1"/>
  <c r="I982" i="1"/>
  <c r="I455" i="3" s="1"/>
  <c r="I973" i="1"/>
  <c r="I446" i="3" s="1"/>
  <c r="I1274" i="1"/>
  <c r="I744" i="3" s="1"/>
  <c r="I971" i="1"/>
  <c r="I444" i="3" s="1"/>
  <c r="I1132" i="1"/>
  <c r="I603" i="3" s="1"/>
  <c r="D944" i="1"/>
  <c r="D417" i="3" s="1"/>
  <c r="I974" i="1"/>
  <c r="I447" i="3" s="1"/>
  <c r="I972" i="1"/>
  <c r="I445" i="3" s="1"/>
  <c r="I1201" i="1"/>
  <c r="I672" i="3" s="1"/>
  <c r="O685" i="3"/>
  <c r="N1214" i="1"/>
  <c r="O1162" i="1"/>
  <c r="N1159" i="1"/>
  <c r="O630" i="3"/>
  <c r="N1191" i="1"/>
  <c r="O1194" i="1"/>
  <c r="O662" i="3"/>
  <c r="F680" i="3"/>
  <c r="F1211" i="1"/>
  <c r="F366" i="3"/>
  <c r="F624" i="3"/>
  <c r="F1156" i="1"/>
  <c r="F657" i="3"/>
  <c r="F1188" i="1"/>
  <c r="F710" i="3"/>
  <c r="F264" i="3"/>
  <c r="F794" i="1"/>
  <c r="H428" i="3"/>
  <c r="H427" i="3"/>
  <c r="H181" i="1"/>
  <c r="H1067" i="3" s="1"/>
  <c r="H432" i="3"/>
  <c r="H430" i="3"/>
  <c r="H438" i="3"/>
  <c r="H435" i="3"/>
  <c r="H182" i="1"/>
  <c r="H960" i="1"/>
  <c r="H433" i="3" s="1"/>
  <c r="H425" i="3"/>
  <c r="H431" i="3"/>
  <c r="H434" i="3"/>
  <c r="H966" i="1"/>
  <c r="H429" i="3"/>
  <c r="H757" i="3"/>
  <c r="D1287" i="1"/>
  <c r="D757" i="3" s="1"/>
  <c r="H631" i="3"/>
  <c r="D1160" i="1"/>
  <c r="D631" i="3" s="1"/>
  <c r="H1162" i="1"/>
  <c r="H633" i="3" s="1"/>
  <c r="H663" i="3"/>
  <c r="D1192" i="1"/>
  <c r="D663" i="3" s="1"/>
  <c r="H1194" i="1"/>
  <c r="L829" i="3"/>
  <c r="I1362" i="1"/>
  <c r="I829" i="3" s="1"/>
  <c r="I1025" i="1"/>
  <c r="I498" i="3" s="1"/>
  <c r="L498" i="3"/>
  <c r="L494" i="3"/>
  <c r="I1021" i="1"/>
  <c r="I494" i="3" s="1"/>
  <c r="I1364" i="1"/>
  <c r="I831" i="3" s="1"/>
  <c r="L831" i="3"/>
  <c r="L834" i="3"/>
  <c r="I1367" i="1"/>
  <c r="I834" i="3" s="1"/>
  <c r="L827" i="3"/>
  <c r="I1360" i="1"/>
  <c r="D1360" i="1" s="1"/>
  <c r="L1373" i="1"/>
  <c r="I1361" i="1"/>
  <c r="I828" i="3" s="1"/>
  <c r="L828" i="3"/>
  <c r="L503" i="3"/>
  <c r="I1030" i="1"/>
  <c r="I503" i="3" s="1"/>
  <c r="L1033" i="1"/>
  <c r="L500" i="3"/>
  <c r="I1027" i="1"/>
  <c r="I500" i="3" s="1"/>
  <c r="I1020" i="1"/>
  <c r="I493" i="3" s="1"/>
  <c r="L493" i="3"/>
  <c r="L497" i="3"/>
  <c r="I1024" i="1"/>
  <c r="I497" i="3" s="1"/>
  <c r="L314" i="3"/>
  <c r="I841" i="1"/>
  <c r="I314" i="3" s="1"/>
  <c r="I1031" i="1"/>
  <c r="I504" i="3" s="1"/>
  <c r="L504" i="3"/>
  <c r="L505" i="3"/>
  <c r="I1032" i="1"/>
  <c r="I505" i="3" s="1"/>
  <c r="L491" i="3"/>
  <c r="I1018" i="1"/>
  <c r="I491" i="3" s="1"/>
  <c r="L709" i="3"/>
  <c r="I1239" i="1"/>
  <c r="I709" i="3" s="1"/>
  <c r="L496" i="3"/>
  <c r="I1023" i="1"/>
  <c r="I496" i="3" s="1"/>
  <c r="L495" i="3"/>
  <c r="I1022" i="1"/>
  <c r="I495" i="3" s="1"/>
  <c r="I1365" i="1"/>
  <c r="I832" i="3" s="1"/>
  <c r="L832" i="3"/>
  <c r="L838" i="3"/>
  <c r="I1371" i="1"/>
  <c r="I838" i="3" s="1"/>
  <c r="I1019" i="1"/>
  <c r="I492" i="3" s="1"/>
  <c r="L492" i="3"/>
  <c r="L193" i="1"/>
  <c r="I1370" i="1"/>
  <c r="I837" i="3" s="1"/>
  <c r="L837" i="3"/>
  <c r="L836" i="3"/>
  <c r="I1369" i="1"/>
  <c r="I836" i="3" s="1"/>
  <c r="I1368" i="1"/>
  <c r="I835" i="3" s="1"/>
  <c r="L835" i="3"/>
  <c r="L192" i="1"/>
  <c r="L188" i="1"/>
  <c r="L189" i="1"/>
  <c r="I1366" i="1"/>
  <c r="I833" i="3" s="1"/>
  <c r="L833" i="3"/>
  <c r="L187" i="1"/>
  <c r="L191" i="1"/>
  <c r="L190" i="1"/>
  <c r="I1028" i="1"/>
  <c r="I501" i="3" s="1"/>
  <c r="L501" i="3"/>
  <c r="L194" i="1"/>
  <c r="L365" i="3"/>
  <c r="I892" i="1"/>
  <c r="I365" i="3" s="1"/>
  <c r="L502" i="3"/>
  <c r="I1029" i="1"/>
  <c r="I502" i="3" s="1"/>
  <c r="L830" i="3"/>
  <c r="I1363" i="1"/>
  <c r="I830" i="3" s="1"/>
  <c r="O431" i="3"/>
  <c r="N958" i="1"/>
  <c r="N431" i="3" s="1"/>
  <c r="O428" i="3"/>
  <c r="N955" i="1"/>
  <c r="N428" i="3" s="1"/>
  <c r="N961" i="1"/>
  <c r="N434" i="3" s="1"/>
  <c r="O434" i="3"/>
  <c r="O966" i="1"/>
  <c r="O438" i="3"/>
  <c r="N965" i="1"/>
  <c r="N438" i="3" s="1"/>
  <c r="O960" i="1"/>
  <c r="N952" i="1"/>
  <c r="N425" i="3" s="1"/>
  <c r="O425" i="3"/>
  <c r="O427" i="3"/>
  <c r="N954" i="1"/>
  <c r="N427" i="3" s="1"/>
  <c r="O181" i="1"/>
  <c r="N957" i="1"/>
  <c r="N430" i="3" s="1"/>
  <c r="O430" i="3"/>
  <c r="O432" i="3"/>
  <c r="N959" i="1"/>
  <c r="N432" i="3" s="1"/>
  <c r="N956" i="1"/>
  <c r="N429" i="3" s="1"/>
  <c r="O429" i="3"/>
  <c r="O435" i="3"/>
  <c r="O182" i="1"/>
  <c r="N962" i="1"/>
  <c r="N435" i="3" s="1"/>
  <c r="P432" i="3"/>
  <c r="P428" i="3"/>
  <c r="P429" i="3"/>
  <c r="P438" i="3"/>
  <c r="P430" i="3"/>
  <c r="P434" i="3"/>
  <c r="P966" i="1"/>
  <c r="P427" i="3"/>
  <c r="P181" i="1"/>
  <c r="P960" i="1"/>
  <c r="P433" i="3" s="1"/>
  <c r="P425" i="3"/>
  <c r="P182" i="1"/>
  <c r="P1068" i="3" s="1"/>
  <c r="P435" i="3"/>
  <c r="P431" i="3"/>
  <c r="P270" i="3"/>
  <c r="P798" i="1"/>
  <c r="P271" i="3" s="1"/>
  <c r="F685" i="3"/>
  <c r="F1194" i="1"/>
  <c r="F662" i="3"/>
  <c r="F1162" i="1"/>
  <c r="F630" i="3"/>
  <c r="H314" i="3"/>
  <c r="H505" i="3"/>
  <c r="H830" i="3"/>
  <c r="H493" i="3"/>
  <c r="H827" i="3"/>
  <c r="H1373" i="1"/>
  <c r="H500" i="3"/>
  <c r="H1033" i="1"/>
  <c r="H835" i="3"/>
  <c r="H828" i="3"/>
  <c r="H491" i="3"/>
  <c r="H504" i="3"/>
  <c r="H834" i="3"/>
  <c r="H838" i="3"/>
  <c r="H832" i="3"/>
  <c r="H831" i="3"/>
  <c r="H365" i="3"/>
  <c r="H502" i="3"/>
  <c r="H497" i="3"/>
  <c r="H836" i="3"/>
  <c r="H496" i="3"/>
  <c r="H837" i="3"/>
  <c r="H503" i="3"/>
  <c r="H829" i="3"/>
  <c r="H495" i="3"/>
  <c r="H501" i="3"/>
  <c r="H194" i="1"/>
  <c r="H494" i="3"/>
  <c r="H189" i="1"/>
  <c r="H188" i="1"/>
  <c r="H187" i="1"/>
  <c r="H190" i="1"/>
  <c r="H191" i="1"/>
  <c r="H833" i="3"/>
  <c r="H192" i="1"/>
  <c r="H709" i="3"/>
  <c r="H492" i="3"/>
  <c r="H193" i="1"/>
  <c r="H498" i="3"/>
  <c r="I1209" i="1"/>
  <c r="I680" i="3" s="1"/>
  <c r="L680" i="3"/>
  <c r="L1211" i="1"/>
  <c r="I893" i="1"/>
  <c r="I366" i="3" s="1"/>
  <c r="L366" i="3"/>
  <c r="I1186" i="1"/>
  <c r="I657" i="3" s="1"/>
  <c r="L657" i="3"/>
  <c r="L1188" i="1"/>
  <c r="I791" i="1"/>
  <c r="I264" i="3" s="1"/>
  <c r="L264" i="3"/>
  <c r="L794" i="1"/>
  <c r="L710" i="3"/>
  <c r="I1240" i="1"/>
  <c r="I710" i="3" s="1"/>
  <c r="I1153" i="1"/>
  <c r="I624" i="3" s="1"/>
  <c r="L624" i="3"/>
  <c r="L1156" i="1"/>
  <c r="L966" i="1"/>
  <c r="L434" i="3"/>
  <c r="L960" i="1"/>
  <c r="L425" i="3"/>
  <c r="L429" i="3"/>
  <c r="L427" i="3"/>
  <c r="L181" i="1"/>
  <c r="L438" i="3"/>
  <c r="L428" i="3"/>
  <c r="L435" i="3"/>
  <c r="L182" i="1"/>
  <c r="L431" i="3"/>
  <c r="L430" i="3"/>
  <c r="L432" i="3"/>
  <c r="N797" i="1"/>
  <c r="O270" i="3"/>
  <c r="O798" i="1"/>
  <c r="P685" i="3"/>
  <c r="P630" i="3"/>
  <c r="P1162" i="1"/>
  <c r="P633" i="3" s="1"/>
  <c r="P662" i="3"/>
  <c r="P1194" i="1"/>
  <c r="F831" i="3"/>
  <c r="F838" i="3"/>
  <c r="F502" i="3"/>
  <c r="F829" i="3"/>
  <c r="F497" i="3"/>
  <c r="F496" i="3"/>
  <c r="F836" i="3"/>
  <c r="F504" i="3"/>
  <c r="F365" i="3"/>
  <c r="F498" i="3"/>
  <c r="F835" i="3"/>
  <c r="F503" i="3"/>
  <c r="F495" i="3"/>
  <c r="F493" i="3"/>
  <c r="F1373" i="1"/>
  <c r="F827" i="3"/>
  <c r="F837" i="3"/>
  <c r="F828" i="3"/>
  <c r="F494" i="3"/>
  <c r="F832" i="3"/>
  <c r="F505" i="3"/>
  <c r="F830" i="3"/>
  <c r="F834" i="3"/>
  <c r="F492" i="3"/>
  <c r="F193" i="1"/>
  <c r="F314" i="3"/>
  <c r="F709" i="3"/>
  <c r="F501" i="3"/>
  <c r="F194" i="1"/>
  <c r="F500" i="3"/>
  <c r="F1033" i="1"/>
  <c r="F491" i="3"/>
  <c r="F189" i="1"/>
  <c r="F187" i="1"/>
  <c r="F833" i="3"/>
  <c r="F192" i="1"/>
  <c r="F191" i="1"/>
  <c r="F188" i="1"/>
  <c r="F190" i="1"/>
  <c r="H680" i="3"/>
  <c r="H1211" i="1"/>
  <c r="H657" i="3"/>
  <c r="H1188" i="1"/>
  <c r="H659" i="3" s="1"/>
  <c r="H264" i="3"/>
  <c r="H794" i="1"/>
  <c r="H267" i="3" s="1"/>
  <c r="H710" i="3"/>
  <c r="H366" i="3"/>
  <c r="H624" i="3"/>
  <c r="H1156" i="1"/>
  <c r="H627" i="3" s="1"/>
  <c r="F182" i="1"/>
  <c r="F435" i="3"/>
  <c r="F427" i="3"/>
  <c r="F181" i="1"/>
  <c r="F438" i="3"/>
  <c r="F966" i="1"/>
  <c r="F434" i="3"/>
  <c r="F425" i="3"/>
  <c r="F960" i="1"/>
  <c r="F429" i="3"/>
  <c r="F428" i="3"/>
  <c r="F430" i="3"/>
  <c r="F432" i="3"/>
  <c r="F431" i="3"/>
  <c r="F270" i="3"/>
  <c r="F798" i="1"/>
  <c r="I1303" i="3"/>
  <c r="D428" i="1"/>
  <c r="D1303" i="3" s="1"/>
  <c r="N1269" i="3"/>
  <c r="I393" i="1"/>
  <c r="O1298" i="3"/>
  <c r="N423" i="1"/>
  <c r="L1254" i="3"/>
  <c r="I378" i="1"/>
  <c r="I1254" i="3" s="1"/>
  <c r="F419" i="3"/>
  <c r="F575" i="1"/>
  <c r="D946" i="1"/>
  <c r="F1272" i="3"/>
  <c r="H1278" i="3"/>
  <c r="L450" i="3"/>
  <c r="L456" i="3"/>
  <c r="L985" i="1"/>
  <c r="F1089" i="3"/>
  <c r="H1069" i="3"/>
  <c r="H1070" i="3"/>
  <c r="O252" i="3"/>
  <c r="N779" i="1"/>
  <c r="N252" i="3" s="1"/>
  <c r="L1071" i="3"/>
  <c r="H606" i="3"/>
  <c r="F606" i="3"/>
  <c r="F1149" i="1"/>
  <c r="L252" i="3"/>
  <c r="I1202" i="1"/>
  <c r="O246" i="3"/>
  <c r="N773" i="1"/>
  <c r="N246" i="3" s="1"/>
  <c r="D1023" i="3"/>
  <c r="L386" i="1"/>
  <c r="O386" i="1"/>
  <c r="F386" i="1"/>
  <c r="P386" i="1"/>
  <c r="P1262" i="3" s="1"/>
  <c r="H386" i="1"/>
  <c r="H1262" i="3" s="1"/>
  <c r="D424" i="1"/>
  <c r="D1299" i="3" s="1"/>
  <c r="H1299" i="3"/>
  <c r="O455" i="1"/>
  <c r="O1092" i="3"/>
  <c r="N206" i="1"/>
  <c r="N1092" i="3" s="1"/>
  <c r="I408" i="1"/>
  <c r="I387" i="1"/>
  <c r="I1263" i="3" s="1"/>
  <c r="L1263" i="3"/>
  <c r="P1092" i="3"/>
  <c r="P455" i="1"/>
  <c r="N402" i="1"/>
  <c r="N1278" i="3" s="1"/>
  <c r="O1278" i="3"/>
  <c r="P1278" i="3"/>
  <c r="P1256" i="3"/>
  <c r="I374" i="1"/>
  <c r="F1297" i="3"/>
  <c r="P606" i="3"/>
  <c r="L1070" i="3"/>
  <c r="F612" i="3"/>
  <c r="X1045" i="1"/>
  <c r="D518" i="3"/>
  <c r="X1055" i="1"/>
  <c r="D528" i="3"/>
  <c r="L606" i="3"/>
  <c r="L1149" i="1"/>
  <c r="I1044" i="1"/>
  <c r="N183" i="1"/>
  <c r="N1069" i="3" s="1"/>
  <c r="O1069" i="3"/>
  <c r="O450" i="3"/>
  <c r="N977" i="1"/>
  <c r="N450" i="3" s="1"/>
  <c r="O676" i="3"/>
  <c r="F1070" i="3"/>
  <c r="F456" i="3"/>
  <c r="F985" i="1"/>
  <c r="I1029" i="3"/>
  <c r="D143" i="1"/>
  <c r="D1029" i="3" s="1"/>
  <c r="F1298" i="3"/>
  <c r="D1055" i="3"/>
  <c r="P418" i="1"/>
  <c r="P1293" i="3" s="1"/>
  <c r="O418" i="1"/>
  <c r="H1263" i="3"/>
  <c r="N1268" i="3"/>
  <c r="I392" i="1"/>
  <c r="I396" i="1"/>
  <c r="I1272" i="3" s="1"/>
  <c r="L1272" i="3"/>
  <c r="L1278" i="3"/>
  <c r="N380" i="1"/>
  <c r="O1256" i="3"/>
  <c r="I373" i="1"/>
  <c r="N1249" i="3"/>
  <c r="P246" i="3"/>
  <c r="L1069" i="3"/>
  <c r="H456" i="3"/>
  <c r="H985" i="1"/>
  <c r="H458" i="3" s="1"/>
  <c r="L676" i="3"/>
  <c r="L246" i="3"/>
  <c r="L787" i="1"/>
  <c r="I1056" i="1"/>
  <c r="O612" i="3"/>
  <c r="N1141" i="1"/>
  <c r="N612" i="3" s="1"/>
  <c r="L1072" i="3"/>
  <c r="L471" i="3"/>
  <c r="L1000" i="1"/>
  <c r="H246" i="3"/>
  <c r="H787" i="1"/>
  <c r="P456" i="3"/>
  <c r="P985" i="1"/>
  <c r="P458" i="3" s="1"/>
  <c r="P1070" i="3"/>
  <c r="O456" i="3"/>
  <c r="N983" i="1"/>
  <c r="N456" i="3" s="1"/>
  <c r="O985" i="1"/>
  <c r="F246" i="3"/>
  <c r="F787" i="1"/>
  <c r="L612" i="3"/>
  <c r="I1179" i="1"/>
  <c r="D1016" i="3"/>
  <c r="O379" i="1"/>
  <c r="P379" i="1"/>
  <c r="F379" i="1"/>
  <c r="L379" i="1"/>
  <c r="H379" i="1"/>
  <c r="P1298" i="3"/>
  <c r="D1057" i="3"/>
  <c r="H420" i="1"/>
  <c r="H1295" i="3" s="1"/>
  <c r="F420" i="1"/>
  <c r="O420" i="1"/>
  <c r="L420" i="1"/>
  <c r="P420" i="1"/>
  <c r="P1295" i="3" s="1"/>
  <c r="F1263" i="3"/>
  <c r="H36" i="11"/>
  <c r="J36" i="11" s="1"/>
  <c r="H1272" i="3"/>
  <c r="F1278" i="3"/>
  <c r="F1256" i="3"/>
  <c r="L1297" i="3"/>
  <c r="I422" i="1"/>
  <c r="I1297" i="3" s="1"/>
  <c r="X1043" i="1"/>
  <c r="D516" i="3"/>
  <c r="O653" i="3"/>
  <c r="L466" i="3"/>
  <c r="O1070" i="3"/>
  <c r="N184" i="1"/>
  <c r="N1070" i="3" s="1"/>
  <c r="F676" i="3"/>
  <c r="I776" i="1"/>
  <c r="I1138" i="1"/>
  <c r="L653" i="3"/>
  <c r="O606" i="3"/>
  <c r="N1135" i="1"/>
  <c r="N606" i="3" s="1"/>
  <c r="F1069" i="3"/>
  <c r="F1054" i="1"/>
  <c r="L1054" i="1"/>
  <c r="L1161" i="1"/>
  <c r="F1215" i="1"/>
  <c r="L895" i="1"/>
  <c r="P895" i="1"/>
  <c r="O895" i="1"/>
  <c r="O1341" i="1"/>
  <c r="O1335" i="1"/>
  <c r="O1325" i="1"/>
  <c r="O1238" i="1"/>
  <c r="O1350" i="1"/>
  <c r="O1346" i="1"/>
  <c r="O1333" i="1"/>
  <c r="O1327" i="1"/>
  <c r="F1345" i="1"/>
  <c r="F1339" i="1"/>
  <c r="F1350" i="1"/>
  <c r="F1238" i="1"/>
  <c r="F1325" i="1"/>
  <c r="F1338" i="1"/>
  <c r="F1328" i="1"/>
  <c r="L1335" i="1"/>
  <c r="L1349" i="1"/>
  <c r="L1238" i="1"/>
  <c r="L1329" i="1"/>
  <c r="L1331" i="1"/>
  <c r="L1330" i="1"/>
  <c r="L1346" i="1"/>
  <c r="L1343" i="1"/>
  <c r="P1331" i="1"/>
  <c r="P1348" i="1"/>
  <c r="P1347" i="1"/>
  <c r="P1325" i="1"/>
  <c r="P1349" i="1"/>
  <c r="P891" i="1"/>
  <c r="P1326" i="1"/>
  <c r="H1344" i="1"/>
  <c r="H1342" i="1"/>
  <c r="H1327" i="1"/>
  <c r="H1330" i="1"/>
  <c r="H1238" i="1"/>
  <c r="H1325" i="1"/>
  <c r="H891" i="1"/>
  <c r="H1326" i="1"/>
  <c r="F1377" i="1"/>
  <c r="F1381" i="1"/>
  <c r="F1387" i="1"/>
  <c r="F1383" i="1"/>
  <c r="F1046" i="1"/>
  <c r="F1038" i="1"/>
  <c r="P1393" i="1"/>
  <c r="P1379" i="1"/>
  <c r="P1386" i="1"/>
  <c r="P1389" i="1"/>
  <c r="P1049" i="1"/>
  <c r="P1376" i="1"/>
  <c r="P1038" i="1"/>
  <c r="L1394" i="1"/>
  <c r="L1038" i="1"/>
  <c r="L1057" i="1"/>
  <c r="O1381" i="1"/>
  <c r="O1382" i="1"/>
  <c r="O1049" i="1"/>
  <c r="H1389" i="1"/>
  <c r="H1382" i="1"/>
  <c r="F895" i="1"/>
  <c r="O883" i="1"/>
  <c r="O1338" i="1"/>
  <c r="O1344" i="1"/>
  <c r="O1340" i="1"/>
  <c r="F891" i="1"/>
  <c r="F1349" i="1"/>
  <c r="F1334" i="1"/>
  <c r="L1328" i="1"/>
  <c r="L1350" i="1"/>
  <c r="L1340" i="1"/>
  <c r="P840" i="1"/>
  <c r="P1337" i="1"/>
  <c r="P1340" i="1"/>
  <c r="H1328" i="1"/>
  <c r="H1332" i="1"/>
  <c r="H1335" i="1"/>
  <c r="F842" i="1"/>
  <c r="F1389" i="1"/>
  <c r="F1386" i="1"/>
  <c r="P1377" i="1"/>
  <c r="P1390" i="1"/>
  <c r="P1057" i="1"/>
  <c r="O1074" i="1"/>
  <c r="L1380" i="1"/>
  <c r="L1392" i="1"/>
  <c r="O1046" i="1"/>
  <c r="O1378" i="1"/>
  <c r="H1388" i="1"/>
  <c r="H1381" i="1"/>
  <c r="H842" i="1"/>
  <c r="F1242" i="1"/>
  <c r="L1215" i="1"/>
  <c r="P883" i="1"/>
  <c r="O1215" i="1"/>
  <c r="O1337" i="1"/>
  <c r="O1342" i="1"/>
  <c r="O1339" i="1"/>
  <c r="O1330" i="1"/>
  <c r="O1331" i="1"/>
  <c r="O840" i="1"/>
  <c r="O1343" i="1"/>
  <c r="F1347" i="1"/>
  <c r="F1341" i="1"/>
  <c r="F1348" i="1"/>
  <c r="F1327" i="1"/>
  <c r="F1331" i="1"/>
  <c r="F1340" i="1"/>
  <c r="F840" i="1"/>
  <c r="F1332" i="1"/>
  <c r="L1338" i="1"/>
  <c r="L1341" i="1"/>
  <c r="L1344" i="1"/>
  <c r="L1347" i="1"/>
  <c r="L1010" i="1"/>
  <c r="L1348" i="1"/>
  <c r="L1332" i="1"/>
  <c r="P1332" i="1"/>
  <c r="P1328" i="1"/>
  <c r="P1344" i="1"/>
  <c r="P1330" i="1"/>
  <c r="P1341" i="1"/>
  <c r="P1334" i="1"/>
  <c r="P1350" i="1"/>
  <c r="P1338" i="1"/>
  <c r="H840" i="1"/>
  <c r="H1341" i="1"/>
  <c r="H1336" i="1"/>
  <c r="H1350" i="1"/>
  <c r="H1334" i="1"/>
  <c r="H1343" i="1"/>
  <c r="H1331" i="1"/>
  <c r="P1074" i="1"/>
  <c r="F1047" i="1"/>
  <c r="F1049" i="1"/>
  <c r="F1379" i="1"/>
  <c r="F1392" i="1"/>
  <c r="F1378" i="1"/>
  <c r="F1384" i="1"/>
  <c r="P1380" i="1"/>
  <c r="P1046" i="1"/>
  <c r="P1392" i="1"/>
  <c r="P1378" i="1"/>
  <c r="P1382" i="1"/>
  <c r="P1383" i="1"/>
  <c r="O1081" i="1"/>
  <c r="L1387" i="1"/>
  <c r="L1383" i="1"/>
  <c r="L1047" i="1"/>
  <c r="L1389" i="1"/>
  <c r="L1384" i="1"/>
  <c r="L1390" i="1"/>
  <c r="O1038" i="1"/>
  <c r="O1376" i="1"/>
  <c r="O1388" i="1"/>
  <c r="O1393" i="1"/>
  <c r="O1387" i="1"/>
  <c r="O1386" i="1"/>
  <c r="H1376" i="1"/>
  <c r="H1393" i="1"/>
  <c r="H1386" i="1"/>
  <c r="H1378" i="1"/>
  <c r="H1384" i="1"/>
  <c r="H1038" i="1"/>
  <c r="L842" i="1"/>
  <c r="O842" i="1"/>
  <c r="O1392" i="1"/>
  <c r="H1391" i="1"/>
  <c r="H1057" i="1"/>
  <c r="L883" i="1"/>
  <c r="O1336" i="1"/>
  <c r="F1337" i="1"/>
  <c r="F1336" i="1"/>
  <c r="L891" i="1"/>
  <c r="L1339" i="1"/>
  <c r="P1345" i="1"/>
  <c r="P1327" i="1"/>
  <c r="H1347" i="1"/>
  <c r="H1337" i="1"/>
  <c r="F1382" i="1"/>
  <c r="F1388" i="1"/>
  <c r="P1384" i="1"/>
  <c r="P1394" i="1"/>
  <c r="L1393" i="1"/>
  <c r="L1386" i="1"/>
  <c r="O1380" i="1"/>
  <c r="H1379" i="1"/>
  <c r="H1392" i="1"/>
  <c r="F883" i="1"/>
  <c r="L1242" i="1"/>
  <c r="P1215" i="1"/>
  <c r="O1242" i="1"/>
  <c r="O1349" i="1"/>
  <c r="O1326" i="1"/>
  <c r="O1010" i="1"/>
  <c r="O1329" i="1"/>
  <c r="O1334" i="1"/>
  <c r="O1347" i="1"/>
  <c r="O1328" i="1"/>
  <c r="O1332" i="1"/>
  <c r="F1343" i="1"/>
  <c r="F1010" i="1"/>
  <c r="F1335" i="1"/>
  <c r="F1333" i="1"/>
  <c r="F1329" i="1"/>
  <c r="F1344" i="1"/>
  <c r="F1346" i="1"/>
  <c r="L1337" i="1"/>
  <c r="L1325" i="1"/>
  <c r="L1336" i="1"/>
  <c r="L1342" i="1"/>
  <c r="L1345" i="1"/>
  <c r="L1334" i="1"/>
  <c r="L1333" i="1"/>
  <c r="L1327" i="1"/>
  <c r="P1238" i="1"/>
  <c r="P1339" i="1"/>
  <c r="P1335" i="1"/>
  <c r="P1342" i="1"/>
  <c r="P1010" i="1"/>
  <c r="P1333" i="1"/>
  <c r="P1329" i="1"/>
  <c r="H1345" i="1"/>
  <c r="H1346" i="1"/>
  <c r="H1339" i="1"/>
  <c r="H1329" i="1"/>
  <c r="H1338" i="1"/>
  <c r="H1340" i="1"/>
  <c r="H1010" i="1"/>
  <c r="H1333" i="1"/>
  <c r="F1390" i="1"/>
  <c r="F1057" i="1"/>
  <c r="F1391" i="1"/>
  <c r="F1380" i="1"/>
  <c r="F1393" i="1"/>
  <c r="F1385" i="1"/>
  <c r="F1376" i="1"/>
  <c r="P1385" i="1"/>
  <c r="P1387" i="1"/>
  <c r="P1047" i="1"/>
  <c r="P842" i="1"/>
  <c r="P1391" i="1"/>
  <c r="P1381" i="1"/>
  <c r="L1376" i="1"/>
  <c r="L1391" i="1"/>
  <c r="L1381" i="1"/>
  <c r="L1388" i="1"/>
  <c r="L1377" i="1"/>
  <c r="L1049" i="1"/>
  <c r="L1382" i="1"/>
  <c r="O1394" i="1"/>
  <c r="O1384" i="1"/>
  <c r="O1391" i="1"/>
  <c r="O1047" i="1"/>
  <c r="O1385" i="1"/>
  <c r="O1377" i="1"/>
  <c r="H1380" i="1"/>
  <c r="H1049" i="1"/>
  <c r="H1390" i="1"/>
  <c r="H1385" i="1"/>
  <c r="H1047" i="1"/>
  <c r="H1394" i="1"/>
  <c r="L1046" i="1"/>
  <c r="L1379" i="1"/>
  <c r="O1390" i="1"/>
  <c r="O1383" i="1"/>
  <c r="H1387" i="1"/>
  <c r="H1383" i="1"/>
  <c r="P1242" i="1"/>
  <c r="O1348" i="1"/>
  <c r="O1345" i="1"/>
  <c r="O891" i="1"/>
  <c r="F1342" i="1"/>
  <c r="F1330" i="1"/>
  <c r="F1326" i="1"/>
  <c r="L1326" i="1"/>
  <c r="L840" i="1"/>
  <c r="P1343" i="1"/>
  <c r="P1336" i="1"/>
  <c r="P1346" i="1"/>
  <c r="H1349" i="1"/>
  <c r="H1348" i="1"/>
  <c r="P1081" i="1"/>
  <c r="F1394" i="1"/>
  <c r="P1388" i="1"/>
  <c r="L1378" i="1"/>
  <c r="L1385" i="1"/>
  <c r="O1057" i="1"/>
  <c r="O1379" i="1"/>
  <c r="O1389" i="1"/>
  <c r="H1377" i="1"/>
  <c r="H1046" i="1"/>
  <c r="N201" i="1" l="1"/>
  <c r="N1087" i="3" s="1"/>
  <c r="I1144" i="1"/>
  <c r="I615" i="3" s="1"/>
  <c r="I205" i="1"/>
  <c r="I1091" i="3" s="1"/>
  <c r="D514" i="3"/>
  <c r="D515" i="3"/>
  <c r="N1205" i="1"/>
  <c r="N676" i="3" s="1"/>
  <c r="N998" i="1"/>
  <c r="N471" i="3" s="1"/>
  <c r="I782" i="1"/>
  <c r="I255" i="3" s="1"/>
  <c r="N1182" i="1"/>
  <c r="N653" i="3" s="1"/>
  <c r="H1149" i="1"/>
  <c r="P787" i="1"/>
  <c r="L1089" i="3"/>
  <c r="O787" i="1"/>
  <c r="I1031" i="3"/>
  <c r="I1180" i="1"/>
  <c r="D1180" i="1" s="1"/>
  <c r="D651" i="3" s="1"/>
  <c r="I1050" i="1"/>
  <c r="I523" i="3" s="1"/>
  <c r="D1077" i="1"/>
  <c r="D550" i="3" s="1"/>
  <c r="I1054" i="1"/>
  <c r="I527" i="3" s="1"/>
  <c r="L527" i="3"/>
  <c r="F527" i="3"/>
  <c r="L1286" i="3"/>
  <c r="F1286" i="3"/>
  <c r="I1288" i="3"/>
  <c r="D412" i="1"/>
  <c r="D1288" i="3" s="1"/>
  <c r="I1040" i="1"/>
  <c r="N1147" i="1"/>
  <c r="N618" i="3" s="1"/>
  <c r="O1149" i="1"/>
  <c r="I1203" i="1"/>
  <c r="D1203" i="1" s="1"/>
  <c r="D674" i="3" s="1"/>
  <c r="P1149" i="1"/>
  <c r="D1050" i="3"/>
  <c r="F413" i="1"/>
  <c r="F1289" i="3" s="1"/>
  <c r="D462" i="1"/>
  <c r="D1337" i="3" s="1"/>
  <c r="L413" i="1"/>
  <c r="L1289" i="3" s="1"/>
  <c r="H413" i="1"/>
  <c r="H1289" i="3" s="1"/>
  <c r="O413" i="1"/>
  <c r="O1289" i="3" s="1"/>
  <c r="X1053" i="1"/>
  <c r="I1070" i="1"/>
  <c r="I543" i="3" s="1"/>
  <c r="I1039" i="1"/>
  <c r="I512" i="3" s="1"/>
  <c r="N395" i="1"/>
  <c r="N1271" i="3" s="1"/>
  <c r="D410" i="1"/>
  <c r="D1286" i="3" s="1"/>
  <c r="I425" i="1"/>
  <c r="N1281" i="3"/>
  <c r="I405" i="1"/>
  <c r="L632" i="3"/>
  <c r="I1161" i="1"/>
  <c r="D1161" i="1" s="1"/>
  <c r="D632" i="3" s="1"/>
  <c r="L1162" i="1"/>
  <c r="L633" i="3" s="1"/>
  <c r="D826" i="1"/>
  <c r="D299" i="3" s="1"/>
  <c r="E13" i="29"/>
  <c r="C24" i="29"/>
  <c r="E13" i="33"/>
  <c r="C24" i="33"/>
  <c r="F712" i="3"/>
  <c r="F368" i="3"/>
  <c r="F686" i="3"/>
  <c r="F1217" i="1"/>
  <c r="F1219" i="1" s="1"/>
  <c r="F356" i="3"/>
  <c r="F884" i="1"/>
  <c r="F357" i="3" s="1"/>
  <c r="N462" i="1"/>
  <c r="N1337" i="3" s="1"/>
  <c r="O1217" i="1"/>
  <c r="O1219" i="1" s="1"/>
  <c r="O690" i="3" s="1"/>
  <c r="O686" i="3"/>
  <c r="N1215" i="1"/>
  <c r="N686" i="3" s="1"/>
  <c r="N883" i="1"/>
  <c r="N356" i="3" s="1"/>
  <c r="O884" i="1"/>
  <c r="O356" i="3"/>
  <c r="N895" i="1"/>
  <c r="N368" i="3" s="1"/>
  <c r="O368" i="3"/>
  <c r="O712" i="3"/>
  <c r="N1242" i="1"/>
  <c r="N712" i="3" s="1"/>
  <c r="P884" i="1"/>
  <c r="P357" i="3" s="1"/>
  <c r="P356" i="3"/>
  <c r="P712" i="3"/>
  <c r="P368" i="3"/>
  <c r="P686" i="3"/>
  <c r="P1217" i="1"/>
  <c r="P688" i="3" s="1"/>
  <c r="L686" i="3"/>
  <c r="L1217" i="1"/>
  <c r="L688" i="3" s="1"/>
  <c r="L356" i="3"/>
  <c r="L884" i="1"/>
  <c r="L357" i="3" s="1"/>
  <c r="L368" i="3"/>
  <c r="L712" i="3"/>
  <c r="O1337" i="3"/>
  <c r="I404" i="1"/>
  <c r="I1280" i="3" s="1"/>
  <c r="D375" i="1"/>
  <c r="D1251" i="3" s="1"/>
  <c r="D1144" i="1"/>
  <c r="D615" i="3" s="1"/>
  <c r="I395" i="1"/>
  <c r="I1271" i="3" s="1"/>
  <c r="I651" i="3"/>
  <c r="P1000" i="1"/>
  <c r="P473" i="3" s="1"/>
  <c r="N185" i="1"/>
  <c r="N1071" i="3" s="1"/>
  <c r="I785" i="1"/>
  <c r="I258" i="3" s="1"/>
  <c r="I995" i="1"/>
  <c r="D995" i="1" s="1"/>
  <c r="X995" i="1" s="1"/>
  <c r="AA995" i="1" s="1"/>
  <c r="D411" i="1"/>
  <c r="D1287" i="3" s="1"/>
  <c r="O471" i="3"/>
  <c r="I448" i="3"/>
  <c r="D1051" i="1"/>
  <c r="D524" i="3" s="1"/>
  <c r="I997" i="1"/>
  <c r="I470" i="3" s="1"/>
  <c r="N186" i="1"/>
  <c r="N1072" i="3" s="1"/>
  <c r="D980" i="1"/>
  <c r="D453" i="3" s="1"/>
  <c r="D982" i="1"/>
  <c r="D455" i="3" s="1"/>
  <c r="I1147" i="1"/>
  <c r="I618" i="3" s="1"/>
  <c r="N993" i="1"/>
  <c r="N466" i="3" s="1"/>
  <c r="O1000" i="1"/>
  <c r="O473" i="3" s="1"/>
  <c r="I201" i="1"/>
  <c r="D201" i="1" s="1"/>
  <c r="I990" i="1"/>
  <c r="I463" i="3" s="1"/>
  <c r="O794" i="3"/>
  <c r="O799" i="3"/>
  <c r="O810" i="3"/>
  <c r="O807" i="3"/>
  <c r="O800" i="3"/>
  <c r="O795" i="3"/>
  <c r="O313" i="3"/>
  <c r="O364" i="3"/>
  <c r="O813" i="3"/>
  <c r="O814" i="3"/>
  <c r="O798" i="3"/>
  <c r="O811" i="3"/>
  <c r="O817" i="3"/>
  <c r="O801" i="3"/>
  <c r="O797" i="3"/>
  <c r="O812" i="3"/>
  <c r="O708" i="3"/>
  <c r="O796" i="3"/>
  <c r="O806" i="3"/>
  <c r="O803" i="3"/>
  <c r="O1352" i="1"/>
  <c r="O819" i="3" s="1"/>
  <c r="O792" i="3"/>
  <c r="O483" i="3"/>
  <c r="O809" i="3"/>
  <c r="O805" i="3"/>
  <c r="O802" i="3"/>
  <c r="O793" i="3"/>
  <c r="O804" i="3"/>
  <c r="O815" i="3"/>
  <c r="O808" i="3"/>
  <c r="O816" i="3"/>
  <c r="D1201" i="1"/>
  <c r="D672" i="3" s="1"/>
  <c r="D978" i="1"/>
  <c r="D451" i="3" s="1"/>
  <c r="I994" i="1"/>
  <c r="I467" i="3" s="1"/>
  <c r="D770" i="1"/>
  <c r="D243" i="3" s="1"/>
  <c r="I988" i="1"/>
  <c r="I461" i="3" s="1"/>
  <c r="N469" i="3"/>
  <c r="I996" i="1"/>
  <c r="N464" i="3"/>
  <c r="I991" i="1"/>
  <c r="D973" i="1"/>
  <c r="D446" i="3" s="1"/>
  <c r="H1000" i="1"/>
  <c r="H473" i="3" s="1"/>
  <c r="N465" i="3"/>
  <c r="I992" i="1"/>
  <c r="D979" i="1"/>
  <c r="D452" i="3" s="1"/>
  <c r="I779" i="1"/>
  <c r="D779" i="1" s="1"/>
  <c r="X1077" i="1"/>
  <c r="D1366" i="1"/>
  <c r="D833" i="3" s="1"/>
  <c r="D1031" i="1"/>
  <c r="D504" i="3" s="1"/>
  <c r="F1000" i="1"/>
  <c r="F473" i="3" s="1"/>
  <c r="F1261" i="3"/>
  <c r="N1252" i="3"/>
  <c r="I376" i="1"/>
  <c r="N413" i="1"/>
  <c r="N1289" i="3" s="1"/>
  <c r="D1132" i="1"/>
  <c r="D603" i="3" s="1"/>
  <c r="X1084" i="1"/>
  <c r="D880" i="1"/>
  <c r="D353" i="3" s="1"/>
  <c r="D972" i="1"/>
  <c r="X972" i="1" s="1"/>
  <c r="D1371" i="1"/>
  <c r="D838" i="3" s="1"/>
  <c r="I513" i="3"/>
  <c r="D1040" i="1"/>
  <c r="D403" i="1"/>
  <c r="D1279" i="3" s="1"/>
  <c r="D1239" i="1"/>
  <c r="D709" i="3" s="1"/>
  <c r="D1022" i="1"/>
  <c r="D495" i="3" s="1"/>
  <c r="I958" i="1"/>
  <c r="I431" i="3" s="1"/>
  <c r="D1367" i="1"/>
  <c r="D834" i="3" s="1"/>
  <c r="D1029" i="1"/>
  <c r="D502" i="3" s="1"/>
  <c r="N385" i="1"/>
  <c r="N1261" i="3" s="1"/>
  <c r="D1361" i="1"/>
  <c r="D828" i="3" s="1"/>
  <c r="D1362" i="1"/>
  <c r="D829" i="3" s="1"/>
  <c r="I959" i="1"/>
  <c r="D959" i="1" s="1"/>
  <c r="I952" i="1"/>
  <c r="D952" i="1" s="1"/>
  <c r="D387" i="1"/>
  <c r="D1263" i="3" s="1"/>
  <c r="D1019" i="1"/>
  <c r="D492" i="3" s="1"/>
  <c r="D1365" i="1"/>
  <c r="D832" i="3" s="1"/>
  <c r="D1025" i="1"/>
  <c r="X1025" i="1" s="1"/>
  <c r="I1182" i="1"/>
  <c r="I653" i="3" s="1"/>
  <c r="I1205" i="1"/>
  <c r="I676" i="3" s="1"/>
  <c r="D841" i="1"/>
  <c r="D314" i="3" s="1"/>
  <c r="D1032" i="1"/>
  <c r="X1032" i="1" s="1"/>
  <c r="D1021" i="1"/>
  <c r="D494" i="3" s="1"/>
  <c r="D1370" i="1"/>
  <c r="D837" i="3" s="1"/>
  <c r="D1368" i="1"/>
  <c r="X1368" i="1" s="1"/>
  <c r="D1364" i="1"/>
  <c r="D831" i="3" s="1"/>
  <c r="H793" i="3"/>
  <c r="H800" i="3"/>
  <c r="H798" i="3"/>
  <c r="H804" i="3"/>
  <c r="H364" i="3"/>
  <c r="H483" i="3"/>
  <c r="H810" i="3"/>
  <c r="H802" i="3"/>
  <c r="H1352" i="1"/>
  <c r="H819" i="3" s="1"/>
  <c r="H792" i="3"/>
  <c r="H807" i="3"/>
  <c r="H801" i="3"/>
  <c r="H815" i="3"/>
  <c r="H708" i="3"/>
  <c r="H805" i="3"/>
  <c r="H817" i="3"/>
  <c r="H799" i="3"/>
  <c r="H797" i="3"/>
  <c r="H796" i="3"/>
  <c r="H803" i="3"/>
  <c r="H814" i="3"/>
  <c r="H794" i="3"/>
  <c r="H806" i="3"/>
  <c r="H808" i="3"/>
  <c r="H816" i="3"/>
  <c r="H809" i="3"/>
  <c r="H813" i="3"/>
  <c r="H313" i="3"/>
  <c r="H795" i="3"/>
  <c r="H811" i="3"/>
  <c r="H812" i="3"/>
  <c r="N1338" i="1"/>
  <c r="N805" i="3" s="1"/>
  <c r="P805" i="3"/>
  <c r="N1346" i="1"/>
  <c r="N813" i="3" s="1"/>
  <c r="P813" i="3"/>
  <c r="P793" i="3"/>
  <c r="N1326" i="1"/>
  <c r="N793" i="3" s="1"/>
  <c r="N1329" i="1"/>
  <c r="N796" i="3" s="1"/>
  <c r="P796" i="3"/>
  <c r="N1350" i="1"/>
  <c r="N817" i="3" s="1"/>
  <c r="P817" i="3"/>
  <c r="N1327" i="1"/>
  <c r="N794" i="3" s="1"/>
  <c r="P794" i="3"/>
  <c r="P364" i="3"/>
  <c r="N891" i="1"/>
  <c r="N364" i="3" s="1"/>
  <c r="N1333" i="1"/>
  <c r="N800" i="3" s="1"/>
  <c r="P800" i="3"/>
  <c r="P801" i="3"/>
  <c r="N1334" i="1"/>
  <c r="N801" i="3" s="1"/>
  <c r="P807" i="3"/>
  <c r="N1340" i="1"/>
  <c r="N807" i="3" s="1"/>
  <c r="P816" i="3"/>
  <c r="N1349" i="1"/>
  <c r="N816" i="3" s="1"/>
  <c r="N1010" i="1"/>
  <c r="N483" i="3" s="1"/>
  <c r="P483" i="3"/>
  <c r="P808" i="3"/>
  <c r="N1341" i="1"/>
  <c r="N808" i="3" s="1"/>
  <c r="P803" i="3"/>
  <c r="N1336" i="1"/>
  <c r="N803" i="3" s="1"/>
  <c r="P1352" i="1"/>
  <c r="P1354" i="1" s="1"/>
  <c r="N1325" i="1"/>
  <c r="N792" i="3" s="1"/>
  <c r="P792" i="3"/>
  <c r="P809" i="3"/>
  <c r="N1342" i="1"/>
  <c r="N809" i="3" s="1"/>
  <c r="N1330" i="1"/>
  <c r="N797" i="3" s="1"/>
  <c r="P797" i="3"/>
  <c r="P804" i="3"/>
  <c r="N1337" i="1"/>
  <c r="N804" i="3" s="1"/>
  <c r="N1347" i="1"/>
  <c r="N814" i="3" s="1"/>
  <c r="P814" i="3"/>
  <c r="P802" i="3"/>
  <c r="N1335" i="1"/>
  <c r="N802" i="3" s="1"/>
  <c r="P811" i="3"/>
  <c r="N1344" i="1"/>
  <c r="N811" i="3" s="1"/>
  <c r="P812" i="3"/>
  <c r="N1345" i="1"/>
  <c r="N812" i="3" s="1"/>
  <c r="N1348" i="1"/>
  <c r="N815" i="3" s="1"/>
  <c r="P815" i="3"/>
  <c r="N1339" i="1"/>
  <c r="N806" i="3" s="1"/>
  <c r="P806" i="3"/>
  <c r="P795" i="3"/>
  <c r="N1328" i="1"/>
  <c r="N795" i="3" s="1"/>
  <c r="P810" i="3"/>
  <c r="N1343" i="1"/>
  <c r="N810" i="3" s="1"/>
  <c r="N1331" i="1"/>
  <c r="N798" i="3" s="1"/>
  <c r="P798" i="3"/>
  <c r="N1238" i="1"/>
  <c r="N708" i="3" s="1"/>
  <c r="P708" i="3"/>
  <c r="P799" i="3"/>
  <c r="N1332" i="1"/>
  <c r="N799" i="3" s="1"/>
  <c r="P313" i="3"/>
  <c r="N840" i="1"/>
  <c r="N313" i="3" s="1"/>
  <c r="L810" i="3"/>
  <c r="L794" i="3"/>
  <c r="L799" i="3"/>
  <c r="L806" i="3"/>
  <c r="L813" i="3"/>
  <c r="L800" i="3"/>
  <c r="L815" i="3"/>
  <c r="L807" i="3"/>
  <c r="L797" i="3"/>
  <c r="L801" i="3"/>
  <c r="L483" i="3"/>
  <c r="L313" i="3"/>
  <c r="L798" i="3"/>
  <c r="L812" i="3"/>
  <c r="L814" i="3"/>
  <c r="L817" i="3"/>
  <c r="L796" i="3"/>
  <c r="L809" i="3"/>
  <c r="L811" i="3"/>
  <c r="L793" i="3"/>
  <c r="L708" i="3"/>
  <c r="L803" i="3"/>
  <c r="L808" i="3"/>
  <c r="L364" i="3"/>
  <c r="L816" i="3"/>
  <c r="L792" i="3"/>
  <c r="L1352" i="1"/>
  <c r="L1354" i="1" s="1"/>
  <c r="L805" i="3"/>
  <c r="L795" i="3"/>
  <c r="L802" i="3"/>
  <c r="L804" i="3"/>
  <c r="F799" i="3"/>
  <c r="F793" i="3"/>
  <c r="F795" i="3"/>
  <c r="F813" i="3"/>
  <c r="F313" i="3"/>
  <c r="F801" i="3"/>
  <c r="F805" i="3"/>
  <c r="F811" i="3"/>
  <c r="F807" i="3"/>
  <c r="F803" i="3"/>
  <c r="F1352" i="1"/>
  <c r="F1354" i="1" s="1"/>
  <c r="F792" i="3"/>
  <c r="F796" i="3"/>
  <c r="F798" i="3"/>
  <c r="F797" i="3"/>
  <c r="F708" i="3"/>
  <c r="F800" i="3"/>
  <c r="F794" i="3"/>
  <c r="F816" i="3"/>
  <c r="F817" i="3"/>
  <c r="F802" i="3"/>
  <c r="F815" i="3"/>
  <c r="F809" i="3"/>
  <c r="F806" i="3"/>
  <c r="F483" i="3"/>
  <c r="F808" i="3"/>
  <c r="F364" i="3"/>
  <c r="F812" i="3"/>
  <c r="F810" i="3"/>
  <c r="F814" i="3"/>
  <c r="F804" i="3"/>
  <c r="I183" i="1"/>
  <c r="I1069" i="3" s="1"/>
  <c r="D892" i="1"/>
  <c r="D365" i="3" s="1"/>
  <c r="D869" i="1"/>
  <c r="D342" i="3" s="1"/>
  <c r="I342" i="3"/>
  <c r="N345" i="3"/>
  <c r="I872" i="1"/>
  <c r="H299" i="3"/>
  <c r="D1020" i="1"/>
  <c r="X1020" i="1" s="1"/>
  <c r="I1141" i="1"/>
  <c r="I612" i="3" s="1"/>
  <c r="D1274" i="1"/>
  <c r="D744" i="3" s="1"/>
  <c r="D976" i="1"/>
  <c r="X976" i="1" s="1"/>
  <c r="D1030" i="1"/>
  <c r="D503" i="3" s="1"/>
  <c r="I965" i="1"/>
  <c r="I438" i="3" s="1"/>
  <c r="I961" i="1"/>
  <c r="I434" i="3" s="1"/>
  <c r="N1028" i="3"/>
  <c r="I142" i="1"/>
  <c r="I1260" i="3"/>
  <c r="D384" i="1"/>
  <c r="D1260" i="3" s="1"/>
  <c r="D971" i="1"/>
  <c r="D444" i="3" s="1"/>
  <c r="I773" i="1"/>
  <c r="I246" i="3" s="1"/>
  <c r="D1369" i="1"/>
  <c r="X1369" i="1" s="1"/>
  <c r="N291" i="3"/>
  <c r="I818" i="1"/>
  <c r="I288" i="3"/>
  <c r="D815" i="1"/>
  <c r="D288" i="3" s="1"/>
  <c r="D974" i="1"/>
  <c r="D447" i="3" s="1"/>
  <c r="D1027" i="1"/>
  <c r="D500" i="3" s="1"/>
  <c r="D1024" i="1"/>
  <c r="X1024" i="1" s="1"/>
  <c r="I956" i="1"/>
  <c r="D956" i="1" s="1"/>
  <c r="I402" i="1"/>
  <c r="D378" i="1"/>
  <c r="D1254" i="3" s="1"/>
  <c r="D1018" i="1"/>
  <c r="D491" i="3" s="1"/>
  <c r="D1023" i="1"/>
  <c r="D496" i="3" s="1"/>
  <c r="I955" i="1"/>
  <c r="D1028" i="1"/>
  <c r="D501" i="3" s="1"/>
  <c r="D1363" i="1"/>
  <c r="D830" i="3" s="1"/>
  <c r="I957" i="1"/>
  <c r="I962" i="1"/>
  <c r="I435" i="3" s="1"/>
  <c r="I954" i="1"/>
  <c r="D205" i="1"/>
  <c r="L454" i="1" s="1"/>
  <c r="D396" i="1"/>
  <c r="D1272" i="3" s="1"/>
  <c r="I632" i="3"/>
  <c r="I1300" i="3"/>
  <c r="D425" i="1"/>
  <c r="D1300" i="3" s="1"/>
  <c r="H315" i="3"/>
  <c r="H849" i="3"/>
  <c r="H860" i="3"/>
  <c r="H1048" i="1"/>
  <c r="H521" i="3" s="1"/>
  <c r="H511" i="3"/>
  <c r="H519" i="3"/>
  <c r="H197" i="1"/>
  <c r="H850" i="3"/>
  <c r="H520" i="3"/>
  <c r="H851" i="3"/>
  <c r="H848" i="3"/>
  <c r="H530" i="3"/>
  <c r="H198" i="1"/>
  <c r="H852" i="3"/>
  <c r="H845" i="3"/>
  <c r="H858" i="3"/>
  <c r="H857" i="3"/>
  <c r="H856" i="3"/>
  <c r="H853" i="3"/>
  <c r="H844" i="3"/>
  <c r="H855" i="3"/>
  <c r="H1058" i="1"/>
  <c r="H522" i="3"/>
  <c r="H859" i="3"/>
  <c r="H854" i="3"/>
  <c r="H847" i="3"/>
  <c r="H1396" i="1"/>
  <c r="H843" i="3"/>
  <c r="H846" i="3"/>
  <c r="O858" i="3"/>
  <c r="N1392" i="1"/>
  <c r="N858" i="3" s="1"/>
  <c r="N1377" i="1"/>
  <c r="N844" i="3" s="1"/>
  <c r="O844" i="3"/>
  <c r="O853" i="3"/>
  <c r="N1386" i="1"/>
  <c r="N853" i="3" s="1"/>
  <c r="N1389" i="1"/>
  <c r="N855" i="3" s="1"/>
  <c r="O855" i="3"/>
  <c r="O522" i="3"/>
  <c r="N1049" i="1"/>
  <c r="N522" i="3" s="1"/>
  <c r="O1058" i="1"/>
  <c r="N1385" i="1"/>
  <c r="N852" i="3" s="1"/>
  <c r="O852" i="3"/>
  <c r="N1387" i="1"/>
  <c r="I1387" i="1" s="1"/>
  <c r="D1387" i="1" s="1"/>
  <c r="X1387" i="1" s="1"/>
  <c r="O845" i="3"/>
  <c r="N1378" i="1"/>
  <c r="N845" i="3" s="1"/>
  <c r="O850" i="3"/>
  <c r="N1383" i="1"/>
  <c r="N850" i="3" s="1"/>
  <c r="O520" i="3"/>
  <c r="N1047" i="1"/>
  <c r="N520" i="3" s="1"/>
  <c r="N1393" i="1"/>
  <c r="N859" i="3" s="1"/>
  <c r="O859" i="3"/>
  <c r="O847" i="3"/>
  <c r="N1380" i="1"/>
  <c r="N847" i="3" s="1"/>
  <c r="O849" i="3"/>
  <c r="N1382" i="1"/>
  <c r="N849" i="3" s="1"/>
  <c r="O857" i="3"/>
  <c r="N1391" i="1"/>
  <c r="N857" i="3" s="1"/>
  <c r="O854" i="3"/>
  <c r="N1388" i="1"/>
  <c r="N854" i="3" s="1"/>
  <c r="O846" i="3"/>
  <c r="N1379" i="1"/>
  <c r="N846" i="3" s="1"/>
  <c r="O856" i="3"/>
  <c r="N1390" i="1"/>
  <c r="N856" i="3" s="1"/>
  <c r="N1384" i="1"/>
  <c r="N851" i="3" s="1"/>
  <c r="O851" i="3"/>
  <c r="O1396" i="1"/>
  <c r="O843" i="3"/>
  <c r="N1376" i="1"/>
  <c r="N843" i="3" s="1"/>
  <c r="O519" i="3"/>
  <c r="N1046" i="1"/>
  <c r="N519" i="3" s="1"/>
  <c r="O197" i="1"/>
  <c r="O315" i="3"/>
  <c r="N842" i="1"/>
  <c r="N315" i="3" s="1"/>
  <c r="N1394" i="1"/>
  <c r="N860" i="3" s="1"/>
  <c r="O860" i="3"/>
  <c r="O1048" i="1"/>
  <c r="N1038" i="1"/>
  <c r="N511" i="3" s="1"/>
  <c r="O511" i="3"/>
  <c r="N1057" i="1"/>
  <c r="N530" i="3" s="1"/>
  <c r="O530" i="3"/>
  <c r="O198" i="1"/>
  <c r="O848" i="3"/>
  <c r="N1381" i="1"/>
  <c r="N848" i="3" s="1"/>
  <c r="L849" i="3"/>
  <c r="L856" i="3"/>
  <c r="L853" i="3"/>
  <c r="L846" i="3"/>
  <c r="L522" i="3"/>
  <c r="L1058" i="1"/>
  <c r="L851" i="3"/>
  <c r="L858" i="3"/>
  <c r="L530" i="3"/>
  <c r="L198" i="1"/>
  <c r="L844" i="3"/>
  <c r="L855" i="3"/>
  <c r="L852" i="3"/>
  <c r="L1048" i="1"/>
  <c r="L511" i="3"/>
  <c r="L854" i="3"/>
  <c r="L520" i="3"/>
  <c r="L847" i="3"/>
  <c r="L315" i="3"/>
  <c r="L848" i="3"/>
  <c r="L850" i="3"/>
  <c r="L859" i="3"/>
  <c r="L519" i="3"/>
  <c r="L197" i="1"/>
  <c r="L857" i="3"/>
  <c r="L845" i="3"/>
  <c r="L860" i="3"/>
  <c r="L1396" i="1"/>
  <c r="L843" i="3"/>
  <c r="O554" i="3"/>
  <c r="O1085" i="1"/>
  <c r="N1081" i="1"/>
  <c r="N554" i="3" s="1"/>
  <c r="O547" i="3"/>
  <c r="O1078" i="1"/>
  <c r="N1074" i="1"/>
  <c r="N547" i="3" s="1"/>
  <c r="P1048" i="1"/>
  <c r="P521" i="3" s="1"/>
  <c r="P511" i="3"/>
  <c r="P848" i="3"/>
  <c r="P850" i="3"/>
  <c r="P860" i="3"/>
  <c r="P1396" i="1"/>
  <c r="P843" i="3"/>
  <c r="P857" i="3"/>
  <c r="P849" i="3"/>
  <c r="P530" i="3"/>
  <c r="P198" i="1"/>
  <c r="P522" i="3"/>
  <c r="P1058" i="1"/>
  <c r="P315" i="3"/>
  <c r="P845" i="3"/>
  <c r="P854" i="3"/>
  <c r="P855" i="3"/>
  <c r="P520" i="3"/>
  <c r="P858" i="3"/>
  <c r="P851" i="3"/>
  <c r="P853" i="3"/>
  <c r="P519" i="3"/>
  <c r="P197" i="1"/>
  <c r="P856" i="3"/>
  <c r="P846" i="3"/>
  <c r="P852" i="3"/>
  <c r="P847" i="3"/>
  <c r="P844" i="3"/>
  <c r="P859" i="3"/>
  <c r="F843" i="3"/>
  <c r="F1396" i="1"/>
  <c r="F851" i="3"/>
  <c r="F854" i="3"/>
  <c r="F1048" i="1"/>
  <c r="F521" i="3" s="1"/>
  <c r="F511" i="3"/>
  <c r="F852" i="3"/>
  <c r="F845" i="3"/>
  <c r="F853" i="3"/>
  <c r="F519" i="3"/>
  <c r="F197" i="1"/>
  <c r="F859" i="3"/>
  <c r="F858" i="3"/>
  <c r="F855" i="3"/>
  <c r="F850" i="3"/>
  <c r="F847" i="3"/>
  <c r="F846" i="3"/>
  <c r="F860" i="3"/>
  <c r="F857" i="3"/>
  <c r="F522" i="3"/>
  <c r="F1058" i="1"/>
  <c r="F849" i="3"/>
  <c r="F848" i="3"/>
  <c r="F530" i="3"/>
  <c r="F198" i="1"/>
  <c r="F520" i="3"/>
  <c r="F315" i="3"/>
  <c r="F844" i="3"/>
  <c r="F856" i="3"/>
  <c r="P1078" i="1"/>
  <c r="P547" i="3"/>
  <c r="P554" i="3"/>
  <c r="P1085" i="1"/>
  <c r="P558" i="3" s="1"/>
  <c r="H620" i="3"/>
  <c r="X975" i="1"/>
  <c r="D448" i="3"/>
  <c r="H1255" i="3"/>
  <c r="O1255" i="3"/>
  <c r="N379" i="1"/>
  <c r="N1255" i="3" s="1"/>
  <c r="D1179" i="1"/>
  <c r="D650" i="3" s="1"/>
  <c r="I650" i="3"/>
  <c r="F260" i="3"/>
  <c r="L473" i="3"/>
  <c r="P260" i="3"/>
  <c r="D1138" i="1"/>
  <c r="D609" i="3" s="1"/>
  <c r="I609" i="3"/>
  <c r="L1255" i="3"/>
  <c r="L260" i="3"/>
  <c r="I1249" i="3"/>
  <c r="D373" i="1"/>
  <c r="D1249" i="3" s="1"/>
  <c r="L620" i="3"/>
  <c r="P620" i="3"/>
  <c r="I1250" i="3"/>
  <c r="D374" i="1"/>
  <c r="D1250" i="3" s="1"/>
  <c r="O1330" i="3"/>
  <c r="N455" i="1"/>
  <c r="N1330" i="3" s="1"/>
  <c r="O1262" i="3"/>
  <c r="N386" i="1"/>
  <c r="N1262" i="3" s="1"/>
  <c r="D203" i="1"/>
  <c r="I983" i="1"/>
  <c r="D393" i="1"/>
  <c r="D1269" i="3" s="1"/>
  <c r="I1269" i="3"/>
  <c r="F433" i="3"/>
  <c r="F1077" i="3"/>
  <c r="F440" i="1"/>
  <c r="F438" i="1"/>
  <c r="F1075" i="3"/>
  <c r="F506" i="3"/>
  <c r="F840" i="3"/>
  <c r="F195" i="1"/>
  <c r="L433" i="3"/>
  <c r="L627" i="3"/>
  <c r="I1156" i="1"/>
  <c r="I627" i="3" s="1"/>
  <c r="I1188" i="1"/>
  <c r="I659" i="3" s="1"/>
  <c r="L659" i="3"/>
  <c r="L1196" i="1"/>
  <c r="H1078" i="3"/>
  <c r="H441" i="1"/>
  <c r="H1316" i="3" s="1"/>
  <c r="H1073" i="3"/>
  <c r="H436" i="1"/>
  <c r="H1311" i="3" s="1"/>
  <c r="H1080" i="3"/>
  <c r="F633" i="3"/>
  <c r="P1067" i="3"/>
  <c r="L436" i="1"/>
  <c r="I187" i="1"/>
  <c r="I1073" i="3" s="1"/>
  <c r="L1073" i="3"/>
  <c r="I188" i="1"/>
  <c r="I1074" i="3" s="1"/>
  <c r="L1074" i="3"/>
  <c r="L437" i="1"/>
  <c r="L1079" i="3"/>
  <c r="I193" i="1"/>
  <c r="I1079" i="3" s="1"/>
  <c r="L840" i="3"/>
  <c r="L195" i="1"/>
  <c r="D791" i="1"/>
  <c r="D264" i="3" s="1"/>
  <c r="F659" i="3"/>
  <c r="D1153" i="1"/>
  <c r="D624" i="3" s="1"/>
  <c r="F682" i="3"/>
  <c r="N662" i="3"/>
  <c r="I1191" i="1"/>
  <c r="L441" i="1"/>
  <c r="I192" i="1"/>
  <c r="I1078" i="3" s="1"/>
  <c r="L1078" i="3"/>
  <c r="I827" i="3"/>
  <c r="I1373" i="1"/>
  <c r="I840" i="3" s="1"/>
  <c r="H665" i="3"/>
  <c r="H1196" i="1"/>
  <c r="D1186" i="1"/>
  <c r="D657" i="3" s="1"/>
  <c r="D1209" i="1"/>
  <c r="D680" i="3" s="1"/>
  <c r="N685" i="3"/>
  <c r="I1214" i="1"/>
  <c r="D776" i="1"/>
  <c r="D249" i="3" s="1"/>
  <c r="I249" i="3"/>
  <c r="L1295" i="3"/>
  <c r="I1284" i="3"/>
  <c r="D408" i="1"/>
  <c r="D1284" i="3" s="1"/>
  <c r="N798" i="1"/>
  <c r="O271" i="3"/>
  <c r="L1067" i="3"/>
  <c r="L267" i="3"/>
  <c r="I794" i="1"/>
  <c r="I267" i="3" s="1"/>
  <c r="I1211" i="1"/>
  <c r="I682" i="3" s="1"/>
  <c r="L682" i="3"/>
  <c r="H1079" i="3"/>
  <c r="H437" i="1"/>
  <c r="H1312" i="3" s="1"/>
  <c r="H1074" i="3"/>
  <c r="H840" i="3"/>
  <c r="H195" i="1"/>
  <c r="O620" i="3"/>
  <c r="N1149" i="1"/>
  <c r="N620" i="3" s="1"/>
  <c r="O1295" i="3"/>
  <c r="N420" i="1"/>
  <c r="N1295" i="3" s="1"/>
  <c r="P1255" i="3"/>
  <c r="N985" i="1"/>
  <c r="N458" i="3" s="1"/>
  <c r="O458" i="3"/>
  <c r="I998" i="1"/>
  <c r="I529" i="3"/>
  <c r="D1056" i="1"/>
  <c r="N1256" i="3"/>
  <c r="I380" i="1"/>
  <c r="O1293" i="3"/>
  <c r="N418" i="1"/>
  <c r="I517" i="3"/>
  <c r="D1044" i="1"/>
  <c r="I184" i="1"/>
  <c r="D422" i="1"/>
  <c r="D1297" i="3" s="1"/>
  <c r="F620" i="3"/>
  <c r="I977" i="1"/>
  <c r="D575" i="1"/>
  <c r="D49" i="3" s="1"/>
  <c r="F49" i="3"/>
  <c r="N1298" i="3"/>
  <c r="I423" i="1"/>
  <c r="D1031" i="3"/>
  <c r="P394" i="1"/>
  <c r="P1270" i="3" s="1"/>
  <c r="O394" i="1"/>
  <c r="F271" i="3"/>
  <c r="F1067" i="3"/>
  <c r="F1068" i="3"/>
  <c r="F1076" i="3"/>
  <c r="F439" i="1"/>
  <c r="F1079" i="3"/>
  <c r="X1360" i="1"/>
  <c r="D827" i="3"/>
  <c r="P665" i="3"/>
  <c r="P1196" i="1"/>
  <c r="H440" i="1"/>
  <c r="H1315" i="3" s="1"/>
  <c r="H1077" i="3"/>
  <c r="H438" i="1"/>
  <c r="H1313" i="3" s="1"/>
  <c r="H1075" i="3"/>
  <c r="P439" i="3"/>
  <c r="P968" i="1"/>
  <c r="O1068" i="3"/>
  <c r="N182" i="1"/>
  <c r="N1068" i="3" s="1"/>
  <c r="N181" i="1"/>
  <c r="N1067" i="3" s="1"/>
  <c r="O1067" i="3"/>
  <c r="O439" i="3"/>
  <c r="N966" i="1"/>
  <c r="I966" i="1" s="1"/>
  <c r="O968" i="1"/>
  <c r="L1076" i="3"/>
  <c r="I190" i="1"/>
  <c r="I1076" i="3" s="1"/>
  <c r="L439" i="1"/>
  <c r="H439" i="3"/>
  <c r="H968" i="1"/>
  <c r="D1240" i="1"/>
  <c r="D710" i="3" s="1"/>
  <c r="D893" i="1"/>
  <c r="D366" i="3" s="1"/>
  <c r="N630" i="3"/>
  <c r="I1159" i="1"/>
  <c r="F1255" i="3"/>
  <c r="H37" i="11"/>
  <c r="J37" i="11" s="1"/>
  <c r="J38" i="11" s="1"/>
  <c r="D25" i="11" s="1"/>
  <c r="D27" i="11" s="1"/>
  <c r="H260" i="3"/>
  <c r="F458" i="3"/>
  <c r="P1330" i="3"/>
  <c r="L1262" i="3"/>
  <c r="X946" i="1"/>
  <c r="D419" i="3"/>
  <c r="F441" i="1"/>
  <c r="F1078" i="3"/>
  <c r="F1295" i="3"/>
  <c r="D392" i="1"/>
  <c r="D1268" i="3" s="1"/>
  <c r="I1268" i="3"/>
  <c r="I1135" i="1"/>
  <c r="F1262" i="3"/>
  <c r="O260" i="3"/>
  <c r="N787" i="1"/>
  <c r="N260" i="3" s="1"/>
  <c r="I673" i="3"/>
  <c r="D1202" i="1"/>
  <c r="D673" i="3" s="1"/>
  <c r="L458" i="3"/>
  <c r="F439" i="3"/>
  <c r="F968" i="1"/>
  <c r="H1219" i="1"/>
  <c r="H682" i="3"/>
  <c r="F437" i="1"/>
  <c r="F1074" i="3"/>
  <c r="F1073" i="3"/>
  <c r="F436" i="1"/>
  <c r="F1080" i="3"/>
  <c r="N270" i="3"/>
  <c r="I797" i="1"/>
  <c r="L1068" i="3"/>
  <c r="L439" i="3"/>
  <c r="L968" i="1"/>
  <c r="H439" i="1"/>
  <c r="H1314" i="3" s="1"/>
  <c r="H1076" i="3"/>
  <c r="H506" i="3"/>
  <c r="F665" i="3"/>
  <c r="F1196" i="1"/>
  <c r="O433" i="3"/>
  <c r="N960" i="1"/>
  <c r="N433" i="3" s="1"/>
  <c r="L1080" i="3"/>
  <c r="I194" i="1"/>
  <c r="I1080" i="3" s="1"/>
  <c r="L1077" i="3"/>
  <c r="I191" i="1"/>
  <c r="I1077" i="3" s="1"/>
  <c r="L440" i="1"/>
  <c r="I189" i="1"/>
  <c r="I1075" i="3" s="1"/>
  <c r="L438" i="1"/>
  <c r="L1075" i="3"/>
  <c r="L506" i="3"/>
  <c r="I1033" i="1"/>
  <c r="I506" i="3" s="1"/>
  <c r="H1068" i="3"/>
  <c r="F267" i="3"/>
  <c r="F627" i="3"/>
  <c r="O665" i="3"/>
  <c r="O1196" i="1"/>
  <c r="N1194" i="1"/>
  <c r="O633" i="3"/>
  <c r="N1162" i="1"/>
  <c r="D1050" i="1" l="1"/>
  <c r="D523" i="3" s="1"/>
  <c r="D782" i="1"/>
  <c r="D255" i="3" s="1"/>
  <c r="I674" i="3"/>
  <c r="D1054" i="1"/>
  <c r="D1070" i="1"/>
  <c r="D543" i="3" s="1"/>
  <c r="D1039" i="1"/>
  <c r="X1039" i="1" s="1"/>
  <c r="I1281" i="3"/>
  <c r="D405" i="1"/>
  <c r="D1281" i="3" s="1"/>
  <c r="F688" i="3"/>
  <c r="D404" i="1"/>
  <c r="D1280" i="3" s="1"/>
  <c r="P1219" i="1"/>
  <c r="P690" i="3" s="1"/>
  <c r="I883" i="1"/>
  <c r="I356" i="3" s="1"/>
  <c r="I1215" i="1"/>
  <c r="I686" i="3" s="1"/>
  <c r="I1242" i="1"/>
  <c r="I712" i="3" s="1"/>
  <c r="O587" i="1"/>
  <c r="O61" i="3" s="1"/>
  <c r="N1217" i="1"/>
  <c r="N688" i="3" s="1"/>
  <c r="D395" i="1"/>
  <c r="D1271" i="3" s="1"/>
  <c r="I895" i="1"/>
  <c r="I368" i="3" s="1"/>
  <c r="N884" i="1"/>
  <c r="N357" i="3" s="1"/>
  <c r="L1219" i="1"/>
  <c r="L587" i="1" s="1"/>
  <c r="O357" i="3"/>
  <c r="O688" i="3"/>
  <c r="X1051" i="1"/>
  <c r="I993" i="1"/>
  <c r="I466" i="3" s="1"/>
  <c r="I468" i="3"/>
  <c r="I1341" i="1"/>
  <c r="D1341" i="1" s="1"/>
  <c r="I1087" i="3"/>
  <c r="I185" i="1"/>
  <c r="I1071" i="3" s="1"/>
  <c r="X1029" i="1"/>
  <c r="O1354" i="1"/>
  <c r="O1398" i="1" s="1"/>
  <c r="D468" i="3"/>
  <c r="I1331" i="1"/>
  <c r="D1331" i="1" s="1"/>
  <c r="D1182" i="1"/>
  <c r="D653" i="3" s="1"/>
  <c r="I1347" i="1"/>
  <c r="D1347" i="1" s="1"/>
  <c r="X1361" i="1"/>
  <c r="X1021" i="1"/>
  <c r="N1000" i="1"/>
  <c r="N473" i="3" s="1"/>
  <c r="X1367" i="1"/>
  <c r="I252" i="3"/>
  <c r="D785" i="1"/>
  <c r="D258" i="3" s="1"/>
  <c r="X1027" i="1"/>
  <c r="X980" i="1"/>
  <c r="X1371" i="1"/>
  <c r="D997" i="1"/>
  <c r="D470" i="3" s="1"/>
  <c r="X1050" i="1"/>
  <c r="X982" i="1"/>
  <c r="H1354" i="1"/>
  <c r="H821" i="3" s="1"/>
  <c r="I1334" i="1"/>
  <c r="I801" i="3" s="1"/>
  <c r="I1330" i="1"/>
  <c r="I797" i="3" s="1"/>
  <c r="I1325" i="1"/>
  <c r="D1325" i="1" s="1"/>
  <c r="I1349" i="1"/>
  <c r="I816" i="3" s="1"/>
  <c r="I186" i="1"/>
  <c r="I1072" i="3" s="1"/>
  <c r="D990" i="1"/>
  <c r="X990" i="1" s="1"/>
  <c r="D1147" i="1"/>
  <c r="D618" i="3" s="1"/>
  <c r="X1022" i="1"/>
  <c r="X1365" i="1"/>
  <c r="I1326" i="1"/>
  <c r="I793" i="3" s="1"/>
  <c r="X1366" i="1"/>
  <c r="X978" i="1"/>
  <c r="D958" i="1"/>
  <c r="X958" i="1" s="1"/>
  <c r="X973" i="1"/>
  <c r="I432" i="3"/>
  <c r="I385" i="1"/>
  <c r="I1261" i="3" s="1"/>
  <c r="X1031" i="1"/>
  <c r="D835" i="3"/>
  <c r="X971" i="1"/>
  <c r="I1238" i="1"/>
  <c r="D1238" i="1" s="1"/>
  <c r="D708" i="3" s="1"/>
  <c r="D961" i="1"/>
  <c r="D434" i="3" s="1"/>
  <c r="X979" i="1"/>
  <c r="D994" i="1"/>
  <c r="D467" i="3" s="1"/>
  <c r="D988" i="1"/>
  <c r="D962" i="1"/>
  <c r="D435" i="3" s="1"/>
  <c r="I891" i="1"/>
  <c r="D891" i="1" s="1"/>
  <c r="D364" i="3" s="1"/>
  <c r="I1339" i="1"/>
  <c r="D1339" i="1" s="1"/>
  <c r="X1370" i="1"/>
  <c r="I1348" i="1"/>
  <c r="I815" i="3" s="1"/>
  <c r="I469" i="3"/>
  <c r="D996" i="1"/>
  <c r="D992" i="1"/>
  <c r="I465" i="3"/>
  <c r="I464" i="3"/>
  <c r="D991" i="1"/>
  <c r="D497" i="3"/>
  <c r="X1028" i="1"/>
  <c r="D773" i="1"/>
  <c r="U773" i="1" s="1"/>
  <c r="I1336" i="1"/>
  <c r="I803" i="3" s="1"/>
  <c r="L819" i="3"/>
  <c r="D449" i="3"/>
  <c r="I1340" i="1"/>
  <c r="D1340" i="1" s="1"/>
  <c r="X1362" i="1"/>
  <c r="I413" i="1"/>
  <c r="I1289" i="3" s="1"/>
  <c r="D445" i="3"/>
  <c r="I1350" i="1"/>
  <c r="I817" i="3" s="1"/>
  <c r="I1252" i="3"/>
  <c r="D376" i="1"/>
  <c r="D1252" i="3" s="1"/>
  <c r="I425" i="3"/>
  <c r="D505" i="3"/>
  <c r="X1018" i="1"/>
  <c r="D1091" i="3"/>
  <c r="X1030" i="1"/>
  <c r="D498" i="3"/>
  <c r="I1342" i="1"/>
  <c r="I809" i="3" s="1"/>
  <c r="D513" i="3"/>
  <c r="X1040" i="1"/>
  <c r="I840" i="1"/>
  <c r="I313" i="3" s="1"/>
  <c r="X1364" i="1"/>
  <c r="I1343" i="1"/>
  <c r="I810" i="3" s="1"/>
  <c r="P819" i="3"/>
  <c r="I1338" i="1"/>
  <c r="D1338" i="1" s="1"/>
  <c r="I1046" i="1"/>
  <c r="I519" i="3" s="1"/>
  <c r="X1019" i="1"/>
  <c r="I1010" i="1"/>
  <c r="I483" i="3" s="1"/>
  <c r="F819" i="3"/>
  <c r="I1328" i="1"/>
  <c r="I795" i="3" s="1"/>
  <c r="I1344" i="1"/>
  <c r="D1344" i="1" s="1"/>
  <c r="I1333" i="1"/>
  <c r="I800" i="3" s="1"/>
  <c r="D1205" i="1"/>
  <c r="D676" i="3" s="1"/>
  <c r="D1156" i="1"/>
  <c r="D627" i="3" s="1"/>
  <c r="N1352" i="1"/>
  <c r="N819" i="3" s="1"/>
  <c r="I1327" i="1"/>
  <c r="I794" i="3" s="1"/>
  <c r="I1329" i="1"/>
  <c r="I1335" i="1"/>
  <c r="I802" i="3" s="1"/>
  <c r="I1345" i="1"/>
  <c r="I812" i="3" s="1"/>
  <c r="I1332" i="1"/>
  <c r="D1332" i="1" s="1"/>
  <c r="I1337" i="1"/>
  <c r="I804" i="3" s="1"/>
  <c r="I1346" i="1"/>
  <c r="I813" i="3" s="1"/>
  <c r="D1141" i="1"/>
  <c r="D612" i="3" s="1"/>
  <c r="X1023" i="1"/>
  <c r="D192" i="1"/>
  <c r="D1078" i="3" s="1"/>
  <c r="I1383" i="1"/>
  <c r="D965" i="1"/>
  <c r="X965" i="1" s="1"/>
  <c r="AC965" i="1" s="1"/>
  <c r="I1392" i="1"/>
  <c r="D1392" i="1" s="1"/>
  <c r="I1390" i="1"/>
  <c r="D183" i="1"/>
  <c r="P432" i="1" s="1"/>
  <c r="P1307" i="3" s="1"/>
  <c r="I1388" i="1"/>
  <c r="I854" i="3" s="1"/>
  <c r="I1049" i="1"/>
  <c r="I1386" i="1"/>
  <c r="I853" i="3" s="1"/>
  <c r="I1382" i="1"/>
  <c r="D836" i="3"/>
  <c r="D187" i="1"/>
  <c r="D1073" i="3" s="1"/>
  <c r="X974" i="1"/>
  <c r="I379" i="1"/>
  <c r="I1028" i="3"/>
  <c r="D142" i="1"/>
  <c r="D493" i="3"/>
  <c r="I429" i="3"/>
  <c r="H454" i="1"/>
  <c r="H1329" i="3" s="1"/>
  <c r="I291" i="3"/>
  <c r="D818" i="1"/>
  <c r="D291" i="3" s="1"/>
  <c r="D794" i="1"/>
  <c r="D267" i="3" s="1"/>
  <c r="X1363" i="1"/>
  <c r="F454" i="1"/>
  <c r="F1329" i="3" s="1"/>
  <c r="D872" i="1"/>
  <c r="D345" i="3" s="1"/>
  <c r="I345" i="3"/>
  <c r="I1394" i="1"/>
  <c r="I1381" i="1"/>
  <c r="I428" i="3"/>
  <c r="D955" i="1"/>
  <c r="I1278" i="3"/>
  <c r="D402" i="1"/>
  <c r="D1278" i="3" s="1"/>
  <c r="I430" i="3"/>
  <c r="D957" i="1"/>
  <c r="I1389" i="1"/>
  <c r="I855" i="3" s="1"/>
  <c r="I1384" i="1"/>
  <c r="I386" i="1"/>
  <c r="I1262" i="3" s="1"/>
  <c r="I1376" i="1"/>
  <c r="D1376" i="1" s="1"/>
  <c r="D843" i="3" s="1"/>
  <c r="I1377" i="1"/>
  <c r="I427" i="3"/>
  <c r="D954" i="1"/>
  <c r="I1391" i="1"/>
  <c r="I1380" i="1"/>
  <c r="I847" i="3" s="1"/>
  <c r="I1057" i="1"/>
  <c r="I530" i="3" s="1"/>
  <c r="I420" i="1"/>
  <c r="I1295" i="3" s="1"/>
  <c r="I1385" i="1"/>
  <c r="I1379" i="1"/>
  <c r="I1378" i="1"/>
  <c r="I845" i="3" s="1"/>
  <c r="I842" i="1"/>
  <c r="I1047" i="1"/>
  <c r="I1038" i="1"/>
  <c r="F1314" i="3"/>
  <c r="D517" i="3"/>
  <c r="X1044" i="1"/>
  <c r="I441" i="1"/>
  <c r="I1316" i="3" s="1"/>
  <c r="L1316" i="3"/>
  <c r="I662" i="3"/>
  <c r="D1191" i="1"/>
  <c r="D662" i="3" s="1"/>
  <c r="F1081" i="3"/>
  <c r="F1315" i="3"/>
  <c r="L1329" i="3"/>
  <c r="I454" i="1"/>
  <c r="I1329" i="3" s="1"/>
  <c r="L862" i="3"/>
  <c r="L199" i="1"/>
  <c r="L521" i="3"/>
  <c r="O521" i="3"/>
  <c r="N1048" i="1"/>
  <c r="N521" i="3" s="1"/>
  <c r="N665" i="3"/>
  <c r="I1194" i="1"/>
  <c r="L441" i="3"/>
  <c r="L1012" i="1"/>
  <c r="I182" i="1"/>
  <c r="D194" i="1"/>
  <c r="D188" i="1"/>
  <c r="D1074" i="3" s="1"/>
  <c r="P821" i="3"/>
  <c r="P1398" i="1"/>
  <c r="H441" i="3"/>
  <c r="H1012" i="1"/>
  <c r="O441" i="3"/>
  <c r="N968" i="1"/>
  <c r="N441" i="3" s="1"/>
  <c r="O1012" i="1"/>
  <c r="I1256" i="3"/>
  <c r="D380" i="1"/>
  <c r="D1256" i="3" s="1"/>
  <c r="N271" i="3"/>
  <c r="I798" i="1"/>
  <c r="L1081" i="3"/>
  <c r="I195" i="1"/>
  <c r="I1081" i="3" s="1"/>
  <c r="D191" i="1"/>
  <c r="D1077" i="3" s="1"/>
  <c r="I456" i="3"/>
  <c r="D983" i="1"/>
  <c r="D456" i="3" s="1"/>
  <c r="D252" i="3"/>
  <c r="U779" i="1"/>
  <c r="P1084" i="3"/>
  <c r="O551" i="3"/>
  <c r="N1078" i="1"/>
  <c r="N551" i="3" s="1"/>
  <c r="O212" i="1"/>
  <c r="H1084" i="3"/>
  <c r="F667" i="3"/>
  <c r="G28" i="33" s="1"/>
  <c r="I28" i="33" s="1"/>
  <c r="Q28" i="33" s="1"/>
  <c r="F580" i="1"/>
  <c r="L821" i="3"/>
  <c r="L1398" i="1"/>
  <c r="F441" i="3"/>
  <c r="F1012" i="1"/>
  <c r="D1087" i="3"/>
  <c r="L450" i="1"/>
  <c r="H450" i="1"/>
  <c r="P450" i="1"/>
  <c r="O450" i="1"/>
  <c r="F450" i="1"/>
  <c r="F1316" i="3"/>
  <c r="I1149" i="1"/>
  <c r="P551" i="3"/>
  <c r="P212" i="1"/>
  <c r="O580" i="1"/>
  <c r="O667" i="3"/>
  <c r="N1196" i="1"/>
  <c r="N667" i="3" s="1"/>
  <c r="I440" i="1"/>
  <c r="I1315" i="3" s="1"/>
  <c r="L1315" i="3"/>
  <c r="F821" i="3"/>
  <c r="F1398" i="1"/>
  <c r="D966" i="1"/>
  <c r="I439" i="3"/>
  <c r="F1311" i="3"/>
  <c r="F1312" i="3"/>
  <c r="I985" i="1"/>
  <c r="I630" i="3"/>
  <c r="D1159" i="1"/>
  <c r="D630" i="3" s="1"/>
  <c r="I439" i="1"/>
  <c r="I1314" i="3" s="1"/>
  <c r="L1314" i="3"/>
  <c r="N439" i="3"/>
  <c r="P441" i="3"/>
  <c r="P1012" i="1"/>
  <c r="I1298" i="3"/>
  <c r="D423" i="1"/>
  <c r="D1298" i="3" s="1"/>
  <c r="D977" i="1"/>
  <c r="D450" i="3" s="1"/>
  <c r="I450" i="3"/>
  <c r="I471" i="3"/>
  <c r="D998" i="1"/>
  <c r="D471" i="3" s="1"/>
  <c r="I181" i="1"/>
  <c r="I685" i="3"/>
  <c r="D1214" i="1"/>
  <c r="D685" i="3" s="1"/>
  <c r="H667" i="3"/>
  <c r="G28" i="29" s="1"/>
  <c r="I28" i="29" s="1"/>
  <c r="Q28" i="29" s="1"/>
  <c r="H580" i="1"/>
  <c r="H54" i="3" s="1"/>
  <c r="D1211" i="1"/>
  <c r="D1188" i="1"/>
  <c r="D659" i="3" s="1"/>
  <c r="L1312" i="3"/>
  <c r="I437" i="1"/>
  <c r="I1312" i="3" s="1"/>
  <c r="L667" i="3"/>
  <c r="L580" i="1"/>
  <c r="X956" i="1"/>
  <c r="AC956" i="1" s="1"/>
  <c r="D429" i="3"/>
  <c r="X959" i="1"/>
  <c r="D432" i="3"/>
  <c r="D189" i="1"/>
  <c r="D1075" i="3" s="1"/>
  <c r="D1089" i="3"/>
  <c r="H452" i="1"/>
  <c r="F452" i="1"/>
  <c r="L452" i="1"/>
  <c r="I787" i="1"/>
  <c r="F531" i="3"/>
  <c r="F1060" i="1"/>
  <c r="P862" i="3"/>
  <c r="P199" i="1"/>
  <c r="I1393" i="1"/>
  <c r="N1058" i="1"/>
  <c r="N531" i="3" s="1"/>
  <c r="O1060" i="1"/>
  <c r="O531" i="3"/>
  <c r="L1313" i="3"/>
  <c r="I438" i="1"/>
  <c r="I1313" i="3" s="1"/>
  <c r="H690" i="3"/>
  <c r="H587" i="1"/>
  <c r="H61" i="3" s="1"/>
  <c r="I606" i="3"/>
  <c r="D1135" i="1"/>
  <c r="D606" i="3" s="1"/>
  <c r="D425" i="3"/>
  <c r="X952" i="1"/>
  <c r="AC952" i="1" s="1"/>
  <c r="H1081" i="3"/>
  <c r="O558" i="3"/>
  <c r="N1085" i="1"/>
  <c r="N558" i="3" s="1"/>
  <c r="O199" i="1"/>
  <c r="O862" i="3"/>
  <c r="N1396" i="1"/>
  <c r="N862" i="3" s="1"/>
  <c r="H531" i="3"/>
  <c r="H1060" i="1"/>
  <c r="H533" i="3" s="1"/>
  <c r="N633" i="3"/>
  <c r="I1162" i="1"/>
  <c r="I270" i="3"/>
  <c r="D797" i="1"/>
  <c r="D270" i="3" s="1"/>
  <c r="P580" i="1"/>
  <c r="P54" i="3" s="1"/>
  <c r="P667" i="3"/>
  <c r="D193" i="1"/>
  <c r="D190" i="1"/>
  <c r="D1076" i="3" s="1"/>
  <c r="O1270" i="3"/>
  <c r="N394" i="1"/>
  <c r="D184" i="1"/>
  <c r="I1070" i="3"/>
  <c r="I418" i="1"/>
  <c r="N1293" i="3"/>
  <c r="X1056" i="1"/>
  <c r="D529" i="3"/>
  <c r="F587" i="1"/>
  <c r="F690" i="3"/>
  <c r="I436" i="1"/>
  <c r="I1311" i="3" s="1"/>
  <c r="L1311" i="3"/>
  <c r="I960" i="1"/>
  <c r="D1373" i="1"/>
  <c r="D840" i="3" s="1"/>
  <c r="D1033" i="1"/>
  <c r="D506" i="3" s="1"/>
  <c r="F1313" i="3"/>
  <c r="F1084" i="3"/>
  <c r="F1083" i="3"/>
  <c r="F199" i="1"/>
  <c r="F862" i="3"/>
  <c r="P1083" i="3"/>
  <c r="P531" i="3"/>
  <c r="P1060" i="1"/>
  <c r="P533" i="3" s="1"/>
  <c r="L1083" i="3"/>
  <c r="L1084" i="3"/>
  <c r="L531" i="3"/>
  <c r="L1060" i="1"/>
  <c r="N198" i="1"/>
  <c r="N1084" i="3" s="1"/>
  <c r="O1084" i="3"/>
  <c r="N197" i="1"/>
  <c r="N1083" i="3" s="1"/>
  <c r="O1083" i="3"/>
  <c r="H862" i="3"/>
  <c r="H199" i="1"/>
  <c r="H1083" i="3"/>
  <c r="P1405" i="1"/>
  <c r="L1417" i="1"/>
  <c r="L1413" i="1"/>
  <c r="O1404" i="1"/>
  <c r="L1408" i="1"/>
  <c r="F1407" i="1"/>
  <c r="F1405" i="1"/>
  <c r="H1413" i="1"/>
  <c r="H1406" i="1"/>
  <c r="H1404" i="1"/>
  <c r="F1414" i="1"/>
  <c r="P1404" i="1"/>
  <c r="O1408" i="1"/>
  <c r="H1419" i="1"/>
  <c r="F1413" i="1"/>
  <c r="P1407" i="1"/>
  <c r="L1418" i="1"/>
  <c r="L1415" i="1"/>
  <c r="O1406" i="1"/>
  <c r="L1406" i="1"/>
  <c r="F1406" i="1"/>
  <c r="H1416" i="1"/>
  <c r="H1415" i="1"/>
  <c r="H1408" i="1"/>
  <c r="F1415" i="1"/>
  <c r="F1418" i="1"/>
  <c r="L1414" i="1"/>
  <c r="L1405" i="1"/>
  <c r="H1407" i="1"/>
  <c r="P1408" i="1"/>
  <c r="F1404" i="1"/>
  <c r="F1417" i="1"/>
  <c r="P1406" i="1"/>
  <c r="L1419" i="1"/>
  <c r="L1416" i="1"/>
  <c r="O1405" i="1"/>
  <c r="L1407" i="1"/>
  <c r="L1404" i="1"/>
  <c r="F1408" i="1"/>
  <c r="H1418" i="1"/>
  <c r="H1417" i="1"/>
  <c r="H1405" i="1"/>
  <c r="F1419" i="1"/>
  <c r="F1416" i="1"/>
  <c r="O1407" i="1"/>
  <c r="H1414" i="1"/>
  <c r="X1054" i="1" l="1"/>
  <c r="D527" i="3"/>
  <c r="D512" i="3"/>
  <c r="N1219" i="1"/>
  <c r="N690" i="3" s="1"/>
  <c r="D1242" i="1"/>
  <c r="D712" i="3" s="1"/>
  <c r="D1215" i="1"/>
  <c r="D686" i="3" s="1"/>
  <c r="D883" i="1"/>
  <c r="D356" i="3" s="1"/>
  <c r="P587" i="1"/>
  <c r="P61" i="3" s="1"/>
  <c r="D895" i="1"/>
  <c r="D368" i="3" s="1"/>
  <c r="D993" i="1"/>
  <c r="D466" i="3" s="1"/>
  <c r="L690" i="3"/>
  <c r="O821" i="3"/>
  <c r="I814" i="3"/>
  <c r="I1217" i="1"/>
  <c r="I688" i="3" s="1"/>
  <c r="I1000" i="1"/>
  <c r="I473" i="3" s="1"/>
  <c r="I884" i="1"/>
  <c r="D884" i="1" s="1"/>
  <c r="D357" i="3" s="1"/>
  <c r="I798" i="3"/>
  <c r="I808" i="3"/>
  <c r="I792" i="3"/>
  <c r="N1354" i="1"/>
  <c r="N821" i="3" s="1"/>
  <c r="D185" i="1"/>
  <c r="D1071" i="3" s="1"/>
  <c r="U785" i="1"/>
  <c r="D1334" i="1"/>
  <c r="X1334" i="1" s="1"/>
  <c r="X997" i="1"/>
  <c r="AA997" i="1" s="1"/>
  <c r="D186" i="1"/>
  <c r="D1072" i="3" s="1"/>
  <c r="D1336" i="1"/>
  <c r="X1336" i="1" s="1"/>
  <c r="H1398" i="1"/>
  <c r="H864" i="3" s="1"/>
  <c r="H432" i="1"/>
  <c r="H1307" i="3" s="1"/>
  <c r="D431" i="3"/>
  <c r="I807" i="3"/>
  <c r="D385" i="1"/>
  <c r="D1261" i="3" s="1"/>
  <c r="D1349" i="1"/>
  <c r="X1349" i="1" s="1"/>
  <c r="D1010" i="1"/>
  <c r="D483" i="3" s="1"/>
  <c r="X961" i="1"/>
  <c r="AC961" i="1" s="1"/>
  <c r="D1330" i="1"/>
  <c r="X1330" i="1" s="1"/>
  <c r="D463" i="3"/>
  <c r="D1057" i="1"/>
  <c r="X1057" i="1" s="1"/>
  <c r="D1326" i="1"/>
  <c r="D793" i="3" s="1"/>
  <c r="D1343" i="1"/>
  <c r="X1343" i="1" s="1"/>
  <c r="I364" i="3"/>
  <c r="X962" i="1"/>
  <c r="AC962" i="1" s="1"/>
  <c r="I858" i="3"/>
  <c r="D413" i="1"/>
  <c r="D1289" i="3" s="1"/>
  <c r="D1333" i="1"/>
  <c r="D800" i="3" s="1"/>
  <c r="I708" i="3"/>
  <c r="I806" i="3"/>
  <c r="D840" i="1"/>
  <c r="D313" i="3" s="1"/>
  <c r="D1350" i="1"/>
  <c r="D817" i="3" s="1"/>
  <c r="I799" i="3"/>
  <c r="D1327" i="1"/>
  <c r="D794" i="3" s="1"/>
  <c r="D797" i="3"/>
  <c r="X994" i="1"/>
  <c r="AA994" i="1" s="1"/>
  <c r="D1348" i="1"/>
  <c r="X1348" i="1" s="1"/>
  <c r="X988" i="1"/>
  <c r="D461" i="3"/>
  <c r="D438" i="3"/>
  <c r="D1335" i="1"/>
  <c r="X1335" i="1" s="1"/>
  <c r="X992" i="1"/>
  <c r="D465" i="3"/>
  <c r="X991" i="1"/>
  <c r="AA991" i="1" s="1"/>
  <c r="D464" i="3"/>
  <c r="X996" i="1"/>
  <c r="AA996" i="1" s="1"/>
  <c r="D469" i="3"/>
  <c r="I811" i="3"/>
  <c r="O432" i="1"/>
  <c r="O1307" i="3" s="1"/>
  <c r="F432" i="1"/>
  <c r="F1307" i="3" s="1"/>
  <c r="D1069" i="3"/>
  <c r="D246" i="3"/>
  <c r="L432" i="1"/>
  <c r="L1307" i="3" s="1"/>
  <c r="D1345" i="1"/>
  <c r="X1345" i="1" s="1"/>
  <c r="D1328" i="1"/>
  <c r="D795" i="3" s="1"/>
  <c r="D386" i="1"/>
  <c r="D1262" i="3" s="1"/>
  <c r="D1346" i="1"/>
  <c r="X1346" i="1" s="1"/>
  <c r="D1046" i="1"/>
  <c r="D519" i="3" s="1"/>
  <c r="I805" i="3"/>
  <c r="D1342" i="1"/>
  <c r="I1352" i="1"/>
  <c r="I819" i="3" s="1"/>
  <c r="D1329" i="1"/>
  <c r="X1329" i="1" s="1"/>
  <c r="D1337" i="1"/>
  <c r="D804" i="3" s="1"/>
  <c r="I796" i="3"/>
  <c r="I850" i="3"/>
  <c r="D1383" i="1"/>
  <c r="D1388" i="1"/>
  <c r="X1388" i="1" s="1"/>
  <c r="D1380" i="1"/>
  <c r="X1380" i="1" s="1"/>
  <c r="U794" i="1"/>
  <c r="D1386" i="1"/>
  <c r="X1386" i="1" s="1"/>
  <c r="I849" i="3"/>
  <c r="D1382" i="1"/>
  <c r="D441" i="1"/>
  <c r="D1316" i="3" s="1"/>
  <c r="I522" i="3"/>
  <c r="D1049" i="1"/>
  <c r="I856" i="3"/>
  <c r="D1390" i="1"/>
  <c r="D438" i="1"/>
  <c r="D1313" i="3" s="1"/>
  <c r="I1058" i="1"/>
  <c r="I531" i="3" s="1"/>
  <c r="I1255" i="3"/>
  <c r="D379" i="1"/>
  <c r="D1255" i="3" s="1"/>
  <c r="I860" i="3"/>
  <c r="D1394" i="1"/>
  <c r="D1028" i="3"/>
  <c r="O391" i="1"/>
  <c r="P391" i="1"/>
  <c r="D1378" i="1"/>
  <c r="X1378" i="1" s="1"/>
  <c r="D454" i="1"/>
  <c r="D1329" i="3" s="1"/>
  <c r="I848" i="3"/>
  <c r="D1381" i="1"/>
  <c r="D430" i="3"/>
  <c r="X957" i="1"/>
  <c r="AC957" i="1" s="1"/>
  <c r="X955" i="1"/>
  <c r="D428" i="3"/>
  <c r="I843" i="3"/>
  <c r="X1376" i="1"/>
  <c r="D1389" i="1"/>
  <c r="I851" i="3"/>
  <c r="D1384" i="1"/>
  <c r="I1196" i="1"/>
  <c r="I667" i="3" s="1"/>
  <c r="X954" i="1"/>
  <c r="AC954" i="1" s="1"/>
  <c r="D427" i="3"/>
  <c r="I844" i="3"/>
  <c r="D1377" i="1"/>
  <c r="I1396" i="1"/>
  <c r="I862" i="3" s="1"/>
  <c r="I520" i="3"/>
  <c r="D1047" i="1"/>
  <c r="I315" i="3"/>
  <c r="D842" i="1"/>
  <c r="D315" i="3" s="1"/>
  <c r="I852" i="3"/>
  <c r="D1385" i="1"/>
  <c r="I846" i="3"/>
  <c r="D1379" i="1"/>
  <c r="D420" i="1"/>
  <c r="D1295" i="3" s="1"/>
  <c r="I511" i="3"/>
  <c r="D1038" i="1"/>
  <c r="I857" i="3"/>
  <c r="D1391" i="1"/>
  <c r="F882" i="3"/>
  <c r="F883" i="3"/>
  <c r="F884" i="3"/>
  <c r="F880" i="3"/>
  <c r="F885" i="3"/>
  <c r="F879" i="3"/>
  <c r="F1421" i="1"/>
  <c r="F881" i="3"/>
  <c r="H202" i="1"/>
  <c r="H870" i="3"/>
  <c r="H204" i="1"/>
  <c r="H1410" i="1"/>
  <c r="H876" i="3" s="1"/>
  <c r="H871" i="3"/>
  <c r="H873" i="3"/>
  <c r="H874" i="3"/>
  <c r="H872" i="3"/>
  <c r="H883" i="3"/>
  <c r="H880" i="3"/>
  <c r="H881" i="3"/>
  <c r="H1421" i="1"/>
  <c r="H879" i="3"/>
  <c r="H884" i="3"/>
  <c r="H885" i="3"/>
  <c r="H882" i="3"/>
  <c r="F871" i="3"/>
  <c r="F874" i="3"/>
  <c r="F870" i="3"/>
  <c r="F202" i="1"/>
  <c r="F204" i="1"/>
  <c r="F1410" i="1"/>
  <c r="F872" i="3"/>
  <c r="F873" i="3"/>
  <c r="L204" i="1"/>
  <c r="L202" i="1"/>
  <c r="L1410" i="1"/>
  <c r="L870" i="3"/>
  <c r="L871" i="3"/>
  <c r="L872" i="3"/>
  <c r="L874" i="3"/>
  <c r="L873" i="3"/>
  <c r="O874" i="3"/>
  <c r="N1408" i="1"/>
  <c r="N874" i="3" s="1"/>
  <c r="O872" i="3"/>
  <c r="N1406" i="1"/>
  <c r="N872" i="3" s="1"/>
  <c r="O870" i="3"/>
  <c r="O204" i="1"/>
  <c r="N1404" i="1"/>
  <c r="N870" i="3" s="1"/>
  <c r="O1410" i="1"/>
  <c r="O202" i="1"/>
  <c r="O871" i="3"/>
  <c r="N1405" i="1"/>
  <c r="N871" i="3" s="1"/>
  <c r="N1407" i="1"/>
  <c r="N873" i="3" s="1"/>
  <c r="O873" i="3"/>
  <c r="I1415" i="1"/>
  <c r="I881" i="3" s="1"/>
  <c r="L881" i="3"/>
  <c r="L1421" i="1"/>
  <c r="L879" i="3"/>
  <c r="I1413" i="1"/>
  <c r="I879" i="3" s="1"/>
  <c r="I1416" i="1"/>
  <c r="I882" i="3" s="1"/>
  <c r="L882" i="3"/>
  <c r="L880" i="3"/>
  <c r="I1414" i="1"/>
  <c r="I880" i="3" s="1"/>
  <c r="I1418" i="1"/>
  <c r="I884" i="3" s="1"/>
  <c r="L884" i="3"/>
  <c r="I1417" i="1"/>
  <c r="I883" i="3" s="1"/>
  <c r="L883" i="3"/>
  <c r="I1419" i="1"/>
  <c r="I885" i="3" s="1"/>
  <c r="L885" i="3"/>
  <c r="P1410" i="1"/>
  <c r="P870" i="3"/>
  <c r="P204" i="1"/>
  <c r="P202" i="1"/>
  <c r="P873" i="3"/>
  <c r="P871" i="3"/>
  <c r="P872" i="3"/>
  <c r="P874" i="3"/>
  <c r="I197" i="1"/>
  <c r="D807" i="3"/>
  <c r="X1340" i="1"/>
  <c r="D418" i="1"/>
  <c r="D1293" i="3" s="1"/>
  <c r="I1293" i="3"/>
  <c r="F1327" i="3"/>
  <c r="I458" i="3"/>
  <c r="D985" i="1"/>
  <c r="F214" i="1"/>
  <c r="F864" i="3"/>
  <c r="D792" i="3"/>
  <c r="X1325" i="1"/>
  <c r="H1325" i="3"/>
  <c r="F485" i="3"/>
  <c r="X1331" i="1"/>
  <c r="D798" i="3"/>
  <c r="D182" i="1"/>
  <c r="I1068" i="3"/>
  <c r="L1085" i="3"/>
  <c r="D195" i="1"/>
  <c r="H1085" i="3"/>
  <c r="I198" i="1"/>
  <c r="I633" i="3"/>
  <c r="D1162" i="1"/>
  <c r="D633" i="3" s="1"/>
  <c r="H1327" i="3"/>
  <c r="D811" i="3"/>
  <c r="X1344" i="1"/>
  <c r="I1067" i="3"/>
  <c r="D181" i="1"/>
  <c r="D437" i="1"/>
  <c r="D1312" i="3" s="1"/>
  <c r="D439" i="3"/>
  <c r="P1098" i="3"/>
  <c r="P461" i="1"/>
  <c r="P1336" i="3" s="1"/>
  <c r="F1325" i="3"/>
  <c r="L1325" i="3"/>
  <c r="F54" i="3"/>
  <c r="O1098" i="3"/>
  <c r="O461" i="1"/>
  <c r="N212" i="1"/>
  <c r="N1098" i="3" s="1"/>
  <c r="H485" i="3"/>
  <c r="L485" i="3"/>
  <c r="L533" i="3"/>
  <c r="F1085" i="3"/>
  <c r="F61" i="3"/>
  <c r="D1070" i="3"/>
  <c r="L433" i="1"/>
  <c r="O433" i="1"/>
  <c r="H433" i="1"/>
  <c r="H1308" i="3" s="1"/>
  <c r="F433" i="1"/>
  <c r="P433" i="1"/>
  <c r="P1308" i="3" s="1"/>
  <c r="F442" i="1"/>
  <c r="D1079" i="3"/>
  <c r="L442" i="1"/>
  <c r="H442" i="1"/>
  <c r="H1317" i="3" s="1"/>
  <c r="X1392" i="1"/>
  <c r="D858" i="3"/>
  <c r="P1085" i="3"/>
  <c r="I260" i="3"/>
  <c r="D787" i="1"/>
  <c r="D260" i="3" s="1"/>
  <c r="X1338" i="1"/>
  <c r="D805" i="3"/>
  <c r="D682" i="3"/>
  <c r="P485" i="3"/>
  <c r="O217" i="1"/>
  <c r="N1398" i="1"/>
  <c r="N864" i="3" s="1"/>
  <c r="O864" i="3"/>
  <c r="N580" i="1"/>
  <c r="N54" i="3" s="1"/>
  <c r="O54" i="3"/>
  <c r="N450" i="1"/>
  <c r="N1325" i="3" s="1"/>
  <c r="O1325" i="3"/>
  <c r="L864" i="3"/>
  <c r="O485" i="3"/>
  <c r="N1012" i="1"/>
  <c r="N485" i="3" s="1"/>
  <c r="I968" i="1"/>
  <c r="I665" i="3"/>
  <c r="D1194" i="1"/>
  <c r="D665" i="3" s="1"/>
  <c r="I1048" i="1"/>
  <c r="D440" i="1"/>
  <c r="D1315" i="3" s="1"/>
  <c r="D814" i="3"/>
  <c r="X1347" i="1"/>
  <c r="I433" i="3"/>
  <c r="D960" i="1"/>
  <c r="D433" i="3" s="1"/>
  <c r="I394" i="1"/>
  <c r="N1270" i="3"/>
  <c r="O1085" i="3"/>
  <c r="N199" i="1"/>
  <c r="N1085" i="3" s="1"/>
  <c r="O533" i="3"/>
  <c r="N1060" i="1"/>
  <c r="N533" i="3" s="1"/>
  <c r="I859" i="3"/>
  <c r="D1393" i="1"/>
  <c r="F533" i="3"/>
  <c r="I452" i="1"/>
  <c r="I1327" i="3" s="1"/>
  <c r="L1327" i="3"/>
  <c r="L54" i="3"/>
  <c r="D436" i="1"/>
  <c r="D1311" i="3" s="1"/>
  <c r="D799" i="3"/>
  <c r="X1332" i="1"/>
  <c r="I620" i="3"/>
  <c r="D1149" i="1"/>
  <c r="D620" i="3" s="1"/>
  <c r="P1325" i="3"/>
  <c r="D806" i="3"/>
  <c r="X1339" i="1"/>
  <c r="I271" i="3"/>
  <c r="D798" i="1"/>
  <c r="X1341" i="1"/>
  <c r="D808" i="3"/>
  <c r="P864" i="3"/>
  <c r="P217" i="1"/>
  <c r="L443" i="1"/>
  <c r="D1080" i="3"/>
  <c r="F443" i="1"/>
  <c r="H443" i="1"/>
  <c r="H1318" i="3" s="1"/>
  <c r="L61" i="3"/>
  <c r="D439" i="1"/>
  <c r="D1314" i="3" s="1"/>
  <c r="P1269" i="1"/>
  <c r="O1269" i="1"/>
  <c r="I1219" i="1" l="1"/>
  <c r="I690" i="3" s="1"/>
  <c r="N587" i="1"/>
  <c r="N61" i="3" s="1"/>
  <c r="D1000" i="1"/>
  <c r="X1000" i="1" s="1"/>
  <c r="X1326" i="1"/>
  <c r="I357" i="3"/>
  <c r="D810" i="3"/>
  <c r="H434" i="1"/>
  <c r="H1309" i="3" s="1"/>
  <c r="D1217" i="1"/>
  <c r="D688" i="3" s="1"/>
  <c r="L434" i="1"/>
  <c r="L1309" i="3" s="1"/>
  <c r="O434" i="1"/>
  <c r="O1309" i="3" s="1"/>
  <c r="P434" i="1"/>
  <c r="P1309" i="3" s="1"/>
  <c r="F434" i="1"/>
  <c r="F1309" i="3" s="1"/>
  <c r="D1058" i="1"/>
  <c r="D531" i="3" s="1"/>
  <c r="D801" i="3"/>
  <c r="F435" i="1"/>
  <c r="F1310" i="3" s="1"/>
  <c r="H215" i="1"/>
  <c r="D215" i="1" s="1"/>
  <c r="D1101" i="3" s="1"/>
  <c r="D802" i="3"/>
  <c r="H435" i="1"/>
  <c r="H1310" i="3" s="1"/>
  <c r="D530" i="3"/>
  <c r="O435" i="1"/>
  <c r="O1310" i="3" s="1"/>
  <c r="L435" i="1"/>
  <c r="L1310" i="3" s="1"/>
  <c r="P435" i="1"/>
  <c r="P1310" i="3" s="1"/>
  <c r="D803" i="3"/>
  <c r="D816" i="3"/>
  <c r="X1010" i="1"/>
  <c r="N432" i="1"/>
  <c r="N1307" i="3" s="1"/>
  <c r="X1327" i="1"/>
  <c r="D845" i="3"/>
  <c r="X1328" i="1"/>
  <c r="X1333" i="1"/>
  <c r="D815" i="3"/>
  <c r="X1350" i="1"/>
  <c r="D1352" i="1"/>
  <c r="D819" i="3" s="1"/>
  <c r="D812" i="3"/>
  <c r="I1354" i="1"/>
  <c r="D1354" i="1" s="1"/>
  <c r="D821" i="3" s="1"/>
  <c r="X1046" i="1"/>
  <c r="D1219" i="1"/>
  <c r="D690" i="3" s="1"/>
  <c r="X1337" i="1"/>
  <c r="D854" i="3"/>
  <c r="D813" i="3"/>
  <c r="D853" i="3"/>
  <c r="D809" i="3"/>
  <c r="X1342" i="1"/>
  <c r="D796" i="3"/>
  <c r="D847" i="3"/>
  <c r="X1383" i="1"/>
  <c r="D850" i="3"/>
  <c r="D522" i="3"/>
  <c r="X1049" i="1"/>
  <c r="X1382" i="1"/>
  <c r="D849" i="3"/>
  <c r="D1196" i="1"/>
  <c r="D667" i="3" s="1"/>
  <c r="C28" i="33" s="1"/>
  <c r="E28" i="33" s="1"/>
  <c r="D856" i="3"/>
  <c r="X1390" i="1"/>
  <c r="N1269" i="1"/>
  <c r="O739" i="3"/>
  <c r="P739" i="3"/>
  <c r="O1267" i="3"/>
  <c r="N391" i="1"/>
  <c r="X1394" i="1"/>
  <c r="D860" i="3"/>
  <c r="P1267" i="3"/>
  <c r="D848" i="3"/>
  <c r="X1381" i="1"/>
  <c r="I1398" i="1"/>
  <c r="I864" i="3" s="1"/>
  <c r="X1389" i="1"/>
  <c r="D855" i="3"/>
  <c r="I580" i="1"/>
  <c r="I54" i="3" s="1"/>
  <c r="D851" i="3"/>
  <c r="X1384" i="1"/>
  <c r="X1377" i="1"/>
  <c r="D844" i="3"/>
  <c r="D1396" i="1"/>
  <c r="D862" i="3" s="1"/>
  <c r="D1414" i="1"/>
  <c r="D880" i="3" s="1"/>
  <c r="D852" i="3"/>
  <c r="X1385" i="1"/>
  <c r="X1047" i="1"/>
  <c r="D520" i="3"/>
  <c r="X1391" i="1"/>
  <c r="D857" i="3"/>
  <c r="D511" i="3"/>
  <c r="X1038" i="1"/>
  <c r="D1417" i="1"/>
  <c r="X1417" i="1" s="1"/>
  <c r="X1379" i="1"/>
  <c r="D846" i="3"/>
  <c r="D394" i="1"/>
  <c r="D1270" i="3" s="1"/>
  <c r="I1270" i="3"/>
  <c r="O1103" i="3"/>
  <c r="N217" i="1"/>
  <c r="L1308" i="3"/>
  <c r="H430" i="1"/>
  <c r="H1305" i="3" s="1"/>
  <c r="D1067" i="3"/>
  <c r="P430" i="1"/>
  <c r="P1305" i="3" s="1"/>
  <c r="L430" i="1"/>
  <c r="F430" i="1"/>
  <c r="O430" i="1"/>
  <c r="I199" i="1"/>
  <c r="P1090" i="3"/>
  <c r="H1088" i="3"/>
  <c r="F887" i="3"/>
  <c r="F206" i="1"/>
  <c r="F1423" i="1"/>
  <c r="X1393" i="1"/>
  <c r="D859" i="3"/>
  <c r="I443" i="1"/>
  <c r="I1318" i="3" s="1"/>
  <c r="L1318" i="3"/>
  <c r="I441" i="3"/>
  <c r="D968" i="1"/>
  <c r="I442" i="1"/>
  <c r="I1317" i="3" s="1"/>
  <c r="L1317" i="3"/>
  <c r="F1308" i="3"/>
  <c r="O1090" i="3"/>
  <c r="N204" i="1"/>
  <c r="N1090" i="3" s="1"/>
  <c r="I1408" i="1"/>
  <c r="I1405" i="1"/>
  <c r="L876" i="3"/>
  <c r="F876" i="3"/>
  <c r="H206" i="1"/>
  <c r="H887" i="3"/>
  <c r="H1423" i="1"/>
  <c r="D1415" i="1"/>
  <c r="P1103" i="3"/>
  <c r="D1048" i="1"/>
  <c r="D521" i="3" s="1"/>
  <c r="I521" i="3"/>
  <c r="I1012" i="1"/>
  <c r="F444" i="1"/>
  <c r="D1081" i="3"/>
  <c r="L444" i="1"/>
  <c r="H444" i="1"/>
  <c r="D214" i="1"/>
  <c r="D1100" i="3" s="1"/>
  <c r="F1100" i="3"/>
  <c r="D452" i="1"/>
  <c r="D1327" i="3" s="1"/>
  <c r="I1083" i="3"/>
  <c r="D197" i="1"/>
  <c r="P876" i="3"/>
  <c r="P1423" i="1"/>
  <c r="O1088" i="3"/>
  <c r="N202" i="1"/>
  <c r="N1088" i="3" s="1"/>
  <c r="L1088" i="3"/>
  <c r="F1090" i="3"/>
  <c r="H1090" i="3"/>
  <c r="D1419" i="1"/>
  <c r="D1418" i="1"/>
  <c r="D1416" i="1"/>
  <c r="U798" i="1"/>
  <c r="D271" i="3"/>
  <c r="F1318" i="3"/>
  <c r="F1317" i="3"/>
  <c r="N433" i="1"/>
  <c r="N1308" i="3" s="1"/>
  <c r="O1308" i="3"/>
  <c r="I1060" i="1"/>
  <c r="N461" i="1"/>
  <c r="N1336" i="3" s="1"/>
  <c r="O1336" i="3"/>
  <c r="I450" i="1"/>
  <c r="I1084" i="3"/>
  <c r="D198" i="1"/>
  <c r="P431" i="1"/>
  <c r="P1306" i="3" s="1"/>
  <c r="D1068" i="3"/>
  <c r="O431" i="1"/>
  <c r="L431" i="1"/>
  <c r="H431" i="1"/>
  <c r="H1306" i="3" s="1"/>
  <c r="F431" i="1"/>
  <c r="F1306" i="3" s="1"/>
  <c r="D458" i="3"/>
  <c r="X985" i="1"/>
  <c r="P1088" i="3"/>
  <c r="L206" i="1"/>
  <c r="I1421" i="1"/>
  <c r="I887" i="3" s="1"/>
  <c r="L887" i="3"/>
  <c r="L1423" i="1"/>
  <c r="O876" i="3"/>
  <c r="N1410" i="1"/>
  <c r="N876" i="3" s="1"/>
  <c r="O1423" i="1"/>
  <c r="I1407" i="1"/>
  <c r="I1406" i="1"/>
  <c r="I1404" i="1"/>
  <c r="L1090" i="3"/>
  <c r="F1088" i="3"/>
  <c r="D1413" i="1"/>
  <c r="H1017" i="1"/>
  <c r="F1017" i="1"/>
  <c r="L1017" i="1"/>
  <c r="I587" i="1" l="1"/>
  <c r="I61" i="3" s="1"/>
  <c r="D473" i="3"/>
  <c r="N434" i="1"/>
  <c r="N1309" i="3" s="1"/>
  <c r="H1101" i="3"/>
  <c r="N435" i="1"/>
  <c r="N1310" i="3" s="1"/>
  <c r="I432" i="1"/>
  <c r="I1307" i="3" s="1"/>
  <c r="I821" i="3"/>
  <c r="D883" i="3"/>
  <c r="D1398" i="1"/>
  <c r="D864" i="3" s="1"/>
  <c r="X1414" i="1"/>
  <c r="I204" i="1"/>
  <c r="I1090" i="3" s="1"/>
  <c r="C28" i="29"/>
  <c r="E28" i="29" s="1"/>
  <c r="Z1217" i="1"/>
  <c r="N1267" i="3"/>
  <c r="I391" i="1"/>
  <c r="N739" i="3"/>
  <c r="I1269" i="1"/>
  <c r="D580" i="1"/>
  <c r="D54" i="3" s="1"/>
  <c r="D443" i="1"/>
  <c r="D1318" i="3" s="1"/>
  <c r="I202" i="1"/>
  <c r="I1088" i="3" s="1"/>
  <c r="I435" i="1"/>
  <c r="I1310" i="3" s="1"/>
  <c r="D442" i="1"/>
  <c r="D1317" i="3" s="1"/>
  <c r="F463" i="1"/>
  <c r="D463" i="1" s="1"/>
  <c r="D1338" i="3" s="1"/>
  <c r="H1026" i="1"/>
  <c r="H490" i="3"/>
  <c r="L490" i="3"/>
  <c r="I1017" i="1"/>
  <c r="I490" i="3" s="1"/>
  <c r="L1026" i="1"/>
  <c r="F490" i="3"/>
  <c r="F1026" i="1"/>
  <c r="I870" i="3"/>
  <c r="D1404" i="1"/>
  <c r="L1306" i="3"/>
  <c r="I872" i="3"/>
  <c r="D1406" i="1"/>
  <c r="L1092" i="3"/>
  <c r="I206" i="1"/>
  <c r="I1092" i="3" s="1"/>
  <c r="O1306" i="3"/>
  <c r="N431" i="1"/>
  <c r="N1306" i="3" s="1"/>
  <c r="I533" i="3"/>
  <c r="D1060" i="1"/>
  <c r="D533" i="3" s="1"/>
  <c r="D882" i="3"/>
  <c r="X1416" i="1"/>
  <c r="D1083" i="3"/>
  <c r="L446" i="1"/>
  <c r="O446" i="1"/>
  <c r="H446" i="1"/>
  <c r="H1321" i="3" s="1"/>
  <c r="P446" i="1"/>
  <c r="P1321" i="3" s="1"/>
  <c r="F446" i="1"/>
  <c r="H1319" i="3"/>
  <c r="I485" i="3"/>
  <c r="D1012" i="1"/>
  <c r="X1415" i="1"/>
  <c r="D881" i="3"/>
  <c r="I871" i="3"/>
  <c r="D1405" i="1"/>
  <c r="D1421" i="1"/>
  <c r="D887" i="3" s="1"/>
  <c r="O1305" i="3"/>
  <c r="N430" i="1"/>
  <c r="N1305" i="3" s="1"/>
  <c r="X1413" i="1"/>
  <c r="D879" i="3"/>
  <c r="I873" i="3"/>
  <c r="D1407" i="1"/>
  <c r="L889" i="3"/>
  <c r="L124" i="1"/>
  <c r="I1325" i="3"/>
  <c r="D450" i="1"/>
  <c r="D1325" i="3" s="1"/>
  <c r="X1418" i="1"/>
  <c r="D884" i="3"/>
  <c r="I444" i="1"/>
  <c r="I1319" i="3" s="1"/>
  <c r="L1319" i="3"/>
  <c r="H889" i="3"/>
  <c r="H124" i="1"/>
  <c r="I874" i="3"/>
  <c r="D1408" i="1"/>
  <c r="X968" i="1"/>
  <c r="D441" i="3"/>
  <c r="F1092" i="3"/>
  <c r="F1305" i="3"/>
  <c r="I217" i="1"/>
  <c r="N1103" i="3"/>
  <c r="H464" i="1"/>
  <c r="D1084" i="3"/>
  <c r="H447" i="1"/>
  <c r="H1322" i="3" s="1"/>
  <c r="E21" i="29" s="1"/>
  <c r="G21" i="29" s="1"/>
  <c r="I21" i="29" s="1"/>
  <c r="Q21" i="29" s="1"/>
  <c r="F447" i="1"/>
  <c r="O447" i="1"/>
  <c r="P447" i="1"/>
  <c r="P1322" i="3" s="1"/>
  <c r="L447" i="1"/>
  <c r="O124" i="1"/>
  <c r="O889" i="3"/>
  <c r="N1423" i="1"/>
  <c r="N889" i="3" s="1"/>
  <c r="X1419" i="1"/>
  <c r="D885" i="3"/>
  <c r="P124" i="1"/>
  <c r="P889" i="3"/>
  <c r="I1410" i="1"/>
  <c r="L1305" i="3"/>
  <c r="I433" i="1"/>
  <c r="F1319" i="3"/>
  <c r="H1092" i="3"/>
  <c r="F124" i="1"/>
  <c r="F889" i="3"/>
  <c r="I1085" i="3"/>
  <c r="D199" i="1"/>
  <c r="F749" i="1"/>
  <c r="I434" i="1" l="1"/>
  <c r="D434" i="1" s="1"/>
  <c r="D1309" i="3" s="1"/>
  <c r="D587" i="1"/>
  <c r="D61" i="3" s="1"/>
  <c r="D432" i="1"/>
  <c r="D1307" i="3" s="1"/>
  <c r="D202" i="1"/>
  <c r="D1088" i="3" s="1"/>
  <c r="D444" i="1"/>
  <c r="D1319" i="3" s="1"/>
  <c r="D206" i="1"/>
  <c r="F455" i="1" s="1"/>
  <c r="F1330" i="3" s="1"/>
  <c r="D435" i="1"/>
  <c r="D1310" i="3" s="1"/>
  <c r="D204" i="1"/>
  <c r="P453" i="1" s="1"/>
  <c r="P1328" i="3" s="1"/>
  <c r="F1338" i="3"/>
  <c r="I739" i="3"/>
  <c r="D1269" i="1"/>
  <c r="D739" i="3" s="1"/>
  <c r="D391" i="1"/>
  <c r="D1267" i="3" s="1"/>
  <c r="I1267" i="3"/>
  <c r="I430" i="1"/>
  <c r="I1305" i="3" s="1"/>
  <c r="D749" i="1"/>
  <c r="D222" i="3" s="1"/>
  <c r="F222" i="3"/>
  <c r="D873" i="3"/>
  <c r="X1407" i="1"/>
  <c r="X1406" i="1"/>
  <c r="D872" i="3"/>
  <c r="O1322" i="3"/>
  <c r="N447" i="1"/>
  <c r="N1322" i="3" s="1"/>
  <c r="D464" i="1"/>
  <c r="D1339" i="3" s="1"/>
  <c r="H1339" i="3"/>
  <c r="X1408" i="1"/>
  <c r="D874" i="3"/>
  <c r="I1423" i="1"/>
  <c r="O1321" i="3"/>
  <c r="N446" i="1"/>
  <c r="N1321" i="3" s="1"/>
  <c r="P1010" i="3"/>
  <c r="D870" i="3"/>
  <c r="X1404" i="1"/>
  <c r="D1085" i="3"/>
  <c r="L448" i="1"/>
  <c r="P448" i="1"/>
  <c r="P1323" i="3" s="1"/>
  <c r="H448" i="1"/>
  <c r="H1323" i="3" s="1"/>
  <c r="F448" i="1"/>
  <c r="O448" i="1"/>
  <c r="F1010" i="3"/>
  <c r="I876" i="3"/>
  <c r="D1410" i="1"/>
  <c r="D876" i="3" s="1"/>
  <c r="N124" i="1"/>
  <c r="N1010" i="3" s="1"/>
  <c r="O1010" i="3"/>
  <c r="F1322" i="3"/>
  <c r="E21" i="33" s="1"/>
  <c r="G21" i="33" s="1"/>
  <c r="I21" i="33" s="1"/>
  <c r="Q21" i="33" s="1"/>
  <c r="I1309" i="3"/>
  <c r="L1010" i="3"/>
  <c r="F1321" i="3"/>
  <c r="L1321" i="3"/>
  <c r="I431" i="1"/>
  <c r="D1017" i="1"/>
  <c r="I1308" i="3"/>
  <c r="D433" i="1"/>
  <c r="D1308" i="3" s="1"/>
  <c r="L1322" i="3"/>
  <c r="D217" i="1"/>
  <c r="I1103" i="3"/>
  <c r="H1010" i="3"/>
  <c r="X1405" i="1"/>
  <c r="D871" i="3"/>
  <c r="X1012" i="1"/>
  <c r="D485" i="3"/>
  <c r="F499" i="3"/>
  <c r="F1035" i="1"/>
  <c r="L499" i="3"/>
  <c r="I1026" i="1"/>
  <c r="L1035" i="1"/>
  <c r="H499" i="3"/>
  <c r="H1035" i="1"/>
  <c r="F1081" i="1"/>
  <c r="F1074" i="1"/>
  <c r="O451" i="1" l="1"/>
  <c r="F453" i="1"/>
  <c r="F451" i="1"/>
  <c r="L455" i="1"/>
  <c r="L1330" i="3" s="1"/>
  <c r="D1092" i="3"/>
  <c r="I447" i="1"/>
  <c r="I1322" i="3" s="1"/>
  <c r="L451" i="1"/>
  <c r="L1326" i="3" s="1"/>
  <c r="H451" i="1"/>
  <c r="H1326" i="3" s="1"/>
  <c r="P451" i="1"/>
  <c r="P1326" i="3" s="1"/>
  <c r="O453" i="1"/>
  <c r="O1328" i="3" s="1"/>
  <c r="D1090" i="3"/>
  <c r="H455" i="1"/>
  <c r="F547" i="3"/>
  <c r="F1078" i="1"/>
  <c r="F212" i="1" s="1"/>
  <c r="F1085" i="1"/>
  <c r="F558" i="3" s="1"/>
  <c r="F554" i="3"/>
  <c r="L453" i="1"/>
  <c r="L1328" i="3" s="1"/>
  <c r="H453" i="1"/>
  <c r="H1328" i="3" s="1"/>
  <c r="I446" i="1"/>
  <c r="I1321" i="3" s="1"/>
  <c r="C45" i="33"/>
  <c r="E45" i="33" s="1"/>
  <c r="C45" i="29"/>
  <c r="E45" i="29" s="1"/>
  <c r="I124" i="1"/>
  <c r="I1010" i="3" s="1"/>
  <c r="U749" i="1"/>
  <c r="D430" i="1"/>
  <c r="D1305" i="3" s="1"/>
  <c r="F508" i="3"/>
  <c r="X1017" i="1"/>
  <c r="D490" i="3"/>
  <c r="I889" i="3"/>
  <c r="D1423" i="1"/>
  <c r="D889" i="3" s="1"/>
  <c r="F1328" i="3"/>
  <c r="F1326" i="3"/>
  <c r="I1035" i="1"/>
  <c r="I508" i="3" s="1"/>
  <c r="L508" i="3"/>
  <c r="D431" i="1"/>
  <c r="D1306" i="3" s="1"/>
  <c r="I1306" i="3"/>
  <c r="O1323" i="3"/>
  <c r="N448" i="1"/>
  <c r="N1323" i="3" s="1"/>
  <c r="L1323" i="3"/>
  <c r="D1026" i="1"/>
  <c r="D499" i="3" s="1"/>
  <c r="I499" i="3"/>
  <c r="F1323" i="3"/>
  <c r="H508" i="3"/>
  <c r="I466" i="1"/>
  <c r="D1103" i="3"/>
  <c r="P466" i="1"/>
  <c r="O466" i="1"/>
  <c r="L1081" i="1"/>
  <c r="H1074" i="1"/>
  <c r="L1066" i="1"/>
  <c r="H1081" i="1"/>
  <c r="O1113" i="1"/>
  <c r="O1066" i="1"/>
  <c r="P1066" i="1"/>
  <c r="F1066" i="1"/>
  <c r="H1066" i="1"/>
  <c r="P1113" i="1"/>
  <c r="L1074" i="1"/>
  <c r="N451" i="1" l="1"/>
  <c r="N1326" i="3" s="1"/>
  <c r="D447" i="1"/>
  <c r="D1322" i="3" s="1"/>
  <c r="N453" i="1"/>
  <c r="N1328" i="3" s="1"/>
  <c r="I455" i="1"/>
  <c r="I1330" i="3" s="1"/>
  <c r="O1071" i="1"/>
  <c r="O544" i="3" s="1"/>
  <c r="O539" i="3"/>
  <c r="O1326" i="3"/>
  <c r="F1071" i="1"/>
  <c r="F544" i="3" s="1"/>
  <c r="F539" i="3"/>
  <c r="L554" i="3"/>
  <c r="L1085" i="1"/>
  <c r="I1085" i="1" s="1"/>
  <c r="I1081" i="1"/>
  <c r="I554" i="3" s="1"/>
  <c r="I1074" i="1"/>
  <c r="I547" i="3" s="1"/>
  <c r="L1078" i="1"/>
  <c r="I1078" i="1" s="1"/>
  <c r="L547" i="3"/>
  <c r="N1066" i="1"/>
  <c r="N539" i="3" s="1"/>
  <c r="P539" i="3"/>
  <c r="P1071" i="1"/>
  <c r="P544" i="3" s="1"/>
  <c r="H539" i="3"/>
  <c r="H1071" i="1"/>
  <c r="H544" i="3" s="1"/>
  <c r="L539" i="3"/>
  <c r="L1071" i="1"/>
  <c r="L544" i="3" s="1"/>
  <c r="H554" i="3"/>
  <c r="H1085" i="1"/>
  <c r="H558" i="3" s="1"/>
  <c r="H547" i="3"/>
  <c r="H1078" i="1"/>
  <c r="H1330" i="3"/>
  <c r="F551" i="3"/>
  <c r="D124" i="1"/>
  <c r="L372" i="1" s="1"/>
  <c r="D446" i="1"/>
  <c r="D1321" i="3" s="1"/>
  <c r="N1113" i="1"/>
  <c r="O585" i="3"/>
  <c r="O1115" i="1"/>
  <c r="P585" i="3"/>
  <c r="P1115" i="1"/>
  <c r="P587" i="3" s="1"/>
  <c r="D466" i="1"/>
  <c r="D1341" i="3" s="1"/>
  <c r="I1341" i="3"/>
  <c r="N466" i="1"/>
  <c r="N1341" i="3" s="1"/>
  <c r="O1341" i="3"/>
  <c r="P1341" i="3"/>
  <c r="F1098" i="3"/>
  <c r="I448" i="1"/>
  <c r="D1035" i="1"/>
  <c r="L1429" i="1"/>
  <c r="L1433" i="1"/>
  <c r="L1430" i="1"/>
  <c r="L1434" i="1"/>
  <c r="L1436" i="1"/>
  <c r="L1435" i="1"/>
  <c r="L1428" i="1"/>
  <c r="L1427" i="1"/>
  <c r="L1431" i="1"/>
  <c r="L1432" i="1"/>
  <c r="L1437" i="1"/>
  <c r="L1426" i="1"/>
  <c r="I451" i="1" l="1"/>
  <c r="I1326" i="3" s="1"/>
  <c r="L551" i="3"/>
  <c r="L212" i="1"/>
  <c r="L1098" i="3" s="1"/>
  <c r="D455" i="1"/>
  <c r="D1330" i="3" s="1"/>
  <c r="D1081" i="1"/>
  <c r="D554" i="3" s="1"/>
  <c r="D1010" i="3"/>
  <c r="I453" i="1"/>
  <c r="N1071" i="1"/>
  <c r="N544" i="3" s="1"/>
  <c r="L558" i="3"/>
  <c r="D1074" i="1"/>
  <c r="X1074" i="1" s="1"/>
  <c r="H372" i="1"/>
  <c r="I1066" i="1"/>
  <c r="F372" i="1"/>
  <c r="F1248" i="3" s="1"/>
  <c r="O372" i="1"/>
  <c r="P372" i="1"/>
  <c r="P1248" i="3" s="1"/>
  <c r="H212" i="1"/>
  <c r="H1098" i="3" s="1"/>
  <c r="H551" i="3"/>
  <c r="L897" i="3"/>
  <c r="L901" i="3"/>
  <c r="L896" i="3"/>
  <c r="L1439" i="1"/>
  <c r="L892" i="3"/>
  <c r="L893" i="3"/>
  <c r="L902" i="3"/>
  <c r="L899" i="3"/>
  <c r="L903" i="3"/>
  <c r="L894" i="3"/>
  <c r="L900" i="3"/>
  <c r="L895" i="3"/>
  <c r="L898" i="3"/>
  <c r="D508" i="3"/>
  <c r="X1035" i="1"/>
  <c r="I558" i="3"/>
  <c r="D1085" i="1"/>
  <c r="D558" i="3" s="1"/>
  <c r="L1248" i="3"/>
  <c r="I551" i="3"/>
  <c r="D1078" i="1"/>
  <c r="D551" i="3" s="1"/>
  <c r="I1323" i="3"/>
  <c r="D448" i="1"/>
  <c r="D1323" i="3" s="1"/>
  <c r="N1115" i="1"/>
  <c r="O587" i="3"/>
  <c r="N585" i="3"/>
  <c r="I1113" i="1"/>
  <c r="F1430" i="1"/>
  <c r="F1436" i="1"/>
  <c r="F1429" i="1"/>
  <c r="H1432" i="1"/>
  <c r="H1435" i="1"/>
  <c r="H1434" i="1"/>
  <c r="P1428" i="1"/>
  <c r="P1426" i="1"/>
  <c r="P1437" i="1"/>
  <c r="O1429" i="1"/>
  <c r="O1434" i="1"/>
  <c r="O1433" i="1"/>
  <c r="P1430" i="1"/>
  <c r="O1437" i="1"/>
  <c r="F1432" i="1"/>
  <c r="H1427" i="1"/>
  <c r="P1436" i="1"/>
  <c r="O1426" i="1"/>
  <c r="F1431" i="1"/>
  <c r="F1428" i="1"/>
  <c r="F1434" i="1"/>
  <c r="H1436" i="1"/>
  <c r="H1433" i="1"/>
  <c r="H1428" i="1"/>
  <c r="P1432" i="1"/>
  <c r="P1431" i="1"/>
  <c r="P1434" i="1"/>
  <c r="O1431" i="1"/>
  <c r="O1435" i="1"/>
  <c r="O1436" i="1"/>
  <c r="O1430" i="1"/>
  <c r="F1433" i="1"/>
  <c r="H1426" i="1"/>
  <c r="P1429" i="1"/>
  <c r="O1432" i="1"/>
  <c r="F1426" i="1"/>
  <c r="F1437" i="1"/>
  <c r="F1427" i="1"/>
  <c r="H1431" i="1"/>
  <c r="H1437" i="1"/>
  <c r="H1429" i="1"/>
  <c r="P1427" i="1"/>
  <c r="P1435" i="1"/>
  <c r="O1428" i="1"/>
  <c r="F1435" i="1"/>
  <c r="H1430" i="1"/>
  <c r="P1433" i="1"/>
  <c r="O1427" i="1"/>
  <c r="I212" i="1" l="1"/>
  <c r="D212" i="1" s="1"/>
  <c r="I461" i="1" s="1"/>
  <c r="I1336" i="3" s="1"/>
  <c r="X1081" i="1"/>
  <c r="D451" i="1"/>
  <c r="D1326" i="3" s="1"/>
  <c r="I1071" i="1"/>
  <c r="I544" i="3" s="1"/>
  <c r="I1328" i="3"/>
  <c r="D453" i="1"/>
  <c r="D1328" i="3" s="1"/>
  <c r="D547" i="3"/>
  <c r="H895" i="3"/>
  <c r="H894" i="3"/>
  <c r="H900" i="3"/>
  <c r="H896" i="3"/>
  <c r="H903" i="3"/>
  <c r="H899" i="3"/>
  <c r="H901" i="3"/>
  <c r="H1439" i="1"/>
  <c r="H1441" i="1" s="1"/>
  <c r="H892" i="3"/>
  <c r="H897" i="3"/>
  <c r="H902" i="3"/>
  <c r="H898" i="3"/>
  <c r="H893" i="3"/>
  <c r="F893" i="3"/>
  <c r="F900" i="3"/>
  <c r="F895" i="3"/>
  <c r="F901" i="3"/>
  <c r="F903" i="3"/>
  <c r="F894" i="3"/>
  <c r="F902" i="3"/>
  <c r="F899" i="3"/>
  <c r="F892" i="3"/>
  <c r="F1439" i="1"/>
  <c r="F905" i="3" s="1"/>
  <c r="F897" i="3"/>
  <c r="F896" i="3"/>
  <c r="F898" i="3"/>
  <c r="H1248" i="3"/>
  <c r="I539" i="3"/>
  <c r="D1066" i="1"/>
  <c r="D539" i="3" s="1"/>
  <c r="N372" i="1"/>
  <c r="N1248" i="3" s="1"/>
  <c r="N1428" i="1"/>
  <c r="N894" i="3" s="1"/>
  <c r="O894" i="3"/>
  <c r="O902" i="3"/>
  <c r="N1436" i="1"/>
  <c r="N902" i="3" s="1"/>
  <c r="O899" i="3"/>
  <c r="N1433" i="1"/>
  <c r="N899" i="3" s="1"/>
  <c r="O893" i="3"/>
  <c r="N1427" i="1"/>
  <c r="N893" i="3" s="1"/>
  <c r="N1437" i="1"/>
  <c r="N903" i="3" s="1"/>
  <c r="O903" i="3"/>
  <c r="N1435" i="1"/>
  <c r="N901" i="3" s="1"/>
  <c r="O901" i="3"/>
  <c r="O900" i="3"/>
  <c r="N1434" i="1"/>
  <c r="N900" i="3" s="1"/>
  <c r="O1439" i="1"/>
  <c r="O905" i="3" s="1"/>
  <c r="O892" i="3"/>
  <c r="N1426" i="1"/>
  <c r="N892" i="3" s="1"/>
  <c r="O896" i="3"/>
  <c r="N1430" i="1"/>
  <c r="N896" i="3" s="1"/>
  <c r="N1431" i="1"/>
  <c r="N897" i="3" s="1"/>
  <c r="O897" i="3"/>
  <c r="O895" i="3"/>
  <c r="N1429" i="1"/>
  <c r="N895" i="3" s="1"/>
  <c r="O898" i="3"/>
  <c r="N1432" i="1"/>
  <c r="N898" i="3" s="1"/>
  <c r="P896" i="3"/>
  <c r="P900" i="3"/>
  <c r="P903" i="3"/>
  <c r="P899" i="3"/>
  <c r="P901" i="3"/>
  <c r="P897" i="3"/>
  <c r="P1439" i="1"/>
  <c r="P1441" i="1" s="1"/>
  <c r="P892" i="3"/>
  <c r="P902" i="3"/>
  <c r="P893" i="3"/>
  <c r="P898" i="3"/>
  <c r="P894" i="3"/>
  <c r="P895" i="3"/>
  <c r="O1248" i="3"/>
  <c r="I585" i="3"/>
  <c r="D1113" i="1"/>
  <c r="D585" i="3" s="1"/>
  <c r="N587" i="3"/>
  <c r="I1115" i="1"/>
  <c r="I1098" i="3"/>
  <c r="L1441" i="1"/>
  <c r="L905" i="3"/>
  <c r="I1434" i="1" l="1"/>
  <c r="I900" i="3" s="1"/>
  <c r="O1441" i="1"/>
  <c r="O907" i="3" s="1"/>
  <c r="I1435" i="1"/>
  <c r="I901" i="3" s="1"/>
  <c r="I1430" i="1"/>
  <c r="I896" i="3" s="1"/>
  <c r="D1071" i="1"/>
  <c r="D544" i="3" s="1"/>
  <c r="I1428" i="1"/>
  <c r="I894" i="3" s="1"/>
  <c r="H905" i="3"/>
  <c r="F1441" i="1"/>
  <c r="Z1102" i="1" s="1"/>
  <c r="I1433" i="1"/>
  <c r="I899" i="3" s="1"/>
  <c r="I372" i="1"/>
  <c r="D372" i="1" s="1"/>
  <c r="D1248" i="3" s="1"/>
  <c r="I1437" i="1"/>
  <c r="I903" i="3" s="1"/>
  <c r="I1429" i="1"/>
  <c r="D1429" i="1" s="1"/>
  <c r="I1432" i="1"/>
  <c r="D1432" i="1" s="1"/>
  <c r="I1426" i="1"/>
  <c r="I892" i="3" s="1"/>
  <c r="D1435" i="1"/>
  <c r="X1435" i="1" s="1"/>
  <c r="N1439" i="1"/>
  <c r="N905" i="3" s="1"/>
  <c r="P905" i="3"/>
  <c r="I1436" i="1"/>
  <c r="I902" i="3" s="1"/>
  <c r="I1427" i="1"/>
  <c r="I893" i="3" s="1"/>
  <c r="I1431" i="1"/>
  <c r="H907" i="3"/>
  <c r="H122" i="1"/>
  <c r="H219" i="1"/>
  <c r="AA1102" i="1"/>
  <c r="L122" i="1"/>
  <c r="AB1102" i="1"/>
  <c r="L907" i="3"/>
  <c r="L219" i="1"/>
  <c r="I587" i="3"/>
  <c r="D1115" i="1"/>
  <c r="D587" i="3" s="1"/>
  <c r="D1098" i="3"/>
  <c r="H461" i="1"/>
  <c r="H1336" i="3" s="1"/>
  <c r="F461" i="1"/>
  <c r="L461" i="1"/>
  <c r="L1336" i="3" s="1"/>
  <c r="P122" i="1"/>
  <c r="P907" i="3"/>
  <c r="AF1102" i="1"/>
  <c r="O122" i="1" l="1"/>
  <c r="N122" i="1" s="1"/>
  <c r="N1008" i="3" s="1"/>
  <c r="N1441" i="1"/>
  <c r="N907" i="3" s="1"/>
  <c r="D1434" i="1"/>
  <c r="X1434" i="1" s="1"/>
  <c r="AE1102" i="1"/>
  <c r="AC1102" i="1" s="1"/>
  <c r="D1430" i="1"/>
  <c r="X1430" i="1" s="1"/>
  <c r="F122" i="1"/>
  <c r="F1008" i="3" s="1"/>
  <c r="D1437" i="1"/>
  <c r="D903" i="3" s="1"/>
  <c r="I1248" i="3"/>
  <c r="D1427" i="1"/>
  <c r="X1427" i="1" s="1"/>
  <c r="D1428" i="1"/>
  <c r="D894" i="3" s="1"/>
  <c r="D901" i="3"/>
  <c r="F219" i="1"/>
  <c r="F1105" i="3" s="1"/>
  <c r="F907" i="3"/>
  <c r="I898" i="3"/>
  <c r="D1433" i="1"/>
  <c r="X1433" i="1" s="1"/>
  <c r="D1436" i="1"/>
  <c r="D902" i="3" s="1"/>
  <c r="I895" i="3"/>
  <c r="I1439" i="1"/>
  <c r="I905" i="3" s="1"/>
  <c r="D1426" i="1"/>
  <c r="X1426" i="1" s="1"/>
  <c r="I897" i="3"/>
  <c r="D1431" i="1"/>
  <c r="H1105" i="3"/>
  <c r="P1008" i="3"/>
  <c r="H1008" i="3"/>
  <c r="D461" i="1"/>
  <c r="D1336" i="3" s="1"/>
  <c r="F1336" i="3"/>
  <c r="L1008" i="3"/>
  <c r="X1432" i="1"/>
  <c r="D898" i="3"/>
  <c r="I219" i="1"/>
  <c r="L1105" i="3"/>
  <c r="D895" i="3"/>
  <c r="X1429" i="1"/>
  <c r="O1008" i="3" l="1"/>
  <c r="D900" i="3"/>
  <c r="I1441" i="1"/>
  <c r="I907" i="3" s="1"/>
  <c r="X1437" i="1"/>
  <c r="D896" i="3"/>
  <c r="D219" i="1"/>
  <c r="D1105" i="3" s="1"/>
  <c r="X1436" i="1"/>
  <c r="D893" i="3"/>
  <c r="X1428" i="1"/>
  <c r="D899" i="3"/>
  <c r="D892" i="3"/>
  <c r="D1439" i="1"/>
  <c r="D905" i="3" s="1"/>
  <c r="D897" i="3"/>
  <c r="X1431" i="1"/>
  <c r="I122" i="1"/>
  <c r="I1008" i="3" s="1"/>
  <c r="AE1101" i="1"/>
  <c r="AE1100" i="1" s="1"/>
  <c r="O1103" i="1" s="1"/>
  <c r="I1105" i="3"/>
  <c r="Y1102" i="1"/>
  <c r="AF1101" i="1"/>
  <c r="AF1100" i="1" s="1"/>
  <c r="P1103" i="1" s="1"/>
  <c r="P575" i="3" s="1"/>
  <c r="D1441" i="1" l="1"/>
  <c r="U1441" i="1" s="1"/>
  <c r="D122" i="1"/>
  <c r="L371" i="1" s="1"/>
  <c r="H468" i="1"/>
  <c r="F468" i="1"/>
  <c r="F1343" i="3" s="1"/>
  <c r="L468" i="1"/>
  <c r="L1343" i="3" s="1"/>
  <c r="I468" i="1"/>
  <c r="I1343" i="3" s="1"/>
  <c r="O575" i="3"/>
  <c r="N1103" i="1"/>
  <c r="AA1101" i="1"/>
  <c r="Z1101" i="1"/>
  <c r="AB1101" i="1"/>
  <c r="AC1101" i="1"/>
  <c r="L1098" i="1"/>
  <c r="H1104" i="1"/>
  <c r="L1107" i="1"/>
  <c r="L740" i="1"/>
  <c r="L750" i="1"/>
  <c r="L1097" i="1"/>
  <c r="L1228" i="1"/>
  <c r="L1227" i="1"/>
  <c r="L746" i="1"/>
  <c r="L1104" i="1"/>
  <c r="L741" i="1"/>
  <c r="L752" i="1"/>
  <c r="L1099" i="1"/>
  <c r="L745" i="1"/>
  <c r="L744" i="1"/>
  <c r="L1105" i="1"/>
  <c r="L742" i="1"/>
  <c r="L1094" i="1"/>
  <c r="L1106" i="1"/>
  <c r="L1096" i="1"/>
  <c r="L747" i="1"/>
  <c r="L1095" i="1"/>
  <c r="L743" i="1"/>
  <c r="F1104" i="1"/>
  <c r="L759" i="1"/>
  <c r="D907" i="3" l="1"/>
  <c r="W1441" i="1"/>
  <c r="F371" i="1"/>
  <c r="F1247" i="3" s="1"/>
  <c r="Q371" i="1"/>
  <c r="O371" i="1"/>
  <c r="P371" i="1"/>
  <c r="P1247" i="3" s="1"/>
  <c r="H371" i="1"/>
  <c r="H1247" i="3" s="1"/>
  <c r="D1008" i="3"/>
  <c r="D468" i="1"/>
  <c r="D1343" i="3" s="1"/>
  <c r="H576" i="3"/>
  <c r="F576" i="3"/>
  <c r="H1343" i="3"/>
  <c r="I1104" i="1"/>
  <c r="I576" i="3" s="1"/>
  <c r="L576" i="3"/>
  <c r="L215" i="3"/>
  <c r="L216" i="3"/>
  <c r="L217" i="3"/>
  <c r="L699" i="3"/>
  <c r="L571" i="3"/>
  <c r="L568" i="3"/>
  <c r="L218" i="3"/>
  <c r="L570" i="3"/>
  <c r="L219" i="3"/>
  <c r="L220" i="3"/>
  <c r="L572" i="3"/>
  <c r="L223" i="3"/>
  <c r="L751" i="1"/>
  <c r="L232" i="3"/>
  <c r="L760" i="1"/>
  <c r="L569" i="3"/>
  <c r="L225" i="3"/>
  <c r="L213" i="3"/>
  <c r="L753" i="1"/>
  <c r="L577" i="3"/>
  <c r="L211" i="1"/>
  <c r="L578" i="3"/>
  <c r="L214" i="3"/>
  <c r="L579" i="3"/>
  <c r="L1124" i="1"/>
  <c r="L698" i="3"/>
  <c r="L1108" i="1"/>
  <c r="L567" i="3"/>
  <c r="L1247" i="3"/>
  <c r="N575" i="3"/>
  <c r="I1103" i="1"/>
  <c r="F1099" i="1"/>
  <c r="F741" i="1"/>
  <c r="F1098" i="1"/>
  <c r="F759" i="1"/>
  <c r="F750" i="1"/>
  <c r="Q744" i="1"/>
  <c r="Q759" i="1"/>
  <c r="Q1105" i="1"/>
  <c r="Q1098" i="1"/>
  <c r="Q752" i="1"/>
  <c r="Q1106" i="1"/>
  <c r="Q743" i="1"/>
  <c r="O744" i="1"/>
  <c r="O746" i="1"/>
  <c r="O1096" i="1"/>
  <c r="O1097" i="1"/>
  <c r="O1094" i="1"/>
  <c r="O745" i="1"/>
  <c r="P740" i="1"/>
  <c r="P741" i="1"/>
  <c r="P742" i="1"/>
  <c r="P904" i="1"/>
  <c r="P746" i="1"/>
  <c r="P905" i="1"/>
  <c r="H744" i="1"/>
  <c r="H740" i="1"/>
  <c r="H1094" i="1"/>
  <c r="H1228" i="1"/>
  <c r="H1097" i="1"/>
  <c r="F747" i="1"/>
  <c r="F1106" i="1"/>
  <c r="F1227" i="1"/>
  <c r="F742" i="1"/>
  <c r="F1096" i="1"/>
  <c r="F1095" i="1"/>
  <c r="Q742" i="1"/>
  <c r="Q745" i="1"/>
  <c r="Q747" i="1"/>
  <c r="Q741" i="1"/>
  <c r="Q1095" i="1"/>
  <c r="Q1096" i="1"/>
  <c r="O905" i="1"/>
  <c r="O1106" i="1"/>
  <c r="O904" i="1"/>
  <c r="O743" i="1"/>
  <c r="O741" i="1"/>
  <c r="O742" i="1"/>
  <c r="O1227" i="1"/>
  <c r="P1105" i="1"/>
  <c r="P750" i="1"/>
  <c r="P752" i="1"/>
  <c r="P1094" i="1"/>
  <c r="P1095" i="1"/>
  <c r="P1096" i="1"/>
  <c r="H742" i="1"/>
  <c r="H743" i="1"/>
  <c r="H1227" i="1"/>
  <c r="H1105" i="1"/>
  <c r="H745" i="1"/>
  <c r="H1099" i="1"/>
  <c r="H1095" i="1"/>
  <c r="H1106" i="1"/>
  <c r="F1105" i="1"/>
  <c r="F752" i="1"/>
  <c r="F744" i="1"/>
  <c r="F740" i="1"/>
  <c r="F1228" i="1"/>
  <c r="F1094" i="1"/>
  <c r="Q903" i="1"/>
  <c r="Q1107" i="1"/>
  <c r="Q1097" i="1"/>
  <c r="Q746" i="1"/>
  <c r="Q904" i="1"/>
  <c r="Q902" i="1"/>
  <c r="O747" i="1"/>
  <c r="O1098" i="1"/>
  <c r="O752" i="1"/>
  <c r="O1107" i="1"/>
  <c r="O1099" i="1"/>
  <c r="O903" i="1"/>
  <c r="P743" i="1"/>
  <c r="P1106" i="1"/>
  <c r="P1227" i="1"/>
  <c r="P744" i="1"/>
  <c r="P759" i="1"/>
  <c r="P745" i="1"/>
  <c r="P1107" i="1"/>
  <c r="H1107" i="1"/>
  <c r="H747" i="1"/>
  <c r="H759" i="1"/>
  <c r="F1097" i="1"/>
  <c r="F743" i="1"/>
  <c r="F746" i="1"/>
  <c r="F1107" i="1"/>
  <c r="F745" i="1"/>
  <c r="Q740" i="1"/>
  <c r="Q750" i="1"/>
  <c r="Q905" i="1"/>
  <c r="Q1228" i="1"/>
  <c r="Q1227" i="1"/>
  <c r="Q1094" i="1"/>
  <c r="Q1099" i="1"/>
  <c r="O750" i="1"/>
  <c r="O1228" i="1"/>
  <c r="O1095" i="1"/>
  <c r="O759" i="1"/>
  <c r="O1105" i="1"/>
  <c r="O740" i="1"/>
  <c r="P903" i="1"/>
  <c r="P1097" i="1"/>
  <c r="P1098" i="1"/>
  <c r="P747" i="1"/>
  <c r="P1228" i="1"/>
  <c r="P1099" i="1"/>
  <c r="H1096" i="1"/>
  <c r="H1098" i="1"/>
  <c r="H746" i="1"/>
  <c r="H750" i="1"/>
  <c r="H752" i="1"/>
  <c r="H741" i="1"/>
  <c r="H1234" i="1"/>
  <c r="H902" i="1"/>
  <c r="N371" i="1" l="1"/>
  <c r="N1247" i="3" s="1"/>
  <c r="O1247" i="3"/>
  <c r="F567" i="3"/>
  <c r="F1108" i="1"/>
  <c r="F580" i="3" s="1"/>
  <c r="F568" i="3"/>
  <c r="F223" i="3"/>
  <c r="F751" i="1"/>
  <c r="F224" i="3" s="1"/>
  <c r="F218" i="3"/>
  <c r="F699" i="3"/>
  <c r="F569" i="3"/>
  <c r="F760" i="1"/>
  <c r="F233" i="3" s="1"/>
  <c r="F232" i="3"/>
  <c r="F579" i="3"/>
  <c r="F1124" i="1"/>
  <c r="F753" i="1"/>
  <c r="F132" i="1" s="1"/>
  <c r="F213" i="3"/>
  <c r="F215" i="3"/>
  <c r="F571" i="3"/>
  <c r="F219" i="3"/>
  <c r="F217" i="3"/>
  <c r="F698" i="3"/>
  <c r="G41" i="33" s="1"/>
  <c r="I41" i="33" s="1"/>
  <c r="Q41" i="33" s="1"/>
  <c r="F214" i="3"/>
  <c r="F216" i="3"/>
  <c r="F225" i="3"/>
  <c r="F578" i="3"/>
  <c r="F572" i="3"/>
  <c r="F570" i="3"/>
  <c r="F211" i="1"/>
  <c r="F1097" i="3" s="1"/>
  <c r="F577" i="3"/>
  <c r="F220" i="3"/>
  <c r="H570" i="3"/>
  <c r="H572" i="3"/>
  <c r="H375" i="3"/>
  <c r="H566" i="1"/>
  <c r="H40" i="3" s="1"/>
  <c r="H214" i="3"/>
  <c r="H232" i="3"/>
  <c r="H760" i="1"/>
  <c r="H233" i="3" s="1"/>
  <c r="H218" i="3"/>
  <c r="H699" i="3"/>
  <c r="H225" i="3"/>
  <c r="H578" i="3"/>
  <c r="H211" i="1"/>
  <c r="H1097" i="3" s="1"/>
  <c r="H577" i="3"/>
  <c r="H585" i="1"/>
  <c r="H59" i="3" s="1"/>
  <c r="H705" i="3"/>
  <c r="G51" i="29" s="1"/>
  <c r="I51" i="29" s="1"/>
  <c r="Q51" i="29" s="1"/>
  <c r="T1235" i="1"/>
  <c r="Y1236" i="1" s="1"/>
  <c r="H223" i="3"/>
  <c r="H751" i="1"/>
  <c r="H224" i="3" s="1"/>
  <c r="H220" i="3"/>
  <c r="H698" i="3"/>
  <c r="H567" i="3"/>
  <c r="H1108" i="1"/>
  <c r="H580" i="3" s="1"/>
  <c r="H219" i="3"/>
  <c r="H568" i="3"/>
  <c r="H216" i="3"/>
  <c r="H213" i="3"/>
  <c r="H753" i="1"/>
  <c r="H226" i="3" s="1"/>
  <c r="H571" i="3"/>
  <c r="H579" i="3"/>
  <c r="H1124" i="1"/>
  <c r="H215" i="3"/>
  <c r="H217" i="3"/>
  <c r="H569" i="3"/>
  <c r="P579" i="3"/>
  <c r="P569" i="3"/>
  <c r="P378" i="3"/>
  <c r="P569" i="1"/>
  <c r="P43" i="3" s="1"/>
  <c r="P572" i="3"/>
  <c r="P218" i="3"/>
  <c r="P568" i="3"/>
  <c r="P219" i="3"/>
  <c r="P699" i="3"/>
  <c r="P760" i="1"/>
  <c r="P233" i="3" s="1"/>
  <c r="P232" i="3"/>
  <c r="P1108" i="1"/>
  <c r="P580" i="3" s="1"/>
  <c r="P567" i="3"/>
  <c r="P377" i="3"/>
  <c r="P568" i="1"/>
  <c r="P42" i="3" s="1"/>
  <c r="P220" i="3"/>
  <c r="P217" i="3"/>
  <c r="P225" i="3"/>
  <c r="P215" i="3"/>
  <c r="P571" i="3"/>
  <c r="P698" i="3"/>
  <c r="P223" i="3"/>
  <c r="P751" i="1"/>
  <c r="P224" i="3" s="1"/>
  <c r="P214" i="3"/>
  <c r="P570" i="3"/>
  <c r="P578" i="3"/>
  <c r="P577" i="3"/>
  <c r="P211" i="1"/>
  <c r="P1097" i="3" s="1"/>
  <c r="P213" i="3"/>
  <c r="P753" i="1"/>
  <c r="P132" i="1" s="1"/>
  <c r="P567" i="1"/>
  <c r="P41" i="3" s="1"/>
  <c r="P376" i="3"/>
  <c r="P216" i="3"/>
  <c r="N1227" i="1"/>
  <c r="N698" i="3" s="1"/>
  <c r="O698" i="3"/>
  <c r="N745" i="1"/>
  <c r="N218" i="3" s="1"/>
  <c r="O218" i="3"/>
  <c r="O213" i="3"/>
  <c r="N740" i="1"/>
  <c r="N213" i="3" s="1"/>
  <c r="O753" i="1"/>
  <c r="O132" i="1" s="1"/>
  <c r="O567" i="1"/>
  <c r="O41" i="3" s="1"/>
  <c r="O376" i="3"/>
  <c r="N903" i="1"/>
  <c r="N376" i="3" s="1"/>
  <c r="N742" i="1"/>
  <c r="N215" i="3" s="1"/>
  <c r="O215" i="3"/>
  <c r="N1094" i="1"/>
  <c r="N567" i="3" s="1"/>
  <c r="O1108" i="1"/>
  <c r="O580" i="3" s="1"/>
  <c r="O567" i="3"/>
  <c r="O211" i="1"/>
  <c r="O1097" i="3" s="1"/>
  <c r="O577" i="3"/>
  <c r="N1105" i="1"/>
  <c r="N577" i="3" s="1"/>
  <c r="N1099" i="1"/>
  <c r="N572" i="3" s="1"/>
  <c r="O572" i="3"/>
  <c r="N741" i="1"/>
  <c r="N214" i="3" s="1"/>
  <c r="O214" i="3"/>
  <c r="O570" i="3"/>
  <c r="N1097" i="1"/>
  <c r="N570" i="3" s="1"/>
  <c r="O760" i="1"/>
  <c r="O233" i="3" s="1"/>
  <c r="N759" i="1"/>
  <c r="N232" i="3" s="1"/>
  <c r="O232" i="3"/>
  <c r="O579" i="3"/>
  <c r="N1107" i="1"/>
  <c r="I1107" i="1" s="1"/>
  <c r="N743" i="1"/>
  <c r="N216" i="3" s="1"/>
  <c r="O216" i="3"/>
  <c r="O569" i="3"/>
  <c r="N1096" i="1"/>
  <c r="N569" i="3" s="1"/>
  <c r="O568" i="3"/>
  <c r="N1095" i="1"/>
  <c r="N568" i="3" s="1"/>
  <c r="N752" i="1"/>
  <c r="N225" i="3" s="1"/>
  <c r="O225" i="3"/>
  <c r="N904" i="1"/>
  <c r="N377" i="3" s="1"/>
  <c r="O377" i="3"/>
  <c r="O568" i="1"/>
  <c r="O42" i="3" s="1"/>
  <c r="N746" i="1"/>
  <c r="O219" i="3"/>
  <c r="O699" i="3"/>
  <c r="N1228" i="1"/>
  <c r="N699" i="3" s="1"/>
  <c r="O571" i="3"/>
  <c r="N1098" i="1"/>
  <c r="N571" i="3" s="1"/>
  <c r="O578" i="3"/>
  <c r="N1106" i="1"/>
  <c r="N578" i="3" s="1"/>
  <c r="N744" i="1"/>
  <c r="N217" i="3" s="1"/>
  <c r="O217" i="3"/>
  <c r="N750" i="1"/>
  <c r="N223" i="3" s="1"/>
  <c r="O751" i="1"/>
  <c r="O224" i="3" s="1"/>
  <c r="O223" i="3"/>
  <c r="N747" i="1"/>
  <c r="N220" i="3" s="1"/>
  <c r="O220" i="3"/>
  <c r="O378" i="3"/>
  <c r="N905" i="1"/>
  <c r="I905" i="1" s="1"/>
  <c r="I378" i="3" s="1"/>
  <c r="O569" i="1"/>
  <c r="O43" i="3" s="1"/>
  <c r="Q566" i="1"/>
  <c r="N566" i="1" s="1"/>
  <c r="I566" i="1" s="1"/>
  <c r="I40" i="3" s="1"/>
  <c r="N902" i="1"/>
  <c r="I902" i="1" s="1"/>
  <c r="I375" i="3" s="1"/>
  <c r="Q1108" i="1"/>
  <c r="Q568" i="1"/>
  <c r="Q211" i="1"/>
  <c r="Q569" i="1"/>
  <c r="Q760" i="1"/>
  <c r="Q751" i="1"/>
  <c r="Q753" i="1" s="1"/>
  <c r="Q132" i="1" s="1"/>
  <c r="Q567" i="1"/>
  <c r="D1104" i="1"/>
  <c r="D576" i="3" s="1"/>
  <c r="I741" i="1"/>
  <c r="I214" i="3" s="1"/>
  <c r="L1097" i="3"/>
  <c r="S11" i="30"/>
  <c r="E14" i="29"/>
  <c r="L580" i="3"/>
  <c r="L233" i="3"/>
  <c r="L224" i="3"/>
  <c r="S10" i="46"/>
  <c r="S9" i="46"/>
  <c r="W9" i="46" s="1"/>
  <c r="E14" i="33"/>
  <c r="L132" i="1"/>
  <c r="L226" i="3"/>
  <c r="L120" i="1"/>
  <c r="I575" i="3"/>
  <c r="D1103" i="1"/>
  <c r="I371" i="1" l="1"/>
  <c r="I1247" i="3" s="1"/>
  <c r="E51" i="29"/>
  <c r="O226" i="3"/>
  <c r="H132" i="1"/>
  <c r="H1018" i="3" s="1"/>
  <c r="F120" i="1"/>
  <c r="F1006" i="3" s="1"/>
  <c r="F226" i="3"/>
  <c r="I1095" i="1"/>
  <c r="D1095" i="1" s="1"/>
  <c r="N40" i="3"/>
  <c r="N211" i="1"/>
  <c r="N1097" i="3" s="1"/>
  <c r="N378" i="3"/>
  <c r="I903" i="1"/>
  <c r="I376" i="3" s="1"/>
  <c r="N760" i="1"/>
  <c r="N233" i="3" s="1"/>
  <c r="I904" i="1"/>
  <c r="I377" i="3" s="1"/>
  <c r="I744" i="1"/>
  <c r="I217" i="3" s="1"/>
  <c r="I759" i="1"/>
  <c r="D759" i="1" s="1"/>
  <c r="D232" i="3" s="1"/>
  <c r="I743" i="1"/>
  <c r="D743" i="1" s="1"/>
  <c r="I740" i="1"/>
  <c r="I213" i="3" s="1"/>
  <c r="N569" i="1"/>
  <c r="N43" i="3" s="1"/>
  <c r="I747" i="1"/>
  <c r="D747" i="1" s="1"/>
  <c r="I1105" i="1"/>
  <c r="I577" i="3" s="1"/>
  <c r="I1098" i="1"/>
  <c r="I571" i="3" s="1"/>
  <c r="Q120" i="1"/>
  <c r="N1108" i="1"/>
  <c r="N580" i="3" s="1"/>
  <c r="N751" i="1"/>
  <c r="N224" i="3" s="1"/>
  <c r="N1124" i="1"/>
  <c r="P120" i="1"/>
  <c r="P1006" i="3" s="1"/>
  <c r="I1096" i="1"/>
  <c r="I569" i="3" s="1"/>
  <c r="N579" i="3"/>
  <c r="N375" i="3"/>
  <c r="I1227" i="1"/>
  <c r="I698" i="3" s="1"/>
  <c r="I1094" i="1"/>
  <c r="I567" i="3" s="1"/>
  <c r="H120" i="1"/>
  <c r="H1006" i="3" s="1"/>
  <c r="O120" i="1"/>
  <c r="O1006" i="3" s="1"/>
  <c r="P226" i="3"/>
  <c r="I1228" i="1"/>
  <c r="I699" i="3" s="1"/>
  <c r="I752" i="1"/>
  <c r="I225" i="3" s="1"/>
  <c r="G41" i="29"/>
  <c r="I41" i="29" s="1"/>
  <c r="Q41" i="29" s="1"/>
  <c r="N568" i="1"/>
  <c r="I568" i="1" s="1"/>
  <c r="I42" i="3" s="1"/>
  <c r="N753" i="1"/>
  <c r="N226" i="3" s="1"/>
  <c r="N567" i="1"/>
  <c r="N41" i="3" s="1"/>
  <c r="I1097" i="1"/>
  <c r="I570" i="3" s="1"/>
  <c r="I1106" i="1"/>
  <c r="D1106" i="1" s="1"/>
  <c r="I745" i="1"/>
  <c r="I218" i="3" s="1"/>
  <c r="I742" i="1"/>
  <c r="I215" i="3" s="1"/>
  <c r="I1099" i="1"/>
  <c r="I572" i="3" s="1"/>
  <c r="I750" i="1"/>
  <c r="I223" i="3" s="1"/>
  <c r="N219" i="3"/>
  <c r="I746" i="1"/>
  <c r="D741" i="1"/>
  <c r="U741" i="1" s="1"/>
  <c r="E17" i="33"/>
  <c r="G17" i="33" s="1"/>
  <c r="I17" i="33" s="1"/>
  <c r="Q17" i="33" s="1"/>
  <c r="E18" i="33"/>
  <c r="G18" i="33" s="1"/>
  <c r="I18" i="33" s="1"/>
  <c r="Q18" i="33" s="1"/>
  <c r="E15" i="33"/>
  <c r="G15" i="33" s="1"/>
  <c r="I15" i="33" s="1"/>
  <c r="Q15" i="33" s="1"/>
  <c r="E19" i="33"/>
  <c r="G19" i="33" s="1"/>
  <c r="I19" i="33" s="1"/>
  <c r="Q19" i="33" s="1"/>
  <c r="E16" i="33"/>
  <c r="G16" i="33" s="1"/>
  <c r="I16" i="33" s="1"/>
  <c r="Q16" i="33" s="1"/>
  <c r="G14" i="33"/>
  <c r="E17" i="29"/>
  <c r="G17" i="29" s="1"/>
  <c r="I17" i="29" s="1"/>
  <c r="Q17" i="29" s="1"/>
  <c r="E19" i="29"/>
  <c r="G19" i="29" s="1"/>
  <c r="I19" i="29" s="1"/>
  <c r="Q19" i="29" s="1"/>
  <c r="E16" i="29"/>
  <c r="G16" i="29" s="1"/>
  <c r="I16" i="29" s="1"/>
  <c r="Q16" i="29" s="1"/>
  <c r="E18" i="29"/>
  <c r="G18" i="29" s="1"/>
  <c r="I18" i="29" s="1"/>
  <c r="Q18" i="29" s="1"/>
  <c r="G14" i="29"/>
  <c r="E15" i="29"/>
  <c r="G15" i="29" s="1"/>
  <c r="I15" i="29" s="1"/>
  <c r="Q15" i="29" s="1"/>
  <c r="F1018" i="3"/>
  <c r="N132" i="1"/>
  <c r="N1018" i="3" s="1"/>
  <c r="O1018" i="3"/>
  <c r="L1018" i="3"/>
  <c r="S15" i="30"/>
  <c r="W15" i="30" s="1"/>
  <c r="S24" i="30"/>
  <c r="W24" i="30" s="1"/>
  <c r="S23" i="30"/>
  <c r="W23" i="30" s="1"/>
  <c r="W11" i="30"/>
  <c r="S26" i="30"/>
  <c r="W26" i="30" s="1"/>
  <c r="S13" i="30"/>
  <c r="W13" i="30" s="1"/>
  <c r="S22" i="30"/>
  <c r="W22" i="30" s="1"/>
  <c r="S14" i="30"/>
  <c r="W14" i="30" s="1"/>
  <c r="L1006" i="3"/>
  <c r="I579" i="3"/>
  <c r="D1107" i="1"/>
  <c r="X1103" i="1"/>
  <c r="D575" i="3"/>
  <c r="W10" i="46"/>
  <c r="S22" i="46"/>
  <c r="W22" i="46" s="1"/>
  <c r="S13" i="46"/>
  <c r="W13" i="46" s="1"/>
  <c r="S12" i="46"/>
  <c r="W12" i="46" s="1"/>
  <c r="S25" i="46"/>
  <c r="W25" i="46" s="1"/>
  <c r="S21" i="46"/>
  <c r="W21" i="46" s="1"/>
  <c r="S23" i="46"/>
  <c r="W23" i="46" s="1"/>
  <c r="S14" i="46"/>
  <c r="W14" i="46" s="1"/>
  <c r="P1018" i="3"/>
  <c r="D371" i="1" l="1"/>
  <c r="D1247" i="3" s="1"/>
  <c r="F121" i="1"/>
  <c r="D121" i="1" s="1"/>
  <c r="D1007" i="3" s="1"/>
  <c r="I568" i="3"/>
  <c r="I1108" i="1"/>
  <c r="D1108" i="1" s="1"/>
  <c r="D580" i="3" s="1"/>
  <c r="I232" i="3"/>
  <c r="I211" i="1"/>
  <c r="I1097" i="3" s="1"/>
  <c r="D1097" i="1"/>
  <c r="X1097" i="1" s="1"/>
  <c r="I220" i="3"/>
  <c r="I567" i="1"/>
  <c r="I41" i="3" s="1"/>
  <c r="I216" i="3"/>
  <c r="D1105" i="1"/>
  <c r="X1105" i="1" s="1"/>
  <c r="I760" i="1"/>
  <c r="D760" i="1" s="1"/>
  <c r="I751" i="1"/>
  <c r="I224" i="3" s="1"/>
  <c r="D752" i="1"/>
  <c r="D225" i="3" s="1"/>
  <c r="D742" i="1"/>
  <c r="U742" i="1" s="1"/>
  <c r="D744" i="1"/>
  <c r="D217" i="3" s="1"/>
  <c r="D1098" i="1"/>
  <c r="D571" i="3" s="1"/>
  <c r="D1099" i="1"/>
  <c r="D572" i="3" s="1"/>
  <c r="D740" i="1"/>
  <c r="U740" i="1" s="1"/>
  <c r="I569" i="1"/>
  <c r="I43" i="3" s="1"/>
  <c r="N42" i="3"/>
  <c r="D1094" i="1"/>
  <c r="X1094" i="1" s="1"/>
  <c r="I578" i="3"/>
  <c r="N120" i="1"/>
  <c r="N1006" i="3" s="1"/>
  <c r="D1227" i="1"/>
  <c r="D698" i="3" s="1"/>
  <c r="D1096" i="1"/>
  <c r="X1096" i="1" s="1"/>
  <c r="D1228" i="1"/>
  <c r="D699" i="3" s="1"/>
  <c r="I753" i="1"/>
  <c r="I226" i="3" s="1"/>
  <c r="D745" i="1"/>
  <c r="D218" i="3" s="1"/>
  <c r="D750" i="1"/>
  <c r="D223" i="3" s="1"/>
  <c r="I219" i="3"/>
  <c r="D746" i="1"/>
  <c r="D214" i="3"/>
  <c r="D567" i="3"/>
  <c r="I132" i="1"/>
  <c r="I1018" i="3" s="1"/>
  <c r="X1095" i="1"/>
  <c r="D568" i="3"/>
  <c r="D579" i="3"/>
  <c r="X1107" i="1"/>
  <c r="D1124" i="1"/>
  <c r="U747" i="1"/>
  <c r="D220" i="3"/>
  <c r="I14" i="33"/>
  <c r="Q14" i="33" s="1"/>
  <c r="I14" i="29"/>
  <c r="Q14" i="29" s="1"/>
  <c r="D216" i="3"/>
  <c r="U743" i="1"/>
  <c r="D578" i="3"/>
  <c r="X1106" i="1"/>
  <c r="D570" i="3" l="1"/>
  <c r="F1007" i="3"/>
  <c r="I580" i="3"/>
  <c r="I233" i="3"/>
  <c r="D577" i="3"/>
  <c r="D211" i="1"/>
  <c r="L460" i="1" s="1"/>
  <c r="L1335" i="3" s="1"/>
  <c r="D215" i="3"/>
  <c r="U752" i="1"/>
  <c r="U745" i="1"/>
  <c r="D751" i="1"/>
  <c r="U751" i="1" s="1"/>
  <c r="C41" i="29"/>
  <c r="E41" i="29" s="1"/>
  <c r="X1099" i="1"/>
  <c r="U744" i="1"/>
  <c r="X1098" i="1"/>
  <c r="D213" i="3"/>
  <c r="D569" i="3"/>
  <c r="C41" i="33"/>
  <c r="E41" i="33" s="1"/>
  <c r="I120" i="1"/>
  <c r="I1006" i="3" s="1"/>
  <c r="D753" i="1"/>
  <c r="D226" i="3" s="1"/>
  <c r="D219" i="3"/>
  <c r="U746" i="1"/>
  <c r="U750" i="1"/>
  <c r="D132" i="1"/>
  <c r="P381" i="1" s="1"/>
  <c r="F370" i="1"/>
  <c r="F1246" i="3" s="1"/>
  <c r="D233" i="3"/>
  <c r="U760" i="1"/>
  <c r="P843" i="1"/>
  <c r="P800" i="1"/>
  <c r="P832" i="1"/>
  <c r="P1164" i="1"/>
  <c r="F600" i="1"/>
  <c r="P1243" i="1"/>
  <c r="P886" i="1"/>
  <c r="P896" i="1"/>
  <c r="Q460" i="1" l="1"/>
  <c r="D1097" i="3"/>
  <c r="O460" i="1"/>
  <c r="O1335" i="3" s="1"/>
  <c r="F460" i="1"/>
  <c r="F1335" i="3" s="1"/>
  <c r="P460" i="1"/>
  <c r="P1335" i="3" s="1"/>
  <c r="I460" i="1"/>
  <c r="I1335" i="3" s="1"/>
  <c r="H460" i="1"/>
  <c r="H1335" i="3" s="1"/>
  <c r="D224" i="3"/>
  <c r="D120" i="1"/>
  <c r="P369" i="1" s="1"/>
  <c r="P1245" i="3" s="1"/>
  <c r="U753" i="1"/>
  <c r="O381" i="1"/>
  <c r="O1257" i="3" s="1"/>
  <c r="Q381" i="1"/>
  <c r="L381" i="1"/>
  <c r="L1257" i="3" s="1"/>
  <c r="H381" i="1"/>
  <c r="H1257" i="3" s="1"/>
  <c r="F381" i="1"/>
  <c r="F1257" i="3" s="1"/>
  <c r="D1018" i="3"/>
  <c r="D370" i="1"/>
  <c r="D1246" i="3" s="1"/>
  <c r="F133" i="1"/>
  <c r="F1019" i="3" s="1"/>
  <c r="D600" i="1"/>
  <c r="D73" i="3" s="1"/>
  <c r="F73" i="3"/>
  <c r="P635" i="3"/>
  <c r="P273" i="3"/>
  <c r="P359" i="3"/>
  <c r="P888" i="1"/>
  <c r="P713" i="3"/>
  <c r="P1244" i="1"/>
  <c r="P305" i="3"/>
  <c r="P834" i="1"/>
  <c r="P316" i="3"/>
  <c r="P139" i="1"/>
  <c r="P369" i="3"/>
  <c r="P897" i="1"/>
  <c r="P1257" i="3"/>
  <c r="O1164" i="1"/>
  <c r="O843" i="1"/>
  <c r="L886" i="1"/>
  <c r="L800" i="1"/>
  <c r="Q832" i="1"/>
  <c r="H1243" i="1"/>
  <c r="H800" i="1"/>
  <c r="F843" i="1"/>
  <c r="F832" i="1"/>
  <c r="Q1164" i="1"/>
  <c r="H1164" i="1"/>
  <c r="F1164" i="1"/>
  <c r="O832" i="1"/>
  <c r="L1243" i="1"/>
  <c r="H896" i="1"/>
  <c r="P601" i="1"/>
  <c r="O1243" i="1"/>
  <c r="O896" i="1"/>
  <c r="L843" i="1"/>
  <c r="Q843" i="1"/>
  <c r="H886" i="1"/>
  <c r="F896" i="1"/>
  <c r="L832" i="1"/>
  <c r="Q800" i="1"/>
  <c r="P599" i="1"/>
  <c r="O800" i="1"/>
  <c r="L896" i="1"/>
  <c r="L1164" i="1"/>
  <c r="Q1243" i="1"/>
  <c r="Q896" i="1"/>
  <c r="H843" i="1"/>
  <c r="H832" i="1"/>
  <c r="F800" i="1"/>
  <c r="O886" i="1"/>
  <c r="Q886" i="1"/>
  <c r="F886" i="1"/>
  <c r="F1243" i="1"/>
  <c r="F369" i="1" l="1"/>
  <c r="D460" i="1"/>
  <c r="D1335" i="3" s="1"/>
  <c r="N460" i="1"/>
  <c r="N1335" i="3" s="1"/>
  <c r="L369" i="1"/>
  <c r="H369" i="1"/>
  <c r="Q369" i="1"/>
  <c r="O369" i="1"/>
  <c r="O1245" i="3" s="1"/>
  <c r="D1006" i="3"/>
  <c r="P72" i="3"/>
  <c r="P602" i="1"/>
  <c r="P75" i="3" s="1"/>
  <c r="P134" i="1"/>
  <c r="P1020" i="3" s="1"/>
  <c r="P74" i="3"/>
  <c r="N381" i="1"/>
  <c r="N1257" i="3" s="1"/>
  <c r="O897" i="1"/>
  <c r="O370" i="3" s="1"/>
  <c r="O369" i="3"/>
  <c r="O316" i="3"/>
  <c r="O139" i="1"/>
  <c r="O1025" i="3" s="1"/>
  <c r="O359" i="3"/>
  <c r="O888" i="1"/>
  <c r="O361" i="3" s="1"/>
  <c r="O273" i="3"/>
  <c r="O1244" i="1"/>
  <c r="O714" i="3" s="1"/>
  <c r="O713" i="3"/>
  <c r="O635" i="3"/>
  <c r="O305" i="3"/>
  <c r="O834" i="1"/>
  <c r="O548" i="1" s="1"/>
  <c r="H305" i="3"/>
  <c r="H834" i="1"/>
  <c r="H307" i="3" s="1"/>
  <c r="H359" i="3"/>
  <c r="H888" i="1"/>
  <c r="H561" i="1" s="1"/>
  <c r="H273" i="3"/>
  <c r="H369" i="3"/>
  <c r="H897" i="1"/>
  <c r="H562" i="1" s="1"/>
  <c r="H36" i="3" s="1"/>
  <c r="H316" i="3"/>
  <c r="H139" i="1"/>
  <c r="H1025" i="3" s="1"/>
  <c r="H635" i="3"/>
  <c r="H1244" i="1"/>
  <c r="H714" i="3" s="1"/>
  <c r="H713" i="3"/>
  <c r="N800" i="1"/>
  <c r="N273" i="3" s="1"/>
  <c r="Q897" i="1"/>
  <c r="Q562" i="1" s="1"/>
  <c r="Q139" i="1"/>
  <c r="Q388" i="1" s="1"/>
  <c r="N843" i="1"/>
  <c r="N316" i="3" s="1"/>
  <c r="N832" i="1"/>
  <c r="N305" i="3" s="1"/>
  <c r="Q834" i="1"/>
  <c r="Q548" i="1" s="1"/>
  <c r="N886" i="1"/>
  <c r="N359" i="3" s="1"/>
  <c r="Q888" i="1"/>
  <c r="Q561" i="1" s="1"/>
  <c r="N1243" i="1"/>
  <c r="N713" i="3" s="1"/>
  <c r="Q1244" i="1"/>
  <c r="Q1294" i="1" s="1"/>
  <c r="N1164" i="1"/>
  <c r="N635" i="3" s="1"/>
  <c r="L273" i="3"/>
  <c r="L713" i="3"/>
  <c r="L1244" i="1"/>
  <c r="L1294" i="1" s="1"/>
  <c r="L635" i="3"/>
  <c r="L316" i="3"/>
  <c r="L139" i="1"/>
  <c r="L1025" i="3" s="1"/>
  <c r="L359" i="3"/>
  <c r="L888" i="1"/>
  <c r="L561" i="1" s="1"/>
  <c r="L305" i="3"/>
  <c r="L834" i="1"/>
  <c r="L307" i="3" s="1"/>
  <c r="I896" i="1"/>
  <c r="I369" i="3" s="1"/>
  <c r="L897" i="1"/>
  <c r="L562" i="1" s="1"/>
  <c r="L369" i="3"/>
  <c r="D133" i="1"/>
  <c r="D1019" i="3" s="1"/>
  <c r="F369" i="3"/>
  <c r="F897" i="1"/>
  <c r="F562" i="1" s="1"/>
  <c r="F305" i="3"/>
  <c r="F713" i="3"/>
  <c r="F1244" i="1"/>
  <c r="F1294" i="1" s="1"/>
  <c r="F273" i="3"/>
  <c r="F635" i="3"/>
  <c r="F316" i="3"/>
  <c r="F139" i="1"/>
  <c r="F1025" i="3" s="1"/>
  <c r="F359" i="3"/>
  <c r="F888" i="1"/>
  <c r="F561" i="1" s="1"/>
  <c r="P562" i="1"/>
  <c r="P36" i="3" s="1"/>
  <c r="P370" i="3"/>
  <c r="P548" i="1"/>
  <c r="P22" i="3" s="1"/>
  <c r="P307" i="3"/>
  <c r="P561" i="1"/>
  <c r="P906" i="1"/>
  <c r="P379" i="3" s="1"/>
  <c r="P361" i="3"/>
  <c r="P1025" i="3"/>
  <c r="P1294" i="1"/>
  <c r="P764" i="3" s="1"/>
  <c r="P714" i="3"/>
  <c r="F599" i="1"/>
  <c r="H599" i="1"/>
  <c r="O601" i="1"/>
  <c r="Q599" i="1"/>
  <c r="F601" i="1"/>
  <c r="H601" i="1"/>
  <c r="O599" i="1"/>
  <c r="L599" i="1"/>
  <c r="Q844" i="1"/>
  <c r="L601" i="1"/>
  <c r="Q601" i="1"/>
  <c r="F602" i="1" l="1"/>
  <c r="F762" i="1" s="1"/>
  <c r="F543" i="1" s="1"/>
  <c r="F72" i="3"/>
  <c r="F74" i="3"/>
  <c r="F134" i="1"/>
  <c r="F1020" i="3" s="1"/>
  <c r="F1245" i="3"/>
  <c r="N369" i="1"/>
  <c r="N1245" i="3" s="1"/>
  <c r="L548" i="1"/>
  <c r="L22" i="3" s="1"/>
  <c r="P762" i="1"/>
  <c r="P149" i="1" s="1"/>
  <c r="L74" i="3"/>
  <c r="L134" i="1"/>
  <c r="L1020" i="3" s="1"/>
  <c r="L602" i="1"/>
  <c r="L762" i="1" s="1"/>
  <c r="L149" i="1" s="1"/>
  <c r="L72" i="3"/>
  <c r="L1245" i="3"/>
  <c r="N601" i="1"/>
  <c r="N74" i="3" s="1"/>
  <c r="O134" i="1"/>
  <c r="O1020" i="3" s="1"/>
  <c r="O74" i="3"/>
  <c r="O72" i="3"/>
  <c r="N599" i="1"/>
  <c r="N72" i="3" s="1"/>
  <c r="O602" i="1"/>
  <c r="O762" i="1" s="1"/>
  <c r="O235" i="3" s="1"/>
  <c r="Q134" i="1"/>
  <c r="Q602" i="1"/>
  <c r="Q762" i="1" s="1"/>
  <c r="Q149" i="1" s="1"/>
  <c r="H602" i="1"/>
  <c r="H75" i="3" s="1"/>
  <c r="H72" i="3"/>
  <c r="H74" i="3"/>
  <c r="H134" i="1"/>
  <c r="H1020" i="3" s="1"/>
  <c r="H1245" i="3"/>
  <c r="I381" i="1"/>
  <c r="I1257" i="3" s="1"/>
  <c r="O561" i="1"/>
  <c r="O35" i="3" s="1"/>
  <c r="L714" i="3"/>
  <c r="D896" i="1"/>
  <c r="D369" i="3" s="1"/>
  <c r="H548" i="1"/>
  <c r="H22" i="3" s="1"/>
  <c r="O1294" i="1"/>
  <c r="N1294" i="1" s="1"/>
  <c r="N764" i="3" s="1"/>
  <c r="N834" i="1"/>
  <c r="N307" i="3" s="1"/>
  <c r="O906" i="1"/>
  <c r="O379" i="3" s="1"/>
  <c r="I832" i="1"/>
  <c r="D832" i="1" s="1"/>
  <c r="D305" i="3" s="1"/>
  <c r="N897" i="1"/>
  <c r="N370" i="3" s="1"/>
  <c r="I800" i="1"/>
  <c r="I273" i="3" s="1"/>
  <c r="O562" i="1"/>
  <c r="N562" i="1" s="1"/>
  <c r="N36" i="3" s="1"/>
  <c r="O307" i="3"/>
  <c r="I843" i="1"/>
  <c r="I316" i="3" s="1"/>
  <c r="F382" i="1"/>
  <c r="D382" i="1" s="1"/>
  <c r="D1258" i="3" s="1"/>
  <c r="Q570" i="1"/>
  <c r="N1244" i="1"/>
  <c r="N714" i="3" s="1"/>
  <c r="I1243" i="1"/>
  <c r="D1243" i="1" s="1"/>
  <c r="D713" i="3" s="1"/>
  <c r="L361" i="3"/>
  <c r="L370" i="3"/>
  <c r="N888" i="1"/>
  <c r="N361" i="3" s="1"/>
  <c r="H906" i="1"/>
  <c r="H379" i="3" s="1"/>
  <c r="H1294" i="1"/>
  <c r="H764" i="3" s="1"/>
  <c r="H370" i="3"/>
  <c r="I1164" i="1"/>
  <c r="I635" i="3" s="1"/>
  <c r="N139" i="1"/>
  <c r="N1025" i="3" s="1"/>
  <c r="I886" i="1"/>
  <c r="I359" i="3" s="1"/>
  <c r="L906" i="1"/>
  <c r="L379" i="3" s="1"/>
  <c r="Q845" i="1"/>
  <c r="Q552" i="1" s="1"/>
  <c r="Q906" i="1"/>
  <c r="H361" i="3"/>
  <c r="F714" i="3"/>
  <c r="F361" i="3"/>
  <c r="F370" i="3"/>
  <c r="F906" i="1"/>
  <c r="F379" i="3" s="1"/>
  <c r="L35" i="3"/>
  <c r="L570" i="1"/>
  <c r="L36" i="3"/>
  <c r="F35" i="3"/>
  <c r="F570" i="1"/>
  <c r="F44" i="3" s="1"/>
  <c r="P570" i="1"/>
  <c r="P44" i="3" s="1"/>
  <c r="P35" i="3"/>
  <c r="F36" i="3"/>
  <c r="O22" i="3"/>
  <c r="N548" i="1"/>
  <c r="N22" i="3" s="1"/>
  <c r="H570" i="1"/>
  <c r="H44" i="3" s="1"/>
  <c r="H35" i="3"/>
  <c r="L764" i="3"/>
  <c r="F764" i="3"/>
  <c r="F1168" i="1"/>
  <c r="F802" i="1"/>
  <c r="F150" i="1" l="1"/>
  <c r="F1036" i="3" s="1"/>
  <c r="F75" i="3"/>
  <c r="F235" i="3"/>
  <c r="F151" i="1"/>
  <c r="F1037" i="3" s="1"/>
  <c r="F149" i="1"/>
  <c r="F1035" i="3" s="1"/>
  <c r="L543" i="1"/>
  <c r="L17" i="3" s="1"/>
  <c r="O149" i="1"/>
  <c r="N149" i="1" s="1"/>
  <c r="N1035" i="3" s="1"/>
  <c r="N134" i="1"/>
  <c r="I134" i="1" s="1"/>
  <c r="P151" i="1"/>
  <c r="P1037" i="3" s="1"/>
  <c r="P543" i="1"/>
  <c r="P17" i="3" s="1"/>
  <c r="H762" i="1"/>
  <c r="H235" i="3" s="1"/>
  <c r="I599" i="1"/>
  <c r="I72" i="3" s="1"/>
  <c r="L235" i="3"/>
  <c r="I369" i="1"/>
  <c r="I1245" i="3" s="1"/>
  <c r="P235" i="3"/>
  <c r="Q543" i="1"/>
  <c r="N762" i="1"/>
  <c r="N235" i="3" s="1"/>
  <c r="N602" i="1"/>
  <c r="N75" i="3" s="1"/>
  <c r="L151" i="1"/>
  <c r="L1037" i="3" s="1"/>
  <c r="O151" i="1"/>
  <c r="O1037" i="3" s="1"/>
  <c r="O543" i="1"/>
  <c r="O17" i="3" s="1"/>
  <c r="L75" i="3"/>
  <c r="I601" i="1"/>
  <c r="I74" i="3" s="1"/>
  <c r="O75" i="3"/>
  <c r="Q151" i="1"/>
  <c r="O36" i="3"/>
  <c r="D886" i="1"/>
  <c r="D359" i="3" s="1"/>
  <c r="N561" i="1"/>
  <c r="N35" i="3" s="1"/>
  <c r="D381" i="1"/>
  <c r="D1257" i="3" s="1"/>
  <c r="I305" i="3"/>
  <c r="I834" i="1"/>
  <c r="I307" i="3" s="1"/>
  <c r="O764" i="3"/>
  <c r="N906" i="1"/>
  <c r="N379" i="3" s="1"/>
  <c r="O570" i="1"/>
  <c r="N570" i="1" s="1"/>
  <c r="N44" i="3" s="1"/>
  <c r="I897" i="1"/>
  <c r="I370" i="3" s="1"/>
  <c r="Q846" i="1"/>
  <c r="D843" i="1"/>
  <c r="D316" i="3" s="1"/>
  <c r="D800" i="1"/>
  <c r="D273" i="3" s="1"/>
  <c r="I713" i="3"/>
  <c r="I1244" i="1"/>
  <c r="I714" i="3" s="1"/>
  <c r="D1168" i="1"/>
  <c r="D639" i="3" s="1"/>
  <c r="F639" i="3"/>
  <c r="D802" i="1"/>
  <c r="D275" i="3" s="1"/>
  <c r="F275" i="3"/>
  <c r="F1258" i="3"/>
  <c r="I888" i="1"/>
  <c r="I361" i="3" s="1"/>
  <c r="D1164" i="1"/>
  <c r="D635" i="3" s="1"/>
  <c r="I139" i="1"/>
  <c r="I1025" i="3" s="1"/>
  <c r="I548" i="1"/>
  <c r="I22" i="3" s="1"/>
  <c r="I1294" i="1"/>
  <c r="I764" i="3" s="1"/>
  <c r="I562" i="1"/>
  <c r="F17" i="3"/>
  <c r="D150" i="1"/>
  <c r="D1036" i="3" s="1"/>
  <c r="L1035" i="3"/>
  <c r="P1035" i="3"/>
  <c r="L44" i="3"/>
  <c r="N1020" i="3" l="1"/>
  <c r="O1035" i="3"/>
  <c r="I1020" i="3"/>
  <c r="D134" i="1"/>
  <c r="D1020" i="3" s="1"/>
  <c r="I602" i="1"/>
  <c r="D602" i="1" s="1"/>
  <c r="D75" i="3" s="1"/>
  <c r="D369" i="1"/>
  <c r="D1245" i="3" s="1"/>
  <c r="N151" i="1"/>
  <c r="N1037" i="3" s="1"/>
  <c r="I561" i="1"/>
  <c r="I35" i="3" s="1"/>
  <c r="N543" i="1"/>
  <c r="N17" i="3" s="1"/>
  <c r="D599" i="1"/>
  <c r="D72" i="3" s="1"/>
  <c r="H543" i="1"/>
  <c r="H17" i="3" s="1"/>
  <c r="H152" i="1"/>
  <c r="H1038" i="3" s="1"/>
  <c r="H149" i="1"/>
  <c r="H1035" i="3" s="1"/>
  <c r="I762" i="1"/>
  <c r="D762" i="1" s="1"/>
  <c r="D601" i="1"/>
  <c r="D74" i="3" s="1"/>
  <c r="O44" i="3"/>
  <c r="D897" i="1"/>
  <c r="D370" i="3" s="1"/>
  <c r="I906" i="1"/>
  <c r="I379" i="3" s="1"/>
  <c r="D888" i="1"/>
  <c r="D361" i="3" s="1"/>
  <c r="D1244" i="1"/>
  <c r="D714" i="3" s="1"/>
  <c r="D139" i="1"/>
  <c r="L388" i="1" s="1"/>
  <c r="L1264" i="3" s="1"/>
  <c r="D1294" i="1"/>
  <c r="D764" i="3" s="1"/>
  <c r="I36" i="3"/>
  <c r="D562" i="1"/>
  <c r="D36" i="3" s="1"/>
  <c r="I570" i="1"/>
  <c r="I44" i="3" s="1"/>
  <c r="F399" i="1"/>
  <c r="I149" i="1"/>
  <c r="L844" i="1"/>
  <c r="F829" i="1"/>
  <c r="Q383" i="1" l="1"/>
  <c r="P383" i="1"/>
  <c r="P1259" i="3" s="1"/>
  <c r="H383" i="1"/>
  <c r="O383" i="1"/>
  <c r="F383" i="1"/>
  <c r="F1259" i="3" s="1"/>
  <c r="L383" i="1"/>
  <c r="L1259" i="3" s="1"/>
  <c r="I75" i="3"/>
  <c r="I151" i="1"/>
  <c r="I1037" i="3" s="1"/>
  <c r="U602" i="1"/>
  <c r="D561" i="1"/>
  <c r="D570" i="1" s="1"/>
  <c r="D44" i="3" s="1"/>
  <c r="I543" i="1"/>
  <c r="I17" i="3" s="1"/>
  <c r="D152" i="1"/>
  <c r="D1038" i="3" s="1"/>
  <c r="I235" i="3"/>
  <c r="D906" i="1"/>
  <c r="D379" i="3" s="1"/>
  <c r="D1025" i="3"/>
  <c r="H388" i="1"/>
  <c r="P388" i="1"/>
  <c r="F388" i="1"/>
  <c r="F1264" i="3" s="1"/>
  <c r="O388" i="1"/>
  <c r="L317" i="3"/>
  <c r="L845" i="1"/>
  <c r="L552" i="1" s="1"/>
  <c r="D235" i="3"/>
  <c r="U762" i="1"/>
  <c r="F302" i="3"/>
  <c r="D829" i="1"/>
  <c r="D302" i="3" s="1"/>
  <c r="F830" i="1"/>
  <c r="D399" i="1"/>
  <c r="D1275" i="3" s="1"/>
  <c r="F1275" i="3"/>
  <c r="I1035" i="3"/>
  <c r="D149" i="1"/>
  <c r="P1166" i="1"/>
  <c r="O1166" i="1"/>
  <c r="F1166" i="1"/>
  <c r="F844" i="1"/>
  <c r="P803" i="1"/>
  <c r="O803" i="1"/>
  <c r="F803" i="1"/>
  <c r="O844" i="1"/>
  <c r="Q803" i="1"/>
  <c r="L1166" i="1"/>
  <c r="Q1166" i="1"/>
  <c r="H1166" i="1"/>
  <c r="L803" i="1"/>
  <c r="H844" i="1"/>
  <c r="H803" i="1"/>
  <c r="P844" i="1"/>
  <c r="N383" i="1" l="1"/>
  <c r="N1259" i="3" s="1"/>
  <c r="P276" i="3"/>
  <c r="P805" i="1"/>
  <c r="P278" i="3" s="1"/>
  <c r="P637" i="3"/>
  <c r="P1170" i="1"/>
  <c r="P579" i="1" s="1"/>
  <c r="P53" i="3" s="1"/>
  <c r="Q805" i="1"/>
  <c r="Q807" i="1" s="1"/>
  <c r="Q177" i="1" s="1"/>
  <c r="Q1170" i="1"/>
  <c r="Q579" i="1" s="1"/>
  <c r="O805" i="1"/>
  <c r="O278" i="3" s="1"/>
  <c r="O276" i="3"/>
  <c r="N803" i="1"/>
  <c r="N276" i="3" s="1"/>
  <c r="O637" i="3"/>
  <c r="O1170" i="1"/>
  <c r="O579" i="1" s="1"/>
  <c r="N1166" i="1"/>
  <c r="N637" i="3" s="1"/>
  <c r="H805" i="1"/>
  <c r="H545" i="1" s="1"/>
  <c r="H276" i="3"/>
  <c r="H637" i="3"/>
  <c r="H1170" i="1"/>
  <c r="H641" i="3" s="1"/>
  <c r="G27" i="29" s="1"/>
  <c r="O1259" i="3"/>
  <c r="H1259" i="3"/>
  <c r="F805" i="1"/>
  <c r="F278" i="3" s="1"/>
  <c r="F276" i="3"/>
  <c r="F1170" i="1"/>
  <c r="F579" i="1" s="1"/>
  <c r="F637" i="3"/>
  <c r="L1170" i="1"/>
  <c r="L641" i="3" s="1"/>
  <c r="L637" i="3"/>
  <c r="L805" i="1"/>
  <c r="L278" i="3" s="1"/>
  <c r="L276" i="3"/>
  <c r="D543" i="1"/>
  <c r="D17" i="3" s="1"/>
  <c r="D151" i="1"/>
  <c r="O400" i="1" s="1"/>
  <c r="D35" i="3"/>
  <c r="H401" i="1"/>
  <c r="H1277" i="3" s="1"/>
  <c r="N388" i="1"/>
  <c r="N1264" i="3" s="1"/>
  <c r="F25" i="11"/>
  <c r="F27" i="11" s="1"/>
  <c r="H317" i="3"/>
  <c r="H845" i="1"/>
  <c r="H552" i="1" s="1"/>
  <c r="H26" i="3" s="1"/>
  <c r="H1264" i="3"/>
  <c r="L318" i="3"/>
  <c r="L846" i="1"/>
  <c r="L319" i="3" s="1"/>
  <c r="P317" i="3"/>
  <c r="P845" i="1"/>
  <c r="P552" i="1" s="1"/>
  <c r="P26" i="3" s="1"/>
  <c r="P1264" i="3"/>
  <c r="O845" i="1"/>
  <c r="O846" i="1" s="1"/>
  <c r="O319" i="3" s="1"/>
  <c r="N844" i="1"/>
  <c r="N317" i="3" s="1"/>
  <c r="O317" i="3"/>
  <c r="F317" i="3"/>
  <c r="F845" i="1"/>
  <c r="F846" i="1" s="1"/>
  <c r="F319" i="3" s="1"/>
  <c r="O1264" i="3"/>
  <c r="L26" i="3"/>
  <c r="D830" i="1"/>
  <c r="D303" i="3" s="1"/>
  <c r="F303" i="3"/>
  <c r="F834" i="1"/>
  <c r="D1035" i="3"/>
  <c r="Q398" i="1"/>
  <c r="P398" i="1"/>
  <c r="L398" i="1"/>
  <c r="O398" i="1"/>
  <c r="F398" i="1"/>
  <c r="H398" i="1"/>
  <c r="L1293" i="1"/>
  <c r="Q1090" i="1"/>
  <c r="F1090" i="1"/>
  <c r="L1090" i="1"/>
  <c r="Q1293" i="1"/>
  <c r="O1285" i="1"/>
  <c r="P1293" i="1"/>
  <c r="O1090" i="1"/>
  <c r="H1293" i="1"/>
  <c r="Q1229" i="1"/>
  <c r="P1090" i="1"/>
  <c r="H1229" i="1"/>
  <c r="O1229" i="1"/>
  <c r="F1229" i="1"/>
  <c r="L1229" i="1"/>
  <c r="P1229" i="1"/>
  <c r="O1293" i="1"/>
  <c r="H1233" i="1"/>
  <c r="F1293" i="1"/>
  <c r="H1090" i="1"/>
  <c r="P641" i="3" l="1"/>
  <c r="H579" i="1"/>
  <c r="H53" i="3" s="1"/>
  <c r="I1166" i="1"/>
  <c r="D1166" i="1" s="1"/>
  <c r="D637" i="3" s="1"/>
  <c r="I383" i="1"/>
  <c r="I1259" i="3" s="1"/>
  <c r="F400" i="1"/>
  <c r="O545" i="1"/>
  <c r="O546" i="1" s="1"/>
  <c r="P545" i="1"/>
  <c r="P546" i="1" s="1"/>
  <c r="P807" i="1"/>
  <c r="P177" i="1" s="1"/>
  <c r="Q545" i="1"/>
  <c r="Q546" i="1" s="1"/>
  <c r="Q549" i="1" s="1"/>
  <c r="H278" i="3"/>
  <c r="H807" i="1"/>
  <c r="H280" i="3" s="1"/>
  <c r="O641" i="3"/>
  <c r="O807" i="1"/>
  <c r="O280" i="3" s="1"/>
  <c r="N805" i="1"/>
  <c r="N278" i="3" s="1"/>
  <c r="N1170" i="1"/>
  <c r="N641" i="3" s="1"/>
  <c r="L579" i="1"/>
  <c r="L53" i="3" s="1"/>
  <c r="I803" i="1"/>
  <c r="I276" i="3" s="1"/>
  <c r="F807" i="1"/>
  <c r="F177" i="1" s="1"/>
  <c r="F641" i="3"/>
  <c r="G27" i="33" s="1"/>
  <c r="G31" i="33" s="1"/>
  <c r="L545" i="1"/>
  <c r="L19" i="3" s="1"/>
  <c r="L807" i="1"/>
  <c r="L177" i="1" s="1"/>
  <c r="D1037" i="3"/>
  <c r="F545" i="1"/>
  <c r="F546" i="1" s="1"/>
  <c r="O755" i="3"/>
  <c r="O218" i="1"/>
  <c r="O1104" i="3" s="1"/>
  <c r="O1276" i="3"/>
  <c r="Q400" i="1"/>
  <c r="L400" i="1"/>
  <c r="P400" i="1"/>
  <c r="P1276" i="3" s="1"/>
  <c r="D401" i="1"/>
  <c r="D1277" i="3" s="1"/>
  <c r="H846" i="1"/>
  <c r="H319" i="3" s="1"/>
  <c r="I388" i="1"/>
  <c r="I1264" i="3" s="1"/>
  <c r="H318" i="3"/>
  <c r="N845" i="1"/>
  <c r="N318" i="3" s="1"/>
  <c r="P318" i="3"/>
  <c r="I844" i="1"/>
  <c r="I317" i="3" s="1"/>
  <c r="F552" i="1"/>
  <c r="F26" i="3" s="1"/>
  <c r="F318" i="3"/>
  <c r="P846" i="1"/>
  <c r="P319" i="3" s="1"/>
  <c r="O318" i="3"/>
  <c r="O552" i="1"/>
  <c r="O26" i="3" s="1"/>
  <c r="F700" i="3"/>
  <c r="G42" i="33" s="1"/>
  <c r="I42" i="33" s="1"/>
  <c r="Q42" i="33" s="1"/>
  <c r="F1091" i="1"/>
  <c r="F140" i="1"/>
  <c r="F563" i="3"/>
  <c r="F763" i="3"/>
  <c r="Q140" i="1"/>
  <c r="Q1091" i="1"/>
  <c r="Q1120" i="1" s="1"/>
  <c r="H704" i="3"/>
  <c r="G47" i="29" s="1"/>
  <c r="I47" i="29" s="1"/>
  <c r="H584" i="1"/>
  <c r="H58" i="3" s="1"/>
  <c r="H763" i="3"/>
  <c r="H180" i="1"/>
  <c r="H140" i="1"/>
  <c r="H563" i="3"/>
  <c r="H1091" i="1"/>
  <c r="H700" i="3"/>
  <c r="G42" i="29" s="1"/>
  <c r="I42" i="29" s="1"/>
  <c r="Q42" i="29" s="1"/>
  <c r="O763" i="3"/>
  <c r="N1293" i="1"/>
  <c r="N763" i="3" s="1"/>
  <c r="O180" i="1"/>
  <c r="O140" i="1"/>
  <c r="N1090" i="1"/>
  <c r="N563" i="3" s="1"/>
  <c r="O1091" i="1"/>
  <c r="O563" i="3"/>
  <c r="O700" i="3"/>
  <c r="N1229" i="1"/>
  <c r="N700" i="3" s="1"/>
  <c r="P1091" i="1"/>
  <c r="P140" i="1"/>
  <c r="P563" i="3"/>
  <c r="P700" i="3"/>
  <c r="P763" i="3"/>
  <c r="L1091" i="1"/>
  <c r="L140" i="1"/>
  <c r="L563" i="3"/>
  <c r="L763" i="3"/>
  <c r="L700" i="3"/>
  <c r="G31" i="29"/>
  <c r="I27" i="29"/>
  <c r="Q27" i="29" s="1"/>
  <c r="Q31" i="29" s="1"/>
  <c r="F1274" i="3"/>
  <c r="H19" i="3"/>
  <c r="H546" i="1"/>
  <c r="D834" i="1"/>
  <c r="F548" i="1"/>
  <c r="F307" i="3"/>
  <c r="H1274" i="3"/>
  <c r="O1274" i="3"/>
  <c r="N398" i="1"/>
  <c r="N1274" i="3" s="1"/>
  <c r="O53" i="3"/>
  <c r="N579" i="1"/>
  <c r="N53" i="3" s="1"/>
  <c r="P1274" i="3"/>
  <c r="L1274" i="3"/>
  <c r="F53" i="3"/>
  <c r="P1285" i="1"/>
  <c r="Q1285" i="1"/>
  <c r="F1285" i="1"/>
  <c r="L1285" i="1"/>
  <c r="I637" i="3" l="1"/>
  <c r="H177" i="1"/>
  <c r="H1063" i="3" s="1"/>
  <c r="P19" i="3"/>
  <c r="D383" i="1"/>
  <c r="D1259" i="3" s="1"/>
  <c r="I27" i="33"/>
  <c r="Q27" i="33" s="1"/>
  <c r="Q31" i="33" s="1"/>
  <c r="O19" i="3"/>
  <c r="F280" i="3"/>
  <c r="P280" i="3"/>
  <c r="D803" i="1"/>
  <c r="D276" i="3" s="1"/>
  <c r="F755" i="3"/>
  <c r="F180" i="1"/>
  <c r="F1066" i="3" s="1"/>
  <c r="F218" i="1"/>
  <c r="F1104" i="3" s="1"/>
  <c r="F1276" i="3"/>
  <c r="O177" i="1"/>
  <c r="N177" i="1" s="1"/>
  <c r="N1063" i="3" s="1"/>
  <c r="L280" i="3"/>
  <c r="L546" i="1"/>
  <c r="L549" i="1" s="1"/>
  <c r="N807" i="1"/>
  <c r="N280" i="3" s="1"/>
  <c r="N545" i="1"/>
  <c r="N19" i="3" s="1"/>
  <c r="F19" i="3"/>
  <c r="I1170" i="1"/>
  <c r="I641" i="3" s="1"/>
  <c r="I805" i="1"/>
  <c r="I278" i="3" s="1"/>
  <c r="N400" i="1"/>
  <c r="N1276" i="3" s="1"/>
  <c r="P755" i="3"/>
  <c r="P218" i="1"/>
  <c r="N218" i="1" s="1"/>
  <c r="N1104" i="3" s="1"/>
  <c r="N1285" i="1"/>
  <c r="N755" i="3" s="1"/>
  <c r="P180" i="1"/>
  <c r="P1066" i="3" s="1"/>
  <c r="L218" i="1"/>
  <c r="L1104" i="3" s="1"/>
  <c r="L755" i="3"/>
  <c r="L180" i="1"/>
  <c r="L1066" i="3" s="1"/>
  <c r="L1276" i="3"/>
  <c r="D388" i="1"/>
  <c r="D1264" i="3" s="1"/>
  <c r="D844" i="1"/>
  <c r="D317" i="3" s="1"/>
  <c r="I845" i="1"/>
  <c r="I318" i="3" s="1"/>
  <c r="N846" i="1"/>
  <c r="N552" i="1"/>
  <c r="I398" i="1"/>
  <c r="D398" i="1" s="1"/>
  <c r="D1274" i="3" s="1"/>
  <c r="I1229" i="1"/>
  <c r="I700" i="3" s="1"/>
  <c r="I1090" i="1"/>
  <c r="I563" i="3" s="1"/>
  <c r="I1293" i="1"/>
  <c r="I763" i="3" s="1"/>
  <c r="I579" i="1"/>
  <c r="P1026" i="3"/>
  <c r="H564" i="3"/>
  <c r="H1120" i="1"/>
  <c r="P20" i="3"/>
  <c r="P549" i="1"/>
  <c r="L1063" i="3"/>
  <c r="D307" i="3"/>
  <c r="U834" i="1"/>
  <c r="H20" i="3"/>
  <c r="H549" i="1"/>
  <c r="L1026" i="3"/>
  <c r="H1026" i="3"/>
  <c r="Q47" i="29"/>
  <c r="F1026" i="3"/>
  <c r="F20" i="3"/>
  <c r="F549" i="1"/>
  <c r="L1120" i="1"/>
  <c r="L564" i="3"/>
  <c r="O1026" i="3"/>
  <c r="N140" i="1"/>
  <c r="N1026" i="3" s="1"/>
  <c r="H1066" i="3"/>
  <c r="Q207" i="1"/>
  <c r="Q1122" i="1"/>
  <c r="F1120" i="1"/>
  <c r="F564" i="3"/>
  <c r="N546" i="1"/>
  <c r="N20" i="3" s="1"/>
  <c r="O549" i="1"/>
  <c r="O20" i="3"/>
  <c r="O1066" i="3"/>
  <c r="F1063" i="3"/>
  <c r="D548" i="1"/>
  <c r="D22" i="3" s="1"/>
  <c r="F22" i="3"/>
  <c r="P1063" i="3"/>
  <c r="P1120" i="1"/>
  <c r="P564" i="3"/>
  <c r="O1120" i="1"/>
  <c r="N1091" i="1"/>
  <c r="N564" i="3" s="1"/>
  <c r="O564" i="3"/>
  <c r="L20" i="3" l="1"/>
  <c r="O1063" i="3"/>
  <c r="I545" i="1"/>
  <c r="D545" i="1" s="1"/>
  <c r="D19" i="3" s="1"/>
  <c r="I807" i="1"/>
  <c r="I280" i="3" s="1"/>
  <c r="D805" i="1"/>
  <c r="D278" i="3" s="1"/>
  <c r="D1170" i="1"/>
  <c r="D641" i="3" s="1"/>
  <c r="N180" i="1"/>
  <c r="N1066" i="3" s="1"/>
  <c r="I218" i="1"/>
  <c r="I1104" i="3" s="1"/>
  <c r="I400" i="1"/>
  <c r="I1276" i="3" s="1"/>
  <c r="I1285" i="1"/>
  <c r="D1285" i="1" s="1"/>
  <c r="D755" i="3" s="1"/>
  <c r="P1104" i="3"/>
  <c r="D845" i="1"/>
  <c r="D318" i="3" s="1"/>
  <c r="I1274" i="3"/>
  <c r="D1293" i="1"/>
  <c r="D763" i="3" s="1"/>
  <c r="N319" i="3"/>
  <c r="I846" i="1"/>
  <c r="N26" i="3"/>
  <c r="I552" i="1"/>
  <c r="D1090" i="1"/>
  <c r="D563" i="3" s="1"/>
  <c r="D1229" i="1"/>
  <c r="D700" i="3" s="1"/>
  <c r="I1091" i="1"/>
  <c r="I564" i="3" s="1"/>
  <c r="I53" i="3"/>
  <c r="D579" i="1"/>
  <c r="D53" i="3" s="1"/>
  <c r="P207" i="1"/>
  <c r="P592" i="3"/>
  <c r="P1122" i="1"/>
  <c r="L592" i="3"/>
  <c r="L207" i="1"/>
  <c r="L1122" i="1"/>
  <c r="L1123" i="1"/>
  <c r="L1125" i="1" s="1"/>
  <c r="H23" i="3"/>
  <c r="N1120" i="1"/>
  <c r="O207" i="1"/>
  <c r="O592" i="3"/>
  <c r="O1122" i="1"/>
  <c r="F592" i="3"/>
  <c r="F207" i="1"/>
  <c r="F1122" i="1"/>
  <c r="F1123" i="1"/>
  <c r="F1125" i="1" s="1"/>
  <c r="F23" i="3"/>
  <c r="I546" i="1"/>
  <c r="I177" i="1"/>
  <c r="L23" i="3"/>
  <c r="H207" i="1"/>
  <c r="H592" i="3"/>
  <c r="H1122" i="1"/>
  <c r="H1123" i="1"/>
  <c r="H1125" i="1" s="1"/>
  <c r="N549" i="1"/>
  <c r="N23" i="3" s="1"/>
  <c r="O23" i="3"/>
  <c r="Q853" i="1"/>
  <c r="Q578" i="1"/>
  <c r="I140" i="1"/>
  <c r="P23" i="3"/>
  <c r="I19" i="3" l="1"/>
  <c r="U805" i="1"/>
  <c r="D807" i="1"/>
  <c r="D280" i="3" s="1"/>
  <c r="AB1170" i="1"/>
  <c r="D400" i="1"/>
  <c r="D1276" i="3" s="1"/>
  <c r="I755" i="3"/>
  <c r="I180" i="1"/>
  <c r="I1066" i="3" s="1"/>
  <c r="D218" i="1"/>
  <c r="O467" i="1" s="1"/>
  <c r="O1342" i="3" s="1"/>
  <c r="D1091" i="1"/>
  <c r="D564" i="3" s="1"/>
  <c r="I319" i="3"/>
  <c r="D846" i="1"/>
  <c r="D319" i="3" s="1"/>
  <c r="I26" i="3"/>
  <c r="D552" i="1"/>
  <c r="D26" i="3" s="1"/>
  <c r="X1090" i="1"/>
  <c r="C42" i="33"/>
  <c r="E42" i="33" s="1"/>
  <c r="C42" i="29"/>
  <c r="E42" i="29" s="1"/>
  <c r="H578" i="1"/>
  <c r="H594" i="3"/>
  <c r="I1063" i="3"/>
  <c r="D177" i="1"/>
  <c r="N1122" i="1"/>
  <c r="N594" i="3" s="1"/>
  <c r="O594" i="3"/>
  <c r="O578" i="1"/>
  <c r="O853" i="1"/>
  <c r="I549" i="1"/>
  <c r="D140" i="1"/>
  <c r="I1026" i="3"/>
  <c r="I20" i="3"/>
  <c r="D546" i="1"/>
  <c r="D20" i="3" s="1"/>
  <c r="C27" i="33"/>
  <c r="C27" i="29"/>
  <c r="F1093" i="3"/>
  <c r="L853" i="1"/>
  <c r="L578" i="1"/>
  <c r="L594" i="3"/>
  <c r="P578" i="1"/>
  <c r="P853" i="1"/>
  <c r="P594" i="3"/>
  <c r="Q555" i="1"/>
  <c r="H1093" i="3"/>
  <c r="O1093" i="3"/>
  <c r="N207" i="1"/>
  <c r="N1093" i="3" s="1"/>
  <c r="L1093" i="3"/>
  <c r="F594" i="3"/>
  <c r="F578" i="1"/>
  <c r="I1120" i="1"/>
  <c r="N592" i="3"/>
  <c r="N1123" i="1"/>
  <c r="N1125" i="1" s="1"/>
  <c r="P1093" i="3"/>
  <c r="P467" i="1" l="1"/>
  <c r="P1342" i="3" s="1"/>
  <c r="L467" i="1"/>
  <c r="L1342" i="3" s="1"/>
  <c r="D180" i="1"/>
  <c r="H429" i="1" s="1"/>
  <c r="H1304" i="3" s="1"/>
  <c r="D1104" i="3"/>
  <c r="I467" i="1"/>
  <c r="I1342" i="3" s="1"/>
  <c r="F467" i="1"/>
  <c r="F1342" i="3" s="1"/>
  <c r="I1122" i="1"/>
  <c r="I594" i="3" s="1"/>
  <c r="I207" i="1"/>
  <c r="P52" i="3"/>
  <c r="L52" i="3"/>
  <c r="C31" i="33"/>
  <c r="E27" i="33"/>
  <c r="N578" i="1"/>
  <c r="N52" i="3" s="1"/>
  <c r="O52" i="3"/>
  <c r="L555" i="1"/>
  <c r="L326" i="3"/>
  <c r="D1026" i="3"/>
  <c r="F389" i="1"/>
  <c r="O389" i="1"/>
  <c r="L389" i="1"/>
  <c r="P389" i="1"/>
  <c r="H389" i="1"/>
  <c r="H1265" i="3" s="1"/>
  <c r="S10" i="30" s="1"/>
  <c r="W10" i="30" s="1"/>
  <c r="Q389" i="1"/>
  <c r="I592" i="3"/>
  <c r="D1120" i="1"/>
  <c r="F52" i="3"/>
  <c r="P326" i="3"/>
  <c r="P555" i="1"/>
  <c r="P29" i="3" s="1"/>
  <c r="C31" i="29"/>
  <c r="E27" i="29"/>
  <c r="I23" i="3"/>
  <c r="D549" i="1"/>
  <c r="O555" i="1"/>
  <c r="N853" i="1"/>
  <c r="N326" i="3" s="1"/>
  <c r="O326" i="3"/>
  <c r="D1063" i="3"/>
  <c r="Q426" i="1"/>
  <c r="O426" i="1"/>
  <c r="H426" i="1"/>
  <c r="P426" i="1"/>
  <c r="L426" i="1"/>
  <c r="F426" i="1"/>
  <c r="H52" i="3"/>
  <c r="P849" i="1"/>
  <c r="O1224" i="1"/>
  <c r="Q1224" i="1"/>
  <c r="F1224" i="1"/>
  <c r="O849" i="1"/>
  <c r="Q849" i="1"/>
  <c r="L849" i="1"/>
  <c r="L1224" i="1"/>
  <c r="H1224" i="1"/>
  <c r="F849" i="1"/>
  <c r="P1224" i="1"/>
  <c r="N467" i="1" l="1"/>
  <c r="N1342" i="3" s="1"/>
  <c r="L429" i="1"/>
  <c r="L1304" i="3" s="1"/>
  <c r="D1066" i="3"/>
  <c r="F429" i="1"/>
  <c r="F1304" i="3" s="1"/>
  <c r="D467" i="1"/>
  <c r="D1342" i="3" s="1"/>
  <c r="O429" i="1"/>
  <c r="O1304" i="3" s="1"/>
  <c r="P429" i="1"/>
  <c r="P1304" i="3" s="1"/>
  <c r="D1122" i="1"/>
  <c r="N849" i="1"/>
  <c r="N322" i="3" s="1"/>
  <c r="O322" i="3"/>
  <c r="O851" i="1"/>
  <c r="L695" i="3"/>
  <c r="L1230" i="1"/>
  <c r="Q1230" i="1"/>
  <c r="P695" i="3"/>
  <c r="P1230" i="1"/>
  <c r="H695" i="3"/>
  <c r="G40" i="29" s="1"/>
  <c r="H1230" i="1"/>
  <c r="L322" i="3"/>
  <c r="L851" i="1"/>
  <c r="O695" i="3"/>
  <c r="N1224" i="1"/>
  <c r="N695" i="3" s="1"/>
  <c r="O1230" i="1"/>
  <c r="F322" i="3"/>
  <c r="F851" i="1"/>
  <c r="F695" i="3"/>
  <c r="G40" i="33" s="1"/>
  <c r="F1230" i="1"/>
  <c r="Q851" i="1"/>
  <c r="P322" i="3"/>
  <c r="P851" i="1"/>
  <c r="O1265" i="3"/>
  <c r="N389" i="1"/>
  <c r="N1265" i="3" s="1"/>
  <c r="L1301" i="3"/>
  <c r="D592" i="3"/>
  <c r="D1123" i="1"/>
  <c r="D1125" i="1" s="1"/>
  <c r="P1301" i="3"/>
  <c r="O29" i="3"/>
  <c r="N555" i="1"/>
  <c r="N29" i="3" s="1"/>
  <c r="H1301" i="3"/>
  <c r="D23" i="3"/>
  <c r="L1265" i="3"/>
  <c r="I853" i="1"/>
  <c r="I578" i="1"/>
  <c r="I1093" i="3"/>
  <c r="D207" i="1"/>
  <c r="O1301" i="3"/>
  <c r="N426" i="1"/>
  <c r="N1301" i="3" s="1"/>
  <c r="F1265" i="3"/>
  <c r="N25" i="11"/>
  <c r="N27" i="11" s="1"/>
  <c r="J25" i="11"/>
  <c r="J27" i="11" s="1"/>
  <c r="F1301" i="3"/>
  <c r="P1265" i="3"/>
  <c r="L29" i="3"/>
  <c r="N429" i="1" l="1"/>
  <c r="N1304" i="3" s="1"/>
  <c r="I555" i="1"/>
  <c r="I29" i="3" s="1"/>
  <c r="I849" i="1"/>
  <c r="I322" i="3" s="1"/>
  <c r="AB1121" i="1"/>
  <c r="D594" i="3"/>
  <c r="I389" i="1"/>
  <c r="I1265" i="3" s="1"/>
  <c r="I426" i="1"/>
  <c r="I1301" i="3" s="1"/>
  <c r="Q554" i="1"/>
  <c r="Q558" i="1" s="1"/>
  <c r="Q572" i="1" s="1"/>
  <c r="Q855" i="1"/>
  <c r="Q861" i="1" s="1"/>
  <c r="Q908" i="1" s="1"/>
  <c r="Q178" i="1" s="1"/>
  <c r="F324" i="3"/>
  <c r="F554" i="1"/>
  <c r="D1093" i="3"/>
  <c r="Q456" i="1"/>
  <c r="L456" i="1"/>
  <c r="O456" i="1"/>
  <c r="P456" i="1"/>
  <c r="P1331" i="3" s="1"/>
  <c r="F456" i="1"/>
  <c r="H456" i="1"/>
  <c r="H1331" i="3" s="1"/>
  <c r="H581" i="1"/>
  <c r="H701" i="3"/>
  <c r="H1246" i="1"/>
  <c r="Q581" i="1"/>
  <c r="Q1246" i="1"/>
  <c r="O324" i="3"/>
  <c r="N851" i="1"/>
  <c r="N324" i="3" s="1"/>
  <c r="O554" i="1"/>
  <c r="O855" i="1"/>
  <c r="I326" i="3"/>
  <c r="P554" i="1"/>
  <c r="P324" i="3"/>
  <c r="P855" i="1"/>
  <c r="F701" i="3"/>
  <c r="F581" i="1"/>
  <c r="F1246" i="1"/>
  <c r="L324" i="3"/>
  <c r="L554" i="1"/>
  <c r="L855" i="1"/>
  <c r="I40" i="29"/>
  <c r="Q40" i="29" s="1"/>
  <c r="Q43" i="29" s="1"/>
  <c r="G43" i="29"/>
  <c r="I1224" i="1"/>
  <c r="I52" i="3"/>
  <c r="D578" i="1"/>
  <c r="I40" i="33"/>
  <c r="Q40" i="33" s="1"/>
  <c r="Q43" i="33" s="1"/>
  <c r="G43" i="33"/>
  <c r="O581" i="1"/>
  <c r="N1230" i="1"/>
  <c r="N701" i="3" s="1"/>
  <c r="O701" i="3"/>
  <c r="O1246" i="1"/>
  <c r="P701" i="3"/>
  <c r="P581" i="1"/>
  <c r="P1246" i="1"/>
  <c r="L701" i="3"/>
  <c r="L581" i="1"/>
  <c r="L1246" i="1"/>
  <c r="I429" i="1" l="1"/>
  <c r="I1304" i="3" s="1"/>
  <c r="I1230" i="1"/>
  <c r="D1230" i="1" s="1"/>
  <c r="D426" i="1"/>
  <c r="D1301" i="3" s="1"/>
  <c r="D389" i="1"/>
  <c r="D1265" i="3" s="1"/>
  <c r="D849" i="1"/>
  <c r="D322" i="3" s="1"/>
  <c r="E22" i="29"/>
  <c r="G22" i="29" s="1"/>
  <c r="C25" i="29"/>
  <c r="C25" i="33"/>
  <c r="E22" i="33"/>
  <c r="G22" i="33" s="1"/>
  <c r="P716" i="3"/>
  <c r="P1257" i="1"/>
  <c r="P55" i="3"/>
  <c r="L55" i="3"/>
  <c r="O55" i="3"/>
  <c r="N581" i="1"/>
  <c r="N55" i="3" s="1"/>
  <c r="D52" i="3"/>
  <c r="I851" i="1"/>
  <c r="F55" i="3"/>
  <c r="P28" i="3"/>
  <c r="P558" i="1"/>
  <c r="O1331" i="3"/>
  <c r="N456" i="1"/>
  <c r="N1331" i="3" s="1"/>
  <c r="O716" i="3"/>
  <c r="N1246" i="1"/>
  <c r="N716" i="3" s="1"/>
  <c r="O1257" i="1"/>
  <c r="L28" i="3"/>
  <c r="L558" i="1"/>
  <c r="N855" i="1"/>
  <c r="N328" i="3" s="1"/>
  <c r="O328" i="3"/>
  <c r="O861" i="1"/>
  <c r="Q1257" i="1"/>
  <c r="H55" i="3"/>
  <c r="L1331" i="3"/>
  <c r="L716" i="3"/>
  <c r="L1257" i="1"/>
  <c r="P328" i="3"/>
  <c r="P861" i="1"/>
  <c r="O28" i="3"/>
  <c r="N554" i="1"/>
  <c r="N28" i="3" s="1"/>
  <c r="O558" i="1"/>
  <c r="F1331" i="3"/>
  <c r="F28" i="3"/>
  <c r="I695" i="3"/>
  <c r="D1224" i="1"/>
  <c r="D695" i="3" s="1"/>
  <c r="L328" i="3"/>
  <c r="L861" i="1"/>
  <c r="F716" i="3"/>
  <c r="F1257" i="1"/>
  <c r="H716" i="3"/>
  <c r="H1257" i="1"/>
  <c r="D429" i="1" l="1"/>
  <c r="D1304" i="3" s="1"/>
  <c r="I701" i="3"/>
  <c r="I855" i="1"/>
  <c r="I328" i="3" s="1"/>
  <c r="I22" i="33"/>
  <c r="Q22" i="33" s="1"/>
  <c r="Q24" i="33" s="1"/>
  <c r="G24" i="33"/>
  <c r="G25" i="33" s="1"/>
  <c r="I22" i="29"/>
  <c r="Q22" i="29" s="1"/>
  <c r="Q24" i="29" s="1"/>
  <c r="G24" i="29"/>
  <c r="G25" i="29" s="1"/>
  <c r="I1246" i="1"/>
  <c r="I456" i="1"/>
  <c r="H727" i="3"/>
  <c r="O32" i="3"/>
  <c r="N558" i="1"/>
  <c r="N32" i="3" s="1"/>
  <c r="O572" i="1"/>
  <c r="O727" i="3"/>
  <c r="N1257" i="1"/>
  <c r="N727" i="3" s="1"/>
  <c r="P32" i="3"/>
  <c r="P572" i="1"/>
  <c r="I581" i="1"/>
  <c r="C40" i="33"/>
  <c r="C40" i="29"/>
  <c r="I324" i="3"/>
  <c r="D851" i="1"/>
  <c r="D324" i="3" s="1"/>
  <c r="X1230" i="1"/>
  <c r="D701" i="3"/>
  <c r="L334" i="3"/>
  <c r="L908" i="1"/>
  <c r="L727" i="3"/>
  <c r="L32" i="3"/>
  <c r="L572" i="1"/>
  <c r="P727" i="3"/>
  <c r="F727" i="3"/>
  <c r="P334" i="3"/>
  <c r="P908" i="1"/>
  <c r="N861" i="1"/>
  <c r="N334" i="3" s="1"/>
  <c r="O334" i="3"/>
  <c r="O908" i="1"/>
  <c r="I554" i="1"/>
  <c r="I558" i="1" l="1"/>
  <c r="I32" i="3" s="1"/>
  <c r="I1257" i="1"/>
  <c r="I1331" i="3"/>
  <c r="D456" i="1"/>
  <c r="D1331" i="3" s="1"/>
  <c r="I861" i="1"/>
  <c r="I334" i="3" s="1"/>
  <c r="I716" i="3"/>
  <c r="D1246" i="1"/>
  <c r="P46" i="3"/>
  <c r="O46" i="3"/>
  <c r="N572" i="1"/>
  <c r="I572" i="1" s="1"/>
  <c r="I55" i="3"/>
  <c r="D581" i="1"/>
  <c r="D554" i="1"/>
  <c r="D28" i="3" s="1"/>
  <c r="I28" i="3"/>
  <c r="P381" i="3"/>
  <c r="P178" i="1"/>
  <c r="C43" i="29"/>
  <c r="E40" i="29"/>
  <c r="N908" i="1"/>
  <c r="I908" i="1" s="1"/>
  <c r="O381" i="3"/>
  <c r="O178" i="1"/>
  <c r="L46" i="3"/>
  <c r="L381" i="3"/>
  <c r="L178" i="1"/>
  <c r="C43" i="33"/>
  <c r="E40" i="33"/>
  <c r="I727" i="3" l="1"/>
  <c r="D1257" i="1"/>
  <c r="U1257" i="1"/>
  <c r="D716" i="3"/>
  <c r="I381" i="3"/>
  <c r="O1064" i="3"/>
  <c r="N178" i="1"/>
  <c r="N1064" i="3" s="1"/>
  <c r="I46" i="3"/>
  <c r="P1064" i="3"/>
  <c r="L1064" i="3"/>
  <c r="N381" i="3"/>
  <c r="D55" i="3"/>
  <c r="N46" i="3"/>
  <c r="W1257" i="1" l="1"/>
  <c r="D727" i="3"/>
  <c r="I178" i="1"/>
  <c r="I1064" i="3" s="1"/>
  <c r="E34" i="33"/>
  <c r="G34" i="33"/>
  <c r="I34" i="33"/>
  <c r="Q34" i="33"/>
  <c r="E35" i="33"/>
  <c r="G35" i="33"/>
  <c r="I35" i="33"/>
  <c r="Q35" i="33"/>
  <c r="E36" i="33"/>
  <c r="G36" i="33"/>
  <c r="I36" i="33"/>
  <c r="Q36" i="33"/>
  <c r="C37" i="33"/>
  <c r="G37" i="33"/>
  <c r="Q37" i="33"/>
  <c r="G38" i="33"/>
  <c r="C57" i="33"/>
  <c r="G57" i="33"/>
  <c r="I57" i="33"/>
  <c r="Q57" i="33"/>
  <c r="C59" i="33"/>
  <c r="E59" i="33"/>
  <c r="G59" i="33"/>
  <c r="I59" i="33"/>
  <c r="Q59" i="33"/>
  <c r="C61" i="33"/>
  <c r="G61" i="33"/>
  <c r="I61" i="33"/>
  <c r="Q61" i="33"/>
  <c r="C63" i="33"/>
  <c r="G63" i="33"/>
  <c r="I63" i="33"/>
  <c r="Q63" i="33"/>
  <c r="Q71" i="33"/>
  <c r="Q73" i="33"/>
  <c r="Q75" i="33"/>
  <c r="S11" i="46"/>
  <c r="W11" i="46"/>
  <c r="W16" i="46"/>
  <c r="S24" i="46"/>
  <c r="W24" i="46"/>
  <c r="S26" i="46"/>
  <c r="W26" i="46"/>
  <c r="S27" i="46"/>
  <c r="W27" i="46"/>
  <c r="W29" i="46"/>
  <c r="W31" i="46"/>
  <c r="D29" i="3"/>
  <c r="F29" i="3"/>
  <c r="H29" i="3"/>
  <c r="D32" i="3"/>
  <c r="F32" i="3"/>
  <c r="H32" i="3"/>
  <c r="D46" i="3"/>
  <c r="F46" i="3"/>
  <c r="H46" i="3"/>
  <c r="D56" i="3"/>
  <c r="F56" i="3"/>
  <c r="H56" i="3"/>
  <c r="I56" i="3"/>
  <c r="L56" i="3"/>
  <c r="N56" i="3"/>
  <c r="O56" i="3"/>
  <c r="P56" i="3"/>
  <c r="D62" i="3"/>
  <c r="F62" i="3"/>
  <c r="H62" i="3"/>
  <c r="I62" i="3"/>
  <c r="L62" i="3"/>
  <c r="N62" i="3"/>
  <c r="O62" i="3"/>
  <c r="P62" i="3"/>
  <c r="D64" i="3"/>
  <c r="F64" i="3"/>
  <c r="H64" i="3"/>
  <c r="I64" i="3"/>
  <c r="L64" i="3"/>
  <c r="N64" i="3"/>
  <c r="O64" i="3"/>
  <c r="P64" i="3"/>
  <c r="D65" i="3"/>
  <c r="F65" i="3"/>
  <c r="H65" i="3"/>
  <c r="I65" i="3"/>
  <c r="L65" i="3"/>
  <c r="N65" i="3"/>
  <c r="O65" i="3"/>
  <c r="P65" i="3"/>
  <c r="D326" i="3"/>
  <c r="F326" i="3"/>
  <c r="H326" i="3"/>
  <c r="D328" i="3"/>
  <c r="F328" i="3"/>
  <c r="H328" i="3"/>
  <c r="D334" i="3"/>
  <c r="F334" i="3"/>
  <c r="H334" i="3"/>
  <c r="D381" i="3"/>
  <c r="F381" i="3"/>
  <c r="H381" i="3"/>
  <c r="D737" i="3"/>
  <c r="F737" i="3"/>
  <c r="H737" i="3"/>
  <c r="I737" i="3"/>
  <c r="L737" i="3"/>
  <c r="N737" i="3"/>
  <c r="O737" i="3"/>
  <c r="P737" i="3"/>
  <c r="D740" i="3"/>
  <c r="F740" i="3"/>
  <c r="H740" i="3"/>
  <c r="I740" i="3"/>
  <c r="L740" i="3"/>
  <c r="N740" i="3"/>
  <c r="O740" i="3"/>
  <c r="P740" i="3"/>
  <c r="D747" i="3"/>
  <c r="F747" i="3"/>
  <c r="H747" i="3"/>
  <c r="I747" i="3"/>
  <c r="L747" i="3"/>
  <c r="N747" i="3"/>
  <c r="O747" i="3"/>
  <c r="P747" i="3"/>
  <c r="D749" i="3"/>
  <c r="F749" i="3"/>
  <c r="H749" i="3"/>
  <c r="I749" i="3"/>
  <c r="L749" i="3"/>
  <c r="N749" i="3"/>
  <c r="O749" i="3"/>
  <c r="P749" i="3"/>
  <c r="D750" i="3"/>
  <c r="F750" i="3"/>
  <c r="H750" i="3"/>
  <c r="I750" i="3"/>
  <c r="L750" i="3"/>
  <c r="N750" i="3"/>
  <c r="O750" i="3"/>
  <c r="P750" i="3"/>
  <c r="D752" i="3"/>
  <c r="F752" i="3"/>
  <c r="H752" i="3"/>
  <c r="I752" i="3"/>
  <c r="L752" i="3"/>
  <c r="N752" i="3"/>
  <c r="O752" i="3"/>
  <c r="P752" i="3"/>
  <c r="D753" i="3"/>
  <c r="F753" i="3"/>
  <c r="H753" i="3"/>
  <c r="I753" i="3"/>
  <c r="L753" i="3"/>
  <c r="N753" i="3"/>
  <c r="O753" i="3"/>
  <c r="P753" i="3"/>
  <c r="D756" i="3"/>
  <c r="F756" i="3"/>
  <c r="H756" i="3"/>
  <c r="I756" i="3"/>
  <c r="L756" i="3"/>
  <c r="N756" i="3"/>
  <c r="O756" i="3"/>
  <c r="P756" i="3"/>
  <c r="D758" i="3"/>
  <c r="F758" i="3"/>
  <c r="H758" i="3"/>
  <c r="I758" i="3"/>
  <c r="L758" i="3"/>
  <c r="N758" i="3"/>
  <c r="O758" i="3"/>
  <c r="P758" i="3"/>
  <c r="D759" i="3"/>
  <c r="F759" i="3"/>
  <c r="H759" i="3"/>
  <c r="I759" i="3"/>
  <c r="L759" i="3"/>
  <c r="N759" i="3"/>
  <c r="O759" i="3"/>
  <c r="P759" i="3"/>
  <c r="D761" i="3"/>
  <c r="F761" i="3"/>
  <c r="H761" i="3"/>
  <c r="I761" i="3"/>
  <c r="L761" i="3"/>
  <c r="N761" i="3"/>
  <c r="O761" i="3"/>
  <c r="P761" i="3"/>
  <c r="D762" i="3"/>
  <c r="F762" i="3"/>
  <c r="H762" i="3"/>
  <c r="I762" i="3"/>
  <c r="L762" i="3"/>
  <c r="N762" i="3"/>
  <c r="O762" i="3"/>
  <c r="P762" i="3"/>
  <c r="D765" i="3"/>
  <c r="F765" i="3"/>
  <c r="H765" i="3"/>
  <c r="I765" i="3"/>
  <c r="L765" i="3"/>
  <c r="N765" i="3"/>
  <c r="O765" i="3"/>
  <c r="P765" i="3"/>
  <c r="D766" i="3"/>
  <c r="F766" i="3"/>
  <c r="H766" i="3"/>
  <c r="I766" i="3"/>
  <c r="L766" i="3"/>
  <c r="N766" i="3"/>
  <c r="O766" i="3"/>
  <c r="P766" i="3"/>
  <c r="D768" i="3"/>
  <c r="F768" i="3"/>
  <c r="H768" i="3"/>
  <c r="I768" i="3"/>
  <c r="L768" i="3"/>
  <c r="N768" i="3"/>
  <c r="O768" i="3"/>
  <c r="P768" i="3"/>
  <c r="D769" i="3"/>
  <c r="F769" i="3"/>
  <c r="H769" i="3"/>
  <c r="I769" i="3"/>
  <c r="L769" i="3"/>
  <c r="N769" i="3"/>
  <c r="O769" i="3"/>
  <c r="P769" i="3"/>
  <c r="D1064" i="3"/>
  <c r="F1064" i="3"/>
  <c r="H1064" i="3"/>
  <c r="D1302" i="3"/>
  <c r="F1302" i="3"/>
  <c r="H1302" i="3"/>
  <c r="I1302" i="3"/>
  <c r="L1302" i="3"/>
  <c r="N1302" i="3"/>
  <c r="O1302" i="3"/>
  <c r="P1302" i="3"/>
  <c r="D178" i="1"/>
  <c r="F178" i="1"/>
  <c r="H178" i="1"/>
  <c r="D427" i="1"/>
  <c r="F427" i="1"/>
  <c r="H427" i="1"/>
  <c r="I427" i="1"/>
  <c r="L427" i="1"/>
  <c r="N427" i="1"/>
  <c r="O427" i="1"/>
  <c r="P427" i="1"/>
  <c r="Q427" i="1"/>
  <c r="D555" i="1"/>
  <c r="F555" i="1"/>
  <c r="H555" i="1"/>
  <c r="D558" i="1"/>
  <c r="F558" i="1"/>
  <c r="H558" i="1"/>
  <c r="D572" i="1"/>
  <c r="F572" i="1"/>
  <c r="H572" i="1"/>
  <c r="D582" i="1"/>
  <c r="F582" i="1"/>
  <c r="H582" i="1"/>
  <c r="I582" i="1"/>
  <c r="L582" i="1"/>
  <c r="N582" i="1"/>
  <c r="O582" i="1"/>
  <c r="P582" i="1"/>
  <c r="Q582" i="1"/>
  <c r="D588" i="1"/>
  <c r="F588" i="1"/>
  <c r="H588" i="1"/>
  <c r="I588" i="1"/>
  <c r="L588" i="1"/>
  <c r="N588" i="1"/>
  <c r="O588" i="1"/>
  <c r="P588" i="1"/>
  <c r="Q588" i="1"/>
  <c r="D590" i="1"/>
  <c r="F590" i="1"/>
  <c r="H590" i="1"/>
  <c r="I590" i="1"/>
  <c r="L590" i="1"/>
  <c r="N590" i="1"/>
  <c r="O590" i="1"/>
  <c r="P590" i="1"/>
  <c r="Q590" i="1"/>
  <c r="W590" i="1"/>
  <c r="D591" i="1"/>
  <c r="F591" i="1"/>
  <c r="H591" i="1"/>
  <c r="I591" i="1"/>
  <c r="L591" i="1"/>
  <c r="N591" i="1"/>
  <c r="O591" i="1"/>
  <c r="P591" i="1"/>
  <c r="Q591" i="1"/>
  <c r="D853" i="1"/>
  <c r="F853" i="1"/>
  <c r="H853" i="1"/>
  <c r="T853" i="1"/>
  <c r="D855" i="1"/>
  <c r="F855" i="1"/>
  <c r="H855" i="1"/>
  <c r="D861" i="1"/>
  <c r="F861" i="1"/>
  <c r="H861" i="1"/>
  <c r="D908" i="1"/>
  <c r="F908" i="1"/>
  <c r="H908" i="1"/>
  <c r="D1267" i="1"/>
  <c r="F1267" i="1"/>
  <c r="H1267" i="1"/>
  <c r="I1267" i="1"/>
  <c r="L1267" i="1"/>
  <c r="N1267" i="1"/>
  <c r="O1267" i="1"/>
  <c r="P1267" i="1"/>
  <c r="Q1267" i="1"/>
  <c r="D1270" i="1"/>
  <c r="F1270" i="1"/>
  <c r="H1270" i="1"/>
  <c r="I1270" i="1"/>
  <c r="L1270" i="1"/>
  <c r="N1270" i="1"/>
  <c r="O1270" i="1"/>
  <c r="P1270" i="1"/>
  <c r="Q1270" i="1"/>
  <c r="D1277" i="1"/>
  <c r="F1277" i="1"/>
  <c r="H1277" i="1"/>
  <c r="I1277" i="1"/>
  <c r="L1277" i="1"/>
  <c r="N1277" i="1"/>
  <c r="O1277" i="1"/>
  <c r="P1277" i="1"/>
  <c r="Q1277" i="1"/>
  <c r="D1279" i="1"/>
  <c r="F1279" i="1"/>
  <c r="H1279" i="1"/>
  <c r="I1279" i="1"/>
  <c r="L1279" i="1"/>
  <c r="N1279" i="1"/>
  <c r="O1279" i="1"/>
  <c r="P1279" i="1"/>
  <c r="Q1279" i="1"/>
  <c r="T1279" i="1"/>
  <c r="D1280" i="1"/>
  <c r="F1280" i="1"/>
  <c r="H1280" i="1"/>
  <c r="I1280" i="1"/>
  <c r="L1280" i="1"/>
  <c r="N1280" i="1"/>
  <c r="O1280" i="1"/>
  <c r="P1280" i="1"/>
  <c r="T1280" i="1"/>
  <c r="D1282" i="1"/>
  <c r="F1282" i="1"/>
  <c r="H1282" i="1"/>
  <c r="I1282" i="1"/>
  <c r="L1282" i="1"/>
  <c r="N1282" i="1"/>
  <c r="O1282" i="1"/>
  <c r="P1282" i="1"/>
  <c r="D1283" i="1"/>
  <c r="F1283" i="1"/>
  <c r="H1283" i="1"/>
  <c r="I1283" i="1"/>
  <c r="L1283" i="1"/>
  <c r="N1283" i="1"/>
  <c r="O1283" i="1"/>
  <c r="P1283" i="1"/>
  <c r="Q1283" i="1"/>
  <c r="AA1283" i="1"/>
  <c r="Y1284" i="1"/>
  <c r="D1286" i="1"/>
  <c r="F1286" i="1"/>
  <c r="H1286" i="1"/>
  <c r="I1286" i="1"/>
  <c r="L1286" i="1"/>
  <c r="N1286" i="1"/>
  <c r="O1286" i="1"/>
  <c r="P1286" i="1"/>
  <c r="Q1286" i="1"/>
  <c r="D1288" i="1"/>
  <c r="F1288" i="1"/>
  <c r="H1288" i="1"/>
  <c r="I1288" i="1"/>
  <c r="L1288" i="1"/>
  <c r="N1288" i="1"/>
  <c r="O1288" i="1"/>
  <c r="P1288" i="1"/>
  <c r="Q1288" i="1"/>
  <c r="D1289" i="1"/>
  <c r="F1289" i="1"/>
  <c r="H1289" i="1"/>
  <c r="I1289" i="1"/>
  <c r="L1289" i="1"/>
  <c r="N1289" i="1"/>
  <c r="O1289" i="1"/>
  <c r="P1289" i="1"/>
  <c r="Q1289" i="1"/>
  <c r="D1291" i="1"/>
  <c r="F1291" i="1"/>
  <c r="H1291" i="1"/>
  <c r="I1291" i="1"/>
  <c r="L1291" i="1"/>
  <c r="N1291" i="1"/>
  <c r="O1291" i="1"/>
  <c r="P1291" i="1"/>
  <c r="Q1291" i="1"/>
  <c r="D1292" i="1"/>
  <c r="F1292" i="1"/>
  <c r="H1292" i="1"/>
  <c r="I1292" i="1"/>
  <c r="L1292" i="1"/>
  <c r="N1292" i="1"/>
  <c r="O1292" i="1"/>
  <c r="P1292" i="1"/>
  <c r="Q1292" i="1"/>
  <c r="D1295" i="1"/>
  <c r="F1295" i="1"/>
  <c r="H1295" i="1"/>
  <c r="I1295" i="1"/>
  <c r="L1295" i="1"/>
  <c r="N1295" i="1"/>
  <c r="O1295" i="1"/>
  <c r="P1295" i="1"/>
  <c r="Q1295" i="1"/>
  <c r="AA1295" i="1"/>
  <c r="D1296" i="1"/>
  <c r="F1296" i="1"/>
  <c r="H1296" i="1"/>
  <c r="I1296" i="1"/>
  <c r="L1296" i="1"/>
  <c r="N1296" i="1"/>
  <c r="O1296" i="1"/>
  <c r="P1296" i="1"/>
  <c r="Q1296" i="1"/>
  <c r="Y1296" i="1"/>
  <c r="D1298" i="1"/>
  <c r="F1298" i="1"/>
  <c r="H1298" i="1"/>
  <c r="I1298" i="1"/>
  <c r="L1298" i="1"/>
  <c r="N1298" i="1"/>
  <c r="O1298" i="1"/>
  <c r="P1298" i="1"/>
  <c r="Q1298" i="1"/>
  <c r="X1298" i="1"/>
  <c r="D1299" i="1"/>
  <c r="F1299" i="1"/>
  <c r="H1299" i="1"/>
  <c r="I1299" i="1"/>
  <c r="L1299" i="1"/>
  <c r="N1299" i="1"/>
  <c r="O1299" i="1"/>
  <c r="P1299" i="1"/>
  <c r="Q1299" i="1"/>
  <c r="E34" i="29"/>
  <c r="G34" i="29"/>
  <c r="I34" i="29"/>
  <c r="Q34" i="29"/>
  <c r="E35" i="29"/>
  <c r="G35" i="29"/>
  <c r="I35" i="29"/>
  <c r="Q35" i="29"/>
  <c r="E36" i="29"/>
  <c r="G36" i="29"/>
  <c r="I36" i="29"/>
  <c r="Q36" i="29"/>
  <c r="C37" i="29"/>
  <c r="G37" i="29"/>
  <c r="Q37" i="29"/>
  <c r="G38" i="29"/>
  <c r="C57" i="29"/>
  <c r="G57" i="29"/>
  <c r="I57" i="29"/>
  <c r="Q57" i="29"/>
  <c r="C59" i="29"/>
  <c r="E59" i="29"/>
  <c r="G59" i="29"/>
  <c r="I59" i="29"/>
  <c r="Q59" i="29"/>
  <c r="C61" i="29"/>
  <c r="G61" i="29"/>
  <c r="I61" i="29"/>
  <c r="Q61" i="29"/>
  <c r="C63" i="29"/>
  <c r="G63" i="29"/>
  <c r="I63" i="29"/>
  <c r="Q63" i="29"/>
  <c r="Q69" i="29"/>
  <c r="Q71" i="29"/>
  <c r="Q73" i="29"/>
  <c r="S9" i="30"/>
  <c r="W9" i="30"/>
  <c r="S12" i="30"/>
  <c r="W12" i="30"/>
  <c r="W17" i="30"/>
  <c r="S25" i="30"/>
  <c r="W25" i="30"/>
  <c r="S27" i="30"/>
  <c r="W27" i="30"/>
  <c r="S28" i="30"/>
  <c r="W28" i="30"/>
  <c r="W30" i="30"/>
  <c r="W32" i="30"/>
</calcChain>
</file>

<file path=xl/sharedStrings.xml><?xml version="1.0" encoding="utf-8"?>
<sst xmlns="http://schemas.openxmlformats.org/spreadsheetml/2006/main" count="6310" uniqueCount="2677">
  <si>
    <t>DIRECT ASSIGN 366 KY</t>
  </si>
  <si>
    <t>DIRECT ASSIGN 367 KY</t>
  </si>
  <si>
    <t>DIRECT ASSIGN 368 KY</t>
  </si>
  <si>
    <t xml:space="preserve"> 374-ARO COST KY ELEC DISTRIB</t>
  </si>
  <si>
    <t>DEM374K</t>
  </si>
  <si>
    <t>DIRECT ASSIGN 374 KY</t>
  </si>
  <si>
    <t>DIRECT ASSIGN 369-SERV KY</t>
  </si>
  <si>
    <t>DIRECT ASSIGN 370 METERS KY</t>
  </si>
  <si>
    <t>DIRECT ASSIGN 371 CUST INST KY</t>
  </si>
  <si>
    <t>DIRECT ASSIGN 373 ST LIGHT KY</t>
  </si>
  <si>
    <t>DIRECT ASSIGN 361-VA</t>
  </si>
  <si>
    <t>DIRECT ASSIGN 362-VA</t>
  </si>
  <si>
    <t>DIRECT ASSIGN 360-VA</t>
  </si>
  <si>
    <t>DIRECT ASSIGN 364-VA</t>
  </si>
  <si>
    <t>DIRECT ASSIGN 365-VA</t>
  </si>
  <si>
    <t>DIRECT ASSIGN 367-VA</t>
  </si>
  <si>
    <t>DIRECT ASSIGN 368-VA</t>
  </si>
  <si>
    <t>DEM360V</t>
  </si>
  <si>
    <t>DEM361V</t>
  </si>
  <si>
    <t>DEM362V</t>
  </si>
  <si>
    <t>DEM364V</t>
  </si>
  <si>
    <t>DEM365V</t>
  </si>
  <si>
    <t>DEM367V</t>
  </si>
  <si>
    <t xml:space="preserve"> TENNESSEE DISTRIBUTION PLANT</t>
  </si>
  <si>
    <t xml:space="preserve"> TOTAL TENNESSEE DISTRIB PLANT</t>
  </si>
  <si>
    <t>DEM360T</t>
  </si>
  <si>
    <t>DEM361T</t>
  </si>
  <si>
    <t>DEM362T</t>
  </si>
  <si>
    <t>DEM364T</t>
  </si>
  <si>
    <t>DEM365T</t>
  </si>
  <si>
    <t>DEM368T</t>
  </si>
  <si>
    <t>CUST371T</t>
  </si>
  <si>
    <t>CUST370T</t>
  </si>
  <si>
    <t>CUST369T</t>
  </si>
  <si>
    <t>DIRECT ASSIGN 360-TN</t>
  </si>
  <si>
    <t>DIRECT ASSIGN 361-TN</t>
  </si>
  <si>
    <t>DIRECT ASSIGN 362-TN</t>
  </si>
  <si>
    <t>DIRECT ASSIGN 364-TN</t>
  </si>
  <si>
    <t>DIRECT ASSIGN 365-TN</t>
  </si>
  <si>
    <t>DIRECT ASSIGN 368-TN</t>
  </si>
  <si>
    <t>DIRECT ASSIGN 369-TN</t>
  </si>
  <si>
    <t>DIRECT ASSIGN 370-TN</t>
  </si>
  <si>
    <t>DIRECT ASSIGN 371-TN</t>
  </si>
  <si>
    <t xml:space="preserve"> 389-LAND &amp; LAND RIGHTS</t>
  </si>
  <si>
    <t xml:space="preserve"> 390-STRUCTURES AND IMPROVEMENTS</t>
  </si>
  <si>
    <t xml:space="preserve"> 391-OFFICE EQUIPMENT</t>
  </si>
  <si>
    <t xml:space="preserve"> 392-TRANSPORTATION EQUIPMENT</t>
  </si>
  <si>
    <t xml:space="preserve"> 393-STORES EQUIPMENT</t>
  </si>
  <si>
    <t xml:space="preserve"> 394-TOOLS, SHOP, AND GARAGE EQUIP</t>
  </si>
  <si>
    <t xml:space="preserve"> 395-LABORATORY EQUIPMENT</t>
  </si>
  <si>
    <t xml:space="preserve"> 396-POWER OPERATED EQUIPMENT</t>
  </si>
  <si>
    <t xml:space="preserve"> 397-COMMUNICATION EQUIPMENT</t>
  </si>
  <si>
    <t xml:space="preserve"> 398-MISC EQUIPMENT</t>
  </si>
  <si>
    <t xml:space="preserve"> TOTAL GENERAL PLANT</t>
  </si>
  <si>
    <t xml:space="preserve"> PRODUCTION</t>
  </si>
  <si>
    <t xml:space="preserve"> TRANSMISSION</t>
  </si>
  <si>
    <t xml:space="preserve"> DISTRIBUTION</t>
  </si>
  <si>
    <t>Total plant held for future use</t>
  </si>
  <si>
    <t>DIR ASSIGN ACCT 371 CUST INST VA</t>
  </si>
  <si>
    <t xml:space="preserve"> DISTRIBUTION PLANT-VA &amp; TN </t>
  </si>
  <si>
    <t xml:space="preserve"> DISTRIBUTION PLANT-KY &amp; FERC</t>
  </si>
  <si>
    <t xml:space="preserve"> DISTRIBUTION - KY &amp; FERC</t>
  </si>
  <si>
    <t xml:space="preserve">  TRANSMISSION - VA</t>
  </si>
  <si>
    <t xml:space="preserve">   DISTRIBUTION-KENTUCKY</t>
  </si>
  <si>
    <t xml:space="preserve">   DISTRIBUTION-VIRGINIA</t>
  </si>
  <si>
    <t xml:space="preserve">   DISTRIBUTION-TENNESSEE</t>
  </si>
  <si>
    <t>CHARITABLE CONTRIBUTIONS-VA ONLY</t>
  </si>
  <si>
    <t>OPEB UNFUNDED-VIRGINIA</t>
  </si>
  <si>
    <t>CUSTOMER DEPOSITS-VIRGINIA</t>
  </si>
  <si>
    <t>GAIN/LOSS PROP DISPOSITION (NET)</t>
  </si>
  <si>
    <t>RETURN</t>
  </si>
  <si>
    <t>ELECTRIC PLANT IN SERVICE</t>
  </si>
  <si>
    <t>INTANGIBLE PLANT</t>
  </si>
  <si>
    <t>TOTAL INTANGIBLE PLANT</t>
  </si>
  <si>
    <t>PRODUCTION PLANT</t>
  </si>
  <si>
    <t xml:space="preserve">  FERC-AFUDC PRE</t>
  </si>
  <si>
    <t xml:space="preserve">  FERC-AFUDC POST</t>
  </si>
  <si>
    <t xml:space="preserve"> TOTAL HYDRAULIC PROD PLANT</t>
  </si>
  <si>
    <t xml:space="preserve"> TOTAL OTHER PROD PLANT</t>
  </si>
  <si>
    <t>ELECTRIC PLANT IN SERVICE CON'T</t>
  </si>
  <si>
    <t>TRANSMISSION PLANT</t>
  </si>
  <si>
    <t xml:space="preserve">  KENTUCKY SYSTEM PROPERTY</t>
  </si>
  <si>
    <t xml:space="preserve">  VIRGINIA PROPERTY-500 KV LINE</t>
  </si>
  <si>
    <t xml:space="preserve">  VIRGINIA PROPERTY</t>
  </si>
  <si>
    <t>DISTRIBUTION PLANT</t>
  </si>
  <si>
    <t xml:space="preserve"> KENTUCKY DISTRIBUTION PLANT</t>
  </si>
  <si>
    <t xml:space="preserve">    DISTRIBUTION</t>
  </si>
  <si>
    <t>TOTAL ACCRETION EXPENSE</t>
  </si>
  <si>
    <t xml:space="preserve">    POWER POOL</t>
  </si>
  <si>
    <t xml:space="preserve">    ALL OTHER</t>
  </si>
  <si>
    <t xml:space="preserve"> TOTAL KENTUCKY DISTRIB PLANT</t>
  </si>
  <si>
    <t xml:space="preserve"> VIRGINIA DISTRIBUTION PLANT</t>
  </si>
  <si>
    <t xml:space="preserve"> TOTAL VIRGINIA DISTRIB PLANT</t>
  </si>
  <si>
    <t>Less Allocated RWIP</t>
  </si>
  <si>
    <t>ACCUMULATED PROVISION FOR DEP</t>
  </si>
  <si>
    <t>Total Intangible Plant Reserve</t>
  </si>
  <si>
    <t>Intangable Reserve-Franchises and Consents</t>
  </si>
  <si>
    <t>Intangable Plant-Misc</t>
  </si>
  <si>
    <t>Total Intangible Plant Misc Reserve</t>
  </si>
  <si>
    <t xml:space="preserve">Use franchises and consents balance only; leasehold is part of General Plant reserve </t>
  </si>
  <si>
    <t>General</t>
  </si>
  <si>
    <t>Cumulative</t>
  </si>
  <si>
    <t>Total 13 Months</t>
  </si>
  <si>
    <t>13 Month Average</t>
  </si>
  <si>
    <t xml:space="preserve"> PRODUCTION PLANT</t>
  </si>
  <si>
    <t xml:space="preserve">  STEAM PRODUCTION PLANT</t>
  </si>
  <si>
    <t xml:space="preserve">    SYSTEM</t>
  </si>
  <si>
    <t xml:space="preserve">    FERC-AFUDC PRE</t>
  </si>
  <si>
    <t xml:space="preserve">    FERC-AFUDC POST</t>
  </si>
  <si>
    <t xml:space="preserve">     TOTAL STEAM PROD PLT</t>
  </si>
  <si>
    <t xml:space="preserve">  HYDRAULIC PRODUCTION PLANT</t>
  </si>
  <si>
    <t xml:space="preserve">     TOTAL HYDRO PROD PLT</t>
  </si>
  <si>
    <t xml:space="preserve">  OTHER PRODUCTION PLANT</t>
  </si>
  <si>
    <t xml:space="preserve">     TOTAL OTHER PROD PLT</t>
  </si>
  <si>
    <t xml:space="preserve"> TOTAL PRODUCTION PLANT</t>
  </si>
  <si>
    <t xml:space="preserve"> TRANSMISSION PLANT</t>
  </si>
  <si>
    <t xml:space="preserve"> TOTAL TRANSMISSION PLANT</t>
  </si>
  <si>
    <t xml:space="preserve"> TOTAL DISTRIBUTION PLANT</t>
  </si>
  <si>
    <t xml:space="preserve"> GENERAL PLANT</t>
  </si>
  <si>
    <t>TOTAL DEPRECIATION RESERVE</t>
  </si>
  <si>
    <t>ADDITIONS TO NET PLANT</t>
  </si>
  <si>
    <t>CONSTRUCTION WORK IN PROGRESS</t>
  </si>
  <si>
    <t xml:space="preserve">   SYSTEM</t>
  </si>
  <si>
    <t xml:space="preserve">   FERC-AFUDC PRE</t>
  </si>
  <si>
    <t xml:space="preserve">   FERC-AFUDC POST</t>
  </si>
  <si>
    <t xml:space="preserve">    TOTAL PRODUCTION PLANT</t>
  </si>
  <si>
    <t xml:space="preserve">   TRANS VIRGINIA-KY SYSTEM</t>
  </si>
  <si>
    <t xml:space="preserve">   TRANS VIRGINIA</t>
  </si>
  <si>
    <t xml:space="preserve">    TOTAL TRANSMISSION PLT</t>
  </si>
  <si>
    <t xml:space="preserve"> DISTRIBUTION - VA &amp; TN </t>
  </si>
  <si>
    <t xml:space="preserve">    TOTAL DISTRIBUTION PLT</t>
  </si>
  <si>
    <t xml:space="preserve"> GENERAL</t>
  </si>
  <si>
    <t>TOTAL CWIP</t>
  </si>
  <si>
    <t>WORKING CAPITAL</t>
  </si>
  <si>
    <t xml:space="preserve"> MATERIALS &amp; SUPPLIES</t>
  </si>
  <si>
    <t xml:space="preserve">  FUEL STOCK</t>
  </si>
  <si>
    <t xml:space="preserve">  PLANT MATERIAL &amp; SUPPLIES</t>
  </si>
  <si>
    <t xml:space="preserve">    PRODUCTION</t>
  </si>
  <si>
    <t xml:space="preserve">    TRANSMISSION</t>
  </si>
  <si>
    <t>Donations Workpaper</t>
  </si>
  <si>
    <t>Financial Statements Net Operating Income</t>
  </si>
  <si>
    <t>(1)</t>
  </si>
  <si>
    <t xml:space="preserve">  DEPREC-EQUITY AFUDC PRE</t>
  </si>
  <si>
    <t xml:space="preserve">  DEPREC-EQUITY AFUDC POST</t>
  </si>
  <si>
    <t xml:space="preserve">    GENERAL</t>
  </si>
  <si>
    <t xml:space="preserve">    STORES UNDISTRIBUTED</t>
  </si>
  <si>
    <t xml:space="preserve">  TOTAL PLT MAT &amp; SUPPLIES</t>
  </si>
  <si>
    <t xml:space="preserve"> TOTAL MATERIALS &amp; SUPPLIES</t>
  </si>
  <si>
    <t xml:space="preserve"> PREPAYMENTS</t>
  </si>
  <si>
    <t xml:space="preserve">  PUBLIC SERVICE COMM TAX</t>
  </si>
  <si>
    <t xml:space="preserve"> TOTAL PREPAYMENTS</t>
  </si>
  <si>
    <t xml:space="preserve"> WORKING CASH - CALC BY JURIS</t>
  </si>
  <si>
    <t>TOTAL WORKING CAPITAL</t>
  </si>
  <si>
    <t>EMISSION ALLOWANCES</t>
  </si>
  <si>
    <t>TOTAL ADDITIONS TO NET PLANT</t>
  </si>
  <si>
    <t>DEDUCTIONS FROM NET PLANT</t>
  </si>
  <si>
    <t>ACCUMULATED DEFERRED INC TAX</t>
  </si>
  <si>
    <t xml:space="preserve"> DISTRIBUTION - VA</t>
  </si>
  <si>
    <t xml:space="preserve"> DISTRIBUTION PLT KY,FERC &amp; TN</t>
  </si>
  <si>
    <t>TOTAL DEFERRED INCOME TAX</t>
  </si>
  <si>
    <t>ACCUM DEFER INVEST TAX CREDITS</t>
  </si>
  <si>
    <t xml:space="preserve">  PRODUCTION</t>
  </si>
  <si>
    <t xml:space="preserve">  TRANSMISSION</t>
  </si>
  <si>
    <t xml:space="preserve">  TRANSMISSION VA</t>
  </si>
  <si>
    <t xml:space="preserve">  DISTRIBUTION - VA</t>
  </si>
  <si>
    <t xml:space="preserve">  DISTRIBUTION PLT KY,FERC &amp; TN</t>
  </si>
  <si>
    <t xml:space="preserve">  GENERAL</t>
  </si>
  <si>
    <t>TOTAL DEFERRED INVEST CREDIT</t>
  </si>
  <si>
    <t>TOTAL DEDUCTIONS FROM NET PLT</t>
  </si>
  <si>
    <t>SALES OF ELECTRICITY</t>
  </si>
  <si>
    <t>OTHER OPERATING REVENUES</t>
  </si>
  <si>
    <t>TOTAL OTHER REVENUES</t>
  </si>
  <si>
    <t>TOTAL OPERATING REVENUES</t>
  </si>
  <si>
    <t>OPERATION &amp; MAINTENANCE EXP</t>
  </si>
  <si>
    <t>PRODUCTION EXPENSE-STEAM</t>
  </si>
  <si>
    <t xml:space="preserve">  500-SUPERV &amp; ENGINEERING</t>
  </si>
  <si>
    <t xml:space="preserve">  501-FUEL</t>
  </si>
  <si>
    <t xml:space="preserve">  505-ELECTRIC EXPENSES</t>
  </si>
  <si>
    <t xml:space="preserve">  506-MISC STEAM POWER EXP</t>
  </si>
  <si>
    <t xml:space="preserve">    TOTAL STEAM OPERATIONS</t>
  </si>
  <si>
    <t xml:space="preserve">  510-SUPERV &amp; ENGINEERING</t>
  </si>
  <si>
    <t xml:space="preserve">  511-STRUCTURES</t>
  </si>
  <si>
    <t xml:space="preserve">  512-BOILER PLANT</t>
  </si>
  <si>
    <t xml:space="preserve">  513-ELECTRIC PLANT</t>
  </si>
  <si>
    <t xml:space="preserve">  514-MISC STEAM PLANT</t>
  </si>
  <si>
    <t xml:space="preserve">    TOTAL STEAM MAINTENANCE</t>
  </si>
  <si>
    <t>TOTAL STEAM GENERATION</t>
  </si>
  <si>
    <t>PRODUCTION EXPENSE-HYDRO</t>
  </si>
  <si>
    <t xml:space="preserve">  535-SUPERV &amp; ENGINEERING</t>
  </si>
  <si>
    <t xml:space="preserve">  536-WATER FOR POWER</t>
  </si>
  <si>
    <t xml:space="preserve">  537-HYDRAULIC EXPENSES</t>
  </si>
  <si>
    <t xml:space="preserve">  538-ELECTRIC EXPENSES</t>
  </si>
  <si>
    <t xml:space="preserve">  540-RENTS</t>
  </si>
  <si>
    <t xml:space="preserve">    TOTAL HYDRO OPERATIONS</t>
  </si>
  <si>
    <t xml:space="preserve">  541-SUPERV &amp; ENGINEERING</t>
  </si>
  <si>
    <t xml:space="preserve">  542-STRUCTURES</t>
  </si>
  <si>
    <t xml:space="preserve">  543-RESERV, DAMS &amp; WATERWAY</t>
  </si>
  <si>
    <t xml:space="preserve">  544-ELECTRIC PLANT</t>
  </si>
  <si>
    <t xml:space="preserve">  545-MISC HYDRAULIC PLANT</t>
  </si>
  <si>
    <t xml:space="preserve">    TOTAL HYDRO MAINTENANCE</t>
  </si>
  <si>
    <t>TOTAL HYDRO GENERATION</t>
  </si>
  <si>
    <t>OPERATION &amp; MAINT EXP CON'T</t>
  </si>
  <si>
    <t>PRODUCTION EXPENSE-OTHER</t>
  </si>
  <si>
    <t xml:space="preserve">  546-SUPERV &amp; ENGINEERING</t>
  </si>
  <si>
    <t xml:space="preserve">  547-FUEL</t>
  </si>
  <si>
    <t xml:space="preserve">  548-GENERATION EXPENSES</t>
  </si>
  <si>
    <t xml:space="preserve">    TOTAL OTHER OPERATIONS</t>
  </si>
  <si>
    <t xml:space="preserve">  552-STRUCTURES</t>
  </si>
  <si>
    <t xml:space="preserve">  553-GENERATING &amp; ELECT PLT</t>
  </si>
  <si>
    <t xml:space="preserve">  554-MISC OTH POWER GEN PLT</t>
  </si>
  <si>
    <t xml:space="preserve">    TOTAL OTHER MAINTENANCE</t>
  </si>
  <si>
    <t>TOTAL OTHER GENERATION</t>
  </si>
  <si>
    <t>555-PURCHASED POWER</t>
  </si>
  <si>
    <t xml:space="preserve">  CAPACITY COMPONENT</t>
  </si>
  <si>
    <t xml:space="preserve">  ENERGY COMPONENT</t>
  </si>
  <si>
    <t xml:space="preserve">    TOTAL ACCT 555</t>
  </si>
  <si>
    <t>556-SYSTEM CONTROL &amp; DISP</t>
  </si>
  <si>
    <t>557-OTHER EXPENSES</t>
  </si>
  <si>
    <t>TOTAL PRODUCTION EXPENSES</t>
  </si>
  <si>
    <t>TRANSMISSION EXPENSES</t>
  </si>
  <si>
    <t xml:space="preserve">  560-SUPERV &amp; ENGINEERING</t>
  </si>
  <si>
    <t xml:space="preserve">  561-LOAD DISPATCHING</t>
  </si>
  <si>
    <t xml:space="preserve">  562-STATION EXPENSES</t>
  </si>
  <si>
    <t xml:space="preserve">  563-OVERHEAD LINE EXPENSES</t>
  </si>
  <si>
    <t xml:space="preserve">  564-UNDERGROUND LINE EXP</t>
  </si>
  <si>
    <t xml:space="preserve">  565-TRANSM OF ELECT BY OTH</t>
  </si>
  <si>
    <t xml:space="preserve">  566-MISC TRANSMISSION EXP</t>
  </si>
  <si>
    <t xml:space="preserve">  567-RENTS</t>
  </si>
  <si>
    <t xml:space="preserve">    TOTAL TRANSM OPERATIONS</t>
  </si>
  <si>
    <t xml:space="preserve">  568-SUPERV &amp; ENGINEERING</t>
  </si>
  <si>
    <t xml:space="preserve">  569-MAINT OF STRUCTURES</t>
  </si>
  <si>
    <t xml:space="preserve">  570-MAINT OF STATION EQUIP</t>
  </si>
  <si>
    <t xml:space="preserve">  571-MAINT OF OH LINES</t>
  </si>
  <si>
    <t xml:space="preserve">  572-MAINT OF UG LINES</t>
  </si>
  <si>
    <t xml:space="preserve">  573-MAINT OF MISC TRAN PLT</t>
  </si>
  <si>
    <t xml:space="preserve">    TOTAL TRANSM MAINTENANCE</t>
  </si>
  <si>
    <t>TOTAL TRANSMISSION EXPENSES</t>
  </si>
  <si>
    <t>DISTRIBUTION EXPENSES</t>
  </si>
  <si>
    <t xml:space="preserve">  580-SUPERV &amp; ENGINEERING</t>
  </si>
  <si>
    <t xml:space="preserve">  582-STATION EXPENSES</t>
  </si>
  <si>
    <t xml:space="preserve">  583-OVERHEAD LINES</t>
  </si>
  <si>
    <t xml:space="preserve">  584-UNDERGROUND LINES</t>
  </si>
  <si>
    <t xml:space="preserve">  585-STREET LIGHTING</t>
  </si>
  <si>
    <t xml:space="preserve">  586-METERS</t>
  </si>
  <si>
    <t xml:space="preserve">  587-CUSTOMER INSTALLATIONS</t>
  </si>
  <si>
    <t xml:space="preserve">  588-MISCELLANEOUS EXP</t>
  </si>
  <si>
    <t xml:space="preserve">  589-RENTS</t>
  </si>
  <si>
    <t xml:space="preserve">    TOTAL DISTR OPERATIONS</t>
  </si>
  <si>
    <t xml:space="preserve">  590-SUPERV &amp; ENGINEERING</t>
  </si>
  <si>
    <t xml:space="preserve">  591-MAINT OF STRUCTURES</t>
  </si>
  <si>
    <t xml:space="preserve">  592-MAINT OF STATION EQUIP</t>
  </si>
  <si>
    <t xml:space="preserve">  593-MAINT OF OH LINES</t>
  </si>
  <si>
    <t xml:space="preserve">  594-MAINT OF UG LINES</t>
  </si>
  <si>
    <t xml:space="preserve">  595-MAINT OF LINE TRANSF</t>
  </si>
  <si>
    <t xml:space="preserve">  596-MAINT OF ST LIGHTING</t>
  </si>
  <si>
    <t xml:space="preserve">  597-MAINT OF METERS</t>
  </si>
  <si>
    <t xml:space="preserve">  598-MISCELLANEOUS</t>
  </si>
  <si>
    <t xml:space="preserve">    TOTAL DISTR MAINTENANCE</t>
  </si>
  <si>
    <t>TOTAL DISTRIBUTION EXPENSES</t>
  </si>
  <si>
    <t>CUSTOMER ACCOUNTING EXPENSES</t>
  </si>
  <si>
    <t xml:space="preserve">  901-SUPERVISION</t>
  </si>
  <si>
    <t xml:space="preserve">  902-METER READING</t>
  </si>
  <si>
    <t xml:space="preserve">  903-CUSTOMER RECORDS</t>
  </si>
  <si>
    <t xml:space="preserve">  904-UNCOLLECTIBLE ACCOUNTS</t>
  </si>
  <si>
    <t xml:space="preserve">  905-MISCELLANEOUS</t>
  </si>
  <si>
    <t>TOTAL CUSTOMER ACCOUNTS</t>
  </si>
  <si>
    <t>CUSTOMER SERVICES</t>
  </si>
  <si>
    <t xml:space="preserve">  907-SUPERVISION</t>
  </si>
  <si>
    <t xml:space="preserve">  908-CUSTOMER ASSISTANCE</t>
  </si>
  <si>
    <t xml:space="preserve">  909-INFORMATION &amp; INSTRUCT</t>
  </si>
  <si>
    <t xml:space="preserve">  910-MISCELLANEOUS</t>
  </si>
  <si>
    <t>TOTAL CUSTOMER SERVICE</t>
  </si>
  <si>
    <t>SALES EXPENSE</t>
  </si>
  <si>
    <t xml:space="preserve">  911-SUPERVISION</t>
  </si>
  <si>
    <t xml:space="preserve">  912-DEMONSTRATING &amp; SELLING</t>
  </si>
  <si>
    <t xml:space="preserve">  913-ADVERTISING</t>
  </si>
  <si>
    <t xml:space="preserve">  916-MISCELLANEOUS</t>
  </si>
  <si>
    <t>TOTAL SALES EXPENSE</t>
  </si>
  <si>
    <t>ADMINISTRATIVE &amp; GENERAL</t>
  </si>
  <si>
    <t xml:space="preserve"> PLANT COMPONENT</t>
  </si>
  <si>
    <t xml:space="preserve">  924-PROPERTY INSURANCE</t>
  </si>
  <si>
    <t xml:space="preserve">     TOTAL NET PLT COMPONENT</t>
  </si>
  <si>
    <t xml:space="preserve"> LABOR COMPONENT</t>
  </si>
  <si>
    <t xml:space="preserve">  920-ADMIN &amp; GENERAL EXP</t>
  </si>
  <si>
    <t xml:space="preserve">  921-OFFICE SUPPLIES &amp; EXP</t>
  </si>
  <si>
    <t xml:space="preserve">  922-ADMIN EXP TRANSF-CRED</t>
  </si>
  <si>
    <t xml:space="preserve">  923-OUTSIDE SERVICES</t>
  </si>
  <si>
    <t xml:space="preserve">  925-INJURIES &amp; DAMAGES</t>
  </si>
  <si>
    <t xml:space="preserve">  926-PENSIONS &amp; BENEFITS</t>
  </si>
  <si>
    <t xml:space="preserve">  929-DUPLICATE CHARGES-CR</t>
  </si>
  <si>
    <t xml:space="preserve">  931-RENTS</t>
  </si>
  <si>
    <t xml:space="preserve">  935-MAINTENANCE</t>
  </si>
  <si>
    <t xml:space="preserve">     TOTAL LABOR COMPONENT</t>
  </si>
  <si>
    <t xml:space="preserve">  928-REGULATORY COMMISSION</t>
  </si>
  <si>
    <t xml:space="preserve">    FEDERAL JURISDICTION</t>
  </si>
  <si>
    <t xml:space="preserve">    VIRGINIA JURISDICTION</t>
  </si>
  <si>
    <t xml:space="preserve">    928 ALLOCATED</t>
  </si>
  <si>
    <t xml:space="preserve">      TOTAL ACCOUNT 928</t>
  </si>
  <si>
    <t xml:space="preserve">  927-FRANCHISE NJ VA</t>
  </si>
  <si>
    <t>TOTAL ADMINISTRATIVE &amp; GEN</t>
  </si>
  <si>
    <t>TOTAL OPERATION &amp; MAINTENANCE</t>
  </si>
  <si>
    <t>DEPRECIATION &amp; AMORT EXPENSE</t>
  </si>
  <si>
    <t>DEPRECIATION EXPENSE</t>
  </si>
  <si>
    <t xml:space="preserve"> DISTRIBUTION PLANT</t>
  </si>
  <si>
    <t>F/S Total OP Revenues</t>
  </si>
  <si>
    <t>TOTAL DEPREC &amp; AMORT EXP</t>
  </si>
  <si>
    <t>OTHER TAXES &amp; OTHER EXPENSES</t>
  </si>
  <si>
    <t>TAXES OTHER THAN INCOME TAX</t>
  </si>
  <si>
    <t xml:space="preserve">  PROPERTY TAXES</t>
  </si>
  <si>
    <t xml:space="preserve">  PSC ASSESSMENT-KY REVENUE</t>
  </si>
  <si>
    <t xml:space="preserve">  VA GROSS RECEIPTS TAX</t>
  </si>
  <si>
    <t xml:space="preserve">  UNEMPLOYMENT</t>
  </si>
  <si>
    <t xml:space="preserve">  FICA</t>
  </si>
  <si>
    <t xml:space="preserve">  MISCELLANEOUS</t>
  </si>
  <si>
    <t>TOTAL OTHER TAXES</t>
  </si>
  <si>
    <t>GAIN DISPOSITION OF ALLOWANCES</t>
  </si>
  <si>
    <t>203(E) EXCESS</t>
  </si>
  <si>
    <t>INVESTMENT TAX CREDIT ADJ</t>
  </si>
  <si>
    <t xml:space="preserve">  DISTRIBUTION - DIRECT</t>
  </si>
  <si>
    <t>TOTAL INVEST TAX CREDIT ADJ</t>
  </si>
  <si>
    <t>TOTAL EXP OTHER THAN INC TAX</t>
  </si>
  <si>
    <t>INCOME TAXES</t>
  </si>
  <si>
    <t>OPERATING INC BEFORE INC TAXES</t>
  </si>
  <si>
    <t>DEVELOPMENT OF FED INC TAX</t>
  </si>
  <si>
    <t xml:space="preserve"> ADDITIONS TO INCOME</t>
  </si>
  <si>
    <t xml:space="preserve"> TOTAL ADDITIONS</t>
  </si>
  <si>
    <t>KENTUCKY SYSTEM PROPERTY</t>
  </si>
  <si>
    <t>VA 500 KV Line Current Plant Balances - Location Code T201</t>
  </si>
  <si>
    <t>Asset Description</t>
  </si>
  <si>
    <t>Date</t>
  </si>
  <si>
    <t>Quantity</t>
  </si>
  <si>
    <t>Co.</t>
  </si>
  <si>
    <t>Account</t>
  </si>
  <si>
    <t>Asset_id</t>
  </si>
  <si>
    <t>Retirement Unit Description</t>
  </si>
  <si>
    <t>Location</t>
  </si>
  <si>
    <t>RIGHT OF WAY</t>
  </si>
  <si>
    <t>RIGHTS OF WAY (06933)</t>
  </si>
  <si>
    <t>Unit #201-500 KV Line</t>
  </si>
  <si>
    <t>STEEL TOWER TYPE A23R</t>
  </si>
  <si>
    <t>STEEL TOWER TYPE A37</t>
  </si>
  <si>
    <t>STEEL TOWER TYPE B23R</t>
  </si>
  <si>
    <t>STEEL TOWER TYPE B37</t>
  </si>
  <si>
    <t>STEEL TOWER TYPE C23R</t>
  </si>
  <si>
    <t>STEEL TOWER TYPE C37</t>
  </si>
  <si>
    <t>STEEL TOWER TYPE D23A</t>
  </si>
  <si>
    <t>STEEL TOWER TYPE D37</t>
  </si>
  <si>
    <t>STEEL TOWER TYPE J23R</t>
  </si>
  <si>
    <t>STEEL TOWER TYPE J37</t>
  </si>
  <si>
    <t>STEEL TOWER TYPE L23</t>
  </si>
  <si>
    <t>FRAME SET T201</t>
  </si>
  <si>
    <t>CROSS ARMS (07362)</t>
  </si>
  <si>
    <t>GUY</t>
  </si>
  <si>
    <t>GUY (00070)</t>
  </si>
  <si>
    <t>POLE WOOD 35 FT</t>
  </si>
  <si>
    <t>POLE WOOD 35 FT (00005)</t>
  </si>
  <si>
    <t>POLE WOOD 45 FT</t>
  </si>
  <si>
    <t>POLE WOOD 45 FT (00007)</t>
  </si>
  <si>
    <t>POLE WOOD 50 FT</t>
  </si>
  <si>
    <t>POLE WOOD 50 FT (00008)</t>
  </si>
  <si>
    <t>POLE WOOD 60 FT</t>
  </si>
  <si>
    <t>POLE WOOD 60 FT (00010)</t>
  </si>
  <si>
    <t>POLE WOOD 65 FT</t>
  </si>
  <si>
    <t>POLE WOOD 65 FT (00011)</t>
  </si>
  <si>
    <t>#954 MCM 45/7 ACSR BARE</t>
  </si>
  <si>
    <t>#954 MCM 45/7 ACSR BARE (00132)</t>
  </si>
  <si>
    <t>ALUMAWELD MESSENGER</t>
  </si>
  <si>
    <t>SUSPENSION INS. 10"</t>
  </si>
  <si>
    <t>INSULATORS - SUBSTATION (07429)</t>
  </si>
  <si>
    <t xml:space="preserve"> 350-LAND &amp; LAND RIGHTS</t>
  </si>
  <si>
    <t xml:space="preserve"> 352-STRUCTURES AND IMPROVEMENTS</t>
  </si>
  <si>
    <t xml:space="preserve"> 353-STATION EQUIPMENT</t>
  </si>
  <si>
    <t xml:space="preserve"> 354-TOWERS AND FIXTURES</t>
  </si>
  <si>
    <t xml:space="preserve"> 355-POLES AND FIXTURES</t>
  </si>
  <si>
    <t xml:space="preserve"> 356-OH CONDUCTORS AND DEVICES</t>
  </si>
  <si>
    <t xml:space="preserve"> 357-UNDERGROUND CONDUIT</t>
  </si>
  <si>
    <t xml:space="preserve"> 358-UG CONDUCTORS AND DEVICES</t>
  </si>
  <si>
    <t xml:space="preserve"> 359-ARO COST KY TRANS</t>
  </si>
  <si>
    <t>VIRGINIA PROPERTY-500 KV LINE</t>
  </si>
  <si>
    <t>TOTAL VIRGINIA PROPERTY-500 KV LINE</t>
  </si>
  <si>
    <t>VIRGINIA PROPERTY</t>
  </si>
  <si>
    <t>TOTAL VIRGINIA PROPERTY</t>
  </si>
  <si>
    <t>TOTAL KENTUCKY SYSTEM PROPERTY</t>
  </si>
  <si>
    <t xml:space="preserve"> 360-LAND &amp; LAND RIGHTS</t>
  </si>
  <si>
    <t xml:space="preserve"> 361-STRUCTURES AND IMPROVEMENTS</t>
  </si>
  <si>
    <t xml:space="preserve"> 362-STATION EQUIPMENT</t>
  </si>
  <si>
    <t xml:space="preserve"> DEDUCTIONS FROM INCOME</t>
  </si>
  <si>
    <t xml:space="preserve">  INTEREST EXPENSE</t>
  </si>
  <si>
    <t xml:space="preserve">    LONG TERM DEBT OTHER</t>
  </si>
  <si>
    <t xml:space="preserve">    INT ON CUSTOMER DEPOSITS</t>
  </si>
  <si>
    <t xml:space="preserve">    AFUDC-INTEREST POST FERC</t>
  </si>
  <si>
    <t xml:space="preserve"> TOTAL DEDUCTIONS</t>
  </si>
  <si>
    <t xml:space="preserve"> PLUS: ABOVE THE LINE DIFF:</t>
  </si>
  <si>
    <t xml:space="preserve">  OTHER</t>
  </si>
  <si>
    <t>STATE TAX</t>
  </si>
  <si>
    <t>EXCESS DEFERRED TAXES</t>
  </si>
  <si>
    <t xml:space="preserve"> FEDERAL TAX TOTAL</t>
  </si>
  <si>
    <t>RATE OF RETURN</t>
  </si>
  <si>
    <t>STATE TAX RATE</t>
  </si>
  <si>
    <t>FEDERAL TAX RATE - CURRENT</t>
  </si>
  <si>
    <t>1 - EFFECTIVE TAX RATE</t>
  </si>
  <si>
    <t>EFFECTIVE TAX RATE</t>
  </si>
  <si>
    <t>FACTOR FOR TAXABLE BASIS</t>
  </si>
  <si>
    <t>LABOR ALLOCATOR</t>
  </si>
  <si>
    <t>LABOR EXPENSE</t>
  </si>
  <si>
    <t xml:space="preserve"> PRODUCTION LABOR</t>
  </si>
  <si>
    <t xml:space="preserve">   ENERGY RELATED</t>
  </si>
  <si>
    <t xml:space="preserve">   DEMAND RELATED</t>
  </si>
  <si>
    <t xml:space="preserve">     TOTAL PRODUCTION</t>
  </si>
  <si>
    <t xml:space="preserve"> TOTAL TRANSMISSION LABOR</t>
  </si>
  <si>
    <t xml:space="preserve"> TOTAL DISTRIBUTION LABOR</t>
  </si>
  <si>
    <t xml:space="preserve"> TOT PROD, TRNS &amp; DISTR LABOR</t>
  </si>
  <si>
    <t xml:space="preserve"> CUSTOMER ACCOUNTING</t>
  </si>
  <si>
    <t xml:space="preserve">  575-MISO DAY 1 &amp;2 EXP</t>
  </si>
  <si>
    <t xml:space="preserve"> CUSTOMER SERVICE &amp; SALES EXP</t>
  </si>
  <si>
    <t>TOTAL LABOR EXPENSES</t>
  </si>
  <si>
    <t>A_GEXP</t>
  </si>
  <si>
    <t>AFUDC expense per Prop Acct spreadsheet</t>
  </si>
  <si>
    <t>12 month ending functional depr expense</t>
  </si>
  <si>
    <t>Income Statement</t>
  </si>
  <si>
    <t>Tax acct workpapers</t>
  </si>
  <si>
    <t>12 month ending KY, PP, TN depr expense</t>
  </si>
  <si>
    <t>Direct Labor plus Burdens</t>
  </si>
  <si>
    <t>Tax Acct workpapers</t>
  </si>
  <si>
    <t>Accretion Exp FS</t>
  </si>
  <si>
    <t xml:space="preserve"> 311-STRUCTURES AND IMPROVEMENTS</t>
  </si>
  <si>
    <t xml:space="preserve"> 312-BOILER PLANT EQUIPMENT</t>
  </si>
  <si>
    <t xml:space="preserve"> 314-TURBOGENERATOR UNITS</t>
  </si>
  <si>
    <t xml:space="preserve"> 315-ACCESSORY ELECTRIC EQUIP</t>
  </si>
  <si>
    <t xml:space="preserve"> 316-MISC POWER PLANT EQUIP</t>
  </si>
  <si>
    <t xml:space="preserve"> 317-ARO COST STEAM EQUIP</t>
  </si>
  <si>
    <t xml:space="preserve"> 310-LAND</t>
  </si>
  <si>
    <t>HYDRAULIC PRODUCTION PLANT</t>
  </si>
  <si>
    <t xml:space="preserve"> 330-LAND RIGHTS</t>
  </si>
  <si>
    <t xml:space="preserve"> 331-STRUCTURES AND IMPROVEMENTS</t>
  </si>
  <si>
    <t xml:space="preserve"> 332-RESERVOIRS, DAMS, AND WATER</t>
  </si>
  <si>
    <t xml:space="preserve"> 333-WATER WHEEL, TURBINES, GEN</t>
  </si>
  <si>
    <t xml:space="preserve"> 334-ACCESSORY ELECTRIC EQUIP</t>
  </si>
  <si>
    <t xml:space="preserve"> 335-MISC POWER PLANT EQUIP</t>
  </si>
  <si>
    <t xml:space="preserve"> 336-ROADS, RAILROADS, AND BRIDGES</t>
  </si>
  <si>
    <t xml:space="preserve"> 337-ARO COST HYDRO PROD EQUIP</t>
  </si>
  <si>
    <t>OTHER PRODUCTION PLANT</t>
  </si>
  <si>
    <t xml:space="preserve"> 340-LAND &amp; LAND RIGHTS</t>
  </si>
  <si>
    <t xml:space="preserve"> 341-STRUCTURES AND IMPROVEMENTS</t>
  </si>
  <si>
    <t xml:space="preserve"> 342-FUEL HOLDERS, PRODUCERS, ACC</t>
  </si>
  <si>
    <t xml:space="preserve"> 343-PRIME MOVERS</t>
  </si>
  <si>
    <t xml:space="preserve"> 344-GENERATORS</t>
  </si>
  <si>
    <t xml:space="preserve"> 345-ACCESSORY ELECTRIC EQUIP</t>
  </si>
  <si>
    <t xml:space="preserve"> 346-MISC POWER PLANT EQUIP</t>
  </si>
  <si>
    <t xml:space="preserve"> 347-ARO COST OTHER PROD EQUIP</t>
  </si>
  <si>
    <t>Distribution</t>
  </si>
  <si>
    <t>-</t>
  </si>
  <si>
    <t xml:space="preserve">   FERC 501</t>
  </si>
  <si>
    <t xml:space="preserve">   FERC 510</t>
  </si>
  <si>
    <t xml:space="preserve">   FERC 512</t>
  </si>
  <si>
    <t xml:space="preserve">   FERC 513</t>
  </si>
  <si>
    <t xml:space="preserve">   FERC 547</t>
  </si>
  <si>
    <t xml:space="preserve">     TOTAL ENERGY LABOR</t>
  </si>
  <si>
    <t xml:space="preserve">   FERC 500</t>
  </si>
  <si>
    <t xml:space="preserve">   FERC 502</t>
  </si>
  <si>
    <t xml:space="preserve">   FERC 505</t>
  </si>
  <si>
    <t xml:space="preserve">   FERC 506</t>
  </si>
  <si>
    <t xml:space="preserve">   FERC 509</t>
  </si>
  <si>
    <t xml:space="preserve">   FERC 511</t>
  </si>
  <si>
    <t xml:space="preserve">   FERC 514</t>
  </si>
  <si>
    <t xml:space="preserve">   FERC 538</t>
  </si>
  <si>
    <t xml:space="preserve">   FERC 539</t>
  </si>
  <si>
    <t xml:space="preserve">   FERC 541</t>
  </si>
  <si>
    <t xml:space="preserve">   FERC 542</t>
  </si>
  <si>
    <t xml:space="preserve">   FERC 544</t>
  </si>
  <si>
    <t xml:space="preserve">   FERC 545</t>
  </si>
  <si>
    <t xml:space="preserve">   FERC 546</t>
  </si>
  <si>
    <t xml:space="preserve">    INTEREST ON CUSTOMER DEPOSITS-VA</t>
  </si>
  <si>
    <t xml:space="preserve">   FERC 548</t>
  </si>
  <si>
    <t xml:space="preserve">   FERC 549</t>
  </si>
  <si>
    <t xml:space="preserve">   FERC 550</t>
  </si>
  <si>
    <t xml:space="preserve">   FERC 551</t>
  </si>
  <si>
    <t xml:space="preserve">   FERC 552</t>
  </si>
  <si>
    <t xml:space="preserve">   FERC 553</t>
  </si>
  <si>
    <t xml:space="preserve">   FERC 554</t>
  </si>
  <si>
    <t xml:space="preserve">   FERC 555</t>
  </si>
  <si>
    <t xml:space="preserve">   FERC 556</t>
  </si>
  <si>
    <t xml:space="preserve">   FERC 557</t>
  </si>
  <si>
    <t xml:space="preserve">     TOTAL DEMAND</t>
  </si>
  <si>
    <t xml:space="preserve">      FERC 560</t>
  </si>
  <si>
    <t xml:space="preserve"> TRANSMISSION LABOR</t>
  </si>
  <si>
    <t xml:space="preserve">      FERC 561</t>
  </si>
  <si>
    <t xml:space="preserve">      FERC 562</t>
  </si>
  <si>
    <t xml:space="preserve">      FERC 563</t>
  </si>
  <si>
    <t xml:space="preserve">      FERC 565</t>
  </si>
  <si>
    <t xml:space="preserve">      FERC 566</t>
  </si>
  <si>
    <t xml:space="preserve">      FERC 567</t>
  </si>
  <si>
    <t xml:space="preserve">      FERC 569</t>
  </si>
  <si>
    <t xml:space="preserve"> DISTRIBUTION LABOR</t>
  </si>
  <si>
    <t xml:space="preserve">      FERC 570</t>
  </si>
  <si>
    <t xml:space="preserve">      FERC 571</t>
  </si>
  <si>
    <t xml:space="preserve">      FERC 572</t>
  </si>
  <si>
    <t xml:space="preserve">      FERC 573</t>
  </si>
  <si>
    <t xml:space="preserve">      FERC 580</t>
  </si>
  <si>
    <t xml:space="preserve">      FERC 582</t>
  </si>
  <si>
    <t xml:space="preserve">      FERC 583</t>
  </si>
  <si>
    <t xml:space="preserve">      FERC 584</t>
  </si>
  <si>
    <t xml:space="preserve">      FERC 585</t>
  </si>
  <si>
    <t xml:space="preserve">      FERC 586</t>
  </si>
  <si>
    <t xml:space="preserve">      FERC 587</t>
  </si>
  <si>
    <t xml:space="preserve">      FERC 588</t>
  </si>
  <si>
    <t xml:space="preserve">      FERC 589</t>
  </si>
  <si>
    <t xml:space="preserve">      FERC 590</t>
  </si>
  <si>
    <t xml:space="preserve">      FERC 592</t>
  </si>
  <si>
    <t xml:space="preserve">      FERC 593</t>
  </si>
  <si>
    <t xml:space="preserve">      FERC 594</t>
  </si>
  <si>
    <t xml:space="preserve">      FERC 595</t>
  </si>
  <si>
    <t xml:space="preserve">      FERC 596</t>
  </si>
  <si>
    <t xml:space="preserve">      FERC 597</t>
  </si>
  <si>
    <t xml:space="preserve">      FERC 598</t>
  </si>
  <si>
    <t xml:space="preserve">      FERC 901</t>
  </si>
  <si>
    <t xml:space="preserve">      FERC 902</t>
  </si>
  <si>
    <t xml:space="preserve">      FERC 903</t>
  </si>
  <si>
    <t xml:space="preserve">      FERC 904</t>
  </si>
  <si>
    <t xml:space="preserve">      FERC 905</t>
  </si>
  <si>
    <t xml:space="preserve"> TOTAL CUSTOMER ACCOUNTING LABOR</t>
  </si>
  <si>
    <t xml:space="preserve">      FERC 907</t>
  </si>
  <si>
    <t xml:space="preserve">      FERC 908</t>
  </si>
  <si>
    <t xml:space="preserve">      FERC 909</t>
  </si>
  <si>
    <t xml:space="preserve">      FERC 910</t>
  </si>
  <si>
    <t xml:space="preserve">      FERC 912</t>
  </si>
  <si>
    <t xml:space="preserve">      FERC 913</t>
  </si>
  <si>
    <t xml:space="preserve">      FERC 916</t>
  </si>
  <si>
    <t>ADMIN &amp; GENERAL LABOR</t>
  </si>
  <si>
    <t xml:space="preserve">      FERC 920</t>
  </si>
  <si>
    <t xml:space="preserve">      FERC 921</t>
  </si>
  <si>
    <t xml:space="preserve">      FERC 922</t>
  </si>
  <si>
    <t xml:space="preserve">      FERC 923</t>
  </si>
  <si>
    <t xml:space="preserve">      FERC 924</t>
  </si>
  <si>
    <t xml:space="preserve">      FERC 925</t>
  </si>
  <si>
    <t xml:space="preserve">      FERC 926</t>
  </si>
  <si>
    <t xml:space="preserve">      FERC 927</t>
  </si>
  <si>
    <t xml:space="preserve">      FERC 929</t>
  </si>
  <si>
    <t xml:space="preserve">      FERC 930</t>
  </si>
  <si>
    <t xml:space="preserve">      FERC 931</t>
  </si>
  <si>
    <t xml:space="preserve">      FERC 935</t>
  </si>
  <si>
    <t xml:space="preserve"> TOTAL ADMIN &amp; GENERAL  LABOR</t>
  </si>
  <si>
    <t xml:space="preserve">   FERC 535</t>
  </si>
  <si>
    <t xml:space="preserve"> TOTAL CUSTOMER SERVICE AND SALES LABOR</t>
  </si>
  <si>
    <t>ITC BTL-No amortization</t>
  </si>
  <si>
    <t xml:space="preserve">         KENTUCKY UTILITIES COMPANY</t>
  </si>
  <si>
    <t xml:space="preserve">          JURISDICTIONAL SEPARATION</t>
  </si>
  <si>
    <t>TOTAL</t>
  </si>
  <si>
    <t>KENTUCKY</t>
  </si>
  <si>
    <t>TENNESSEE</t>
  </si>
  <si>
    <t>INPUT COL</t>
  </si>
  <si>
    <t>STATE</t>
  </si>
  <si>
    <t>VIRGINIA</t>
  </si>
  <si>
    <t>FERC</t>
  </si>
  <si>
    <t>ALLOC</t>
  </si>
  <si>
    <t>Ghent 1 FGD</t>
  </si>
  <si>
    <t>Ghent 3 FGD</t>
  </si>
  <si>
    <t>UTILITIES</t>
  </si>
  <si>
    <t>JURISDICTION</t>
  </si>
  <si>
    <t>PRIMARY</t>
  </si>
  <si>
    <t>TRANSMISSION</t>
  </si>
  <si>
    <t>PARIS</t>
  </si>
  <si>
    <t>(1)-1</t>
  </si>
  <si>
    <t>(2)</t>
  </si>
  <si>
    <t>(6)</t>
  </si>
  <si>
    <t>(7)</t>
  </si>
  <si>
    <t>(8)</t>
  </si>
  <si>
    <t>(9)</t>
  </si>
  <si>
    <t>ALLOCATION FACTOR TABLE</t>
  </si>
  <si>
    <t>DEMAND RELATED</t>
  </si>
  <si>
    <t>PRODUCTION ALLOCATORS</t>
  </si>
  <si>
    <t>DEMAND (12 CP GEN LEV)-PROD</t>
  </si>
  <si>
    <t>DEMPROD</t>
  </si>
  <si>
    <t>DEMAND (12 CP GEN LEV)-FERC</t>
  </si>
  <si>
    <t>DEMFERC</t>
  </si>
  <si>
    <t>DEMAND (12 CP GEN)-PROD VA</t>
  </si>
  <si>
    <t>DPRODVA</t>
  </si>
  <si>
    <t>DEMAND (12 CP GEN)-PROD KY</t>
  </si>
  <si>
    <t>DPRODKY</t>
  </si>
  <si>
    <t>DEM (12 CP GEN LV)-FERC POST</t>
  </si>
  <si>
    <t>DEMFERCP</t>
  </si>
  <si>
    <t>DEM (12 CP GEN LV)-NON VA</t>
  </si>
  <si>
    <t>DEMPRODNV</t>
  </si>
  <si>
    <t>TRANSMISSION ALLOCATORS</t>
  </si>
  <si>
    <t>DEMAND (12 CP GEN LEV)-TRAN</t>
  </si>
  <si>
    <t>DEMTRAN</t>
  </si>
  <si>
    <t>DEMAND (12 CP GEN LEV)-VA</t>
  </si>
  <si>
    <t>DEMVA</t>
  </si>
  <si>
    <t>DEM (12 CP GN LEV)-TRAN FERC</t>
  </si>
  <si>
    <t>DEMFERCT</t>
  </si>
  <si>
    <t>DISTRIBUTION ALLOCATORS</t>
  </si>
  <si>
    <t>DEM368K</t>
  </si>
  <si>
    <t>M_S</t>
  </si>
  <si>
    <t>Total 928</t>
  </si>
  <si>
    <t>KY Cases</t>
  </si>
  <si>
    <t>VA Cases</t>
  </si>
  <si>
    <t>TN Cases</t>
  </si>
  <si>
    <t>excluding Taxes</t>
  </si>
  <si>
    <t xml:space="preserve">  PREPAYMENTS OTHER THAN TAXES</t>
  </si>
  <si>
    <t>DEM368V</t>
  </si>
  <si>
    <t>ALLOCATION METHOD: AVG 12 CP (COMBINED CO SYS)</t>
  </si>
  <si>
    <t>Plant Acct.</t>
  </si>
  <si>
    <t>Description</t>
  </si>
  <si>
    <t>Structures and Improvements</t>
  </si>
  <si>
    <t>Boiler Plant Equipment</t>
  </si>
  <si>
    <t>Turbogenerator Units</t>
  </si>
  <si>
    <t>Accessory Electrical Equipment</t>
  </si>
  <si>
    <t>Misc. Power Plant Equipment</t>
  </si>
  <si>
    <t>Reservoirs, Dams, and Waterways</t>
  </si>
  <si>
    <t>Fuel Holders, Producers, &amp; Acc.</t>
  </si>
  <si>
    <t>Prime Movers</t>
  </si>
  <si>
    <t>Generators</t>
  </si>
  <si>
    <t>Land</t>
  </si>
  <si>
    <t>Station Equipment</t>
  </si>
  <si>
    <t>Towers and Fixtures</t>
  </si>
  <si>
    <t>Poles and Fixtures</t>
  </si>
  <si>
    <t>O/H Conductors and Devices</t>
  </si>
  <si>
    <t>Underground Conduit</t>
  </si>
  <si>
    <t>U/G Conductors and Devices</t>
  </si>
  <si>
    <t>STEAM PRODUCTION PLANT</t>
  </si>
  <si>
    <t xml:space="preserve">DIR ASSIGN ACC.DEPRC.DIST.VA&amp;TN </t>
  </si>
  <si>
    <t>DIRACDEP</t>
  </si>
  <si>
    <t>DIR ASSIGN CWIP DIST VA &amp; TN</t>
  </si>
  <si>
    <t>DIRCWIP</t>
  </si>
  <si>
    <t>DIRACDFTX</t>
  </si>
  <si>
    <t>DIRACITC</t>
  </si>
  <si>
    <t>DIR ASSIGN 203(E) EXCESS</t>
  </si>
  <si>
    <t>DIR203E</t>
  </si>
  <si>
    <t>DIR ASSIGN ITC ADJ</t>
  </si>
  <si>
    <t>DIRITCADJ</t>
  </si>
  <si>
    <t>ENERGY</t>
  </si>
  <si>
    <t>ENERGY (MWH AT GEN LEVEL)</t>
  </si>
  <si>
    <t>ENERGY (MWH RETAIL @ GEN LEVEL)</t>
  </si>
  <si>
    <t>ENERGY1</t>
  </si>
  <si>
    <t>CUSTOMER</t>
  </si>
  <si>
    <t>DIR ASSIGN ACCT 369-SERV KY</t>
  </si>
  <si>
    <t>CUST369K</t>
  </si>
  <si>
    <t>DIR ASSIGN ACCT 370 METERS KY</t>
  </si>
  <si>
    <t>CUST370K</t>
  </si>
  <si>
    <t>DIR ASN ACCT 371 CUST INST KY</t>
  </si>
  <si>
    <t>CUST371K</t>
  </si>
  <si>
    <t>DIR ASGN ACCT 373 ST LIGHT KY</t>
  </si>
  <si>
    <t>CUST373K</t>
  </si>
  <si>
    <t>CUSTOMER ADVANCES</t>
  </si>
  <si>
    <t>CUSTADV</t>
  </si>
  <si>
    <t>CUSTOMER DEPOSITS</t>
  </si>
  <si>
    <t>CUSTDEP</t>
  </si>
  <si>
    <t>DIR ASSIGN 902-METER READING</t>
  </si>
  <si>
    <t>CUST902</t>
  </si>
  <si>
    <t>DIR ASSIGN 903-CUSTOMER REC</t>
  </si>
  <si>
    <t>CUST903</t>
  </si>
  <si>
    <t>DIR ASSIGN 904-UNCOLL ACCTS</t>
  </si>
  <si>
    <t>CUST904</t>
  </si>
  <si>
    <t>DIR ASSIGN ACCT 369-SERV VA</t>
  </si>
  <si>
    <t>CUST369V</t>
  </si>
  <si>
    <t>DIR ASSIGN ACCT 370 METERS VA</t>
  </si>
  <si>
    <t>CUST370V</t>
  </si>
  <si>
    <t>DIR ASN ACCT 371 CUST INST VA</t>
  </si>
  <si>
    <t>CUST371V</t>
  </si>
  <si>
    <t>DIR ASGN ACCT 373 ST LIGHT VA</t>
  </si>
  <si>
    <t>CUST373V</t>
  </si>
  <si>
    <t>DIR ASSIGN 908-CUST ASSIST</t>
  </si>
  <si>
    <t>CUST908</t>
  </si>
  <si>
    <t>DIR ASSIGN 909-INFO &amp; INSTRCT</t>
  </si>
  <si>
    <t>CUST909</t>
  </si>
  <si>
    <t>DIR ASSIGN 912-DEM &amp; SELLING</t>
  </si>
  <si>
    <t>CUST912</t>
  </si>
  <si>
    <t>DIR ASSIGN 913-ADVERTISING</t>
  </si>
  <si>
    <t>CUST913</t>
  </si>
  <si>
    <t>CUSTOMER ANNUALIZATION</t>
  </si>
  <si>
    <t>CUSTANN</t>
  </si>
  <si>
    <t>INTERNALLY DEVELOPED</t>
  </si>
  <si>
    <t>PROD-TRANSM-DISTR-GENL PLT</t>
  </si>
  <si>
    <t>PTDGPLT</t>
  </si>
  <si>
    <t>PROD-TRANSM-DISTR-GENL PLT KY</t>
  </si>
  <si>
    <t>KURETPLT</t>
  </si>
  <si>
    <t>ALLOCATED O&amp;M LABOR EXPENSE</t>
  </si>
  <si>
    <t>LABOR</t>
  </si>
  <si>
    <t>TOTAL STEAM PROD PLANT-SYSTEM</t>
  </si>
  <si>
    <t>STMSYS</t>
  </si>
  <si>
    <t xml:space="preserve">TOTAL OPERATION </t>
  </si>
  <si>
    <t xml:space="preserve">  551-SUPERV &amp; ENGINEERING</t>
  </si>
  <si>
    <t>Total</t>
  </si>
  <si>
    <t>ALLOCATED NON A&amp;G LABOR EXPENSE</t>
  </si>
  <si>
    <t>PTDCUSTLABOR</t>
  </si>
  <si>
    <t>TOTAL PROD, TRAN, DIST, CUSTOMER LABOR</t>
  </si>
  <si>
    <t>DIR ASSIGN DEFERRED FUEL-VIRGINIA</t>
  </si>
  <si>
    <t>DFUELVA</t>
  </si>
  <si>
    <t>CUSTOMER DEPOSITS INTEREST</t>
  </si>
  <si>
    <t>CUSTDEPI</t>
  </si>
  <si>
    <t>TOTAL TRANS &amp; DISTRIB PLANT</t>
  </si>
  <si>
    <t>TRDSPLT</t>
  </si>
  <si>
    <t xml:space="preserve"> INTANGIBLE PLANT-FRANCHISES</t>
  </si>
  <si>
    <t xml:space="preserve"> INTANGIBLE PLANT-SOFTWARE</t>
  </si>
  <si>
    <t>ACCT 303-SOFTWARE</t>
  </si>
  <si>
    <t xml:space="preserve">  VIRGINIA PROPERTY-OTHER</t>
  </si>
  <si>
    <t>DEFERRED FUEL-VIRGINIA</t>
  </si>
  <si>
    <t xml:space="preserve">    DEFERRED FUEL-VIRGINIA</t>
  </si>
  <si>
    <t xml:space="preserve">     ELECTRIC COST OF SERVICE STUDY</t>
  </si>
  <si>
    <t xml:space="preserve">    ELECTRIC COST OF SERVICE STUDY</t>
  </si>
  <si>
    <t>FERC &amp;</t>
  </si>
  <si>
    <t>TOTAL MAINTENANCE</t>
  </si>
  <si>
    <t>Input total VA transmission here:</t>
  </si>
  <si>
    <t>Input KY and TN transmission here:</t>
  </si>
  <si>
    <t>Total other production plant</t>
  </si>
  <si>
    <t>Total hydro plant</t>
  </si>
  <si>
    <t>Total steam plant</t>
  </si>
  <si>
    <t>RWIP allocation</t>
  </si>
  <si>
    <t>Function</t>
  </si>
  <si>
    <t>Allocated RWIP</t>
  </si>
  <si>
    <t>Steam</t>
  </si>
  <si>
    <t>Hydro -- non pp</t>
  </si>
  <si>
    <t>Other</t>
  </si>
  <si>
    <t>Transmission-PP</t>
  </si>
  <si>
    <t>Distribution, PP</t>
  </si>
  <si>
    <t>M&amp;S worksheet</t>
  </si>
  <si>
    <t>KENTUCKY UTILITIES COMPANY</t>
  </si>
  <si>
    <t>Beginning</t>
  </si>
  <si>
    <t>Transfers/</t>
  </si>
  <si>
    <t>Ending</t>
  </si>
  <si>
    <t>Balance</t>
  </si>
  <si>
    <t>Additions</t>
  </si>
  <si>
    <t>Retirements</t>
  </si>
  <si>
    <t>Adjustments</t>
  </si>
  <si>
    <t>Net Additions</t>
  </si>
  <si>
    <t>Electric Distribution</t>
  </si>
  <si>
    <t>E360.10-Land Rights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</si>
  <si>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</si>
  <si>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</si>
  <si>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</si>
  <si>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</si>
  <si>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</si>
  <si>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</si>
  <si>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</si>
  <si>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</si>
  <si>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E369.00-Services</t>
  </si>
  <si>
    <t>E370.00-Meters</t>
  </si>
  <si>
    <t>E371.00-Install on Customer Premise</t>
  </si>
  <si>
    <t>E373.00-Street Lighting / Signal Sy</t>
  </si>
  <si>
    <t>E374.05-ARO Cost Elec Dist (L/B)</t>
  </si>
  <si>
    <t>Electric General Plant</t>
  </si>
  <si>
    <t>E389.20-Land</t>
  </si>
  <si>
    <t>E390.10-Structures and Improvements</t>
  </si>
  <si>
    <t>E390.20-Improvements to Leased Property</t>
  </si>
  <si>
    <t>E391.10-Office Equipment</t>
  </si>
  <si>
    <t>E391.20-Non PC Computer Equipment</t>
  </si>
  <si>
    <t>E391.30-Cash Processing Equipment</t>
  </si>
  <si>
    <t>E391.31-Personal Computers</t>
  </si>
  <si>
    <t>E393.00-Stores Equipment</t>
  </si>
  <si>
    <t>E394.00-Tools, Shop, and Garage Equ</t>
  </si>
  <si>
    <t>E395.00-Laboratory Equipment</t>
  </si>
  <si>
    <t>E398.00-Miscellaneous Equipment</t>
  </si>
  <si>
    <t>Electric Hydro Production</t>
  </si>
  <si>
    <t>E330.10-Land Rights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</si>
  <si>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</si>
  <si>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</si>
  <si>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</si>
  <si>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</si>
  <si>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</si>
  <si>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</si>
  <si>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</si>
  <si>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E301.00-Organization</t>
  </si>
  <si>
    <t>E302.00-Franchises and Consents</t>
  </si>
  <si>
    <t>E303.00-Misc Intangible Plant</t>
  </si>
  <si>
    <t>Electric Other Production</t>
  </si>
  <si>
    <t>E340.20-Land</t>
  </si>
  <si>
    <t>E341.00-Structures and Improvements</t>
  </si>
  <si>
    <t>E342.00-Fuel Holders, Producers, Ac</t>
  </si>
  <si>
    <t>E342.01-AROP Fuel Holders, Prod,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</si>
  <si>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</si>
  <si>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</si>
  <si>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</si>
  <si>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</si>
  <si>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</si>
  <si>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</si>
  <si>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</si>
  <si>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</si>
  <si>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</si>
  <si>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</si>
  <si>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</si>
  <si>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</si>
  <si>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E314.01-AROP Turbogenerator Units</t>
  </si>
  <si>
    <t>E315.00-Accessory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</si>
  <si>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</si>
  <si>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</si>
  <si>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</si>
  <si>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</si>
  <si>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</si>
  <si>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</si>
  <si>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E352.20-Struct &amp; Imp-Sys Control/Co</t>
  </si>
  <si>
    <t>E353.10-Station Equipment - Non Sys</t>
  </si>
  <si>
    <t>Virginia</t>
  </si>
  <si>
    <t>50% Limitation</t>
  </si>
  <si>
    <t xml:space="preserve"> PLANT HELD FOR FUTURE USE</t>
  </si>
  <si>
    <t xml:space="preserve"> TOTAL PLANT HELD FOR FUTURE USE</t>
  </si>
  <si>
    <t xml:space="preserve">    (GAIN) / LOSS DISPOSITION ALLOWANCES</t>
  </si>
  <si>
    <t xml:space="preserve">    OPEB UNFUNDED-VIRGINIA</t>
  </si>
  <si>
    <t xml:space="preserve">    CUSTOMER DEPOSITS-VIRGINIA</t>
  </si>
  <si>
    <t xml:space="preserve">    (GAIN) / LOSS DISPOSITION PROPERTY-VA</t>
  </si>
  <si>
    <t xml:space="preserve">    CHARITABLE CONTRIBUTIONS-VA</t>
  </si>
  <si>
    <t xml:space="preserve"> 301-ORGANIZATION</t>
  </si>
  <si>
    <t xml:space="preserve"> 302-FRANCHISE</t>
  </si>
  <si>
    <t xml:space="preserve"> 303-SOFTWARE</t>
  </si>
  <si>
    <t xml:space="preserve"> FERC-AFUDC PRE</t>
  </si>
  <si>
    <t xml:space="preserve"> FERC-AFUDC POST</t>
  </si>
  <si>
    <t>E353.11-AROP Station Equip Non Sys</t>
  </si>
  <si>
    <t>E353.20-Station Equip-Sys Control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</si>
  <si>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</si>
  <si>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</si>
  <si>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</si>
  <si>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</si>
  <si>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</si>
  <si>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</si>
  <si>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</si>
  <si>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E390.20-Structures and Improvements</t>
  </si>
  <si>
    <t>Total Plant in Service - Electric - VA</t>
  </si>
  <si>
    <t>105 Plant Held for Future Use</t>
  </si>
  <si>
    <t>Steam Production</t>
  </si>
  <si>
    <t>E315.00-Accessory Electric Equip</t>
  </si>
  <si>
    <t xml:space="preserve">Total Plant Held for Future Use </t>
  </si>
  <si>
    <t>Total Company RWIP per books</t>
  </si>
  <si>
    <t>Steam reserve</t>
  </si>
  <si>
    <t>Steam RWIP</t>
  </si>
  <si>
    <t>AFUDC pre merger reserve</t>
  </si>
  <si>
    <t>AFUDC post merger reserve</t>
  </si>
  <si>
    <t>Total Steam Reserve</t>
  </si>
  <si>
    <t>Hydro reserve</t>
  </si>
  <si>
    <t>Hydro RWIP</t>
  </si>
  <si>
    <t>Total Hydro Reserve</t>
  </si>
  <si>
    <t>Other reserve</t>
  </si>
  <si>
    <t>Other RWIP</t>
  </si>
  <si>
    <t>Total Other Reserve</t>
  </si>
  <si>
    <t>Transmission reserve, Kentucky</t>
  </si>
  <si>
    <t>Transmission reserve, PP</t>
  </si>
  <si>
    <t>Transmission reserve, Tenn</t>
  </si>
  <si>
    <t>Transmission RWIP</t>
  </si>
  <si>
    <t>Total KY Transmission Reserve</t>
  </si>
  <si>
    <t>Transmission VA reserve</t>
  </si>
  <si>
    <t>Total Transmission Reserve</t>
  </si>
  <si>
    <t>Distribution reserve, Kentucky</t>
  </si>
  <si>
    <t>Distribution Reserve, PP</t>
  </si>
  <si>
    <t>Distribution RWIP</t>
  </si>
  <si>
    <t>Distribution RWIP, PP</t>
  </si>
  <si>
    <t>Total KY Distribution Reserve</t>
  </si>
  <si>
    <t>Distribution VA reserve</t>
  </si>
  <si>
    <t>Distribution Reserve, Tenn</t>
  </si>
  <si>
    <t>Total Distribution Reserve</t>
  </si>
  <si>
    <t>General Plant, Total excluding Transp.</t>
  </si>
  <si>
    <t>Transportation</t>
  </si>
  <si>
    <t>Total General Plant Reserve</t>
  </si>
  <si>
    <t>Total Company Reserve</t>
  </si>
  <si>
    <t>Total Calculated Reserve</t>
  </si>
  <si>
    <t>AFUDC Depreciation Expense and</t>
  </si>
  <si>
    <t xml:space="preserve">Accumulated Depreciation </t>
  </si>
  <si>
    <t>Estimated Expense, 12</t>
  </si>
  <si>
    <t>Accumulated Depreciation</t>
  </si>
  <si>
    <t xml:space="preserve">      FERC 581</t>
  </si>
  <si>
    <t>Premerger</t>
  </si>
  <si>
    <t>Postmerger</t>
  </si>
  <si>
    <t>Ghent 1</t>
  </si>
  <si>
    <t>Ghent 2</t>
  </si>
  <si>
    <t>Ghent 3</t>
  </si>
  <si>
    <t>Ghent 4</t>
  </si>
  <si>
    <t>Kentucky Utilities Company</t>
  </si>
  <si>
    <t>13-Month Average Calculations</t>
  </si>
  <si>
    <t>Materials &amp;</t>
  </si>
  <si>
    <t>Undistributed</t>
  </si>
  <si>
    <t>Fuel</t>
  </si>
  <si>
    <t>Prepaid</t>
  </si>
  <si>
    <t>Supplies</t>
  </si>
  <si>
    <t>Stores Expense</t>
  </si>
  <si>
    <t>Inventory</t>
  </si>
  <si>
    <t>13-Month Totals</t>
  </si>
  <si>
    <t>13-Month Averages</t>
  </si>
  <si>
    <t>Calculated</t>
  </si>
  <si>
    <t>Kentucky Juridictional Allocation Factors</t>
  </si>
  <si>
    <t>Kentucky Juridictional Balances</t>
  </si>
  <si>
    <t xml:space="preserve">There are 3 allocation factors applicable to Materials &amp; Supplies. </t>
  </si>
  <si>
    <t xml:space="preserve"> A weighted average of the 3 factors has been used to determine that allocation factor.</t>
  </si>
  <si>
    <t>Percentage</t>
  </si>
  <si>
    <t>Allocation</t>
  </si>
  <si>
    <t>Weighted Avg.</t>
  </si>
  <si>
    <t>Account Bal.</t>
  </si>
  <si>
    <t>of Total</t>
  </si>
  <si>
    <t>Title</t>
  </si>
  <si>
    <t>Factor</t>
  </si>
  <si>
    <t>Alloc. Factor</t>
  </si>
  <si>
    <t>M&amp;S - Production</t>
  </si>
  <si>
    <t>M&amp;S - Transmission</t>
  </si>
  <si>
    <t>M&amp;S - Distribution</t>
  </si>
  <si>
    <t>Calculated Factor</t>
  </si>
  <si>
    <t xml:space="preserve">               </t>
  </si>
  <si>
    <t>TOTAL OPERATION LESS FUEL AND PURCHASED POWER</t>
  </si>
  <si>
    <t>System Lab</t>
  </si>
  <si>
    <t>Brown 1</t>
  </si>
  <si>
    <t>Brown 2</t>
  </si>
  <si>
    <t>Brown 3</t>
  </si>
  <si>
    <t>Green River 1 &amp; 2</t>
  </si>
  <si>
    <t>Green River 3</t>
  </si>
  <si>
    <t>Green River 4</t>
  </si>
  <si>
    <t>Tyrone 3</t>
  </si>
  <si>
    <t>Lock 7</t>
  </si>
  <si>
    <t>Dix Dam</t>
  </si>
  <si>
    <t>Trimble 7</t>
  </si>
  <si>
    <t>Trimble 8</t>
  </si>
  <si>
    <t>Trimble 9</t>
  </si>
  <si>
    <t>Trimble 10</t>
  </si>
  <si>
    <t>Brown 5</t>
  </si>
  <si>
    <t>Brown 6</t>
  </si>
  <si>
    <t>Brown 7</t>
  </si>
  <si>
    <t>Brown 8</t>
  </si>
  <si>
    <t>Brown 9</t>
  </si>
  <si>
    <t>Brown 10</t>
  </si>
  <si>
    <t>Brown 11</t>
  </si>
  <si>
    <t>Total Production</t>
  </si>
  <si>
    <t>Transmission</t>
  </si>
  <si>
    <t>In Production CWIP By Month</t>
  </si>
  <si>
    <t>Booked to CWIP</t>
  </si>
  <si>
    <t>Closed to Plant</t>
  </si>
  <si>
    <t>Net Monthly Activity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</si>
  <si>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</si>
  <si>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</si>
  <si>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</si>
  <si>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</si>
  <si>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</si>
  <si>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</si>
  <si>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</si>
  <si>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</si>
  <si>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</si>
  <si>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</si>
  <si>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</si>
  <si>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</si>
  <si>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 Transmission CWIP By Month</t>
  </si>
  <si>
    <t>State</t>
  </si>
  <si>
    <t>Amount</t>
  </si>
  <si>
    <t>KY</t>
  </si>
  <si>
    <t>TOTAL KY</t>
  </si>
  <si>
    <t>VA</t>
  </si>
  <si>
    <t>TOTAL VA</t>
  </si>
  <si>
    <t>TN</t>
  </si>
  <si>
    <t>TOTAL TN</t>
  </si>
  <si>
    <t>TOTAL KU</t>
  </si>
  <si>
    <t xml:space="preserve">  581-DIST SYSTEM CONTROL</t>
  </si>
  <si>
    <t>TOT HYDRAULIC PROD PLANT-SYS</t>
  </si>
  <si>
    <t>HYDSYS</t>
  </si>
  <si>
    <t>TOTAL OTHER PROD PLANT-SYS</t>
  </si>
  <si>
    <t>OTHSYS</t>
  </si>
  <si>
    <t>TRANSM KENTUCKY SYSTEM PROP</t>
  </si>
  <si>
    <t>KYTRPLT</t>
  </si>
  <si>
    <t>TRANSM VIRGINIA PROPERTY</t>
  </si>
  <si>
    <t>VATRPLT</t>
  </si>
  <si>
    <t>TRANSM VIRGINIA PROP TOTAL</t>
  </si>
  <si>
    <t>VATRPLTT</t>
  </si>
  <si>
    <t>TOTAL DISTRIBUTION PLANT</t>
  </si>
  <si>
    <t>DISTPLT</t>
  </si>
  <si>
    <t>TOTAL DIST PLANT KY &amp; FERC</t>
  </si>
  <si>
    <t>DISTPLTKF</t>
  </si>
  <si>
    <t>TOTAL GENERAL PLANT</t>
  </si>
  <si>
    <t>GENPLT</t>
  </si>
  <si>
    <t>ACCT 302-FRANCHISE</t>
  </si>
  <si>
    <t>TOTAL PRODUCTION PLANT SYSTEM</t>
  </si>
  <si>
    <t>PRODSYS</t>
  </si>
  <si>
    <t>TOTAL PRODUCTION PLANT</t>
  </si>
  <si>
    <t>PRODPLT</t>
  </si>
  <si>
    <t>TOTAL TRANSMISSION PLANT</t>
  </si>
  <si>
    <t>TRANPLT</t>
  </si>
  <si>
    <t>Allowances</t>
  </si>
  <si>
    <t>Prepayments</t>
  </si>
  <si>
    <t>Taxes</t>
  </si>
  <si>
    <t xml:space="preserve">      FERC 591</t>
  </si>
  <si>
    <t>Ghent 4 FGD</t>
  </si>
  <si>
    <t>Trimble 5</t>
  </si>
  <si>
    <t>MAT &amp; SUPPLIES DISTRIBUTED</t>
  </si>
  <si>
    <t>M&amp;S</t>
  </si>
  <si>
    <t>ACCT 924 &amp; 925 INSURANCE</t>
  </si>
  <si>
    <t>M&amp;S 13mo avg worksheet</t>
  </si>
  <si>
    <t>EXP9245</t>
  </si>
  <si>
    <t>REVENUE SALE OF ELECT-KY</t>
  </si>
  <si>
    <t>CWIP PROD FERC-POST ALLOC</t>
  </si>
  <si>
    <t>CWIP TRAN FERC-POST ALLOC</t>
  </si>
  <si>
    <t>CWIPTP</t>
  </si>
  <si>
    <t>ACC DEF INC TX PROD FERC-POST</t>
  </si>
  <si>
    <t>ADITPP</t>
  </si>
  <si>
    <t>ACC DEF INC TX TRAN FERC-POST</t>
  </si>
  <si>
    <t>ADITTP</t>
  </si>
  <si>
    <t>TRANSMISSION PLANT EXCL VA</t>
  </si>
  <si>
    <t>TRANPLTX</t>
  </si>
  <si>
    <t>TRANSM PLANT VA</t>
  </si>
  <si>
    <t>TRPLTVA</t>
  </si>
  <si>
    <t>TOT ACCT 364 &amp; 365-OVHD LINE</t>
  </si>
  <si>
    <t>TOTAL ELECTRIC PLANT</t>
  </si>
  <si>
    <t>PLANT</t>
  </si>
  <si>
    <t>TOTAL ELECTRIC PLANT KY</t>
  </si>
  <si>
    <t>PLANTKY</t>
  </si>
  <si>
    <t>TOTAL ELECTRIC PLANT KY &amp; FERC</t>
  </si>
  <si>
    <t>PLANTKF</t>
  </si>
  <si>
    <t>TOTAL ELECTRIC PLANT VA</t>
  </si>
  <si>
    <t>PLANTVA</t>
  </si>
  <si>
    <t>TOTAL STEAM PROD PLANT</t>
  </si>
  <si>
    <t>STMPLT</t>
  </si>
  <si>
    <t>TOTAL HYDRAULIC PROD PLANT</t>
  </si>
  <si>
    <t>HYDPLT</t>
  </si>
  <si>
    <t>TOTAL OTHER PROD PLANT</t>
  </si>
  <si>
    <t>OTHPLT</t>
  </si>
  <si>
    <t>TOT ACCT 360-362 SUBSTATIONS</t>
  </si>
  <si>
    <t>TOT ACCT 366 &amp; 367-UG LINES</t>
  </si>
  <si>
    <t>TOT ACCT 373-STREET LIGHTING</t>
  </si>
  <si>
    <t>TOTAL ACCT 370-METERS</t>
  </si>
  <si>
    <t>TOT ACCT 371-CUSTOMER INSTALL</t>
  </si>
  <si>
    <t>TOT ACCT 368-LINE TRANSFORMER</t>
  </si>
  <si>
    <t>TOT ACCT 902-904 CUST ACCTS</t>
  </si>
  <si>
    <t>TOT ACCT 908-909 CUST SERV</t>
  </si>
  <si>
    <t>INTERNALLY DEVELOPED-CON'T</t>
  </si>
  <si>
    <t>TOT ACCT 912-913 SALES EXP</t>
  </si>
  <si>
    <t>REVENUE SALE OF ELECT-FERC</t>
  </si>
  <si>
    <t>REVFERC</t>
  </si>
  <si>
    <t>REVENUE SALE OF ELECT-VA</t>
  </si>
  <si>
    <t>REVVA</t>
  </si>
  <si>
    <t>REVENUE SALE OF ELECT</t>
  </si>
  <si>
    <t>REVENUE</t>
  </si>
  <si>
    <t>REV SALE OF ELECT-VA NON JUR</t>
  </si>
  <si>
    <t>REVNJVA</t>
  </si>
  <si>
    <t>REV SALE OF ELECT-EXCL FERC</t>
  </si>
  <si>
    <t>REVENUEX</t>
  </si>
  <si>
    <t>KENTUCKY DISTRIBUTION PLANT</t>
  </si>
  <si>
    <t>KYDIST</t>
  </si>
  <si>
    <t>VIRGINIA DISTRIBUTION PLANT</t>
  </si>
  <si>
    <t>VADIST</t>
  </si>
  <si>
    <t>TENNESSEE DISTRIBUTION PLT</t>
  </si>
  <si>
    <t>TNDIST</t>
  </si>
  <si>
    <t>NET ELECTRIC PLANT IN SERVICE</t>
  </si>
  <si>
    <t>NETPLANT</t>
  </si>
  <si>
    <t>RATE BASE</t>
  </si>
  <si>
    <t>RATEBASE</t>
  </si>
  <si>
    <t>TOTAL CWIP FERC-AFUDC POST</t>
  </si>
  <si>
    <t>AFUDC</t>
  </si>
  <si>
    <t>TOTAL 203(E) EXCESS</t>
  </si>
  <si>
    <t>STEAM OPERATING EXP 501-507</t>
  </si>
  <si>
    <t>STEAM MAINTENANCE EXP 511-514</t>
  </si>
  <si>
    <t>HYDRO OPERATING EXP 536-540</t>
  </si>
  <si>
    <t>HYDRO MAINTENANCE EXP 542-545</t>
  </si>
  <si>
    <t>OTHER PROD OPER EXP 547-549</t>
  </si>
  <si>
    <t>OTHER PROD MAINT EXP 552-554</t>
  </si>
  <si>
    <t>TOT STEAM OPERATIONS LABOR</t>
  </si>
  <si>
    <t>LABSTMOP</t>
  </si>
  <si>
    <t>TOT STEAM MAINTENANCE LABOR</t>
  </si>
  <si>
    <t>LABSTMMN</t>
  </si>
  <si>
    <t>TOT HYDRO OPERATIONS LABOR</t>
  </si>
  <si>
    <t>LABHYDOP</t>
  </si>
  <si>
    <t>TOT HYDRO MAINTENANCE LABOR</t>
  </si>
  <si>
    <t>LABHYDMN</t>
  </si>
  <si>
    <t>TOT OTHER OPERATIONS LABOR</t>
  </si>
  <si>
    <t>LABOTHOP</t>
  </si>
  <si>
    <t>TOT OTHER MAINTENANCE LABOR</t>
  </si>
  <si>
    <t>LABOTHMN</t>
  </si>
  <si>
    <t>TRANSM OPER EXP 562-567</t>
  </si>
  <si>
    <t>TRANSM MAINT EXP 569-573</t>
  </si>
  <si>
    <t>TOT TRANSM OPERATIONS LABOR</t>
  </si>
  <si>
    <t>LABTROP</t>
  </si>
  <si>
    <t>TOT TRANSM MAINTENANCE LABOR</t>
  </si>
  <si>
    <t>LABTRMN</t>
  </si>
  <si>
    <t>DISTR OPER EXP 582-589</t>
  </si>
  <si>
    <t>DISTR MAINT EXP 591-598</t>
  </si>
  <si>
    <t>TOT DISTR OPERATIONS LABOR</t>
  </si>
  <si>
    <t>LABDISOP</t>
  </si>
  <si>
    <t>TOT DISTR MAINTENANCE LABOR</t>
  </si>
  <si>
    <t>LABDISMN</t>
  </si>
  <si>
    <t>FS State Taxes</t>
  </si>
  <si>
    <t>FS Federal Taxes</t>
  </si>
  <si>
    <t>CUST ACCT EXP 902, 903 &amp; 905</t>
  </si>
  <si>
    <t>TOTAL CUST ACCOUNTS LABOR</t>
  </si>
  <si>
    <t>LABCA</t>
  </si>
  <si>
    <t>CUST SERVICES &amp; SALES EXP</t>
  </si>
  <si>
    <t>TOTAL CUST SERVICES LABOR</t>
  </si>
  <si>
    <t>LABCS</t>
  </si>
  <si>
    <t>SALES EXPENSE 912-916</t>
  </si>
  <si>
    <t>TOTAL SALES EXP LABOR</t>
  </si>
  <si>
    <t>LABSA</t>
  </si>
  <si>
    <t>TOT ADMINISTRATIVE &amp; GEN EXP</t>
  </si>
  <si>
    <t>ACCT 930-EPRI &amp; ADVERTISING</t>
  </si>
  <si>
    <t>EXP930A</t>
  </si>
  <si>
    <t>TOTAL CUSTOMER SERVICES EXP</t>
  </si>
  <si>
    <t>CUSTSER</t>
  </si>
  <si>
    <t>DISTRIBUTION PLANT EXCL VA</t>
  </si>
  <si>
    <t>DPLTXVA</t>
  </si>
  <si>
    <t>ACCT 926 DIR ASSIGN COMP.KY RET</t>
  </si>
  <si>
    <t>LABPTDKY</t>
  </si>
  <si>
    <t>ACCT 926 DIR ASSIGN COMP.VAJ</t>
  </si>
  <si>
    <t>LABPTDVAJ</t>
  </si>
  <si>
    <t>ACCT 926 DIR ASSIGN COMP.VANJ</t>
  </si>
  <si>
    <t>LABPTDVNJ</t>
  </si>
  <si>
    <t>ACCT 926 DIR ASSIGN COMP.FERC</t>
  </si>
  <si>
    <t>LABPTDFER</t>
  </si>
  <si>
    <t>REVENUES FROM ELECTRIC SALES</t>
  </si>
  <si>
    <t>ANNUALIZATION</t>
  </si>
  <si>
    <t>RATIO TABLE</t>
  </si>
  <si>
    <t>CAPACITY RELATED</t>
  </si>
  <si>
    <t xml:space="preserve">DIR ASSIGN ACCUM DEPREC.VA &amp; TN </t>
  </si>
  <si>
    <t>DIR ASSIGN CWIP VA &amp; TN</t>
  </si>
  <si>
    <t>DIR ASSIGN ACC DFD TAX VA</t>
  </si>
  <si>
    <t>DIR ASSIGN ACC ITC VA</t>
  </si>
  <si>
    <t>&gt;Page 3 Financials</t>
  </si>
  <si>
    <t>STATE TAX ADJUSTS FOR FEDERAL</t>
  </si>
  <si>
    <t>(VA Tax workpaper)</t>
  </si>
  <si>
    <t>TRANSM PLANT VA &amp; 500 KV</t>
  </si>
  <si>
    <t>TOTAL 201(E) EXCESS</t>
  </si>
  <si>
    <t>TOTAL STEAM OPERATIONS LABOR</t>
  </si>
  <si>
    <t>TOTAL STEAM MAINTENANCE LABOR</t>
  </si>
  <si>
    <t>TOTAL HYDRO OPERATIONS LABOR</t>
  </si>
  <si>
    <t>TOTAL HYDRO MAINTENANCE LABOR</t>
  </si>
  <si>
    <t>TOTAL OTHER OPERATIONS LABOR</t>
  </si>
  <si>
    <t>TOTAL OTHER MAINTENANCE LABOR</t>
  </si>
  <si>
    <t>CUST SERVICES EXP 908-910</t>
  </si>
  <si>
    <t xml:space="preserve">  KENTUCKY DISTRIBUTION PROPERTY</t>
  </si>
  <si>
    <t xml:space="preserve">  VIRGINIA DISTRIBUTION PROPERTY</t>
  </si>
  <si>
    <t>STATE TAX TOTAL</t>
  </si>
  <si>
    <t>SUMMARY OF RESULTS AS ALLOCATED</t>
  </si>
  <si>
    <t>ELEMENTS OF RATE BASE</t>
  </si>
  <si>
    <t xml:space="preserve"> PLANT IN SERVICE</t>
  </si>
  <si>
    <t xml:space="preserve"> LESS RESERVE FOR DEPRECIATION</t>
  </si>
  <si>
    <t xml:space="preserve">     NET PLANT IN SERVICE</t>
  </si>
  <si>
    <t>Labor</t>
  </si>
  <si>
    <t>Non-Labor</t>
  </si>
  <si>
    <t>Burdens</t>
  </si>
  <si>
    <t xml:space="preserve"> CONST WORK IN PROGRESS</t>
  </si>
  <si>
    <t xml:space="preserve">     NET PLANT</t>
  </si>
  <si>
    <t>ADD:</t>
  </si>
  <si>
    <t xml:space="preserve">    MATERIALS &amp; SUPPLIES</t>
  </si>
  <si>
    <t xml:space="preserve">    FUEL INVENTORY</t>
  </si>
  <si>
    <t xml:space="preserve">    PREPAYMENTS</t>
  </si>
  <si>
    <t xml:space="preserve">    WORKING CASH</t>
  </si>
  <si>
    <t xml:space="preserve">    EMISSION ALLOWANCES</t>
  </si>
  <si>
    <t xml:space="preserve">     TOTAL ADDITIONS</t>
  </si>
  <si>
    <t>DEDUCT:</t>
  </si>
  <si>
    <t xml:space="preserve">    RESERVE FOR DEF TAXES</t>
  </si>
  <si>
    <t xml:space="preserve">    RESERVE FOR ITC</t>
  </si>
  <si>
    <t xml:space="preserve">    CUSTOMER ADVANCES</t>
  </si>
  <si>
    <t xml:space="preserve">     TOTAL DEDUCTIONS</t>
  </si>
  <si>
    <t>NET ORIGINAL COST RATE BASE</t>
  </si>
  <si>
    <t>DEVELOPMENT OF RETURN</t>
  </si>
  <si>
    <t>OPERATING REVENUES</t>
  </si>
  <si>
    <t>OPERATING EXPENSES</t>
  </si>
  <si>
    <t xml:space="preserve">    OPERATION &amp; MAINT EXPENSE</t>
  </si>
  <si>
    <t xml:space="preserve">    DEPRECIATION &amp; AMORT EXP</t>
  </si>
  <si>
    <t xml:space="preserve">    TAXES OTHER THAN INC TAX</t>
  </si>
  <si>
    <t xml:space="preserve">    INCOME TAXES</t>
  </si>
  <si>
    <t xml:space="preserve">     TOTAL OPERATING EXPENSES</t>
  </si>
  <si>
    <t xml:space="preserve"> 364-POLES, TOWERS, AND FIXTURES</t>
  </si>
  <si>
    <t xml:space="preserve"> 365-OH CONDUCTORS AND DEVICES</t>
  </si>
  <si>
    <t xml:space="preserve"> 366-UNDERGROUND CONDUIT</t>
  </si>
  <si>
    <t xml:space="preserve"> 367-UG CONDUCTORS AND DEVICES</t>
  </si>
  <si>
    <t xml:space="preserve"> 368-LINE TRANSFORMERS</t>
  </si>
  <si>
    <t xml:space="preserve"> TOTAL 368-LINE TRANSFORMERS</t>
  </si>
  <si>
    <t xml:space="preserve"> 369-SERVICES</t>
  </si>
  <si>
    <t xml:space="preserve"> 370-METERS</t>
  </si>
  <si>
    <t xml:space="preserve"> 371-INSTALL ON CUSTOMER PREMISES</t>
  </si>
  <si>
    <t xml:space="preserve"> 373-STREET LIGHTING</t>
  </si>
  <si>
    <t>DEM360K</t>
  </si>
  <si>
    <t>DEM361K</t>
  </si>
  <si>
    <t>DEM362K</t>
  </si>
  <si>
    <t>DEM364K</t>
  </si>
  <si>
    <t>DEM365K</t>
  </si>
  <si>
    <t>DEM366K</t>
  </si>
  <si>
    <t>DEM367K</t>
  </si>
  <si>
    <t>DIRECT ASSIGN 360 KY</t>
  </si>
  <si>
    <t>DIRECT ASSIGN 361 KY</t>
  </si>
  <si>
    <t>DIRECT ASSIGN 362 KY</t>
  </si>
  <si>
    <t>DIRECT ASSIGN 364 KY</t>
  </si>
  <si>
    <t>DIRECT ASSIGN 365 KY</t>
  </si>
  <si>
    <t>E303.10-CCS Software</t>
  </si>
  <si>
    <t>E345.01-AROP Accessory Electric Equipmen</t>
  </si>
  <si>
    <t>E315.01-AROP Accessory Electric Equipmen</t>
  </si>
  <si>
    <t>E367.00-Underground Conductors a</t>
  </si>
  <si>
    <t>Cost</t>
  </si>
  <si>
    <t>TOWERS (07640)</t>
  </si>
  <si>
    <t>Kentucky Utilties</t>
  </si>
  <si>
    <t>Materials &amp; Supplies Allocation</t>
  </si>
  <si>
    <t>Total Inventory</t>
  </si>
  <si>
    <t>from Trial Balance Acct 154</t>
  </si>
  <si>
    <t>Less:  Limestone Inventory -- include with Production</t>
  </si>
  <si>
    <t>Total Materials and Supplies per Balance Sheet</t>
  </si>
  <si>
    <t>(not including limestone)</t>
  </si>
  <si>
    <t>Production Plant Inventory</t>
  </si>
  <si>
    <t>Limestone</t>
  </si>
  <si>
    <t>Distribution Inventory</t>
  </si>
  <si>
    <t>Transmission Inventory</t>
  </si>
  <si>
    <t>Combined T&amp;D inventory totals:</t>
  </si>
  <si>
    <t>Allocate substation:</t>
  </si>
  <si>
    <t>Generation</t>
  </si>
  <si>
    <t>Substations</t>
  </si>
  <si>
    <t>KU AFUDC Balances By FERC Plant Account</t>
  </si>
  <si>
    <t>Ghent 2 FGD</t>
  </si>
  <si>
    <t>Haefling 1, 2, 3</t>
  </si>
  <si>
    <t>DIR ASSIGN LATE PAYMENT REVENUE</t>
  </si>
  <si>
    <t>LATE PAYMENT REVENUES</t>
  </si>
  <si>
    <t>Total Co Int on Cust Dep; Interest deduct for Virginia only</t>
  </si>
  <si>
    <t>DIRECT</t>
  </si>
  <si>
    <t>#795 MCM ALL ALUM BARE</t>
  </si>
  <si>
    <t>#795 MCM ALL ALUM BARE (00122)</t>
  </si>
  <si>
    <t>PLT302TOT</t>
  </si>
  <si>
    <t>PLT303TOT</t>
  </si>
  <si>
    <t>EXP9245TOT</t>
  </si>
  <si>
    <t>PLT3645TOT</t>
  </si>
  <si>
    <t>PLT3602TOT</t>
  </si>
  <si>
    <t>PLT3667TOT</t>
  </si>
  <si>
    <t>PLT373TOT</t>
  </si>
  <si>
    <t>PLT370TOT</t>
  </si>
  <si>
    <t>PLT371TOT</t>
  </si>
  <si>
    <t>PLT368TOT</t>
  </si>
  <si>
    <t>EXP5017STM</t>
  </si>
  <si>
    <t>EXP5114STM</t>
  </si>
  <si>
    <t>EXP5360HYD</t>
  </si>
  <si>
    <t>EXP5425HYD</t>
  </si>
  <si>
    <t>EXP5479OTH</t>
  </si>
  <si>
    <t>EXP5524OTH</t>
  </si>
  <si>
    <t>EXP5627TX</t>
  </si>
  <si>
    <t>EXP5693TX</t>
  </si>
  <si>
    <t>EXP5829DIS</t>
  </si>
  <si>
    <t>EXP5918DIS</t>
  </si>
  <si>
    <t>EXP9025CA</t>
  </si>
  <si>
    <t>EXP9080CS</t>
  </si>
  <si>
    <t>EXP9126SA</t>
  </si>
  <si>
    <t>EXP9024CA</t>
  </si>
  <si>
    <t>EXP9089CS</t>
  </si>
  <si>
    <t>EXP9123SA</t>
  </si>
  <si>
    <t>AFUDC component of plant</t>
  </si>
  <si>
    <t>Financials pg 21=</t>
  </si>
  <si>
    <t>Brown FGD</t>
  </si>
  <si>
    <t>Tax acct workpapers-STATE amount</t>
  </si>
  <si>
    <t>Financials pg 21</t>
  </si>
  <si>
    <t>STATE TAXABLE INCOME</t>
  </si>
  <si>
    <t xml:space="preserve">  SEC. 199 DEDUCTION-STATE</t>
  </si>
  <si>
    <t>SEC. 199 DEDUCTION-FEDERAL INCREMENT</t>
  </si>
  <si>
    <t>Tax acct workpapers-SEC199 FEDERAL LESS STATE amount</t>
  </si>
  <si>
    <t>Tax acct workpapers-203(E) STATE amount</t>
  </si>
  <si>
    <t>RWIP</t>
  </si>
  <si>
    <t>Basis of allocation:  RWIP (Account 108901 &amp; 108799)</t>
  </si>
  <si>
    <t>102 Electric Plant - Purchased or Sold</t>
  </si>
  <si>
    <t>E310.20-Structures and Improvements</t>
  </si>
  <si>
    <t>Total Electric Plant - Purchased or Sold</t>
  </si>
  <si>
    <t>DEM (12 CP GEN LEV)-NON FERC</t>
  </si>
  <si>
    <t>DEMTRANNF</t>
  </si>
  <si>
    <t>Primary</t>
  </si>
  <si>
    <t>449-PROVISION FOR RATE REFUND</t>
  </si>
  <si>
    <t>440-RESIDENTIAL</t>
  </si>
  <si>
    <t>442-INDUSTRIAL</t>
  </si>
  <si>
    <t>442-MINE POWER</t>
  </si>
  <si>
    <t>442-LARGE COMMERCIAL</t>
  </si>
  <si>
    <t>444-PUBLIC ST &amp; HWY LIGHTING</t>
  </si>
  <si>
    <t>445-OTHER PUBLIC AUTHORITIES</t>
  </si>
  <si>
    <t>445-MUNICIPAL PUMPING</t>
  </si>
  <si>
    <t>447-SALES FOR RESALE-MUNICIPAL WHOLESALE</t>
  </si>
  <si>
    <t xml:space="preserve">  440-RESIDENTIAL</t>
  </si>
  <si>
    <t xml:space="preserve">  442-INDUSTRIAL</t>
  </si>
  <si>
    <t xml:space="preserve">  444-PUBLIC ST &amp; HWY LIGHTING</t>
  </si>
  <si>
    <t xml:space="preserve">  445-OTHER PUBLIC AUTHORITIES</t>
  </si>
  <si>
    <t xml:space="preserve">  447-SALES FOR RESALE-MUNICIPALS</t>
  </si>
  <si>
    <t xml:space="preserve">  449-PROVISION FOR RATE REFUND</t>
  </si>
  <si>
    <t xml:space="preserve">  447-SALES FOR RESALE-OFF SYSTEM:</t>
  </si>
  <si>
    <t xml:space="preserve">  TOTAL 447-OFF SYSTEM</t>
  </si>
  <si>
    <t xml:space="preserve">  451-RECONNECT CHARGES</t>
  </si>
  <si>
    <t xml:space="preserve">  451-OTHER SERVICE CHARGES</t>
  </si>
  <si>
    <t xml:space="preserve">  454-RENT FROM ELEC PROPERTY</t>
  </si>
  <si>
    <t xml:space="preserve">  456-RETURN CHECK CHARGES</t>
  </si>
  <si>
    <t xml:space="preserve">  456-TAX REMITTANCE COMPENSATION</t>
  </si>
  <si>
    <t xml:space="preserve">  456-OTHER MISC REVENUES</t>
  </si>
  <si>
    <t xml:space="preserve">  456-TRANSMISSION SERVICE</t>
  </si>
  <si>
    <t>REVKY</t>
  </si>
  <si>
    <t xml:space="preserve">  450-LATE PAYMENT CHARGES</t>
  </si>
  <si>
    <t>TOTAL ELECTRIC SALES REVENUES</t>
  </si>
  <si>
    <t xml:space="preserve">              DEMAND</t>
  </si>
  <si>
    <t xml:space="preserve">              ENERGY</t>
  </si>
  <si>
    <t>DIR450REV</t>
  </si>
  <si>
    <t>DIR ASSIGN RECONNECT REV</t>
  </si>
  <si>
    <t>DIR451REC</t>
  </si>
  <si>
    <t>DIR ASSIGN OTHER SERVICE REV</t>
  </si>
  <si>
    <t>DIR451OTH</t>
  </si>
  <si>
    <t>DIR454REV</t>
  </si>
  <si>
    <t>DIR ASSIGN RENT REVENUE</t>
  </si>
  <si>
    <t>DIR ASSIGN RECONNECT REV.</t>
  </si>
  <si>
    <t>DIR ASSIGN OTHER SERVICE REV.</t>
  </si>
  <si>
    <t>DIR456CHK</t>
  </si>
  <si>
    <t>DIR ASSIGN RETURN CHECK REV</t>
  </si>
  <si>
    <t>DIR ASSIGN RETURN CHECK REV.</t>
  </si>
  <si>
    <t>DIR456OTH</t>
  </si>
  <si>
    <t>DIR ASSIGN OTHER MISC REV.</t>
  </si>
  <si>
    <t>DIR ASSIGN EXCESS FACILITIES REV.</t>
  </si>
  <si>
    <t>DIR456FAC</t>
  </si>
  <si>
    <t xml:space="preserve">  456-EXCESS FACILITIES CHARGES</t>
  </si>
  <si>
    <t>ORG</t>
  </si>
  <si>
    <t>G</t>
  </si>
  <si>
    <t>KBR - BROWN STATION</t>
  </si>
  <si>
    <t>D</t>
  </si>
  <si>
    <t>KBW - BARLOW FACILITY</t>
  </si>
  <si>
    <t>KCR - CARROLLTON FACILITY</t>
  </si>
  <si>
    <t>KCV - CAMBELLSVILLE FACILITY</t>
  </si>
  <si>
    <t>S</t>
  </si>
  <si>
    <t>KDS - DANVILLE DIV SUB</t>
  </si>
  <si>
    <t>T</t>
  </si>
  <si>
    <t>KDT - DANVILLE TRANSMISSION FACILITY</t>
  </si>
  <si>
    <t>KDV - DANVILLE FACILITY</t>
  </si>
  <si>
    <t>KEA - EARLINGTON FACILITY</t>
  </si>
  <si>
    <t>KED - EDDYVILLE FACILITY</t>
  </si>
  <si>
    <t>KES - EARLINGTON SUBSTATION DEPT.</t>
  </si>
  <si>
    <t>KET - ELIZABETHTOWN FACILITY</t>
  </si>
  <si>
    <t>KGF - GREENVILLE FACILITY</t>
  </si>
  <si>
    <t>KGH - GHENT STATION</t>
  </si>
  <si>
    <t>KGR - GREEN RIVER STATION</t>
  </si>
  <si>
    <t>KGT - GO TRANSMISSION FACILITY</t>
  </si>
  <si>
    <t>KHR - HARLAN FACILITY</t>
  </si>
  <si>
    <t>KLD - LONDON FACILITY</t>
  </si>
  <si>
    <t>KLS - LEXINGTON SUB. DEPT.</t>
  </si>
  <si>
    <t>KLT - LEXINGTON TRANSMISSION</t>
  </si>
  <si>
    <t>KLX - LEXINGTON SERVICE CENTER</t>
  </si>
  <si>
    <t>KMG - MORGANFIELD FACILITY</t>
  </si>
  <si>
    <t>KMS - MOUNT STERLING FACILITY</t>
  </si>
  <si>
    <t>KMV - MAYSVILLE FACILITY</t>
  </si>
  <si>
    <t>KMW - MIDWAY FACILITY</t>
  </si>
  <si>
    <t>KNR - NORTON FACILITY</t>
  </si>
  <si>
    <t>KPF - PANEL FAB FACILITY</t>
  </si>
  <si>
    <t>KPG - PENNINGTON GAP FACILITY</t>
  </si>
  <si>
    <t>KPN - PINEVILLE FACILITY</t>
  </si>
  <si>
    <t>KPR - PARIS FACILITY</t>
  </si>
  <si>
    <t>KPS - PINEVILLE SUBSTATION</t>
  </si>
  <si>
    <t>KPT - PINEVILLE TRANSMISSION</t>
  </si>
  <si>
    <t>KRC - RICHMOND FACILITY</t>
  </si>
  <si>
    <t>KSO - SOMERSET FACILITY</t>
  </si>
  <si>
    <t>KSS - KU SOUTH SERVICE CENTER</t>
  </si>
  <si>
    <t>KSV - SHELBYVILLE FACILITY</t>
  </si>
  <si>
    <t>KSY - SYSLAB FACILITY</t>
  </si>
  <si>
    <t>KTD - KU TRANSMISSION &amp; DISTRIBUTION</t>
  </si>
  <si>
    <t>KTE - KU ELIZABETHTOWN TRANSMISSION</t>
  </si>
  <si>
    <t>KTR - EARLINGTON TRANSMISSION</t>
  </si>
  <si>
    <t>KWN - WINCHESTER FACILITY</t>
  </si>
  <si>
    <t xml:space="preserve">  KU  TOTALS</t>
  </si>
  <si>
    <t>Substation</t>
  </si>
  <si>
    <t>KTD</t>
  </si>
  <si>
    <t>TOTAL 101 &amp; 106</t>
  </si>
  <si>
    <t>Plant in Service</t>
  </si>
  <si>
    <t>E374.07-ARO Cost Elec Dist (Eqp)</t>
  </si>
  <si>
    <t>Total Plant in Service - KY</t>
  </si>
  <si>
    <t>Total Plant in Service</t>
  </si>
  <si>
    <t>Reserve</t>
  </si>
  <si>
    <t>Net Book Value</t>
  </si>
  <si>
    <t>E391.20-Non PC Computer Equipmen</t>
  </si>
  <si>
    <t>E358.00-Underground Conductors a</t>
  </si>
  <si>
    <t>Total Plant in Service - Electric - TN</t>
  </si>
  <si>
    <t>Trimble 2</t>
  </si>
  <si>
    <t>Trimble 2 FGD</t>
  </si>
  <si>
    <t>E397.20-DSM Communication Equipment</t>
  </si>
  <si>
    <t xml:space="preserve"> TOTAL 397-COMMUNICATION EQUIPMENT</t>
  </si>
  <si>
    <t xml:space="preserve">    DEMAND SIDE MANAGEMENT</t>
  </si>
  <si>
    <t>STATE TAX ADJUSTMENTS</t>
  </si>
  <si>
    <t>FEDERAL TAX ADJUSTMENTS</t>
  </si>
  <si>
    <t>203(E) EXCESS DEF TAXES EXCL VA</t>
  </si>
  <si>
    <t>STATE203E</t>
  </si>
  <si>
    <t>TAX203E</t>
  </si>
  <si>
    <t>From AFUDC Tab</t>
  </si>
  <si>
    <t>Pre</t>
  </si>
  <si>
    <t>Post</t>
  </si>
  <si>
    <t>KENTUCKY TAX CREDITS</t>
  </si>
  <si>
    <t>Kentucky Portion Customer Deposits Interest</t>
  </si>
  <si>
    <t>E392.00-Cars and Light Trucks</t>
  </si>
  <si>
    <t>E392.10-Heavy Trucks and Other</t>
  </si>
  <si>
    <t>Total Labor (KY,VA,TN,FERC)</t>
  </si>
  <si>
    <t>442-COMMERCIAL</t>
  </si>
  <si>
    <t xml:space="preserve">  442-COMMERCIAL</t>
  </si>
  <si>
    <t>Waterwheels, Turbines, &amp; Generators</t>
  </si>
  <si>
    <t>Pulled off Trial Balance - Acct 411</t>
  </si>
  <si>
    <t>TRANPLTXF</t>
  </si>
  <si>
    <t>TOTAL TRANSMISSION PLANT EXCL FERC</t>
  </si>
  <si>
    <t xml:space="preserve">  456-ANCILLARY SERVICES</t>
  </si>
  <si>
    <t>Direct input to Virginia Jurisdiction-Kentucky Portion Customer Deposits Interest</t>
  </si>
  <si>
    <t>Tax acct workpapers and Direct input to Virginia Jurisdiction-Kentucky Portion Customer Deposits Interest</t>
  </si>
  <si>
    <t>KENTUCKY - TOTAL PLANT IN SERVICE - ELECTRIC - NBV - REGULATORY ACCOUNTING</t>
  </si>
  <si>
    <t>VIRGINIA - TOTAL PLANT IN SERVICE - ELECTRIC - NBV - REGULATORY ACCOUNTING</t>
  </si>
  <si>
    <t>TENNESSEE - TOTAL PLANT IN SERVICE - ELECTRIC - NBV - REGULATORY ACCOUNTING</t>
  </si>
  <si>
    <t>PLANT HELD FOR FUTURE USE - REGULATORY ACCOUNTING</t>
  </si>
  <si>
    <t>ELECTRIC PLANT - PURCHASED OR SOLD - REGULATORY ACCOUNTING</t>
  </si>
  <si>
    <t>ACCRETION</t>
  </si>
  <si>
    <t>LABORXF</t>
  </si>
  <si>
    <t>ALLOC O&amp;M LABOR EXPENSE EXCL FERC</t>
  </si>
  <si>
    <t>WORKMANS COMPENSATION-FERC</t>
  </si>
  <si>
    <t>13mo avg-Workmans Compensation 228201,228202 (FERC Only)</t>
  </si>
  <si>
    <t>VESTED VACATION-FERC</t>
  </si>
  <si>
    <t>13mo avg-Vested Vacation 242002 (FERC Only)</t>
  </si>
  <si>
    <t>MEDICAL AND DENTAL RESERVE-FERC</t>
  </si>
  <si>
    <t>13mo avg-IBNP Medical and Dental Reserve 242102 (FERC Only)</t>
  </si>
  <si>
    <t xml:space="preserve">    ACCRETION EXPENSE</t>
  </si>
  <si>
    <t xml:space="preserve">    WORKMANS COMPENSATION-FERC</t>
  </si>
  <si>
    <t xml:space="preserve">    VESTED VACATION-FERC</t>
  </si>
  <si>
    <t xml:space="preserve">    MEDICAL AND DENTAL RESERVE-FERC</t>
  </si>
  <si>
    <t>TRANSM KENTUCKY SYS PROP XFERC</t>
  </si>
  <si>
    <t>KYTRPLTXF</t>
  </si>
  <si>
    <t>DEM (12 CP GEN LEV)-NON VA&amp;FERC</t>
  </si>
  <si>
    <t>DEMTRANNVF</t>
  </si>
  <si>
    <t>Other Production</t>
  </si>
  <si>
    <t xml:space="preserve">  502-STEAM EXPENSES</t>
  </si>
  <si>
    <t xml:space="preserve">  504-STEAM TRANSFERRED-CREDIT</t>
  </si>
  <si>
    <t xml:space="preserve">  507-RENTS</t>
  </si>
  <si>
    <t xml:space="preserve">  509-ALLOWANCES</t>
  </si>
  <si>
    <t xml:space="preserve">  539-MISC HYDRO POWER GENER</t>
  </si>
  <si>
    <t xml:space="preserve">  549-MISC OTH POWER GENER</t>
  </si>
  <si>
    <t xml:space="preserve">  550-RENTS</t>
  </si>
  <si>
    <t xml:space="preserve">   FERC 543</t>
  </si>
  <si>
    <t>Amortization of CMRG-Ky Only (END JUL20)</t>
  </si>
  <si>
    <t>DIR ASSIGN ACC.DFDTX.DIST.VA</t>
  </si>
  <si>
    <t>DIR ASSIGN ACC.ITC.DIST.VA</t>
  </si>
  <si>
    <t xml:space="preserve">  SEC. 199 DEDUCTION-FEDERAL</t>
  </si>
  <si>
    <t>APPORTIONED STATE TAXABLE INCOME (LINE 14-9)</t>
  </si>
  <si>
    <t>Tax acct workpapers-FEDERAL amount</t>
  </si>
  <si>
    <t>Tax acct workpapers-203(E) FEDERAL amount</t>
  </si>
  <si>
    <t>FEDERAL TAXABLE INCOME</t>
  </si>
  <si>
    <t>E370.01-Meters AMS</t>
  </si>
  <si>
    <t>E397.00- Microwave, Fiber, Other</t>
  </si>
  <si>
    <t>E397.10-Comm Eq Radio and Telephone</t>
  </si>
  <si>
    <t xml:space="preserve">  930.1-GEN ADVERTISING EXPENSE</t>
  </si>
  <si>
    <t xml:space="preserve">  930.2-MISC GENERAL EXPENSE</t>
  </si>
  <si>
    <t>ACCT 930-GEN MISC &amp; ADVERTISING</t>
  </si>
  <si>
    <t xml:space="preserve">  926-PENSIONS EXP-DIR KY</t>
  </si>
  <si>
    <t xml:space="preserve">  926-PENSIONS EXP-DIR VA</t>
  </si>
  <si>
    <t xml:space="preserve">  926-PENSIONS EXP-DIR VNJ</t>
  </si>
  <si>
    <t xml:space="preserve">  926-PENSIONS EXP-DIR FERC/TN</t>
  </si>
  <si>
    <t xml:space="preserve">    KENTUCKY JURISDICTION</t>
  </si>
  <si>
    <t>Account 235-Revenue Acctg COS Info (Virginia Only)</t>
  </si>
  <si>
    <t>Account 252-Balance Sheet</t>
  </si>
  <si>
    <t>GL</t>
  </si>
  <si>
    <t>Assign combined KTD location to T and D:</t>
  </si>
  <si>
    <t>Cane Run 7 CCGT</t>
  </si>
  <si>
    <t>500</t>
  </si>
  <si>
    <t>501</t>
  </si>
  <si>
    <t>502</t>
  </si>
  <si>
    <t>505</t>
  </si>
  <si>
    <t>506</t>
  </si>
  <si>
    <t>510</t>
  </si>
  <si>
    <t>511</t>
  </si>
  <si>
    <t>512</t>
  </si>
  <si>
    <t>513</t>
  </si>
  <si>
    <t>514</t>
  </si>
  <si>
    <t>925</t>
  </si>
  <si>
    <t>926</t>
  </si>
  <si>
    <t>INPUTS TO TOTALCO TAB - DIRECT ASSIGN TO KENTUCKY JURIS</t>
  </si>
  <si>
    <t>Excluded from Rate Base per KPSC</t>
  </si>
  <si>
    <t>FERC Account</t>
  </si>
  <si>
    <t>514100</t>
  </si>
  <si>
    <t>Pension Direct Assignments:</t>
  </si>
  <si>
    <t>Virginia 0 (zero) Prepayments (No prepayments allowed in working capital)</t>
  </si>
  <si>
    <t>E360.25-Land Held for Future Use</t>
  </si>
  <si>
    <t>DIRECT ASSIGN 360-PHFU</t>
  </si>
  <si>
    <t>DIR360FU</t>
  </si>
  <si>
    <t>Address</t>
  </si>
  <si>
    <t>ValueType</t>
  </si>
  <si>
    <t>Value</t>
  </si>
  <si>
    <t>AEP Borderline High Knob-Direct to Virginia</t>
  </si>
  <si>
    <t xml:space="preserve">  447-SALES FOR RESALE-BORDERLINE</t>
  </si>
  <si>
    <t>#3/0 CONDUCTOR (00176)</t>
  </si>
  <si>
    <t>Brown Solar</t>
  </si>
  <si>
    <t>FERC JURIS</t>
  </si>
  <si>
    <t>Allocated on Revenues</t>
  </si>
  <si>
    <t>E396.00-Power Op Equip - Lg Mach</t>
  </si>
  <si>
    <t>E317.08-ARO Cost Steam (CCR)</t>
  </si>
  <si>
    <t xml:space="preserve">Paddy's Run 13 </t>
  </si>
  <si>
    <t>REGULATORY DEBITS</t>
  </si>
  <si>
    <t>ARO REGULATORY DEBITS AND ACCRETION</t>
  </si>
  <si>
    <t>Pulled off Trial Balance - Acct 407.3</t>
  </si>
  <si>
    <t>Total 407.3</t>
  </si>
  <si>
    <t>Regulatory Debits FS</t>
  </si>
  <si>
    <t>TOTAL REGULATORY DEBITS</t>
  </si>
  <si>
    <t>UNAMORTIZED CLOSURE COSTS</t>
  </si>
  <si>
    <t xml:space="preserve">    UNAMORTIZED CLOSURE COSTS</t>
  </si>
  <si>
    <t xml:space="preserve">    REGULATORY DEBITS</t>
  </si>
  <si>
    <t>E370.20-Meters CT and PT</t>
  </si>
  <si>
    <t>105001 - Plant Held for Future Use</t>
  </si>
  <si>
    <t>Description of Property</t>
  </si>
  <si>
    <t>Estimated Date to be Placed in Service</t>
  </si>
  <si>
    <t>Brief Description of Intended Use</t>
  </si>
  <si>
    <t>Current Status of Project</t>
  </si>
  <si>
    <t>Land and site prep</t>
  </si>
  <si>
    <t>Pennington Gap, VA</t>
  </si>
  <si>
    <t>2019-2020</t>
  </si>
  <si>
    <t>Substation #2</t>
  </si>
  <si>
    <t>Property Acquired</t>
  </si>
  <si>
    <t>Green River CC GT</t>
  </si>
  <si>
    <t>Land and site prep site</t>
  </si>
  <si>
    <t>Kevil Service Center</t>
  </si>
  <si>
    <t>Service Center</t>
  </si>
  <si>
    <t>London Substation</t>
  </si>
  <si>
    <t>Lonesome Pine Substation</t>
  </si>
  <si>
    <t>Polo Club Substation</t>
  </si>
  <si>
    <t>Plant Held for Future Use Total</t>
  </si>
  <si>
    <t xml:space="preserve"> </t>
  </si>
  <si>
    <t>PROD</t>
  </si>
  <si>
    <t>GEN</t>
  </si>
  <si>
    <t xml:space="preserve">May </t>
  </si>
  <si>
    <t>FREIGHT COST (STORES)</t>
  </si>
  <si>
    <t>Jul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</si>
  <si>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</si>
  <si>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</si>
  <si>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</si>
  <si>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</si>
  <si>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</si>
  <si>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</si>
  <si>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</si>
  <si>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</si>
  <si>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</si>
  <si>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($000s)</t>
  </si>
  <si>
    <t>Kentucky Utilities </t>
  </si>
  <si>
    <t>510 - MTCE SUPER/ENG - STEAM - in KPSC Rate</t>
  </si>
  <si>
    <t>511 - MTCE-STRUCTURES STEAM - in KPSC Rate</t>
  </si>
  <si>
    <t>512 - MTCE-BOILER PLANT STEAM - in KPSC Rate</t>
  </si>
  <si>
    <t>513 - MTCE-ELECTRIC PLANT STEAM - in KPSC Rate</t>
  </si>
  <si>
    <t>514 - MTCE-MISC/STM PLANT - in KPSC Rate</t>
  </si>
  <si>
    <t>549 - MISC OTH PWR GEN EXP - in KPSC Rate</t>
  </si>
  <si>
    <t>551 - MTCE-SUPER/ENG - TURB PWR GEN - in KPSC Rate</t>
  </si>
  <si>
    <t>552 - MTCE-STRUCTURES - OTH PWR GEN - in KPSC Rate</t>
  </si>
  <si>
    <t>553 - MTCE-GEN/ELECT EQ PWR GEN - in KPSC Rate</t>
  </si>
  <si>
    <t>554 - MTCE-MISC OTH PWR GEN - in KPSC Rate</t>
  </si>
  <si>
    <t>Total Outage Expense - in KPSC Rate</t>
  </si>
  <si>
    <t>Outage Maintenance Normalization</t>
  </si>
  <si>
    <t>Annual</t>
  </si>
  <si>
    <t>OUTAGE MAINTENANCE</t>
  </si>
  <si>
    <t>Exhibit No.: ____</t>
  </si>
  <si>
    <t>Cash Working Capital - Per Books</t>
  </si>
  <si>
    <t>Line No.</t>
  </si>
  <si>
    <t>Total KU Amount Per Books</t>
  </si>
  <si>
    <t>Virginia Allocation Factor</t>
  </si>
  <si>
    <t>Total Virginia Amount Per Books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</si>
  <si>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</si>
  <si>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</si>
  <si>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</si>
  <si>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</si>
  <si>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</si>
  <si>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</si>
  <si>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</si>
  <si>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</si>
  <si>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</si>
  <si>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</si>
  <si>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</si>
  <si>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</si>
  <si>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</si>
  <si>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</si>
  <si>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</si>
  <si>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</si>
  <si>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</si>
  <si>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</si>
  <si>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</si>
  <si>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</si>
  <si>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</si>
  <si>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</si>
  <si>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</si>
  <si>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</si>
  <si>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</si>
  <si>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Amortization of VA Regulatory Assets</t>
  </si>
  <si>
    <t>Amortization of VA Regulatory Liabilities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</si>
  <si>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</si>
  <si>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</si>
  <si>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</si>
  <si>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</si>
  <si>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</si>
  <si>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</si>
  <si>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</si>
  <si>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</si>
  <si>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</si>
  <si>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</si>
  <si>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</si>
  <si>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</si>
  <si>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</si>
  <si>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</si>
  <si>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</si>
  <si>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</si>
  <si>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</si>
  <si>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</si>
  <si>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</si>
  <si>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Customer Utility Taxes</t>
  </si>
  <si>
    <t>State &amp; Local Consumption Taxes</t>
  </si>
  <si>
    <t>Cash Working Capital (Lead/Lag)</t>
  </si>
  <si>
    <t>Total Cash Working Capital</t>
  </si>
  <si>
    <t>Cash Working Capital - Balance Sheet Analysis</t>
  </si>
  <si>
    <t>Additional Uses of Cash Working Capital:</t>
  </si>
  <si>
    <t>Account Number</t>
  </si>
  <si>
    <t>13-Month Average</t>
  </si>
  <si>
    <t>Virginia Jurisdictional Percentage</t>
  </si>
  <si>
    <t>Virginia Amount</t>
  </si>
  <si>
    <t>REGULATORY ASSET - FAS 158 PENSION</t>
  </si>
  <si>
    <t>MISC DEFERRED DEBITS</t>
  </si>
  <si>
    <t>Total Uses of Cash Working Capital</t>
  </si>
  <si>
    <t>Additional Sources of Cash Working Capital:</t>
  </si>
  <si>
    <t>MISC LIABILITY</t>
  </si>
  <si>
    <t>Total Net Accrued Retention/CWIP</t>
  </si>
  <si>
    <t>Total Net Accrued RWIP</t>
  </si>
  <si>
    <t>Total Sources of Cash Working Capital</t>
  </si>
  <si>
    <t>Total Uses / (Sources) of Cash Working Capital</t>
  </si>
  <si>
    <t>Difference</t>
  </si>
  <si>
    <t>REFINED COAL</t>
  </si>
  <si>
    <t>501019 501027 COAL YARD SERVICE FEES</t>
  </si>
  <si>
    <t>Case No. PUR-2018-</t>
  </si>
  <si>
    <t>Case No. 2018-</t>
  </si>
  <si>
    <t>Kentucky Allocation Factor</t>
  </si>
  <si>
    <t>Total Kentucky Amount Per Books</t>
  </si>
  <si>
    <t>Amortization of KY Regulatory Assets</t>
  </si>
  <si>
    <t>Amortization of KY Regulatory Liabilities</t>
  </si>
  <si>
    <t>Kentucky Amount</t>
  </si>
  <si>
    <t>School Taxes</t>
  </si>
  <si>
    <t>Franchise Fees</t>
  </si>
  <si>
    <t>a-Jan 1 2018</t>
  </si>
  <si>
    <t>Dec 31 2018</t>
  </si>
  <si>
    <t>CO</t>
  </si>
  <si>
    <t>ST</t>
  </si>
  <si>
    <t>ACCT</t>
  </si>
  <si>
    <t>Ending Gross Plant Balance</t>
  </si>
  <si>
    <t xml:space="preserve">   KU-1301 KY - Intangible - Organization </t>
  </si>
  <si>
    <t xml:space="preserve">   KU-1301 VA - Intangible - Organization </t>
  </si>
  <si>
    <t xml:space="preserve">   KU-1302 - Intangible - Franchises and Consents </t>
  </si>
  <si>
    <t xml:space="preserve">   KU-1303 - Intangible - Software </t>
  </si>
  <si>
    <t xml:space="preserve">   KU-1303 - Intangible - Software - CCS </t>
  </si>
  <si>
    <t xml:space="preserve">   KU-1310 - Steam Production - ECR 2009 </t>
  </si>
  <si>
    <t xml:space="preserve">   KU-1310 - Steam Production - ECR 2011 </t>
  </si>
  <si>
    <t xml:space="preserve">   KU-1310 - Steam Production - Land &amp; Land Rights </t>
  </si>
  <si>
    <t xml:space="preserve">   KU-1311 - Steam Production - ECR 2009 </t>
  </si>
  <si>
    <t xml:space="preserve">   KU-1311 - Steam Production - ECR 2011 </t>
  </si>
  <si>
    <t xml:space="preserve">   KU-1311 - Steam Production - Structures and Improvements </t>
  </si>
  <si>
    <t xml:space="preserve">   KU-1312 - Steam Production - Boiler Plant Equipment </t>
  </si>
  <si>
    <t xml:space="preserve">   KU-1312 - Steam Production - ECR 2009 </t>
  </si>
  <si>
    <t xml:space="preserve">   KU-1312 - Steam Production - ECR 2011 </t>
  </si>
  <si>
    <t xml:space="preserve">   KU-1312 - Steam Production - ECR 2016 </t>
  </si>
  <si>
    <t xml:space="preserve">   KU-1314 - Steam Production - Turbogenerator Units </t>
  </si>
  <si>
    <t xml:space="preserve">   KU-1315 - Steam Production - Accessory Electric Equipment </t>
  </si>
  <si>
    <t xml:space="preserve">   KU-1315 - Steam Production - ECR 2009 </t>
  </si>
  <si>
    <t xml:space="preserve">   KU-1315 - Steam Production - ECR 2011 </t>
  </si>
  <si>
    <t xml:space="preserve">   KU-1316 - Steam Production - ECR 2011 </t>
  </si>
  <si>
    <t xml:space="preserve">   KU-1316 - Steam Production - Misc Power Plant Equipment </t>
  </si>
  <si>
    <t xml:space="preserve">   KU-1317 - Steam Production - ARO </t>
  </si>
  <si>
    <t xml:space="preserve">   KU-1330 - Hydro Production - Land &amp; Land Rights </t>
  </si>
  <si>
    <t xml:space="preserve">   KU-1331 - Hydro Production - Structures and Improvements </t>
  </si>
  <si>
    <t xml:space="preserve">   KU-1332 - Hydro Production - Reservoirs, Dams, and Water </t>
  </si>
  <si>
    <t xml:space="preserve">   KU-1333 - Hydro Production - Water Wheels, Turbine Gen </t>
  </si>
  <si>
    <t xml:space="preserve">   KU-1334 - Hydro Production - Accessory Electric Equipment </t>
  </si>
  <si>
    <t xml:space="preserve">   KU-1335 - Hydro Production - Misc Power Plant Equipment </t>
  </si>
  <si>
    <t xml:space="preserve">   KU-1336 - Hydro Production - Roads, Railroads, and Bridges </t>
  </si>
  <si>
    <t xml:space="preserve">   KU-1337 - Hydro Production - ARO </t>
  </si>
  <si>
    <t xml:space="preserve">   KU-1340 - Other Production - Future Use </t>
  </si>
  <si>
    <t xml:space="preserve">   KU-1340 - Other Production - Gas Pipe Line </t>
  </si>
  <si>
    <t xml:space="preserve">   KU-1340 - Other Production - Land &amp; Land Rights </t>
  </si>
  <si>
    <t xml:space="preserve">   KU-1341 - Other Production - Structures and Improvements </t>
  </si>
  <si>
    <t xml:space="preserve">   KU-1341 - Other Production - Structures and Improvements CCGT </t>
  </si>
  <si>
    <t xml:space="preserve">   KU-1341 - Other Production - Structures and Improvements Solar </t>
  </si>
  <si>
    <t xml:space="preserve">   KU-1342 - Other Production - Fuel Holders, Producers, Acc </t>
  </si>
  <si>
    <t xml:space="preserve">   KU-1342 - Other Production - Fuel Holders, Producers, Acc CCGT </t>
  </si>
  <si>
    <t xml:space="preserve">   KU-1342 - Other Production - Gas Pipe Line </t>
  </si>
  <si>
    <t xml:space="preserve">   KU-1343 - Other Production - Prime Movers </t>
  </si>
  <si>
    <t xml:space="preserve">   KU-1343 - Other Production - Prime Movers CCGT </t>
  </si>
  <si>
    <t xml:space="preserve">   KU-1344 - Other Production - Generators </t>
  </si>
  <si>
    <t xml:space="preserve">   KU-1344 - Other Production - Generators CCGT </t>
  </si>
  <si>
    <t xml:space="preserve">   KU-1344 - Other Production - Generators Solar </t>
  </si>
  <si>
    <t xml:space="preserve">   KU-1345 - Other Production - Accessory Electric Equipment </t>
  </si>
  <si>
    <t xml:space="preserve">   KU-1345 - Other Production - Accessory Electric Equipment CCGT </t>
  </si>
  <si>
    <t xml:space="preserve">   KU-1345 - Other Production - Accessory Electric Equipment Solar </t>
  </si>
  <si>
    <t xml:space="preserve">   KU-1346 - Other Production - Misc Power Plant Equipment </t>
  </si>
  <si>
    <t xml:space="preserve">   KU-1346 - Other Production - Misc Power Plant Equipment CCGT </t>
  </si>
  <si>
    <t xml:space="preserve">   KU-1346 - Other Production - Misc Power Plant Equipment Solar </t>
  </si>
  <si>
    <t xml:space="preserve">   KU-1347 - Other Production - ARO </t>
  </si>
  <si>
    <t xml:space="preserve">   KU-1350 KY - Electric Transmission - Land &amp; Land Rights </t>
  </si>
  <si>
    <t xml:space="preserve">   KU-1350 TN - Electric Transmission - Land &amp; Land Rights </t>
  </si>
  <si>
    <t xml:space="preserve">   KU-1350 VA - Electric Transmission - Land &amp; Land Rights </t>
  </si>
  <si>
    <t xml:space="preserve">   KU-1352 - Electric Transmission - Structures and Improvements </t>
  </si>
  <si>
    <t xml:space="preserve">   KU-1352 KY - Electric Transmission - Structures and Improvements </t>
  </si>
  <si>
    <t xml:space="preserve">   KU-1352 VA - Electric Transmission - Structures and Improvements </t>
  </si>
  <si>
    <t xml:space="preserve">   KU-1353 KY - Electric Transmission - Station Equipment </t>
  </si>
  <si>
    <t xml:space="preserve">   KU-1353 SYSTEM - Electric Transmission - Station Equipment </t>
  </si>
  <si>
    <t xml:space="preserve">   KU-1353 VA - Electric Transmission - Station Equipment </t>
  </si>
  <si>
    <t xml:space="preserve">   KU-1354 KY - Electric Transmission - Towers and Fixtures </t>
  </si>
  <si>
    <t xml:space="preserve">   KU-1354 VA - Electric Transmission - Towers and Fixtures </t>
  </si>
  <si>
    <t xml:space="preserve">   KU-1355 KY - Electric Transmission - Poles and Fixtures </t>
  </si>
  <si>
    <t xml:space="preserve">   KU-1355 TN - Electric Transmission - Poles and Fixtures </t>
  </si>
  <si>
    <t xml:space="preserve">   KU-1355 VA - Electric Transmission - Poles and Fixtures </t>
  </si>
  <si>
    <t xml:space="preserve">   KU-1356 KY - Electric Transmission - OH Conductors and Devices </t>
  </si>
  <si>
    <t xml:space="preserve">   KU-1356 TN - Electric Transmission - OH Conductors and Devices </t>
  </si>
  <si>
    <t xml:space="preserve">   KU-1356 VA - Electric Transmission - OH Conductors and Devices </t>
  </si>
  <si>
    <t xml:space="preserve">   KU-1357 KY - Electric Transmission - Underground Conduit </t>
  </si>
  <si>
    <t xml:space="preserve">   KU-1358 KY - Electric Transmission - UG Conductors and Devices </t>
  </si>
  <si>
    <t xml:space="preserve">   KU-1359 - Electric Transmission - ARO </t>
  </si>
  <si>
    <t xml:space="preserve">   KU-1360 KY - Electric Distribution - Future Use </t>
  </si>
  <si>
    <t xml:space="preserve">   KU-1360 KY - Electric Distribution - Land &amp; Land Rights </t>
  </si>
  <si>
    <t xml:space="preserve">   KU-1360 TN - Electric Distribution - Land &amp; Land Rights </t>
  </si>
  <si>
    <t xml:space="preserve">   KU-1360 VA - Electric Distribution - Land &amp; Land Rights </t>
  </si>
  <si>
    <t xml:space="preserve">   KU-1361 KY - Electric Distribution - Structures and Improvements </t>
  </si>
  <si>
    <t xml:space="preserve">   KU-1361 TN - Electric Distribution - Structures and Improvements </t>
  </si>
  <si>
    <t xml:space="preserve">   KU-1361 VA - Electric Distribution - Structures and Improvements </t>
  </si>
  <si>
    <t xml:space="preserve">   KU-1362 KY - Electric Distribution - Station Equipment </t>
  </si>
  <si>
    <t xml:space="preserve">   KU-1362 TN - Electric Distribution - Station Equipment </t>
  </si>
  <si>
    <t xml:space="preserve">   KU-1362 VA - Electric Distribution - Station Equipment </t>
  </si>
  <si>
    <t xml:space="preserve">   KU-1364 - Electric Distribution - ECR 2009 </t>
  </si>
  <si>
    <t xml:space="preserve">   KU-1364 KY - Electric Distribution - Poles, Towers, and Fixtures </t>
  </si>
  <si>
    <t xml:space="preserve">   KU-1364 TN - Electric Distribution - Poles, Towers, and Fixtures </t>
  </si>
  <si>
    <t xml:space="preserve">   KU-1364 VA - Electric Distribution - Poles, Towers, and Fixtures </t>
  </si>
  <si>
    <t xml:space="preserve">   KU-1365 - Electric Distribution - ECR 2009 </t>
  </si>
  <si>
    <t xml:space="preserve">   KU-1365 KY - Electric Distribution - Overhead Conductor </t>
  </si>
  <si>
    <t xml:space="preserve">   KU-1365 TN - Electric Distribution - Overhead Conductor </t>
  </si>
  <si>
    <t xml:space="preserve">   KU-1365 VA - Electric Distribution - Overhead Conductor </t>
  </si>
  <si>
    <t xml:space="preserve">   KU-1366 - Electric Distribution - ECR 2009 </t>
  </si>
  <si>
    <t xml:space="preserve">   KU-1366 KY - Electric Distribution - Underground Conduit </t>
  </si>
  <si>
    <t xml:space="preserve">   KU-1367 - Electric Distribution - ECR 2009 </t>
  </si>
  <si>
    <t xml:space="preserve">   KU-1367 KY - Electric Distribution - Underground Conductors </t>
  </si>
  <si>
    <t xml:space="preserve">   KU-1367 VA - Electric Distribution - Underground Conductors </t>
  </si>
  <si>
    <t xml:space="preserve">   KU-1368 KY - Electric Distribution -  Line Transformers </t>
  </si>
  <si>
    <t xml:space="preserve">   KU-1368 TN - Electric Distribution -  Line Transformers </t>
  </si>
  <si>
    <t xml:space="preserve">   KU-1368 VA - Electric Distribution -  Line Transformers </t>
  </si>
  <si>
    <t xml:space="preserve">   KU-1369 KY - Electric Distribution - Services </t>
  </si>
  <si>
    <t xml:space="preserve">   KU-1369 TN - Electric Distribution - Services </t>
  </si>
  <si>
    <t xml:space="preserve">   KU-1369 VA - Electric Distribution - Services </t>
  </si>
  <si>
    <t xml:space="preserve">   KU-1370 KY - Electric Distribution - Meters </t>
  </si>
  <si>
    <t xml:space="preserve">   KU-1370 TN - Electric Distribution - Meters </t>
  </si>
  <si>
    <t xml:space="preserve">   KU-1370 VA - Electric Distribution - Meters </t>
  </si>
  <si>
    <t xml:space="preserve">   KU-1371 KY - Electric Distribution - Install on Customers </t>
  </si>
  <si>
    <t xml:space="preserve">   KU-1373 KY - Electric Distribution - Street Lighting and Sign </t>
  </si>
  <si>
    <t xml:space="preserve">   KU-1373 VA - Electric Distribution - Street Lighting and Sign </t>
  </si>
  <si>
    <t xml:space="preserve">   KU-1374 - Electric Distribution - ARO </t>
  </si>
  <si>
    <t xml:space="preserve">   KU-1389 KY - Electric General - Land &amp; Land Rights </t>
  </si>
  <si>
    <t xml:space="preserve">   KU-1389 VA - Electric General - Land &amp; Land Rights </t>
  </si>
  <si>
    <t xml:space="preserve">   KU-1390 - Electric General - Structures and Improvements </t>
  </si>
  <si>
    <t xml:space="preserve">   KU-1390 KY - Electric General - Structures and Improvements </t>
  </si>
  <si>
    <t xml:space="preserve">   KU-1390 VA - Electric General - Structures and Improvements </t>
  </si>
  <si>
    <t xml:space="preserve">   KU-1391 - Electric General - Office Equipment </t>
  </si>
  <si>
    <t xml:space="preserve">   KU-1391 KY - Electric General - Office Equipment </t>
  </si>
  <si>
    <t xml:space="preserve">   KU-1391 VA - Electric General - Office Equipment </t>
  </si>
  <si>
    <t xml:space="preserve">   KU-1392 - Electric General - ECR 2009 </t>
  </si>
  <si>
    <t xml:space="preserve">   KU-1392 KY - Electric General - Transportation Equipment </t>
  </si>
  <si>
    <t xml:space="preserve">   KU-1393 KY - Electric General - Stores Equipment </t>
  </si>
  <si>
    <t xml:space="preserve">   KU-1393 VA - Electric General - Stores Equipment </t>
  </si>
  <si>
    <t xml:space="preserve">   KU-1394 KY - Electric General - Tools, Shop, Garage Equipment </t>
  </si>
  <si>
    <t xml:space="preserve">   KU-1394 VA - Electric General - Tools, Shop, Garage Equipment </t>
  </si>
  <si>
    <t xml:space="preserve">   KU-1396 - Electric General - Power Operated Equipment </t>
  </si>
  <si>
    <t xml:space="preserve">   KU-1396 VA - Electric General - Power Operated Equipment </t>
  </si>
  <si>
    <t xml:space="preserve">   KU-1397 - Electric General - DSM </t>
  </si>
  <si>
    <t xml:space="preserve">   KU-1397 KY - Electric General - Communication Equipment </t>
  </si>
  <si>
    <t xml:space="preserve">   KU-1397 VA - Electric General - Communication Equipment </t>
  </si>
  <si>
    <t xml:space="preserve">   KU-3121 - Common Nonutility - Property </t>
  </si>
  <si>
    <t>Less: Retirements</t>
  </si>
  <si>
    <t>Ending Accum Depreciation</t>
  </si>
  <si>
    <t>Total Depreciation Expense</t>
  </si>
  <si>
    <t xml:space="preserve">   KY Plant Account Total </t>
  </si>
  <si>
    <t>LESS Adjustments:</t>
  </si>
  <si>
    <t>Adjusted KY Plant Total</t>
  </si>
  <si>
    <t>INCOME STATEMENT</t>
  </si>
  <si>
    <t>DIFFERENCE</t>
  </si>
  <si>
    <t>Gross Plant FERC-AFUDC PRE</t>
  </si>
  <si>
    <t>Gross Plant FERC-AFUDC POST</t>
  </si>
  <si>
    <t>Depreciation Expense FERC-AFUDC PRE</t>
  </si>
  <si>
    <t>Depreciation Expense FERC-AFUDC POST</t>
  </si>
  <si>
    <t>Accum Depr FERC-AFUDC PRE</t>
  </si>
  <si>
    <t>Accum Depr FERC-AFUDC POST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</si>
  <si>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</si>
  <si>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</si>
  <si>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</si>
  <si>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</si>
  <si>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</si>
  <si>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</si>
  <si>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</si>
  <si>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</si>
  <si>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</si>
  <si>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</si>
  <si>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</si>
  <si>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</si>
  <si>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</si>
  <si>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</si>
  <si>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</si>
  <si>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</si>
  <si>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</si>
  <si>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</si>
  <si>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</si>
  <si>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</si>
  <si>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</si>
  <si>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</si>
  <si>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</si>
  <si>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</si>
  <si>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</si>
  <si>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</si>
  <si>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</si>
  <si>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</si>
  <si>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</si>
  <si>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</si>
  <si>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</si>
  <si>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</si>
  <si>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</si>
  <si>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</si>
  <si>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</si>
  <si>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</si>
  <si>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</si>
  <si>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</si>
  <si>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</si>
  <si>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</si>
  <si>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</si>
  <si>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</si>
  <si>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</si>
  <si>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</si>
  <si>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</si>
  <si>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</si>
  <si>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</si>
  <si>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</si>
  <si>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</si>
  <si>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</si>
  <si>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</si>
  <si>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</si>
  <si>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</si>
  <si>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</si>
  <si>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</si>
  <si>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</si>
  <si>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</si>
  <si>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</si>
  <si>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</si>
  <si>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</si>
  <si>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</si>
  <si>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</si>
  <si>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</si>
  <si>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</si>
  <si>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</si>
  <si>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</si>
  <si>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</si>
  <si>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</si>
  <si>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</si>
  <si>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</si>
  <si>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</si>
  <si>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</si>
  <si>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</si>
  <si>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</si>
  <si>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</si>
  <si>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</si>
  <si>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</si>
  <si>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</si>
  <si>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</si>
  <si>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</si>
  <si>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</si>
  <si>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</si>
  <si>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</si>
  <si>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</si>
  <si>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</si>
  <si>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</si>
  <si>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</si>
  <si>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</si>
  <si>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</si>
  <si>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</si>
  <si>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</si>
  <si>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</si>
  <si>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</si>
  <si>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</si>
  <si>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</si>
  <si>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</si>
  <si>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</si>
  <si>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</si>
  <si>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</si>
  <si>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</si>
  <si>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</si>
  <si>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</si>
  <si>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</si>
  <si>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</si>
  <si>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</si>
  <si>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</si>
  <si>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</si>
  <si>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</si>
  <si>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</si>
  <si>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</si>
  <si>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</si>
  <si>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</si>
  <si>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</si>
  <si>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</si>
  <si>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</si>
  <si>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</si>
  <si>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</si>
  <si>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</si>
  <si>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</si>
  <si>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</si>
  <si>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</si>
  <si>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</si>
  <si>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</si>
  <si>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</si>
  <si>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</si>
  <si>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</si>
  <si>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</si>
  <si>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</si>
  <si>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</si>
  <si>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</si>
  <si>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</si>
  <si>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</si>
  <si>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</si>
  <si>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</si>
  <si>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</si>
  <si>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</si>
  <si>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</si>
  <si>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</si>
  <si>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</si>
  <si>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</si>
  <si>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</si>
  <si>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</si>
  <si>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</si>
  <si>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</si>
  <si>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</si>
  <si>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</si>
  <si>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</si>
  <si>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</si>
  <si>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</si>
  <si>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</si>
  <si>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</si>
  <si>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</si>
  <si>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</si>
  <si>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</si>
  <si>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</si>
  <si>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</si>
  <si>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</si>
  <si>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</si>
  <si>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</si>
  <si>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</si>
  <si>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</si>
  <si>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</si>
  <si>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</si>
  <si>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</si>
  <si>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</si>
  <si>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</si>
  <si>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</si>
  <si>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</si>
  <si>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</si>
  <si>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</si>
  <si>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</si>
  <si>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</si>
  <si>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</si>
  <si>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</si>
  <si>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</si>
  <si>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</si>
  <si>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</si>
  <si>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</si>
  <si>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</si>
  <si>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</si>
  <si>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</si>
  <si>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</si>
  <si>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</si>
  <si>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</si>
  <si>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</si>
  <si>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</si>
  <si>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</si>
  <si>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</si>
  <si>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</si>
  <si>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</si>
  <si>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</si>
  <si>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</si>
  <si>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</si>
  <si>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</si>
  <si>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</si>
  <si>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</si>
  <si>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</si>
  <si>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</si>
  <si>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</si>
  <si>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</si>
  <si>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</si>
  <si>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</si>
  <si>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</si>
  <si>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</si>
  <si>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</si>
  <si>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</si>
  <si>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</si>
  <si>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</si>
  <si>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</si>
  <si>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</si>
  <si>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</si>
  <si>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</si>
  <si>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</si>
  <si>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</si>
  <si>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</si>
  <si>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</si>
  <si>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</si>
  <si>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</si>
  <si>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</si>
  <si>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</si>
  <si>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</si>
  <si>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</si>
  <si>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</si>
  <si>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</si>
  <si>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</si>
  <si>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</si>
  <si>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</si>
  <si>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</si>
  <si>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</si>
  <si>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</si>
  <si>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</si>
  <si>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</si>
  <si>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</si>
  <si>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</si>
  <si>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</si>
  <si>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</si>
  <si>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</si>
  <si>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</si>
  <si>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</si>
  <si>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</si>
  <si>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</si>
  <si>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</si>
  <si>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</si>
  <si>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</si>
  <si>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</si>
  <si>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</si>
  <si>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</si>
  <si>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</si>
  <si>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</si>
  <si>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</si>
  <si>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</si>
  <si>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</si>
  <si>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</si>
  <si>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</si>
  <si>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</si>
  <si>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</si>
  <si>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</si>
  <si>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</si>
  <si>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</si>
  <si>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City Of Lou Gas Fran</t>
  </si>
  <si>
    <t xml:space="preserve">     928 - Reg Upkeep Assessmts</t>
  </si>
  <si>
    <t xml:space="preserve">     929 - Gas Used-Gas Dept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</si>
  <si>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</si>
  <si>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</si>
  <si>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</si>
  <si>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</si>
  <si>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</si>
  <si>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</si>
  <si>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</si>
  <si>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</si>
  <si>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</si>
  <si>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</si>
  <si>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</si>
  <si>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>TOTAL OPERATING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</si>
  <si>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</si>
  <si>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</si>
  <si>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</si>
  <si>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</si>
  <si>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407.3 - Regulatory Debits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</si>
  <si>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</si>
  <si>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</si>
  <si>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</si>
  <si>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</si>
  <si>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</si>
  <si>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</si>
  <si>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</si>
  <si>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</si>
  <si>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</si>
  <si>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</si>
  <si>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</si>
  <si>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</si>
  <si>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</si>
  <si>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</si>
  <si>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</si>
  <si>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</si>
  <si>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</si>
  <si>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</si>
  <si>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</si>
  <si>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</si>
  <si>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</si>
  <si>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</si>
  <si>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>NET OPERATING INCOME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</si>
  <si>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</si>
  <si>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</si>
  <si>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</si>
  <si>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</si>
  <si>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</si>
  <si>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</si>
  <si>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</si>
  <si>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</si>
  <si>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</si>
  <si>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</si>
  <si>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</si>
  <si>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</si>
  <si>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</si>
  <si>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</si>
  <si>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</si>
  <si>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</si>
  <si>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</si>
  <si>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</si>
  <si>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</si>
  <si>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</si>
  <si>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</si>
  <si>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</si>
  <si>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</si>
  <si>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</si>
  <si>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</si>
  <si>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</si>
  <si>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</si>
  <si>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</si>
  <si>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</si>
  <si>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</si>
  <si>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</si>
  <si>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</si>
  <si>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</si>
  <si>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</si>
  <si>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</si>
  <si>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</si>
  <si>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</si>
  <si>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</si>
  <si>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</si>
  <si>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</si>
  <si>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</si>
  <si>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</si>
  <si>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</si>
  <si>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</si>
  <si>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</si>
  <si>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</si>
  <si>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</si>
  <si>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</si>
  <si>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</si>
  <si>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</si>
  <si>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</si>
  <si>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</si>
  <si>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</si>
  <si>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</si>
  <si>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</si>
  <si>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</si>
  <si>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NET INCOME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</si>
  <si>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</si>
  <si>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</si>
  <si>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</si>
  <si>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</si>
  <si>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</si>
  <si>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</si>
  <si>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</si>
  <si>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</si>
  <si>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</si>
  <si>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</si>
  <si>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</si>
  <si>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</si>
  <si>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</si>
  <si>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</si>
  <si>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</si>
  <si>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</si>
  <si>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</si>
  <si>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</si>
  <si>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</si>
  <si>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</si>
  <si>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</si>
  <si>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</si>
  <si>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</si>
  <si>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</si>
  <si>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</si>
  <si>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</si>
  <si>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</si>
  <si>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</si>
  <si>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</si>
  <si>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</si>
  <si>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</si>
  <si>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</si>
  <si>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     135.0 - Working Funds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</si>
  <si>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</si>
  <si>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</si>
  <si>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</si>
  <si>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142.0 - Customer accounts receivable</t>
  </si>
  <si>
    <t xml:space="preserve">          143.0 - Other AR</t>
  </si>
  <si>
    <t xml:space="preserve">          143.4 - Other AR Fed Tax Rec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</si>
  <si>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</si>
  <si>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</si>
  <si>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</si>
  <si>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</si>
  <si>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</si>
  <si>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</si>
  <si>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</si>
  <si>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</si>
  <si>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145.0 - Notes receivable from assoc co (LKE)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</si>
  <si>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</si>
  <si>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</si>
  <si>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</si>
  <si>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</si>
  <si>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</si>
  <si>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</si>
  <si>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</si>
  <si>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</si>
  <si>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</si>
  <si>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165.1 - Prepayments - LT</t>
  </si>
  <si>
    <t xml:space="preserve">          165.9 - Tax prepayments</t>
  </si>
  <si>
    <t xml:space="preserve">     Other current and accrued assets</t>
  </si>
  <si>
    <t xml:space="preserve">          174.1 - Misc accrued assets</t>
  </si>
  <si>
    <t>Total Current and Accrued Assets</t>
  </si>
  <si>
    <t>DEFERRED DEBITS &amp; OTHER</t>
  </si>
  <si>
    <t xml:space="preserve">     Unamortized Debt Expenses</t>
  </si>
  <si>
    <t xml:space="preserve">          181.1 - Unamortized debt expense</t>
  </si>
  <si>
    <t xml:space="preserve">          181.2 - Unamortized debt expense rollovers/lcs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</si>
  <si>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</si>
  <si>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</si>
  <si>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</si>
  <si>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</si>
  <si>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</si>
  <si>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</si>
  <si>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</si>
  <si>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</si>
  <si>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</si>
  <si>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</si>
  <si>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</si>
  <si>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</si>
  <si>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</si>
  <si>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</si>
  <si>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</si>
  <si>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</si>
  <si>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</si>
  <si>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</si>
  <si>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</si>
  <si>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</si>
  <si>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184.6 - Clearing Accts (Int Div Payable)</t>
  </si>
  <si>
    <t xml:space="preserve">          186.2 - Misc deferred debits (O/Assets LT)</t>
  </si>
  <si>
    <t xml:space="preserve">          186.6 - Misc Def Debits LTPC</t>
  </si>
  <si>
    <t xml:space="preserve">          188.1 - Misc Def Debits Resrch/Dev/Demo Exp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</si>
  <si>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</si>
  <si>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</si>
  <si>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</si>
  <si>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</si>
  <si>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</si>
  <si>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</si>
  <si>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</si>
  <si>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</si>
  <si>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</si>
  <si>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</si>
  <si>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</si>
  <si>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</si>
  <si>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</si>
  <si>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</si>
  <si>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</si>
  <si>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</si>
  <si>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 xml:space="preserve">          219 - Other Comprehensive Income</t>
  </si>
  <si>
    <t xml:space="preserve">          219.1 - OCI Equity Invest EEI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</si>
  <si>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</si>
  <si>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</si>
  <si>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</si>
  <si>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</si>
  <si>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</si>
  <si>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</si>
  <si>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</si>
  <si>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</si>
  <si>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</si>
  <si>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</si>
  <si>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</si>
  <si>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</si>
  <si>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</si>
  <si>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</si>
  <si>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</si>
  <si>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</si>
  <si>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</si>
  <si>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</si>
  <si>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</si>
  <si>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</si>
  <si>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</si>
  <si>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</si>
  <si>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</si>
  <si>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</si>
  <si>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</si>
  <si>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</si>
  <si>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</si>
  <si>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</si>
  <si>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</si>
  <si>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</si>
  <si>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</si>
  <si>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</si>
  <si>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</si>
  <si>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</si>
  <si>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</si>
  <si>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</si>
  <si>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</si>
  <si>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</si>
  <si>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</si>
  <si>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</si>
  <si>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</si>
  <si>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</si>
  <si>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</si>
  <si>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</si>
  <si>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</si>
  <si>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</si>
  <si>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</si>
  <si>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Postretirement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</si>
  <si>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</si>
  <si>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</si>
  <si>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</si>
  <si>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</si>
  <si>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</si>
  <si>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</si>
  <si>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</si>
  <si>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</si>
  <si>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</si>
  <si>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</si>
  <si>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</si>
  <si>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</si>
  <si>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</si>
  <si>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</si>
  <si>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</si>
  <si>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</si>
  <si>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</si>
  <si>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</si>
  <si>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</si>
  <si>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</si>
  <si>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</si>
  <si>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</si>
  <si>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</si>
  <si>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</si>
  <si>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</si>
  <si>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</si>
  <si>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</si>
  <si>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</si>
  <si>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</si>
  <si>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</si>
  <si>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</si>
  <si>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2009 </t>
  </si>
  <si>
    <t xml:space="preserve">   KU Steam Production ECR 2011 </t>
  </si>
  <si>
    <t xml:space="preserve">   KU Steam Production ECR 2016 </t>
  </si>
  <si>
    <t xml:space="preserve">   KU Transmission - KY </t>
  </si>
  <si>
    <t xml:space="preserve">   KU Transmission - VA </t>
  </si>
  <si>
    <t>CWIP FERC AFUDC - POST</t>
  </si>
  <si>
    <t xml:space="preserve">   KY CWIP &amp; RWIP Total </t>
  </si>
  <si>
    <t>Ending RWIP</t>
  </si>
  <si>
    <t>Check</t>
  </si>
  <si>
    <t>plus RWIP</t>
  </si>
  <si>
    <t>Pre-Merger</t>
  </si>
  <si>
    <t>Post-Merger</t>
  </si>
  <si>
    <t>Ties back to PIS tab less RWIP</t>
  </si>
  <si>
    <t>O&amp;M Charges to Accounts 500001-935999 by Product and Exp Type</t>
  </si>
  <si>
    <t>Electric</t>
  </si>
  <si>
    <t>A. Labor</t>
  </si>
  <si>
    <t>B. Non-Labor</t>
  </si>
  <si>
    <t>C. Burdens</t>
  </si>
  <si>
    <t>503</t>
  </si>
  <si>
    <t>507</t>
  </si>
  <si>
    <t>509</t>
  </si>
  <si>
    <t>535</t>
  </si>
  <si>
    <t>536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</si>
  <si>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</si>
  <si>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</si>
  <si>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</si>
  <si>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</si>
  <si>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</si>
  <si>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</si>
  <si>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</si>
  <si>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</si>
  <si>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</si>
  <si>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</si>
  <si>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</si>
  <si>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</si>
  <si>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</si>
  <si>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</si>
  <si>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</si>
  <si>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</si>
  <si>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</si>
  <si>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</si>
  <si>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</si>
  <si>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</si>
  <si>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</si>
  <si>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</si>
  <si>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</si>
  <si>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</si>
  <si>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</si>
  <si>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</si>
  <si>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</si>
  <si>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</si>
  <si>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</si>
  <si>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</si>
  <si>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</si>
  <si>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</si>
  <si>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</si>
  <si>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</si>
  <si>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575.7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</si>
  <si>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</si>
  <si>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</si>
  <si>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</si>
  <si>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</si>
  <si>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</si>
  <si>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</si>
  <si>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</si>
  <si>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</si>
  <si>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</si>
  <si>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</si>
  <si>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</si>
  <si>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</si>
  <si>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</si>
  <si>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</si>
  <si>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</si>
  <si>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</si>
  <si>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</si>
  <si>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</si>
  <si>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</si>
  <si>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901</t>
  </si>
  <si>
    <t>902</t>
  </si>
  <si>
    <t>903</t>
  </si>
  <si>
    <t>904</t>
  </si>
  <si>
    <t>905</t>
  </si>
  <si>
    <t>907</t>
  </si>
  <si>
    <t>908</t>
  </si>
  <si>
    <t>909</t>
  </si>
  <si>
    <t>910</t>
  </si>
  <si>
    <t>911</t>
  </si>
  <si>
    <t>912</t>
  </si>
  <si>
    <t>913</t>
  </si>
  <si>
    <t>916</t>
  </si>
  <si>
    <t>920</t>
  </si>
  <si>
    <t>921</t>
  </si>
  <si>
    <t>922</t>
  </si>
  <si>
    <t>923</t>
  </si>
  <si>
    <t>924</t>
  </si>
  <si>
    <t>927</t>
  </si>
  <si>
    <t>928</t>
  </si>
  <si>
    <t>929</t>
  </si>
  <si>
    <t>930.1</t>
  </si>
  <si>
    <t>930.2</t>
  </si>
  <si>
    <t>931</t>
  </si>
  <si>
    <t>935</t>
  </si>
  <si>
    <t>Grand Total</t>
  </si>
  <si>
    <t>.</t>
  </si>
  <si>
    <t>Total Income Taxes</t>
  </si>
  <si>
    <t>IS Total Income Tas Expense</t>
  </si>
  <si>
    <t>Total Depreciation &amp; Amort Exp</t>
  </si>
  <si>
    <t>Total O&amp;M</t>
  </si>
  <si>
    <t>Ky Only portion of 930.2:</t>
  </si>
  <si>
    <t>END JUL20</t>
  </si>
  <si>
    <t>Direct Assign</t>
  </si>
  <si>
    <t>KU Electric - FERC </t>
  </si>
  <si>
    <t>SALES OF ELECTRICITY:</t>
  </si>
  <si>
    <t>447-SALES FOR RESALE-WHOLESALE (AEP ODP)</t>
  </si>
  <si>
    <t>TOTAL REVENUE</t>
  </si>
  <si>
    <t>Paris</t>
  </si>
  <si>
    <t>AEP Borderline (ODP)</t>
  </si>
  <si>
    <t>KU Electric - KPSC </t>
  </si>
  <si>
    <t>KU Electric - VA </t>
  </si>
  <si>
    <t>LESS 447</t>
  </si>
  <si>
    <t>Other Operating Revenues ($000s)</t>
  </si>
  <si>
    <t xml:space="preserve">  450-LATE PAYMENT CHARGES MUNI</t>
  </si>
  <si>
    <t xml:space="preserve">  454-RENT FROM ELEC PROPERTY I/C</t>
  </si>
  <si>
    <t xml:space="preserve">          Misc Electric Revenues- Income Statement</t>
  </si>
  <si>
    <t>454 Refined Coal</t>
  </si>
  <si>
    <t>454 Facilities Chrgs</t>
  </si>
  <si>
    <t>456 Refined Coal</t>
  </si>
  <si>
    <t>Balance Sheet-Accum Prov Post Ret Benefits 228301,228307 (Virginia Only)</t>
  </si>
  <si>
    <t>Note: Monthly data source is Balance Sheet. Functional M&amp;S and allocation factors from COS.</t>
  </si>
  <si>
    <t>in (000's)</t>
  </si>
  <si>
    <t xml:space="preserve">   KU-1317 - Steam Production - ARO CCR </t>
  </si>
  <si>
    <t xml:space="preserve">   KU-1370 KY - Electric Distribution - Meters - DSM </t>
  </si>
  <si>
    <t xml:space="preserve">   KU-1392 VA - Electric General - Transportation Equipment </t>
  </si>
  <si>
    <t xml:space="preserve">   KU-1396 KY - Electric General - Transportation Equipment </t>
  </si>
  <si>
    <t xml:space="preserve">   KU-1396 VA - Electric General - Transportation Equipment </t>
  </si>
  <si>
    <t xml:space="preserve">   KU-1310 - Steam Production - ECR 2016 </t>
  </si>
  <si>
    <t xml:space="preserve">   KU-1389 KY - Electric General - Future Use </t>
  </si>
  <si>
    <t>E360.10-Land Rights (less PHFU)</t>
  </si>
  <si>
    <t>E389.20-Land (less PHFU)</t>
  </si>
  <si>
    <t>E340.10-Land Rights (less PHFU)</t>
  </si>
  <si>
    <t>CWIP &amp; RWIP Monthly</t>
  </si>
  <si>
    <t xml:space="preserve">   KU Land - VA </t>
  </si>
  <si>
    <t xml:space="preserve">          101.3 - Property Under Operating Lease</t>
  </si>
  <si>
    <t xml:space="preserve">          111.3 - Accumulated Depr Property Under Operating Lease</t>
  </si>
  <si>
    <t xml:space="preserve">          128.1 - Other spec funds - investments</t>
  </si>
  <si>
    <t xml:space="preserve">     Special funds</t>
  </si>
  <si>
    <t xml:space="preserve">          184.7 - Clearing Accts (Lease)</t>
  </si>
  <si>
    <t xml:space="preserve">          242.3 - Obligations Under Operating Lease - Current</t>
  </si>
  <si>
    <t xml:space="preserve">          228.7 - Obligations Under Operating Leases (Noncurrent)</t>
  </si>
  <si>
    <t xml:space="preserve">          253.3 - Other deferred credits</t>
  </si>
  <si>
    <t>KY FERC Balance Sheet</t>
  </si>
  <si>
    <t>KY FERC Income Statement</t>
  </si>
  <si>
    <t>May 1 2019</t>
  </si>
  <si>
    <t>Apr 30 2020</t>
  </si>
  <si>
    <t>FORECAST PERIOD: APRIL 2020</t>
  </si>
  <si>
    <t>RATE BASE: THIRTEEN MONTH AVERAGE</t>
  </si>
  <si>
    <t xml:space="preserve">    12 MONTHS ENDING APRIL 30, 2020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</si>
  <si>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</si>
  <si>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</si>
  <si>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</si>
  <si>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</si>
  <si>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</si>
  <si>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</si>
  <si>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</si>
  <si>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</si>
  <si>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</si>
  <si>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</si>
  <si>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</si>
  <si>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</si>
  <si>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May2019-Apr2020</t>
  </si>
  <si>
    <t>2019</t>
  </si>
  <si>
    <t>2020</t>
  </si>
  <si>
    <t>13MOAVG</t>
  </si>
  <si>
    <t>13-Month Average As of April 30, 2020</t>
  </si>
  <si>
    <t>Months ending 04/30/20</t>
  </si>
  <si>
    <t>13-Mo Avg Balance at  04/30/2020</t>
  </si>
  <si>
    <t>YTD-Apr 2020</t>
  </si>
  <si>
    <t>04/30/20 balances</t>
  </si>
  <si>
    <t>April 2019</t>
  </si>
  <si>
    <t>January 2020</t>
  </si>
  <si>
    <t>TME APRIL 2020 AFUDC</t>
  </si>
  <si>
    <t xml:space="preserve">KU APRIL 2020 CWIP </t>
  </si>
  <si>
    <t>13-MONTH AVERAGE</t>
  </si>
  <si>
    <t>YE-Apr 2020</t>
  </si>
  <si>
    <t>447-SALES FOR RESALE-MUNICIPALS</t>
  </si>
  <si>
    <t>2009 Winter Storm Reg Asset Amort Direct Assign to KY (Ice storm)(END JUN21)</t>
  </si>
  <si>
    <t>2008 Wind Storm Reg Asset Amort Direct Assign to KY (Ike)(END JUN21)</t>
  </si>
  <si>
    <t>KU Refined Coal - Coal Yard Services - Negative Expense -&gt; Revenue</t>
  </si>
  <si>
    <t>FERC 501 ($000s)</t>
  </si>
  <si>
    <t>KU-VA</t>
  </si>
  <si>
    <t>KU-KPSC</t>
  </si>
  <si>
    <t>KU-FERC</t>
  </si>
  <si>
    <t>Total 501</t>
  </si>
  <si>
    <t>YE-DEC18</t>
  </si>
  <si>
    <t>YE-APR20</t>
  </si>
  <si>
    <t>BROWN 1 AND 2</t>
  </si>
  <si>
    <t>ACCT 514 BR REG ASSET AMORT-Direct Assign to KY</t>
  </si>
  <si>
    <t>Expenditure Type</t>
  </si>
  <si>
    <t>Project</t>
  </si>
  <si>
    <t>Bud Description</t>
  </si>
  <si>
    <t>Year</t>
  </si>
  <si>
    <t>Month 01 Jan</t>
  </si>
  <si>
    <t>Month 02 Feb</t>
  </si>
  <si>
    <t>Month 03 Mar</t>
  </si>
  <si>
    <t>Month 04 Apr</t>
  </si>
  <si>
    <t>Month 05 May</t>
  </si>
  <si>
    <t>Month 06 Jun</t>
  </si>
  <si>
    <t>Month 07 Jul</t>
  </si>
  <si>
    <t>Month 08 Aug</t>
  </si>
  <si>
    <t>Month 09 Sep</t>
  </si>
  <si>
    <t>Month 10 Oct</t>
  </si>
  <si>
    <t>Month 11 Nov</t>
  </si>
  <si>
    <t>Month 12 Dec</t>
  </si>
  <si>
    <t>0699</t>
  </si>
  <si>
    <t>155780</t>
  </si>
  <si>
    <t>Brown Reg Asset</t>
  </si>
  <si>
    <t>2021</t>
  </si>
  <si>
    <t>2022</t>
  </si>
  <si>
    <t>a-Jan 2018</t>
  </si>
  <si>
    <t>a-Feb 2018</t>
  </si>
  <si>
    <t>a-Mar 2018</t>
  </si>
  <si>
    <t>a-Apr 2018</t>
  </si>
  <si>
    <t>a-May 2018</t>
  </si>
  <si>
    <t>a-Jun 2018</t>
  </si>
  <si>
    <t>Outage Expense Activity and Amortization:</t>
  </si>
  <si>
    <t>KPSC Outage Normalization data to Reg Assets/Liability:</t>
  </si>
  <si>
    <t>510 - MTCE SUPER/ENG - STEAM - in Actual/Budget</t>
  </si>
  <si>
    <t>511 - MTCE-STRUCTURES STEAM - in Actual/Budget</t>
  </si>
  <si>
    <t>512 - MTCE-BOILER PLANT STEAM - in Actual/Budget</t>
  </si>
  <si>
    <t>513 - MTCE-ELECTRIC PLANT STEAM - in Actual/Budget</t>
  </si>
  <si>
    <t>514 - MTCE-MISC/STM PLANT - in Actual/Budget</t>
  </si>
  <si>
    <t>549 - MISC OTH PWR GEN EXP - in Actual/Budget</t>
  </si>
  <si>
    <t>551 - MTCE-SUPER/ENG - TURB PWR GEN - in Actual/Budget</t>
  </si>
  <si>
    <t>552 - MTCE-STRUCTURES - OTH PWR GEN - in Actual/Budget</t>
  </si>
  <si>
    <t>553 - MTCE-GEN/ELECT EQ PWR GEN - in Actual/Budget</t>
  </si>
  <si>
    <t>554 - MTCE-MISC OTH PWR GEN - in Actual/Budget</t>
  </si>
  <si>
    <t>Total Outage Expense in Actual/Budget (KPSC)</t>
  </si>
  <si>
    <t>Outage Expense to Reg Assets Increase/(Decrease)</t>
  </si>
  <si>
    <t>Outage Normalization Amortization:</t>
  </si>
  <si>
    <t>510 - MTCE SUPER/ENG - STEAM - Reg Asset/Liability Amortization - 100% KPSC</t>
  </si>
  <si>
    <t>511 - MTCE-STRUCTURES STEAM - Reg Asset/Liability Amortization - 100% KPSC</t>
  </si>
  <si>
    <t>512 - MTCE-BOILER PLANT STEAM - Reg Asset/Liability Amortization - 100% KPSC</t>
  </si>
  <si>
    <t>513 - MTCE-ELECTRIC PLANT STEAM - Reg Asset/Liability Amortization - 100% KPSC</t>
  </si>
  <si>
    <t>514 - MTCE-MISC/STM PLANT - Reg Asset/Liability Amortization - 100% KPSC</t>
  </si>
  <si>
    <t>549 - MISC OTH PWR GEN EX - Reg Asset/Liability Amortization - 100% KPSC</t>
  </si>
  <si>
    <t>551 - MTCE-SUPER/ENG - TURB PWR GEN - Reg Asset/Liability Amortization - 100% KP</t>
  </si>
  <si>
    <t>552 - MTCE-STRUCTURES - OTH PWR GEN - Reg Asset/Liability Amortization - 100% KP</t>
  </si>
  <si>
    <t>553 - MTCE-GEN/ELECT EQ PWR GEN - Reg Asset/Liability Amortization - 100% KPSC</t>
  </si>
  <si>
    <t>554 - MTCE-MISC OTH PWR GEN - Reg Asset/Liability Amortization - 100% KPSC</t>
  </si>
  <si>
    <t>Total Outage Expense Amortization in Budget (KPSC)  - 100% KPSC</t>
  </si>
  <si>
    <t>Normalization</t>
  </si>
  <si>
    <t>May 2019-Apr 2020</t>
  </si>
  <si>
    <t>Amortization</t>
  </si>
  <si>
    <t xml:space="preserve">  451-UNAUTHORIZED RECONNECT</t>
  </si>
  <si>
    <t xml:space="preserve">  454-CATV ATTACH RENT</t>
  </si>
  <si>
    <t xml:space="preserve">  454-FACILITIES CHARGES MUNI</t>
  </si>
  <si>
    <t xml:space="preserve">  454-ELECTRIC VEHICLE CHARGING STATION RENTAL</t>
  </si>
  <si>
    <t xml:space="preserve">  454-REFINED COAL LICENSE FEE FERC</t>
  </si>
  <si>
    <t xml:space="preserve">  454-REFINED COAL LICENSE FEE KPSC</t>
  </si>
  <si>
    <t xml:space="preserve">  454-REFINED COAL LICENSE FEE VA</t>
  </si>
  <si>
    <t xml:space="preserve">  456-REFINED COAL EXCLUSIVITY FEE FERC</t>
  </si>
  <si>
    <t xml:space="preserve">  456-REFINED COAL EXLUSIVITY FEE KPSC</t>
  </si>
  <si>
    <t xml:space="preserve">  456-REFINED COAL EXCLUSIVITY FEE VA</t>
  </si>
  <si>
    <t>MAY-2019</t>
  </si>
  <si>
    <t>JUN-2019</t>
  </si>
  <si>
    <t>JUL-2019</t>
  </si>
  <si>
    <t>AUG-2019</t>
  </si>
  <si>
    <t>SEP-2019</t>
  </si>
  <si>
    <t>OCT-2019</t>
  </si>
  <si>
    <t>NOV-2019</t>
  </si>
  <si>
    <t>DEC-2019</t>
  </si>
  <si>
    <t>JAN-2020</t>
  </si>
  <si>
    <t>FEB-2020</t>
  </si>
  <si>
    <t>MAR-2020</t>
  </si>
  <si>
    <t>APR-2020</t>
  </si>
  <si>
    <t>YE-APR-2020</t>
  </si>
  <si>
    <t xml:space="preserve">  454-EV CHARGING STATION RENTAL</t>
  </si>
  <si>
    <t xml:space="preserve">  454-REFINED COAL LICENSE FEE</t>
  </si>
  <si>
    <t xml:space="preserve">  456-REFINED COAL EXCLUSIVITY FEE</t>
  </si>
  <si>
    <t>Amort Rate Case Expenses</t>
  </si>
  <si>
    <t>Other Cases</t>
  </si>
  <si>
    <t>GAINS/LOSSES-NET OF TAXES (1-.2574)</t>
  </si>
  <si>
    <t>Net of Tax (1-.2574)</t>
  </si>
  <si>
    <t>Virginia Apportionment Factor</t>
  </si>
  <si>
    <t>VA Juris Accum Amort</t>
  </si>
  <si>
    <t>FERC Juris Accum Amort</t>
  </si>
  <si>
    <t>YECM April 30, 2020</t>
  </si>
  <si>
    <t>For the Test Year Ended April 30, 2020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</si>
  <si>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</si>
  <si>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</si>
  <si>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</si>
  <si>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</si>
  <si>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</si>
  <si>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</si>
  <si>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</si>
  <si>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Lead Days</t>
  </si>
  <si>
    <t>O&amp;M Expense</t>
  </si>
  <si>
    <t>Income Tax Expense</t>
  </si>
  <si>
    <t>Sales Tax</t>
  </si>
  <si>
    <t>Gross Receipts Tax</t>
  </si>
  <si>
    <t>Customer Utility Tax</t>
  </si>
  <si>
    <t>State &amp; Local Consumption Tax</t>
  </si>
  <si>
    <t>Cash Working Capital Analysis</t>
  </si>
  <si>
    <t>2018 Kentucky Rate Case</t>
  </si>
  <si>
    <t>For the Year Ended December 31, 2017</t>
  </si>
  <si>
    <t>Acct lookup</t>
  </si>
  <si>
    <t>PREPAYMENTS</t>
  </si>
  <si>
    <t>RESRCH/DEV/DEMO EXP</t>
  </si>
  <si>
    <t>PRELIMINARY SURVEY</t>
  </si>
  <si>
    <t>MISC LONG TERM LIABILITIES</t>
  </si>
  <si>
    <t>ACCUMULATED PROVISION FOR POST RETIREMENT BENEFITS</t>
  </si>
  <si>
    <t>OTHER DEFERRED CREDITS</t>
  </si>
  <si>
    <t>REGULATORY LIABILITY - POSTRETIREMENT</t>
  </si>
  <si>
    <t>2017</t>
  </si>
  <si>
    <t>13-Month Avg</t>
  </si>
  <si>
    <t>CWIP/RWIP</t>
  </si>
  <si>
    <t>Percent</t>
  </si>
  <si>
    <t>Total Net Accrued Retention/RWIP</t>
  </si>
  <si>
    <t>143/232</t>
  </si>
  <si>
    <t>Sales Taxes</t>
  </si>
  <si>
    <t>PRE-TAX OPERATING INCOME</t>
  </si>
  <si>
    <t>KU Reg Assets Amortization</t>
  </si>
  <si>
    <t>TOTAL COMPANY OUTAGE EXPENSE</t>
  </si>
  <si>
    <t>Jan2018-Apr2019</t>
  </si>
  <si>
    <t>VIRGINIA OUTAGE EXPENSE</t>
  </si>
  <si>
    <t>FERC PRIMARY OUTAGE EXPENSE</t>
  </si>
  <si>
    <t>FERC TRANSMISSION OUTAGE EXPENSE</t>
  </si>
  <si>
    <t>Total Outage Expense in Actual/Budget</t>
  </si>
  <si>
    <t>INPUTS TO TOTALCO TAB - DIRECT ASSIGN TO VIRGINIA JURIS</t>
  </si>
  <si>
    <t>INPUTS TO TOTALCO TAB - DIRECT ASSIGN TO FERC PRIMARY JURIS</t>
  </si>
  <si>
    <t>INPUTS TO TOTALCO TAB - DIRECT ASSIGN TO FERC TRANSMISSION JURIS</t>
  </si>
  <si>
    <t>True-up Jul 17 - Jan 2018 (jurs factors)</t>
  </si>
  <si>
    <t>KY and VA Lead/Lag</t>
  </si>
  <si>
    <t>ACCUMULATED PROVISION FOR PENSION</t>
  </si>
  <si>
    <t>PREPAID PENSION</t>
  </si>
  <si>
    <t>KEYMAN LIFE INSURANCE</t>
  </si>
  <si>
    <t>Forecast Period</t>
  </si>
  <si>
    <t>PENSION CLEARING</t>
  </si>
  <si>
    <t>2018 July Storm Reg Asset Amort Direct Assign to KY (END APR24)</t>
  </si>
  <si>
    <t xml:space="preserve">   KU-1371 KY - Electric Distribution - Install on Customers - EV Meters </t>
  </si>
  <si>
    <t>AFUDC_FERC</t>
  </si>
  <si>
    <t>FEDERAL TAXES @ 21%</t>
  </si>
  <si>
    <t>13mo avg</t>
  </si>
  <si>
    <t>KY Juris Unamort Balance</t>
  </si>
  <si>
    <t>DIRECT ASSIGN</t>
  </si>
  <si>
    <t>TYPE</t>
  </si>
  <si>
    <t>ITEM</t>
  </si>
  <si>
    <t>RM ID</t>
  </si>
  <si>
    <t>P</t>
  </si>
  <si>
    <t>A</t>
  </si>
  <si>
    <t>R</t>
  </si>
  <si>
    <t>Add: Transfers/Adjustments</t>
  </si>
  <si>
    <t>AD</t>
  </si>
  <si>
    <t>DE</t>
  </si>
  <si>
    <t>APPRE</t>
  </si>
  <si>
    <t>APPOS</t>
  </si>
  <si>
    <t>ADEPRE</t>
  </si>
  <si>
    <t>ADEPOS</t>
  </si>
  <si>
    <t>AADPRE</t>
  </si>
  <si>
    <t>AADPOS</t>
  </si>
  <si>
    <t>E</t>
  </si>
  <si>
    <t>F</t>
  </si>
  <si>
    <t>CHECK</t>
  </si>
  <si>
    <t>Hydro</t>
  </si>
  <si>
    <t>Intangible</t>
  </si>
  <si>
    <t>Property Group</t>
  </si>
  <si>
    <t>GENERAL</t>
  </si>
  <si>
    <t>PRODUCTION</t>
  </si>
  <si>
    <t>DISTRIBUTION</t>
  </si>
  <si>
    <t>STEAM</t>
  </si>
  <si>
    <t>HYDRO</t>
  </si>
  <si>
    <t>OTHER</t>
  </si>
  <si>
    <t>INTANGIBLE</t>
  </si>
  <si>
    <t>Deferred Fuel 13mo avg (Virginia Only) (Reg Asset input as negative balance)</t>
  </si>
  <si>
    <t>Balance Sheet Items</t>
  </si>
  <si>
    <t>Witness:</t>
  </si>
  <si>
    <t xml:space="preserve">Witness: </t>
  </si>
  <si>
    <t>Adjusted KY Plant Total in $</t>
  </si>
  <si>
    <t>UI Total FERC P&amp;L Balance Depr Exp in $</t>
  </si>
  <si>
    <t>Proof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</si>
</sst>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dd\-mmm\-yy_)"/>
    <numFmt numFmtId="166" formatCode="hh:mm\ AM/PM_)"/>
    <numFmt numFmtId="167" formatCode="0.00000%"/>
    <numFmt numFmtId="168" formatCode="0.00000_)"/>
    <numFmt numFmtId="169" formatCode="0.000_)"/>
    <numFmt numFmtId="170" formatCode="0.0000%"/>
    <numFmt numFmtId="171" formatCode="0.000000000_)"/>
    <numFmt numFmtId="172" formatCode="#,##0.0_);\(#,##0.0\)"/>
    <numFmt numFmtId="173" formatCode="#,##0.0000_);\(#,##0.0000\)"/>
    <numFmt numFmtId="174" formatCode="#,##0.00000_);\(#,##0.00000\)"/>
    <numFmt numFmtId="175" formatCode="#,##0.000000_);\(#,##0.000000\)"/>
    <numFmt numFmtId="176" formatCode="_(* #,##0.00000_);_(* \(#,##0.00000\);_(* &quot;-&quot;??_);_(@_)"/>
    <numFmt numFmtId="177" formatCode="_(* #,##0.0_);_(* \(#,##0.0\);_(* &quot;-&quot;??_);_(@_)"/>
    <numFmt numFmtId="178" formatCode="_(* #,##0_);_(* \(#,##0\);_(* &quot;-&quot;??_);_(@_)"/>
    <numFmt numFmtId="179" formatCode="0.000%"/>
    <numFmt numFmtId="180" formatCode="dd\-mmm\-yy"/>
    <numFmt numFmtId="181" formatCode="mmm\-yyyy"/>
    <numFmt numFmtId="182" formatCode="#,##0.00000_);[Red]\(#,##0.00000\)"/>
    <numFmt numFmtId="183" formatCode="#,##0.000000_);[Red]\(#,##0.000000\)"/>
    <numFmt numFmtId="184" formatCode="#,##0.00;[Red]\(#,##0.00\)"/>
    <numFmt numFmtId="185" formatCode="[$-409]d\-mmm\-yy;@"/>
    <numFmt numFmtId="186" formatCode="_(&quot;$&quot;* #,##0.00_);_(&quot;$&quot;* \(#,##0.00\);_(&quot;$&quot;* &quot;-&quot;_);_(@_)"/>
    <numFmt numFmtId="187" formatCode="mmmm\ d\,\ yyyy"/>
    <numFmt numFmtId="188" formatCode="&quot;$&quot;#,##0.00"/>
    <numFmt numFmtId="189" formatCode="0\ 00\ 000\ 000"/>
    <numFmt numFmtId="190" formatCode="_-* #,##0.00\ [$€]_-;\-* #,##0.00\ [$€]_-;_-* &quot;-&quot;??\ [$€]_-;_-@_-"/>
    <numFmt numFmtId="191" formatCode="#,##0.00;[Black]\(#,##0.00\)"/>
    <numFmt numFmtId="192" formatCode="[$-409]mmmm\ d\,\ yyyy;@"/>
    <numFmt numFmtId="193" formatCode="&quot;$&quot;#,##0\ ;\(&quot;$&quot;#,##0\)"/>
    <numFmt numFmtId="194" formatCode="[$-409]d\-mmm\-yyyy;@"/>
    <numFmt numFmtId="195" formatCode="_(&quot;$&quot;* #,##0_);_(&quot;$&quot;* \(#,##0\);_(&quot;$&quot;* &quot;-&quot;??_);_(@_)"/>
    <numFmt numFmtId="196" formatCode="#,##0_);[Red]\(#,##0\);&quot; &quot;"/>
    <numFmt numFmtId="197" formatCode="_(* #,##0.00_);_(* \(#,##0.00\);_(* &quot;-&quot;_);_(@_)"/>
    <numFmt numFmtId="198" formatCode="[$-409]mmm\-yy;@"/>
    <numFmt numFmtId="199" formatCode="#,##0.000_);[Red]\(#,##0.000\);&quot; &quot;"/>
    <numFmt numFmtId="200" formatCode="#,##0.00000_);[Red]\(#,##0.00000\);&quot; &quot;"/>
    <numFmt numFmtId="201" formatCode="&quot;$&quot;#,##0_);[Red]\(&quot;$&quot;#,##0\);&quot; &quot;"/>
    <numFmt numFmtId="202" formatCode="#,##0.000_);\(#,##0.000\)"/>
    <numFmt numFmtId="203" formatCode="#,##0.00_);[Red]\(#,##0.00\);&quot; &quot;"/>
    <numFmt numFmtId="204" formatCode="&quot;$&quot;#,##0.000_);[Red]\(&quot;$&quot;#,##0.000\);&quot; &quot;"/>
    <numFmt numFmtId="205" formatCode="_(&quot;$&quot;* #,##0.000_);_(&quot;$&quot;* \(#,##0.000\);_(&quot;$&quot;* &quot;-&quot;_);_(@_)"/>
    <numFmt numFmtId="206" formatCode="#,##0.0_);[Red]\(#,##0.0\);&quot; &quot;"/>
    <numFmt numFmtId="207" formatCode="@*."/>
    <numFmt numFmtId="208" formatCode="#,##0.000000000000000000000_);\(#,##0.000000000000000000000\)"/>
  </numFmts>
  <fonts count="174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ourier"/>
      <family val="3"/>
    </font>
    <font>
      <sz val="8"/>
      <name val="Arial"/>
      <family val="2"/>
    </font>
    <font>
      <sz val="12"/>
      <name val="Arial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sz val="12"/>
      <color indexed="12"/>
      <name val="Times New Roman"/>
      <family val="1"/>
    </font>
    <font>
      <sz val="10"/>
      <color indexed="12"/>
      <name val="Times New Roman"/>
      <family val="1"/>
    </font>
    <font>
      <sz val="10"/>
      <color indexed="53"/>
      <name val="Times New Roman"/>
      <family val="1"/>
    </font>
    <font>
      <b/>
      <sz val="10"/>
      <color indexed="53"/>
      <name val="Times New Roman"/>
      <family val="1"/>
    </font>
    <font>
      <sz val="10"/>
      <color indexed="61"/>
      <name val="Times New Roman"/>
      <family val="1"/>
    </font>
    <font>
      <sz val="10"/>
      <color indexed="60"/>
      <name val="Times New Roman"/>
      <family val="1"/>
    </font>
    <font>
      <sz val="10"/>
      <color indexed="10"/>
      <name val="Times New Roman"/>
      <family val="1"/>
    </font>
    <font>
      <sz val="10"/>
      <color indexed="14"/>
      <name val="Times New Roman"/>
      <family val="1"/>
    </font>
    <font>
      <b/>
      <u/>
      <sz val="14"/>
      <name val="Arial"/>
      <family val="2"/>
    </font>
    <font>
      <sz val="12"/>
      <name val="Arial"/>
      <family val="2"/>
    </font>
    <font>
      <sz val="18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Wingdings"/>
      <charset val="2"/>
    </font>
    <font>
      <u/>
      <sz val="10"/>
      <name val="Times New Roman"/>
      <family val="1"/>
    </font>
    <font>
      <u/>
      <sz val="10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name val="Tahoma"/>
      <family val="2"/>
    </font>
    <font>
      <sz val="10"/>
      <color indexed="10"/>
      <name val="Arial"/>
      <family val="2"/>
    </font>
    <font>
      <sz val="9"/>
      <name val="Arial"/>
      <family val="2"/>
    </font>
    <font>
      <sz val="1"/>
      <color indexed="8"/>
      <name val="Arial"/>
      <family val="2"/>
    </font>
    <font>
      <sz val="10"/>
      <color rgb="FFFF0000"/>
      <name val="Times New Roman"/>
      <family val="1"/>
    </font>
    <font>
      <sz val="10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name val="Tahoma"/>
      <family val="2"/>
    </font>
    <font>
      <b/>
      <sz val="10"/>
      <color indexed="12"/>
      <name val="Tahoma"/>
      <family val="2"/>
    </font>
    <font>
      <sz val="10"/>
      <color indexed="12"/>
      <name val="Arial"/>
      <family val="2"/>
    </font>
    <font>
      <sz val="12"/>
      <name val="Helv"/>
    </font>
    <font>
      <b/>
      <sz val="14"/>
      <name val="Arial"/>
      <family val="2"/>
    </font>
    <font>
      <sz val="6"/>
      <name val="Arial"/>
      <family val="2"/>
    </font>
    <font>
      <b/>
      <i/>
      <sz val="22"/>
      <color indexed="8"/>
      <name val="Times New Roman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7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2"/>
    </font>
    <font>
      <sz val="8"/>
      <color rgb="FF000000"/>
      <name val="Arial"/>
      <family val="2"/>
    </font>
    <font>
      <b/>
      <sz val="9"/>
      <name val="Tahoma"/>
      <family val="2"/>
    </font>
    <font>
      <b/>
      <sz val="9"/>
      <color rgb="FF0070C0"/>
      <name val="Tahoma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Tahoma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403152"/>
      <name val="Tahom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rgb="FF0070C0"/>
      <name val="Arial"/>
      <family val="2"/>
    </font>
    <font>
      <sz val="10"/>
      <color theme="1"/>
      <name val="Arial"/>
      <family val="2"/>
    </font>
    <font>
      <sz val="14"/>
      <color theme="1"/>
      <name val="Calibri"/>
      <family val="2"/>
    </font>
    <font>
      <b/>
      <sz val="11"/>
      <color rgb="FFFF0000"/>
      <name val="Calibri"/>
      <family val="2"/>
    </font>
    <font>
      <sz val="11"/>
      <color indexed="6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sz val="11"/>
      <color rgb="FF000000"/>
      <name val="Calibri"/>
      <family val="2"/>
    </font>
    <font>
      <b/>
      <i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u val="singleAccounting"/>
      <sz val="12"/>
      <color theme="1"/>
      <name val="Arial"/>
      <family val="2"/>
    </font>
    <font>
      <sz val="12"/>
      <color rgb="FF0000FF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  <font>
      <sz val="12"/>
      <color theme="1"/>
      <name val="Times New Roman"/>
      <family val="2"/>
    </font>
    <font>
      <sz val="11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</patternFill>
    </fill>
    <fill>
      <patternFill patternType="solid">
        <fgColor indexed="25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32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9" tint="0.79998168889431442"/>
        <bgColor indexed="64"/>
      </patternFill>
    </fill>
  </fills>
  <borders count="130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289">
    <xf numFmtId="37" fontId="0" fillId="0" borderId="0"/>
    <xf numFmtId="185" fontId="54" fillId="3" borderId="0">
      <alignment horizontal="left"/>
    </xf>
    <xf numFmtId="185" fontId="55" fillId="3" borderId="0">
      <alignment horizontal="right"/>
    </xf>
    <xf numFmtId="185" fontId="56" fillId="4" borderId="0">
      <alignment horizontal="center"/>
    </xf>
    <xf numFmtId="185" fontId="55" fillId="3" borderId="0">
      <alignment horizontal="right"/>
    </xf>
    <xf numFmtId="185" fontId="57" fillId="4" borderId="0">
      <alignment horizontal="left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0" fillId="0" borderId="0" applyFont="0" applyFill="0" applyBorder="0" applyAlignment="0" applyProtection="0"/>
    <xf numFmtId="37" fontId="27" fillId="0" borderId="0" applyFont="0" applyFill="0" applyBorder="0" applyAlignment="0" applyProtection="0"/>
    <xf numFmtId="3" fontId="49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2" fontId="49" fillId="0" borderId="0" applyFont="0" applyFill="0" applyBorder="0" applyAlignment="0" applyProtection="0"/>
    <xf numFmtId="185" fontId="50" fillId="0" borderId="0" applyNumberFormat="0" applyFont="0" applyFill="0" applyAlignment="0" applyProtection="0"/>
    <xf numFmtId="185" fontId="31" fillId="0" borderId="0" applyNumberFormat="0" applyFont="0" applyFill="0" applyAlignment="0" applyProtection="0"/>
    <xf numFmtId="185" fontId="54" fillId="3" borderId="0">
      <alignment horizontal="left"/>
    </xf>
    <xf numFmtId="185" fontId="58" fillId="4" borderId="0">
      <alignment horizontal="left"/>
    </xf>
    <xf numFmtId="185" fontId="28" fillId="0" borderId="0"/>
    <xf numFmtId="185" fontId="27" fillId="0" borderId="0"/>
    <xf numFmtId="185" fontId="28" fillId="0" borderId="0"/>
    <xf numFmtId="185" fontId="28" fillId="0" borderId="0"/>
    <xf numFmtId="185" fontId="27" fillId="0" borderId="0">
      <alignment vertical="top"/>
    </xf>
    <xf numFmtId="185" fontId="27" fillId="0" borderId="0"/>
    <xf numFmtId="185" fontId="31" fillId="0" borderId="0"/>
    <xf numFmtId="185" fontId="27" fillId="0" borderId="0"/>
    <xf numFmtId="185" fontId="31" fillId="0" borderId="0"/>
    <xf numFmtId="185" fontId="27" fillId="0" borderId="0"/>
    <xf numFmtId="184" fontId="59" fillId="4" borderId="0">
      <alignment horizontal="right"/>
    </xf>
    <xf numFmtId="185" fontId="60" fillId="6" borderId="0">
      <alignment horizontal="center"/>
    </xf>
    <xf numFmtId="185" fontId="54" fillId="7" borderId="0"/>
    <xf numFmtId="185" fontId="61" fillId="4" borderId="0" applyBorder="0">
      <alignment horizontal="centerContinuous"/>
    </xf>
    <xf numFmtId="185" fontId="62" fillId="7" borderId="0" applyBorder="0">
      <alignment horizontal="centerContinuous"/>
    </xf>
    <xf numFmtId="9" fontId="28" fillId="0" borderId="0" applyFont="0" applyFill="0" applyBorder="0" applyAlignment="0" applyProtection="0"/>
    <xf numFmtId="185" fontId="58" fillId="5" borderId="0">
      <alignment horizontal="center"/>
    </xf>
    <xf numFmtId="49" fontId="63" fillId="4" borderId="0">
      <alignment horizontal="center"/>
    </xf>
    <xf numFmtId="185" fontId="55" fillId="3" borderId="0">
      <alignment horizontal="center"/>
    </xf>
    <xf numFmtId="185" fontId="55" fillId="3" borderId="0">
      <alignment horizontal="centerContinuous"/>
    </xf>
    <xf numFmtId="185" fontId="64" fillId="4" borderId="0">
      <alignment horizontal="left"/>
    </xf>
    <xf numFmtId="49" fontId="64" fillId="4" borderId="0">
      <alignment horizontal="center"/>
    </xf>
    <xf numFmtId="185" fontId="54" fillId="3" borderId="0">
      <alignment horizontal="left"/>
    </xf>
    <xf numFmtId="49" fontId="64" fillId="4" borderId="0">
      <alignment horizontal="left"/>
    </xf>
    <xf numFmtId="185" fontId="54" fillId="3" borderId="0">
      <alignment horizontal="centerContinuous"/>
    </xf>
    <xf numFmtId="185" fontId="54" fillId="3" borderId="0">
      <alignment horizontal="right"/>
    </xf>
    <xf numFmtId="49" fontId="58" fillId="4" borderId="0">
      <alignment horizontal="left"/>
    </xf>
    <xf numFmtId="185" fontId="55" fillId="3" borderId="0">
      <alignment horizontal="right"/>
    </xf>
    <xf numFmtId="185" fontId="64" fillId="2" borderId="0">
      <alignment horizontal="center"/>
    </xf>
    <xf numFmtId="185" fontId="33" fillId="2" borderId="0">
      <alignment horizontal="center"/>
    </xf>
    <xf numFmtId="185" fontId="49" fillId="0" borderId="1" applyNumberFormat="0" applyFont="0" applyBorder="0" applyAlignment="0" applyProtection="0"/>
    <xf numFmtId="185" fontId="65" fillId="4" borderId="0">
      <alignment horizontal="center"/>
    </xf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6" fillId="13" borderId="24" applyNumberFormat="0" applyFont="0" applyAlignment="0" applyProtection="0"/>
    <xf numFmtId="0" fontId="38" fillId="0" borderId="0"/>
    <xf numFmtId="0" fontId="27" fillId="10" borderId="0"/>
    <xf numFmtId="0" fontId="25" fillId="16" borderId="0" applyNumberFormat="0" applyBorder="0" applyAlignment="0" applyProtection="0"/>
    <xf numFmtId="189" fontId="88" fillId="0" borderId="17" applyBorder="0">
      <alignment horizontal="center" vertical="center"/>
    </xf>
    <xf numFmtId="0" fontId="54" fillId="3" borderId="0">
      <alignment horizontal="left"/>
    </xf>
    <xf numFmtId="0" fontId="55" fillId="3" borderId="0">
      <alignment horizontal="right"/>
    </xf>
    <xf numFmtId="0" fontId="56" fillId="4" borderId="0">
      <alignment horizontal="center"/>
    </xf>
    <xf numFmtId="0" fontId="55" fillId="3" borderId="0">
      <alignment horizontal="right"/>
    </xf>
    <xf numFmtId="0" fontId="57" fillId="4" borderId="0">
      <alignment horizontal="left"/>
    </xf>
    <xf numFmtId="43" fontId="38" fillId="0" borderId="0" applyFont="0" applyFill="0" applyBorder="0" applyAlignment="0" applyProtection="0"/>
    <xf numFmtId="43" fontId="27" fillId="0" borderId="0" applyFont="0" applyFill="0" applyBorder="0" applyAlignment="0" applyProtection="0"/>
    <xf numFmtId="3" fontId="32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7" fillId="21" borderId="26" applyNumberFormat="0" applyFont="0" applyAlignment="0">
      <protection locked="0"/>
    </xf>
    <xf numFmtId="190" fontId="27" fillId="0" borderId="0" applyFont="0" applyFill="0" applyBorder="0" applyAlignment="0" applyProtection="0"/>
    <xf numFmtId="0" fontId="53" fillId="0" borderId="0" applyProtection="0"/>
    <xf numFmtId="0" fontId="35" fillId="0" borderId="0" applyProtection="0"/>
    <xf numFmtId="0" fontId="81" fillId="0" borderId="0" applyProtection="0"/>
    <xf numFmtId="0" fontId="31" fillId="0" borderId="0" applyProtection="0"/>
    <xf numFmtId="0" fontId="27" fillId="0" borderId="0" applyProtection="0"/>
    <xf numFmtId="0" fontId="53" fillId="0" borderId="0" applyProtection="0"/>
    <xf numFmtId="0" fontId="82" fillId="0" borderId="0" applyProtection="0"/>
    <xf numFmtId="0" fontId="54" fillId="3" borderId="0">
      <alignment horizontal="left"/>
    </xf>
    <xf numFmtId="0" fontId="58" fillId="4" borderId="0">
      <alignment horizontal="left"/>
    </xf>
    <xf numFmtId="0" fontId="27" fillId="0" borderId="0"/>
    <xf numFmtId="0" fontId="27" fillId="0" borderId="0"/>
    <xf numFmtId="0" fontId="27" fillId="0" borderId="0"/>
    <xf numFmtId="4" fontId="59" fillId="22" borderId="0">
      <alignment horizontal="right"/>
    </xf>
    <xf numFmtId="40" fontId="84" fillId="22" borderId="0">
      <alignment horizontal="right"/>
    </xf>
    <xf numFmtId="40" fontId="84" fillId="22" borderId="0">
      <alignment horizontal="right"/>
    </xf>
    <xf numFmtId="0" fontId="60" fillId="22" borderId="0">
      <alignment horizontal="center" vertical="center"/>
    </xf>
    <xf numFmtId="0" fontId="85" fillId="22" borderId="0">
      <alignment horizontal="right"/>
    </xf>
    <xf numFmtId="0" fontId="85" fillId="22" borderId="0">
      <alignment horizontal="right"/>
    </xf>
    <xf numFmtId="0" fontId="58" fillId="22" borderId="17"/>
    <xf numFmtId="0" fontId="86" fillId="22" borderId="17"/>
    <xf numFmtId="0" fontId="86" fillId="22" borderId="17"/>
    <xf numFmtId="0" fontId="60" fillId="22" borderId="0" applyBorder="0">
      <alignment horizontal="centerContinuous"/>
    </xf>
    <xf numFmtId="0" fontId="86" fillId="0" borderId="0" applyBorder="0">
      <alignment horizontal="centerContinuous"/>
    </xf>
    <xf numFmtId="0" fontId="86" fillId="0" borderId="0" applyBorder="0">
      <alignment horizontal="centerContinuous"/>
    </xf>
    <xf numFmtId="0" fontId="83" fillId="22" borderId="0" applyBorder="0">
      <alignment horizontal="centerContinuous"/>
    </xf>
    <xf numFmtId="0" fontId="87" fillId="0" borderId="0" applyBorder="0">
      <alignment horizontal="centerContinuous"/>
    </xf>
    <xf numFmtId="0" fontId="87" fillId="0" borderId="0" applyBorder="0">
      <alignment horizontal="centerContinuous"/>
    </xf>
    <xf numFmtId="9" fontId="3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89" fillId="0" borderId="0" applyNumberFormat="0" applyFont="0" applyFill="0" applyBorder="0" applyAlignment="0" applyProtection="0">
      <alignment horizontal="left"/>
    </xf>
    <xf numFmtId="15" fontId="89" fillId="0" borderId="0" applyFont="0" applyFill="0" applyBorder="0" applyAlignment="0" applyProtection="0"/>
    <xf numFmtId="4" fontId="89" fillId="0" borderId="0" applyFont="0" applyFill="0" applyBorder="0" applyAlignment="0" applyProtection="0"/>
    <xf numFmtId="0" fontId="90" fillId="0" borderId="5">
      <alignment horizontal="center"/>
    </xf>
    <xf numFmtId="3" fontId="89" fillId="0" borderId="0" applyFont="0" applyFill="0" applyBorder="0" applyAlignment="0" applyProtection="0"/>
    <xf numFmtId="0" fontId="89" fillId="23" borderId="0" applyNumberFormat="0" applyFont="0" applyBorder="0" applyAlignment="0" applyProtection="0"/>
    <xf numFmtId="0" fontId="58" fillId="5" borderId="0">
      <alignment horizontal="center"/>
    </xf>
    <xf numFmtId="0" fontId="55" fillId="3" borderId="0">
      <alignment horizontal="center"/>
    </xf>
    <xf numFmtId="0" fontId="55" fillId="3" borderId="0">
      <alignment horizontal="centerContinuous"/>
    </xf>
    <xf numFmtId="0" fontId="64" fillId="4" borderId="0">
      <alignment horizontal="left"/>
    </xf>
    <xf numFmtId="0" fontId="54" fillId="3" borderId="0">
      <alignment horizontal="left"/>
    </xf>
    <xf numFmtId="0" fontId="54" fillId="3" borderId="0">
      <alignment horizontal="centerContinuous"/>
    </xf>
    <xf numFmtId="0" fontId="54" fillId="3" borderId="0">
      <alignment horizontal="right"/>
    </xf>
    <xf numFmtId="0" fontId="55" fillId="3" borderId="0">
      <alignment horizontal="right"/>
    </xf>
    <xf numFmtId="0" fontId="64" fillId="2" borderId="0">
      <alignment horizontal="center"/>
    </xf>
    <xf numFmtId="0" fontId="33" fillId="2" borderId="0">
      <alignment horizontal="center"/>
    </xf>
    <xf numFmtId="4" fontId="53" fillId="24" borderId="27" applyNumberFormat="0" applyProtection="0">
      <alignment vertical="center"/>
    </xf>
    <xf numFmtId="4" fontId="52" fillId="24" borderId="28" applyNumberFormat="0" applyProtection="0">
      <alignment vertical="center"/>
    </xf>
    <xf numFmtId="4" fontId="53" fillId="24" borderId="27" applyNumberFormat="0" applyProtection="0">
      <alignment horizontal="left" vertical="center" indent="1"/>
    </xf>
    <xf numFmtId="0" fontId="53" fillId="25" borderId="28" applyNumberFormat="0" applyProtection="0">
      <alignment horizontal="left" vertical="top" indent="1"/>
    </xf>
    <xf numFmtId="4" fontId="53" fillId="7" borderId="0" applyNumberFormat="0" applyProtection="0">
      <alignment horizontal="left" vertical="center" indent="1"/>
    </xf>
    <xf numFmtId="4" fontId="27" fillId="24" borderId="28" applyNumberFormat="0" applyProtection="0">
      <alignment horizontal="right" vertical="center"/>
    </xf>
    <xf numFmtId="4" fontId="91" fillId="26" borderId="28" applyNumberFormat="0" applyProtection="0">
      <alignment horizontal="right" vertical="center"/>
    </xf>
    <xf numFmtId="4" fontId="91" fillId="27" borderId="28" applyNumberFormat="0" applyProtection="0">
      <alignment horizontal="right" vertical="center"/>
    </xf>
    <xf numFmtId="4" fontId="27" fillId="5" borderId="28" applyNumberFormat="0" applyProtection="0">
      <alignment horizontal="right" vertical="center"/>
    </xf>
    <xf numFmtId="4" fontId="27" fillId="15" borderId="28" applyNumberFormat="0" applyProtection="0">
      <alignment horizontal="right" vertical="center"/>
    </xf>
    <xf numFmtId="4" fontId="27" fillId="17" borderId="28" applyNumberFormat="0" applyProtection="0">
      <alignment horizontal="right" vertical="center"/>
    </xf>
    <xf numFmtId="4" fontId="91" fillId="20" borderId="28" applyNumberFormat="0" applyProtection="0">
      <alignment horizontal="right" vertical="center"/>
    </xf>
    <xf numFmtId="4" fontId="91" fillId="28" borderId="28" applyNumberFormat="0" applyProtection="0">
      <alignment horizontal="right" vertical="center"/>
    </xf>
    <xf numFmtId="4" fontId="27" fillId="19" borderId="28" applyNumberFormat="0" applyProtection="0">
      <alignment horizontal="right" vertical="center"/>
    </xf>
    <xf numFmtId="4" fontId="53" fillId="29" borderId="0" applyNumberFormat="0" applyProtection="0">
      <alignment horizontal="left" vertical="center" indent="1"/>
    </xf>
    <xf numFmtId="4" fontId="27" fillId="18" borderId="0" applyNumberFormat="0" applyProtection="0">
      <alignment horizontal="left" vertical="center" indent="1"/>
    </xf>
    <xf numFmtId="4" fontId="63" fillId="30" borderId="0" applyNumberFormat="0" applyProtection="0">
      <alignment horizontal="left" vertical="center" indent="1"/>
    </xf>
    <xf numFmtId="4" fontId="27" fillId="18" borderId="27" applyNumberFormat="0" applyProtection="0">
      <alignment horizontal="right" vertical="center"/>
    </xf>
    <xf numFmtId="4" fontId="27" fillId="18" borderId="0" applyNumberFormat="0" applyProtection="0">
      <alignment horizontal="left" vertical="center" indent="1"/>
    </xf>
    <xf numFmtId="4" fontId="27" fillId="25" borderId="0" applyNumberFormat="0" applyProtection="0">
      <alignment horizontal="left" vertical="center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4" fontId="59" fillId="31" borderId="28" applyNumberFormat="0" applyProtection="0">
      <alignment vertical="center"/>
    </xf>
    <xf numFmtId="4" fontId="92" fillId="31" borderId="28" applyNumberFormat="0" applyProtection="0">
      <alignment vertical="center"/>
    </xf>
    <xf numFmtId="4" fontId="27" fillId="18" borderId="28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4" fontId="27" fillId="32" borderId="27" applyNumberFormat="0" applyProtection="0">
      <alignment horizontal="right" vertical="center"/>
    </xf>
    <xf numFmtId="4" fontId="53" fillId="32" borderId="27" applyNumberFormat="0" applyProtection="0">
      <alignment horizontal="right" vertical="center"/>
    </xf>
    <xf numFmtId="4" fontId="27" fillId="18" borderId="27" applyNumberFormat="0" applyProtection="0">
      <alignment horizontal="left" vertical="center" indent="1"/>
    </xf>
    <xf numFmtId="0" fontId="27" fillId="18" borderId="27" applyNumberFormat="0" applyProtection="0">
      <alignment horizontal="left" vertical="top" indent="1"/>
    </xf>
    <xf numFmtId="4" fontId="93" fillId="0" borderId="0" applyNumberFormat="0" applyProtection="0">
      <alignment horizontal="left" vertical="center" indent="1"/>
    </xf>
    <xf numFmtId="4" fontId="27" fillId="0" borderId="28" applyNumberFormat="0" applyProtection="0">
      <alignment horizontal="right" vertical="center"/>
    </xf>
    <xf numFmtId="0" fontId="27" fillId="0" borderId="29" applyNumberFormat="0" applyFont="0" applyFill="0" applyBorder="0" applyAlignment="0" applyProtection="0"/>
    <xf numFmtId="0" fontId="27" fillId="0" borderId="0"/>
    <xf numFmtId="0" fontId="69" fillId="0" borderId="0"/>
    <xf numFmtId="0" fontId="65" fillId="4" borderId="0">
      <alignment horizontal="center"/>
    </xf>
    <xf numFmtId="43" fontId="25" fillId="0" borderId="0" applyFont="0" applyFill="0" applyBorder="0" applyAlignment="0" applyProtection="0"/>
    <xf numFmtId="0" fontId="25" fillId="16" borderId="0" applyNumberFormat="0" applyBorder="0" applyAlignment="0" applyProtection="0"/>
    <xf numFmtId="0" fontId="27" fillId="0" borderId="0"/>
    <xf numFmtId="0" fontId="25" fillId="16" borderId="0" applyNumberFormat="0" applyBorder="0" applyAlignment="0" applyProtection="0"/>
    <xf numFmtId="0" fontId="27" fillId="10" borderId="0"/>
    <xf numFmtId="0" fontId="94" fillId="15" borderId="0" applyNumberFormat="0" applyBorder="0" applyAlignment="0" applyProtection="0"/>
    <xf numFmtId="0" fontId="94" fillId="33" borderId="0" applyNumberFormat="0" applyBorder="0" applyAlignment="0" applyProtection="0"/>
    <xf numFmtId="0" fontId="94" fillId="34" borderId="0" applyNumberFormat="0" applyBorder="0" applyAlignment="0" applyProtection="0"/>
    <xf numFmtId="0" fontId="94" fillId="2" borderId="0" applyNumberFormat="0" applyBorder="0" applyAlignment="0" applyProtection="0"/>
    <xf numFmtId="0" fontId="94" fillId="35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3" borderId="0" applyNumberFormat="0" applyBorder="0" applyAlignment="0" applyProtection="0"/>
    <xf numFmtId="0" fontId="94" fillId="5" borderId="0" applyNumberFormat="0" applyBorder="0" applyAlignment="0" applyProtection="0"/>
    <xf numFmtId="0" fontId="94" fillId="17" borderId="0" applyNumberFormat="0" applyBorder="0" applyAlignment="0" applyProtection="0"/>
    <xf numFmtId="0" fontId="94" fillId="35" borderId="0" applyNumberFormat="0" applyBorder="0" applyAlignment="0" applyProtection="0"/>
    <xf numFmtId="0" fontId="94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18" borderId="0" applyNumberFormat="0" applyBorder="0" applyAlignment="0" applyProtection="0"/>
    <xf numFmtId="0" fontId="95" fillId="36" borderId="0" applyNumberFormat="0" applyBorder="0" applyAlignment="0" applyProtection="0"/>
    <xf numFmtId="0" fontId="95" fillId="17" borderId="0" applyNumberFormat="0" applyBorder="0" applyAlignment="0" applyProtection="0"/>
    <xf numFmtId="0" fontId="95" fillId="35" borderId="0" applyNumberFormat="0" applyBorder="0" applyAlignment="0" applyProtection="0"/>
    <xf numFmtId="0" fontId="95" fillId="33" borderId="0" applyNumberFormat="0" applyBorder="0" applyAlignment="0" applyProtection="0"/>
    <xf numFmtId="0" fontId="95" fillId="37" borderId="0" applyNumberFormat="0" applyBorder="0" applyAlignment="0" applyProtection="0"/>
    <xf numFmtId="0" fontId="95" fillId="18" borderId="0" applyNumberFormat="0" applyBorder="0" applyAlignment="0" applyProtection="0"/>
    <xf numFmtId="0" fontId="95" fillId="36" borderId="0" applyNumberFormat="0" applyBorder="0" applyAlignment="0" applyProtection="0"/>
    <xf numFmtId="0" fontId="95" fillId="38" borderId="0" applyNumberFormat="0" applyBorder="0" applyAlignment="0" applyProtection="0"/>
    <xf numFmtId="0" fontId="95" fillId="19" borderId="0" applyNumberFormat="0" applyBorder="0" applyAlignment="0" applyProtection="0"/>
    <xf numFmtId="0" fontId="95" fillId="20" borderId="0" applyNumberFormat="0" applyBorder="0" applyAlignment="0" applyProtection="0"/>
    <xf numFmtId="0" fontId="96" fillId="39" borderId="0" applyNumberFormat="0" applyBorder="0" applyAlignment="0" applyProtection="0"/>
    <xf numFmtId="0" fontId="97" fillId="4" borderId="30" applyNumberFormat="0" applyAlignment="0" applyProtection="0"/>
    <xf numFmtId="0" fontId="98" fillId="40" borderId="31" applyNumberFormat="0" applyAlignment="0" applyProtection="0"/>
    <xf numFmtId="0" fontId="27" fillId="21" borderId="26" applyNumberFormat="0" applyFont="0" applyAlignment="0">
      <protection locked="0"/>
    </xf>
    <xf numFmtId="0" fontId="99" fillId="0" borderId="0" applyNumberFormat="0" applyFill="0" applyBorder="0" applyAlignment="0" applyProtection="0"/>
    <xf numFmtId="0" fontId="100" fillId="35" borderId="0" applyNumberFormat="0" applyBorder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3" fillId="0" borderId="34" applyNumberFormat="0" applyFill="0" applyAlignment="0" applyProtection="0"/>
    <xf numFmtId="0" fontId="103" fillId="0" borderId="0" applyNumberFormat="0" applyFill="0" applyBorder="0" applyAlignment="0" applyProtection="0"/>
    <xf numFmtId="0" fontId="104" fillId="5" borderId="30" applyNumberFormat="0" applyAlignment="0" applyProtection="0"/>
    <xf numFmtId="0" fontId="58" fillId="4" borderId="0">
      <alignment horizontal="left"/>
    </xf>
    <xf numFmtId="0" fontId="105" fillId="0" borderId="35" applyNumberFormat="0" applyFill="0" applyAlignment="0" applyProtection="0"/>
    <xf numFmtId="0" fontId="106" fillId="5" borderId="0" applyNumberFormat="0" applyBorder="0" applyAlignment="0" applyProtection="0"/>
    <xf numFmtId="0" fontId="38" fillId="34" borderId="36" applyNumberFormat="0" applyFont="0" applyAlignment="0" applyProtection="0"/>
    <xf numFmtId="0" fontId="107" fillId="4" borderId="37" applyNumberFormat="0" applyAlignment="0" applyProtection="0"/>
    <xf numFmtId="0" fontId="58" fillId="5" borderId="0">
      <alignment horizontal="center"/>
    </xf>
    <xf numFmtId="49" fontId="58" fillId="4" borderId="0">
      <alignment horizontal="left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108" fillId="0" borderId="0" applyNumberFormat="0" applyFill="0" applyBorder="0" applyAlignment="0" applyProtection="0"/>
    <xf numFmtId="0" fontId="109" fillId="0" borderId="38" applyNumberFormat="0" applyFill="0" applyAlignment="0" applyProtection="0"/>
    <xf numFmtId="0" fontId="105" fillId="0" borderId="0" applyNumberFormat="0" applyFill="0" applyBorder="0" applyAlignment="0" applyProtection="0"/>
    <xf numFmtId="39" fontId="80" fillId="0" borderId="0"/>
    <xf numFmtId="0" fontId="27" fillId="0" borderId="0"/>
    <xf numFmtId="0" fontId="38" fillId="0" borderId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53" fillId="24" borderId="27" applyNumberFormat="0" applyProtection="0">
      <alignment vertical="center"/>
    </xf>
    <xf numFmtId="4" fontId="53" fillId="24" borderId="27" applyNumberFormat="0" applyProtection="0">
      <alignment horizontal="left" vertical="center" indent="1"/>
    </xf>
    <xf numFmtId="0" fontId="53" fillId="25" borderId="28" applyNumberFormat="0" applyProtection="0">
      <alignment horizontal="left" vertical="top" indent="1"/>
    </xf>
    <xf numFmtId="4" fontId="53" fillId="7" borderId="0" applyNumberFormat="0" applyProtection="0">
      <alignment horizontal="left" vertical="center" indent="1"/>
    </xf>
    <xf numFmtId="4" fontId="27" fillId="24" borderId="28" applyNumberFormat="0" applyProtection="0">
      <alignment horizontal="right" vertical="center"/>
    </xf>
    <xf numFmtId="4" fontId="27" fillId="5" borderId="28" applyNumberFormat="0" applyProtection="0">
      <alignment horizontal="right" vertical="center"/>
    </xf>
    <xf numFmtId="4" fontId="27" fillId="15" borderId="28" applyNumberFormat="0" applyProtection="0">
      <alignment horizontal="right" vertical="center"/>
    </xf>
    <xf numFmtId="4" fontId="27" fillId="17" borderId="28" applyNumberFormat="0" applyProtection="0">
      <alignment horizontal="right" vertical="center"/>
    </xf>
    <xf numFmtId="4" fontId="27" fillId="19" borderId="28" applyNumberFormat="0" applyProtection="0">
      <alignment horizontal="right" vertical="center"/>
    </xf>
    <xf numFmtId="4" fontId="53" fillId="29" borderId="0" applyNumberFormat="0" applyProtection="0">
      <alignment horizontal="left" vertical="center" indent="1"/>
    </xf>
    <xf numFmtId="4" fontId="27" fillId="18" borderId="0" applyNumberFormat="0" applyProtection="0">
      <alignment horizontal="left" vertical="center" indent="1"/>
    </xf>
    <xf numFmtId="4" fontId="63" fillId="30" borderId="0" applyNumberFormat="0" applyProtection="0">
      <alignment horizontal="left" vertical="center" indent="1"/>
    </xf>
    <xf numFmtId="4" fontId="27" fillId="18" borderId="27" applyNumberFormat="0" applyProtection="0">
      <alignment horizontal="right" vertical="center"/>
    </xf>
    <xf numFmtId="4" fontId="27" fillId="18" borderId="0" applyNumberFormat="0" applyProtection="0">
      <alignment horizontal="left" vertical="center" indent="1"/>
    </xf>
    <xf numFmtId="4" fontId="27" fillId="25" borderId="0" applyNumberFormat="0" applyProtection="0">
      <alignment horizontal="left" vertical="center" indent="1"/>
    </xf>
    <xf numFmtId="4" fontId="27" fillId="18" borderId="28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4" fontId="27" fillId="32" borderId="27" applyNumberFormat="0" applyProtection="0">
      <alignment horizontal="right" vertical="center"/>
    </xf>
    <xf numFmtId="4" fontId="53" fillId="32" borderId="27" applyNumberFormat="0" applyProtection="0">
      <alignment horizontal="right" vertical="center"/>
    </xf>
    <xf numFmtId="4" fontId="27" fillId="18" borderId="27" applyNumberFormat="0" applyProtection="0">
      <alignment horizontal="left" vertical="center" indent="1"/>
    </xf>
    <xf numFmtId="0" fontId="27" fillId="18" borderId="27" applyNumberFormat="0" applyProtection="0">
      <alignment horizontal="left" vertical="top" indent="1"/>
    </xf>
    <xf numFmtId="4" fontId="27" fillId="0" borderId="28" applyNumberFormat="0" applyProtection="0">
      <alignment horizontal="right" vertical="center"/>
    </xf>
    <xf numFmtId="0" fontId="27" fillId="0" borderId="29" applyNumberFormat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" fillId="0" borderId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97" fillId="4" borderId="30" applyNumberFormat="0" applyAlignment="0" applyProtection="0"/>
    <xf numFmtId="0" fontId="58" fillId="22" borderId="17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5" fillId="0" borderId="0"/>
    <xf numFmtId="43" fontId="25" fillId="0" borderId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4" fillId="16" borderId="0" applyNumberFormat="0" applyBorder="0" applyAlignment="0" applyProtection="0"/>
    <xf numFmtId="4" fontId="27" fillId="5" borderId="54" applyNumberFormat="0" applyProtection="0">
      <alignment horizontal="right" vertical="center"/>
    </xf>
    <xf numFmtId="0" fontId="27" fillId="18" borderId="53" applyNumberFormat="0" applyProtection="0">
      <alignment horizontal="left" vertical="top" indent="1"/>
    </xf>
    <xf numFmtId="0" fontId="27" fillId="18" borderId="61" applyNumberFormat="0" applyProtection="0">
      <alignment horizontal="left" vertical="top" indent="1"/>
    </xf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4" fontId="52" fillId="24" borderId="42" applyNumberFormat="0" applyProtection="0">
      <alignment vertical="center"/>
    </xf>
    <xf numFmtId="4" fontId="53" fillId="24" borderId="41" applyNumberFormat="0" applyProtection="0">
      <alignment horizontal="left" vertical="center" indent="1"/>
    </xf>
    <xf numFmtId="4" fontId="91" fillId="26" borderId="42" applyNumberFormat="0" applyProtection="0">
      <alignment horizontal="right" vertical="center"/>
    </xf>
    <xf numFmtId="4" fontId="91" fillId="27" borderId="42" applyNumberFormat="0" applyProtection="0">
      <alignment horizontal="right" vertical="center"/>
    </xf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44" applyNumberFormat="0" applyAlignment="0" applyProtection="0"/>
    <xf numFmtId="0" fontId="27" fillId="0" borderId="62" applyNumberFormat="0" applyFont="0" applyFill="0" applyBorder="0" applyAlignment="0" applyProtection="0"/>
    <xf numFmtId="4" fontId="27" fillId="18" borderId="61" applyNumberFormat="0" applyProtection="0">
      <alignment horizontal="left" vertical="center" indent="1"/>
    </xf>
    <xf numFmtId="0" fontId="27" fillId="0" borderId="59" applyNumberFormat="0" applyFont="0" applyFill="0" applyBorder="0" applyAlignment="0" applyProtection="0"/>
    <xf numFmtId="4" fontId="53" fillId="24" borderId="41" applyNumberFormat="0" applyProtection="0">
      <alignment vertical="center"/>
    </xf>
    <xf numFmtId="0" fontId="27" fillId="0" borderId="43" applyNumberFormat="0" applyFont="0" applyFill="0" applyBorder="0" applyAlignment="0" applyProtection="0"/>
    <xf numFmtId="0" fontId="38" fillId="34" borderId="49" applyNumberFormat="0" applyFon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97" fillId="4" borderId="44" applyNumberFormat="0" applyAlignment="0" applyProtection="0"/>
    <xf numFmtId="0" fontId="104" fillId="5" borderId="44" applyNumberFormat="0" applyAlignment="0" applyProtection="0"/>
    <xf numFmtId="0" fontId="38" fillId="34" borderId="45" applyNumberFormat="0" applyFont="0" applyAlignment="0" applyProtection="0"/>
    <xf numFmtId="0" fontId="38" fillId="34" borderId="45" applyNumberFormat="0" applyFont="0" applyAlignment="0" applyProtection="0"/>
    <xf numFmtId="0" fontId="97" fillId="4" borderId="55" applyNumberFormat="0" applyAlignment="0" applyProtection="0"/>
    <xf numFmtId="0" fontId="97" fillId="4" borderId="55" applyNumberFormat="0" applyAlignment="0" applyProtection="0"/>
    <xf numFmtId="4" fontId="27" fillId="15" borderId="42" applyNumberFormat="0" applyProtection="0">
      <alignment horizontal="right" vertical="center"/>
    </xf>
    <xf numFmtId="0" fontId="107" fillId="4" borderId="50" applyNumberFormat="0" applyAlignment="0" applyProtection="0"/>
    <xf numFmtId="4" fontId="27" fillId="24" borderId="54" applyNumberFormat="0" applyProtection="0">
      <alignment horizontal="right" vertical="center"/>
    </xf>
    <xf numFmtId="0" fontId="38" fillId="34" borderId="45" applyNumberFormat="0" applyFont="0" applyAlignment="0" applyProtection="0"/>
    <xf numFmtId="0" fontId="38" fillId="34" borderId="39" applyNumberFormat="0" applyFont="0" applyAlignment="0" applyProtection="0"/>
    <xf numFmtId="0" fontId="27" fillId="18" borderId="42" applyNumberFormat="0" applyProtection="0">
      <alignment horizontal="left" vertical="top" indent="1"/>
    </xf>
    <xf numFmtId="0" fontId="97" fillId="4" borderId="44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97" fillId="4" borderId="55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4" fontId="27" fillId="0" borderId="54" applyNumberFormat="0" applyProtection="0">
      <alignment horizontal="right" vertical="center"/>
    </xf>
    <xf numFmtId="0" fontId="27" fillId="18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4" fontId="59" fillId="31" borderId="54" applyNumberFormat="0" applyProtection="0">
      <alignment vertical="center"/>
    </xf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18" borderId="54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27" fillId="18" borderId="53" applyNumberFormat="0" applyProtection="0">
      <alignment horizontal="left" vertical="center" indent="1"/>
    </xf>
    <xf numFmtId="4" fontId="53" fillId="32" borderId="41" applyNumberFormat="0" applyProtection="0">
      <alignment horizontal="right" vertical="center"/>
    </xf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53" fillId="25" borderId="61" applyNumberFormat="0" applyProtection="0">
      <alignment horizontal="left" vertical="top" indent="1"/>
    </xf>
    <xf numFmtId="0" fontId="97" fillId="4" borderId="66" applyNumberFormat="0" applyAlignment="0" applyProtection="0"/>
    <xf numFmtId="0" fontId="109" fillId="0" borderId="51" applyNumberFormat="0" applyFill="0" applyAlignment="0" applyProtection="0"/>
    <xf numFmtId="0" fontId="38" fillId="34" borderId="45" applyNumberFormat="0" applyFont="0" applyAlignment="0" applyProtection="0"/>
    <xf numFmtId="4" fontId="27" fillId="24" borderId="42" applyNumberFormat="0" applyProtection="0">
      <alignment horizontal="right" vertical="center"/>
    </xf>
    <xf numFmtId="0" fontId="38" fillId="34" borderId="45" applyNumberFormat="0" applyFont="0" applyAlignment="0" applyProtection="0"/>
    <xf numFmtId="4" fontId="91" fillId="28" borderId="54" applyNumberFormat="0" applyProtection="0">
      <alignment horizontal="right" vertical="center"/>
    </xf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27" fillId="0" borderId="40" applyNumberFormat="0" applyFont="0" applyFill="0" applyBorder="0" applyAlignment="0" applyProtection="0"/>
    <xf numFmtId="0" fontId="38" fillId="34" borderId="45" applyNumberFormat="0" applyFont="0" applyAlignment="0" applyProtection="0"/>
    <xf numFmtId="4" fontId="27" fillId="32" borderId="53" applyNumberFormat="0" applyProtection="0">
      <alignment horizontal="right" vertical="center"/>
    </xf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0" fontId="104" fillId="5" borderId="66" applyNumberFormat="0" applyAlignment="0" applyProtection="0"/>
    <xf numFmtId="0" fontId="27" fillId="0" borderId="40" applyNumberFormat="0" applyFont="0" applyFill="0" applyBorder="0" applyAlignment="0" applyProtection="0"/>
    <xf numFmtId="43" fontId="24" fillId="0" borderId="0" applyFont="0" applyFill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104" fillId="5" borderId="55" applyNumberFormat="0" applyAlignment="0" applyProtection="0"/>
    <xf numFmtId="0" fontId="38" fillId="34" borderId="45" applyNumberFormat="0" applyFont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45" applyNumberFormat="0" applyFont="0" applyAlignment="0" applyProtection="0"/>
    <xf numFmtId="0" fontId="97" fillId="4" borderId="55" applyNumberFormat="0" applyAlignment="0" applyProtection="0"/>
    <xf numFmtId="0" fontId="27" fillId="18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4" fontId="53" fillId="32" borderId="53" applyNumberFormat="0" applyProtection="0">
      <alignment horizontal="right" vertical="center"/>
    </xf>
    <xf numFmtId="0" fontId="38" fillId="34" borderId="56" applyNumberFormat="0" applyFont="0" applyAlignment="0" applyProtection="0"/>
    <xf numFmtId="0" fontId="53" fillId="25" borderId="42" applyNumberFormat="0" applyProtection="0">
      <alignment horizontal="left" vertical="top" indent="1"/>
    </xf>
    <xf numFmtId="0" fontId="27" fillId="18" borderId="42" applyNumberFormat="0" applyProtection="0">
      <alignment horizontal="left" vertical="top" indent="1"/>
    </xf>
    <xf numFmtId="0" fontId="38" fillId="34" borderId="56" applyNumberFormat="0" applyFont="0" applyAlignment="0" applyProtection="0"/>
    <xf numFmtId="0" fontId="97" fillId="4" borderId="55" applyNumberFormat="0" applyAlignment="0" applyProtection="0"/>
    <xf numFmtId="4" fontId="27" fillId="15" borderId="42" applyNumberFormat="0" applyProtection="0">
      <alignment horizontal="right" vertical="center"/>
    </xf>
    <xf numFmtId="4" fontId="27" fillId="17" borderId="42" applyNumberFormat="0" applyProtection="0">
      <alignment horizontal="right" vertical="center"/>
    </xf>
    <xf numFmtId="4" fontId="91" fillId="28" borderId="42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4" fontId="27" fillId="18" borderId="41" applyNumberFormat="0" applyProtection="0">
      <alignment horizontal="left" vertical="center" indent="1"/>
    </xf>
    <xf numFmtId="0" fontId="104" fillId="5" borderId="55" applyNumberFormat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97" fillId="4" borderId="44" applyNumberFormat="0" applyAlignment="0" applyProtection="0"/>
    <xf numFmtId="0" fontId="27" fillId="0" borderId="43" applyNumberFormat="0" applyFont="0" applyFill="0" applyBorder="0" applyAlignment="0" applyProtection="0"/>
    <xf numFmtId="0" fontId="104" fillId="5" borderId="66" applyNumberFormat="0" applyAlignment="0" applyProtection="0"/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18" borderId="41" applyNumberFormat="0" applyProtection="0">
      <alignment horizontal="left" vertical="top" indent="1"/>
    </xf>
    <xf numFmtId="0" fontId="27" fillId="0" borderId="59" applyNumberFormat="0" applyFont="0" applyFill="0" applyBorder="0" applyAlignment="0" applyProtection="0"/>
    <xf numFmtId="0" fontId="27" fillId="18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7" fillId="4" borderId="66" applyNumberForma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4" fontId="27" fillId="18" borderId="60" applyNumberFormat="0" applyProtection="0">
      <alignment horizontal="right" vertical="center"/>
    </xf>
    <xf numFmtId="0" fontId="97" fillId="4" borderId="44" applyNumberFormat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24" fillId="0" borderId="0"/>
    <xf numFmtId="0" fontId="24" fillId="0" borderId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62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55" applyNumberFormat="0" applyAlignment="0" applyProtection="0"/>
    <xf numFmtId="0" fontId="27" fillId="18" borderId="54" applyNumberFormat="0" applyProtection="0">
      <alignment horizontal="left" vertical="top" indent="1"/>
    </xf>
    <xf numFmtId="43" fontId="24" fillId="0" borderId="0" applyFont="0" applyFill="0" applyBorder="0" applyAlignment="0" applyProtection="0"/>
    <xf numFmtId="0" fontId="38" fillId="34" borderId="56" applyNumberFormat="0" applyFont="0" applyAlignment="0" applyProtection="0"/>
    <xf numFmtId="0" fontId="27" fillId="18" borderId="54" applyNumberFormat="0" applyProtection="0">
      <alignment horizontal="left" vertical="top" indent="1"/>
    </xf>
    <xf numFmtId="4" fontId="27" fillId="18" borderId="54" applyNumberFormat="0" applyProtection="0">
      <alignment horizontal="left" vertical="center" indent="1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7" fillId="0" borderId="40" applyNumberFormat="0" applyFont="0" applyFill="0" applyBorder="0" applyAlignment="0" applyProtection="0"/>
    <xf numFmtId="0" fontId="38" fillId="34" borderId="56" applyNumberFormat="0" applyFont="0" applyAlignment="0" applyProtection="0"/>
    <xf numFmtId="0" fontId="38" fillId="34" borderId="45" applyNumberFormat="0" applyFont="0" applyAlignment="0" applyProtection="0"/>
    <xf numFmtId="4" fontId="27" fillId="18" borderId="42" applyNumberFormat="0" applyProtection="0">
      <alignment horizontal="left" vertical="center" indent="1"/>
    </xf>
    <xf numFmtId="4" fontId="27" fillId="15" borderId="61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27" fillId="18" borderId="41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104" fillId="5" borderId="44" applyNumberFormat="0" applyAlignment="0" applyProtection="0"/>
    <xf numFmtId="0" fontId="104" fillId="5" borderId="55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18" borderId="42" applyNumberFormat="0" applyProtection="0">
      <alignment horizontal="left" vertical="top" indent="1"/>
    </xf>
    <xf numFmtId="0" fontId="104" fillId="5" borderId="55" applyNumberFormat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4" fontId="27" fillId="18" borderId="41" applyNumberFormat="0" applyProtection="0">
      <alignment horizontal="right" vertical="center"/>
    </xf>
    <xf numFmtId="0" fontId="27" fillId="18" borderId="41" applyNumberFormat="0" applyProtection="0">
      <alignment horizontal="left" vertical="center" indent="1"/>
    </xf>
    <xf numFmtId="0" fontId="27" fillId="0" borderId="40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45" applyNumberFormat="0" applyFont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27" fillId="18" borderId="41" applyNumberFormat="0" applyProtection="0">
      <alignment horizontal="left" vertical="center" indent="1"/>
    </xf>
    <xf numFmtId="0" fontId="27" fillId="0" borderId="40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104" fillId="5" borderId="44" applyNumberFormat="0" applyAlignment="0" applyProtection="0"/>
    <xf numFmtId="4" fontId="59" fillId="31" borderId="42" applyNumberFormat="0" applyProtection="0">
      <alignment vertical="center"/>
    </xf>
    <xf numFmtId="0" fontId="27" fillId="0" borderId="59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63" applyNumberFormat="0" applyFont="0" applyAlignment="0" applyProtection="0"/>
    <xf numFmtId="0" fontId="38" fillId="34" borderId="56" applyNumberFormat="0" applyFont="0" applyAlignment="0" applyProtection="0"/>
    <xf numFmtId="4" fontId="52" fillId="24" borderId="54" applyNumberFormat="0" applyProtection="0">
      <alignment vertical="center"/>
    </xf>
    <xf numFmtId="4" fontId="27" fillId="19" borderId="54" applyNumberFormat="0" applyProtection="0">
      <alignment horizontal="right" vertical="center"/>
    </xf>
    <xf numFmtId="0" fontId="24" fillId="0" borderId="0"/>
    <xf numFmtId="43" fontId="24" fillId="0" borderId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18" borderId="41" applyNumberFormat="0" applyProtection="0">
      <alignment horizontal="left" vertical="center" indent="1"/>
    </xf>
    <xf numFmtId="0" fontId="97" fillId="4" borderId="55" applyNumberFormat="0" applyAlignment="0" applyProtection="0"/>
    <xf numFmtId="4" fontId="27" fillId="32" borderId="41" applyNumberFormat="0" applyProtection="0">
      <alignment horizontal="right" vertical="center"/>
    </xf>
    <xf numFmtId="0" fontId="24" fillId="0" borderId="0"/>
    <xf numFmtId="43" fontId="24" fillId="0" borderId="0" applyFont="0" applyFill="0" applyBorder="0" applyAlignment="0" applyProtection="0"/>
    <xf numFmtId="0" fontId="38" fillId="34" borderId="39" applyNumberFormat="0" applyFont="0" applyAlignment="0" applyProtection="0"/>
    <xf numFmtId="0" fontId="38" fillId="34" borderId="45" applyNumberFormat="0" applyFont="0" applyAlignment="0" applyProtection="0"/>
    <xf numFmtId="4" fontId="27" fillId="5" borderId="42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53" fillId="25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4" fontId="27" fillId="18" borderId="53" applyNumberFormat="0" applyProtection="0">
      <alignment horizontal="left" vertical="center" indent="1"/>
    </xf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4" fontId="27" fillId="18" borderId="53" applyNumberFormat="0" applyProtection="0">
      <alignment horizontal="right" vertical="center"/>
    </xf>
    <xf numFmtId="0" fontId="38" fillId="34" borderId="45" applyNumberFormat="0" applyFont="0" applyAlignment="0" applyProtection="0"/>
    <xf numFmtId="4" fontId="53" fillId="24" borderId="41" applyNumberFormat="0" applyProtection="0">
      <alignment horizontal="left" vertical="center" indent="1"/>
    </xf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" fillId="18" borderId="54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27" fillId="0" borderId="40" applyNumberFormat="0" applyFont="0" applyFill="0" applyBorder="0" applyAlignment="0" applyProtection="0"/>
    <xf numFmtId="0" fontId="38" fillId="34" borderId="56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38" fillId="34" borderId="63" applyNumberFormat="0" applyFont="0" applyAlignment="0" applyProtection="0"/>
    <xf numFmtId="0" fontId="27" fillId="0" borderId="59" applyNumberFormat="0" applyFont="0" applyFill="0" applyBorder="0" applyAlignment="0" applyProtection="0"/>
    <xf numFmtId="0" fontId="97" fillId="4" borderId="44" applyNumberFormat="0" applyAlignment="0" applyProtection="0"/>
    <xf numFmtId="0" fontId="27" fillId="18" borderId="42" applyNumberFormat="0" applyProtection="0">
      <alignment horizontal="left" vertical="top" indent="1"/>
    </xf>
    <xf numFmtId="4" fontId="27" fillId="19" borderId="61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4" fontId="91" fillId="26" borderId="54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18" borderId="53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39" applyNumberFormat="0" applyFont="0" applyAlignment="0" applyProtection="0"/>
    <xf numFmtId="0" fontId="104" fillId="5" borderId="66" applyNumberFormat="0" applyAlignment="0" applyProtection="0"/>
    <xf numFmtId="4" fontId="27" fillId="17" borderId="54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45" applyNumberFormat="0" applyFont="0" applyAlignment="0" applyProtection="0"/>
    <xf numFmtId="0" fontId="38" fillId="34" borderId="39" applyNumberFormat="0" applyFont="0" applyAlignment="0" applyProtection="0"/>
    <xf numFmtId="0" fontId="104" fillId="5" borderId="55" applyNumberFormat="0" applyAlignment="0" applyProtection="0"/>
    <xf numFmtId="0" fontId="38" fillId="34" borderId="63" applyNumberFormat="0" applyFont="0" applyAlignment="0" applyProtection="0"/>
    <xf numFmtId="0" fontId="27" fillId="0" borderId="40" applyNumberFormat="0" applyFont="0" applyFill="0" applyBorder="0" applyAlignment="0" applyProtection="0"/>
    <xf numFmtId="4" fontId="27" fillId="18" borderId="41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4" fontId="27" fillId="24" borderId="54" applyNumberFormat="0" applyProtection="0">
      <alignment horizontal="right" vertical="center"/>
    </xf>
    <xf numFmtId="0" fontId="38" fillId="34" borderId="39" applyNumberFormat="0" applyFont="0" applyAlignment="0" applyProtection="0"/>
    <xf numFmtId="4" fontId="53" fillId="24" borderId="53" applyNumberFormat="0" applyProtection="0">
      <alignment vertical="center"/>
    </xf>
    <xf numFmtId="4" fontId="27" fillId="19" borderId="42" applyNumberFormat="0" applyProtection="0">
      <alignment horizontal="right" vertical="center"/>
    </xf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104" fillId="5" borderId="44" applyNumberFormat="0" applyAlignment="0" applyProtection="0"/>
    <xf numFmtId="0" fontId="104" fillId="5" borderId="55" applyNumberFormat="0" applyAlignment="0" applyProtection="0"/>
    <xf numFmtId="0" fontId="97" fillId="4" borderId="44" applyNumberFormat="0" applyAlignment="0" applyProtection="0"/>
    <xf numFmtId="0" fontId="38" fillId="34" borderId="45" applyNumberFormat="0" applyFont="0" applyAlignment="0" applyProtection="0"/>
    <xf numFmtId="4" fontId="53" fillId="24" borderId="41" applyNumberFormat="0" applyProtection="0">
      <alignment vertical="center"/>
    </xf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104" fillId="5" borderId="66" applyNumberFormat="0" applyAlignment="0" applyProtection="0"/>
    <xf numFmtId="0" fontId="38" fillId="34" borderId="45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0" borderId="42" applyNumberFormat="0" applyProtection="0">
      <alignment horizontal="right" vertical="center"/>
    </xf>
    <xf numFmtId="0" fontId="27" fillId="0" borderId="62" applyNumberFormat="0" applyFont="0" applyFill="0" applyBorder="0" applyAlignment="0" applyProtection="0"/>
    <xf numFmtId="4" fontId="27" fillId="24" borderId="42" applyNumberFormat="0" applyProtection="0">
      <alignment horizontal="right" vertical="center"/>
    </xf>
    <xf numFmtId="4" fontId="92" fillId="31" borderId="54" applyNumberFormat="0" applyProtection="0">
      <alignment vertical="center"/>
    </xf>
    <xf numFmtId="0" fontId="109" fillId="0" borderId="65" applyNumberFormat="0" applyFill="0" applyAlignment="0" applyProtection="0"/>
    <xf numFmtId="0" fontId="27" fillId="0" borderId="40" applyNumberFormat="0" applyFont="0" applyFill="0" applyBorder="0" applyAlignment="0" applyProtection="0"/>
    <xf numFmtId="0" fontId="38" fillId="34" borderId="56" applyNumberFormat="0" applyFon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97" fillId="4" borderId="44" applyNumberFormat="0" applyAlignment="0" applyProtection="0"/>
    <xf numFmtId="0" fontId="38" fillId="34" borderId="39" applyNumberFormat="0" applyFont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109" fillId="0" borderId="58" applyNumberFormat="0" applyFill="0" applyAlignment="0" applyProtection="0"/>
    <xf numFmtId="0" fontId="97" fillId="4" borderId="44" applyNumberFormat="0" applyAlignment="0" applyProtection="0"/>
    <xf numFmtId="0" fontId="27" fillId="0" borderId="62" applyNumberFormat="0" applyFont="0" applyFill="0" applyBorder="0" applyAlignment="0" applyProtection="0"/>
    <xf numFmtId="4" fontId="27" fillId="0" borderId="42" applyNumberFormat="0" applyProtection="0">
      <alignment horizontal="right" vertical="center"/>
    </xf>
    <xf numFmtId="4" fontId="53" fillId="32" borderId="53" applyNumberFormat="0" applyProtection="0">
      <alignment horizontal="right" vertical="center"/>
    </xf>
    <xf numFmtId="0" fontId="104" fillId="5" borderId="55" applyNumberFormat="0" applyAlignment="0" applyProtection="0"/>
    <xf numFmtId="0" fontId="27" fillId="0" borderId="43" applyNumberFormat="0" applyFont="0" applyFill="0" applyBorder="0" applyAlignment="0" applyProtection="0"/>
    <xf numFmtId="4" fontId="27" fillId="32" borderId="41" applyNumberFormat="0" applyProtection="0">
      <alignment horizontal="right" vertical="center"/>
    </xf>
    <xf numFmtId="0" fontId="27" fillId="18" borderId="61" applyNumberFormat="0" applyProtection="0">
      <alignment horizontal="left" vertical="top" indent="1"/>
    </xf>
    <xf numFmtId="0" fontId="27" fillId="0" borderId="62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4" fontId="27" fillId="18" borderId="41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63" applyNumberFormat="0" applyFont="0" applyAlignment="0" applyProtection="0"/>
    <xf numFmtId="4" fontId="52" fillId="24" borderId="61" applyNumberFormat="0" applyProtection="0">
      <alignment vertical="center"/>
    </xf>
    <xf numFmtId="0" fontId="38" fillId="34" borderId="39" applyNumberFormat="0" applyFon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97" fillId="4" borderId="55" applyNumberFormat="0" applyAlignment="0" applyProtection="0"/>
    <xf numFmtId="0" fontId="27" fillId="0" borderId="43" applyNumberFormat="0" applyFont="0" applyFill="0" applyBorder="0" applyAlignment="0" applyProtection="0"/>
    <xf numFmtId="0" fontId="97" fillId="4" borderId="55" applyNumberFormat="0" applyAlignment="0" applyProtection="0"/>
    <xf numFmtId="4" fontId="92" fillId="31" borderId="42" applyNumberFormat="0" applyProtection="0">
      <alignment vertical="center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0" fontId="38" fillId="34" borderId="56" applyNumberFormat="0" applyFont="0" applyAlignment="0" applyProtection="0"/>
    <xf numFmtId="4" fontId="27" fillId="24" borderId="61" applyNumberFormat="0" applyProtection="0">
      <alignment horizontal="right" vertical="center"/>
    </xf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4" fontId="91" fillId="20" borderId="54" applyNumberFormat="0" applyProtection="0">
      <alignment horizontal="right" vertical="center"/>
    </xf>
    <xf numFmtId="0" fontId="38" fillId="34" borderId="45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18" borderId="41" applyNumberFormat="0" applyProtection="0">
      <alignment horizontal="left" vertical="center" indent="1"/>
    </xf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4" fontId="91" fillId="20" borderId="42" applyNumberFormat="0" applyProtection="0">
      <alignment horizontal="right" vertical="center"/>
    </xf>
    <xf numFmtId="0" fontId="38" fillId="34" borderId="39" applyNumberFormat="0" applyFont="0" applyAlignment="0" applyProtection="0"/>
    <xf numFmtId="4" fontId="27" fillId="19" borderId="61" applyNumberFormat="0" applyProtection="0">
      <alignment horizontal="right" vertical="center"/>
    </xf>
    <xf numFmtId="0" fontId="27" fillId="0" borderId="40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4" fontId="27" fillId="18" borderId="42" applyNumberFormat="0" applyProtection="0">
      <alignment horizontal="left" vertical="center" indent="1"/>
    </xf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40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0" borderId="61" applyNumberFormat="0" applyProtection="0">
      <alignment horizontal="right" vertical="center"/>
    </xf>
    <xf numFmtId="0" fontId="104" fillId="5" borderId="44" applyNumberFormat="0" applyAlignment="0" applyProtection="0"/>
    <xf numFmtId="4" fontId="27" fillId="19" borderId="54" applyNumberFormat="0" applyProtection="0">
      <alignment horizontal="right" vertical="center"/>
    </xf>
    <xf numFmtId="0" fontId="104" fillId="5" borderId="44" applyNumberFormat="0" applyAlignment="0" applyProtection="0"/>
    <xf numFmtId="4" fontId="53" fillId="32" borderId="41" applyNumberFormat="0" applyProtection="0">
      <alignment horizontal="right" vertical="center"/>
    </xf>
    <xf numFmtId="0" fontId="27" fillId="18" borderId="53" applyNumberFormat="0" applyProtection="0">
      <alignment horizontal="left" vertical="center" indent="1"/>
    </xf>
    <xf numFmtId="0" fontId="27" fillId="18" borderId="41" applyNumberFormat="0" applyProtection="0">
      <alignment horizontal="left" vertical="center" indent="1"/>
    </xf>
    <xf numFmtId="4" fontId="27" fillId="19" borderId="42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39" applyNumberFormat="0" applyFont="0" applyAlignment="0" applyProtection="0"/>
    <xf numFmtId="0" fontId="27" fillId="18" borderId="54" applyNumberFormat="0" applyProtection="0">
      <alignment horizontal="left" vertical="top" indent="1"/>
    </xf>
    <xf numFmtId="4" fontId="27" fillId="15" borderId="54" applyNumberFormat="0" applyProtection="0">
      <alignment horizontal="right" vertical="center"/>
    </xf>
    <xf numFmtId="0" fontId="97" fillId="4" borderId="44" applyNumberFormat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53" fillId="25" borderId="54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17" borderId="42" applyNumberFormat="0" applyProtection="0">
      <alignment horizontal="right" vertical="center"/>
    </xf>
    <xf numFmtId="0" fontId="38" fillId="34" borderId="39" applyNumberFormat="0" applyFont="0" applyAlignment="0" applyProtection="0"/>
    <xf numFmtId="0" fontId="27" fillId="18" borderId="42" applyNumberFormat="0" applyProtection="0">
      <alignment horizontal="left" vertical="top" indent="1"/>
    </xf>
    <xf numFmtId="0" fontId="27" fillId="18" borderId="41" applyNumberFormat="0" applyProtection="0">
      <alignment horizontal="left" vertical="top" indent="1"/>
    </xf>
    <xf numFmtId="0" fontId="109" fillId="0" borderId="47" applyNumberFormat="0" applyFill="0" applyAlignment="0" applyProtection="0"/>
    <xf numFmtId="0" fontId="27" fillId="0" borderId="40" applyNumberFormat="0" applyFont="0" applyFill="0" applyBorder="0" applyAlignment="0" applyProtection="0"/>
    <xf numFmtId="0" fontId="27" fillId="18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4" fontId="27" fillId="5" borderId="42" applyNumberFormat="0" applyProtection="0">
      <alignment horizontal="right" vertical="center"/>
    </xf>
    <xf numFmtId="0" fontId="27" fillId="0" borderId="0"/>
    <xf numFmtId="43" fontId="27" fillId="0" borderId="0" applyFont="0" applyFill="0" applyBorder="0" applyAlignment="0" applyProtection="0"/>
    <xf numFmtId="0" fontId="38" fillId="34" borderId="39" applyNumberFormat="0" applyFont="0" applyAlignment="0" applyProtection="0"/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18" borderId="53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0" borderId="54" applyNumberFormat="0" applyProtection="0">
      <alignment horizontal="right" vertical="center"/>
    </xf>
    <xf numFmtId="0" fontId="38" fillId="34" borderId="39" applyNumberFormat="0" applyFont="0" applyAlignment="0" applyProtection="0"/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43" fontId="27" fillId="0" borderId="0" applyFont="0" applyFill="0" applyBorder="0" applyAlignment="0" applyProtection="0"/>
    <xf numFmtId="0" fontId="104" fillId="5" borderId="44" applyNumberFormat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18" borderId="54" applyNumberFormat="0" applyProtection="0">
      <alignment horizontal="left" vertical="top" indent="1"/>
    </xf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56" applyNumberFormat="0" applyFont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56" applyNumberFormat="0" applyFont="0" applyAlignment="0" applyProtection="0"/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27" fillId="18" borderId="53" applyNumberFormat="0" applyProtection="0">
      <alignment horizontal="left" vertical="top" indent="1"/>
    </xf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97" fillId="4" borderId="66" applyNumberFormat="0" applyAlignment="0" applyProtection="0"/>
    <xf numFmtId="0" fontId="97" fillId="4" borderId="44" applyNumberFormat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38" fillId="34" borderId="45" applyNumberFormat="0" applyFont="0" applyAlignment="0" applyProtection="0"/>
    <xf numFmtId="0" fontId="107" fillId="4" borderId="57" applyNumberFormat="0" applyAlignment="0" applyProtection="0"/>
    <xf numFmtId="0" fontId="27" fillId="0" borderId="43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43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38" fillId="34" borderId="56" applyNumberFormat="0" applyFont="0" applyAlignment="0" applyProtection="0"/>
    <xf numFmtId="4" fontId="91" fillId="27" borderId="54" applyNumberFormat="0" applyProtection="0">
      <alignment horizontal="right" vertical="center"/>
    </xf>
    <xf numFmtId="4" fontId="53" fillId="24" borderId="53" applyNumberFormat="0" applyProtection="0">
      <alignment horizontal="left" vertical="center" indent="1"/>
    </xf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39" applyNumberFormat="0" applyFont="0" applyAlignment="0" applyProtection="0"/>
    <xf numFmtId="0" fontId="97" fillId="4" borderId="55" applyNumberFormat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104" fillId="5" borderId="44" applyNumberFormat="0" applyAlignment="0" applyProtection="0"/>
    <xf numFmtId="0" fontId="97" fillId="4" borderId="44" applyNumberFormat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27" fillId="18" borderId="60" applyNumberFormat="0" applyProtection="0">
      <alignment horizontal="left" vertical="center" indent="1"/>
    </xf>
    <xf numFmtId="0" fontId="104" fillId="5" borderId="44" applyNumberFormat="0" applyAlignment="0" applyProtection="0"/>
    <xf numFmtId="0" fontId="104" fillId="5" borderId="44" applyNumberFormat="0" applyAlignment="0" applyProtection="0"/>
    <xf numFmtId="0" fontId="107" fillId="4" borderId="46" applyNumberFormat="0" applyAlignment="0" applyProtection="0"/>
    <xf numFmtId="0" fontId="27" fillId="0" borderId="62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38" fillId="34" borderId="63" applyNumberFormat="0" applyFont="0" applyAlignment="0" applyProtection="0"/>
    <xf numFmtId="0" fontId="27" fillId="0" borderId="62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38" fillId="34" borderId="45" applyNumberFormat="0" applyFont="0" applyAlignment="0" applyProtection="0"/>
    <xf numFmtId="4" fontId="27" fillId="15" borderId="61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27" fillId="18" borderId="54" applyNumberFormat="0" applyProtection="0">
      <alignment horizontal="left" vertical="top" indent="1"/>
    </xf>
    <xf numFmtId="0" fontId="104" fillId="5" borderId="55" applyNumberFormat="0" applyAlignment="0" applyProtection="0"/>
    <xf numFmtId="0" fontId="38" fillId="34" borderId="45" applyNumberFormat="0" applyFont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45" applyNumberFormat="0" applyFont="0" applyAlignment="0" applyProtection="0"/>
    <xf numFmtId="0" fontId="27" fillId="18" borderId="41" applyNumberFormat="0" applyProtection="0">
      <alignment horizontal="left" vertical="center" indent="1"/>
    </xf>
    <xf numFmtId="0" fontId="38" fillId="34" borderId="63" applyNumberFormat="0" applyFont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97" fillId="4" borderId="55" applyNumberFormat="0" applyAlignment="0" applyProtection="0"/>
    <xf numFmtId="0" fontId="38" fillId="34" borderId="63" applyNumberFormat="0" applyFont="0" applyAlignment="0" applyProtection="0"/>
    <xf numFmtId="0" fontId="27" fillId="0" borderId="43" applyNumberFormat="0" applyFont="0" applyFill="0" applyBorder="0" applyAlignment="0" applyProtection="0"/>
    <xf numFmtId="0" fontId="104" fillId="5" borderId="44" applyNumberFormat="0" applyAlignment="0" applyProtection="0"/>
    <xf numFmtId="0" fontId="97" fillId="4" borderId="44" applyNumberFormat="0" applyAlignment="0" applyProtection="0"/>
    <xf numFmtId="0" fontId="104" fillId="5" borderId="48" applyNumberFormat="0" applyAlignment="0" applyProtection="0"/>
    <xf numFmtId="0" fontId="27" fillId="0" borderId="43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18" borderId="41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104" fillId="5" borderId="44" applyNumberFormat="0" applyAlignment="0" applyProtection="0"/>
    <xf numFmtId="0" fontId="97" fillId="4" borderId="44" applyNumberFormat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18" borderId="60" applyNumberFormat="0" applyProtection="0">
      <alignment horizontal="left" vertical="top" indent="1"/>
    </xf>
    <xf numFmtId="0" fontId="38" fillId="34" borderId="63" applyNumberFormat="0" applyFont="0" applyAlignment="0" applyProtection="0"/>
    <xf numFmtId="0" fontId="38" fillId="34" borderId="45" applyNumberFormat="0" applyFont="0" applyAlignment="0" applyProtection="0"/>
    <xf numFmtId="0" fontId="27" fillId="18" borderId="42" applyNumberFormat="0" applyProtection="0">
      <alignment horizontal="left" vertical="top" indent="1"/>
    </xf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45" applyNumberFormat="0" applyFont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" fillId="0" borderId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" fontId="53" fillId="32" borderId="60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38" fillId="34" borderId="56" applyNumberFormat="0" applyFont="0" applyAlignment="0" applyProtection="0"/>
    <xf numFmtId="4" fontId="27" fillId="15" borderId="54" applyNumberFormat="0" applyProtection="0">
      <alignment horizontal="right" vertical="center"/>
    </xf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18" borderId="60" applyNumberFormat="0" applyProtection="0">
      <alignment horizontal="left" vertical="center" indent="1"/>
    </xf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38" fillId="34" borderId="56" applyNumberFormat="0" applyFont="0" applyAlignment="0" applyProtection="0"/>
    <xf numFmtId="0" fontId="107" fillId="4" borderId="64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97" fillId="4" borderId="55" applyNumberFormat="0" applyAlignment="0" applyProtection="0"/>
    <xf numFmtId="4" fontId="27" fillId="18" borderId="53" applyNumberFormat="0" applyProtection="0">
      <alignment horizontal="left" vertical="center" indent="1"/>
    </xf>
    <xf numFmtId="4" fontId="27" fillId="32" borderId="53" applyNumberFormat="0" applyProtection="0">
      <alignment horizontal="right" vertical="center"/>
    </xf>
    <xf numFmtId="4" fontId="27" fillId="18" borderId="54" applyNumberFormat="0" applyProtection="0">
      <alignment horizontal="left" vertical="center" indent="1"/>
    </xf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18" borderId="54" applyNumberFormat="0" applyProtection="0">
      <alignment horizontal="left" vertical="top" indent="1"/>
    </xf>
    <xf numFmtId="0" fontId="27" fillId="18" borderId="54" applyNumberFormat="0" applyProtection="0">
      <alignment horizontal="left" vertical="top" indent="1"/>
    </xf>
    <xf numFmtId="4" fontId="27" fillId="17" borderId="54" applyNumberFormat="0" applyProtection="0">
      <alignment horizontal="right" vertical="center"/>
    </xf>
    <xf numFmtId="4" fontId="53" fillId="24" borderId="53" applyNumberFormat="0" applyProtection="0">
      <alignment horizontal="left" vertical="center" indent="1"/>
    </xf>
    <xf numFmtId="0" fontId="27" fillId="18" borderId="54" applyNumberFormat="0" applyProtection="0">
      <alignment horizontal="left" vertical="top" indent="1"/>
    </xf>
    <xf numFmtId="4" fontId="27" fillId="5" borderId="54" applyNumberFormat="0" applyProtection="0">
      <alignment horizontal="right" vertical="center"/>
    </xf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55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4" fontId="27" fillId="24" borderId="61" applyNumberFormat="0" applyProtection="0">
      <alignment horizontal="right" vertical="center"/>
    </xf>
    <xf numFmtId="0" fontId="53" fillId="25" borderId="54" applyNumberFormat="0" applyProtection="0">
      <alignment horizontal="left" vertical="top" indent="1"/>
    </xf>
    <xf numFmtId="0" fontId="27" fillId="18" borderId="60" applyNumberFormat="0" applyProtection="0">
      <alignment horizontal="left" vertical="center" indent="1"/>
    </xf>
    <xf numFmtId="4" fontId="53" fillId="24" borderId="53" applyNumberFormat="0" applyProtection="0">
      <alignment vertical="center"/>
    </xf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38" fillId="34" borderId="63" applyNumberFormat="0" applyFont="0" applyAlignment="0" applyProtection="0"/>
    <xf numFmtId="0" fontId="27" fillId="0" borderId="59" applyNumberFormat="0" applyFont="0" applyFill="0" applyBorder="0" applyAlignment="0" applyProtection="0"/>
    <xf numFmtId="4" fontId="91" fillId="27" borderId="61" applyNumberFormat="0" applyProtection="0">
      <alignment horizontal="right" vertical="center"/>
    </xf>
    <xf numFmtId="0" fontId="38" fillId="34" borderId="56" applyNumberFormat="0" applyFont="0" applyAlignment="0" applyProtection="0"/>
    <xf numFmtId="4" fontId="91" fillId="20" borderId="61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4" fontId="53" fillId="24" borderId="60" applyNumberFormat="0" applyProtection="0">
      <alignment horizontal="left" vertical="center" indent="1"/>
    </xf>
    <xf numFmtId="0" fontId="38" fillId="34" borderId="56" applyNumberFormat="0" applyFont="0" applyAlignment="0" applyProtection="0"/>
    <xf numFmtId="0" fontId="97" fillId="4" borderId="66" applyNumberFormat="0" applyAlignment="0" applyProtection="0"/>
    <xf numFmtId="0" fontId="104" fillId="5" borderId="55" applyNumberFormat="0" applyAlignment="0" applyProtection="0"/>
    <xf numFmtId="0" fontId="104" fillId="5" borderId="66" applyNumberForma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27" fillId="18" borderId="61" applyNumberFormat="0" applyProtection="0">
      <alignment horizontal="left" vertical="top" indent="1"/>
    </xf>
    <xf numFmtId="4" fontId="27" fillId="18" borderId="60" applyNumberFormat="0" applyProtection="0">
      <alignment horizontal="left" vertical="center" indent="1"/>
    </xf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27" fillId="18" borderId="60" applyNumberFormat="0" applyProtection="0">
      <alignment horizontal="left" vertical="center" indent="1"/>
    </xf>
    <xf numFmtId="0" fontId="27" fillId="18" borderId="60" applyNumberFormat="0" applyProtection="0">
      <alignment horizontal="left" vertical="center" indent="1"/>
    </xf>
    <xf numFmtId="0" fontId="27" fillId="18" borderId="60" applyNumberFormat="0" applyProtection="0">
      <alignment horizontal="left" vertical="center" indent="1"/>
    </xf>
    <xf numFmtId="0" fontId="27" fillId="18" borderId="60" applyNumberFormat="0" applyProtection="0">
      <alignment horizontal="left" vertical="center" indent="1"/>
    </xf>
    <xf numFmtId="4" fontId="59" fillId="31" borderId="61" applyNumberFormat="0" applyProtection="0">
      <alignment vertical="center"/>
    </xf>
    <xf numFmtId="4" fontId="27" fillId="18" borderId="61" applyNumberFormat="0" applyProtection="0">
      <alignment horizontal="left" vertical="center" indent="1"/>
    </xf>
    <xf numFmtId="4" fontId="27" fillId="32" borderId="60" applyNumberFormat="0" applyProtection="0">
      <alignment horizontal="right" vertical="center"/>
    </xf>
    <xf numFmtId="4" fontId="27" fillId="18" borderId="60" applyNumberFormat="0" applyProtection="0">
      <alignment horizontal="left" vertical="center" indent="1"/>
    </xf>
    <xf numFmtId="0" fontId="27" fillId="0" borderId="62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38" fillId="34" borderId="56" applyNumberFormat="0" applyFont="0" applyAlignment="0" applyProtection="0"/>
    <xf numFmtId="0" fontId="97" fillId="4" borderId="55" applyNumberFormat="0" applyAlignment="0" applyProtection="0"/>
    <xf numFmtId="4" fontId="27" fillId="32" borderId="60" applyNumberFormat="0" applyProtection="0">
      <alignment horizontal="right" vertical="center"/>
    </xf>
    <xf numFmtId="0" fontId="97" fillId="4" borderId="55" applyNumberFormat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97" fillId="4" borderId="55" applyNumberFormat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18" borderId="60" applyNumberFormat="0" applyProtection="0">
      <alignment horizontal="left" vertical="center" indent="1"/>
    </xf>
    <xf numFmtId="0" fontId="97" fillId="4" borderId="55" applyNumberFormat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4" fontId="27" fillId="17" borderId="61" applyNumberFormat="0" applyProtection="0">
      <alignment horizontal="right" vertical="center"/>
    </xf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38" fillId="34" borderId="63" applyNumberFormat="0" applyFont="0" applyAlignment="0" applyProtection="0"/>
    <xf numFmtId="0" fontId="97" fillId="4" borderId="55" applyNumberFormat="0" applyAlignment="0" applyProtection="0"/>
    <xf numFmtId="4" fontId="91" fillId="26" borderId="61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104" fillId="5" borderId="66" applyNumberFormat="0" applyAlignment="0" applyProtection="0"/>
    <xf numFmtId="0" fontId="104" fillId="5" borderId="55" applyNumberFormat="0" applyAlignment="0" applyProtection="0"/>
    <xf numFmtId="0" fontId="38" fillId="34" borderId="63" applyNumberFormat="0" applyFont="0" applyAlignment="0" applyProtection="0"/>
    <xf numFmtId="0" fontId="104" fillId="5" borderId="55" applyNumberFormat="0" applyAlignment="0" applyProtection="0"/>
    <xf numFmtId="0" fontId="27" fillId="0" borderId="62" applyNumberFormat="0" applyFont="0" applyFill="0" applyBorder="0" applyAlignment="0" applyProtection="0"/>
    <xf numFmtId="0" fontId="38" fillId="34" borderId="56" applyNumberFormat="0" applyFont="0" applyAlignment="0" applyProtection="0"/>
    <xf numFmtId="0" fontId="97" fillId="4" borderId="66" applyNumberFormat="0" applyAlignment="0" applyProtection="0"/>
    <xf numFmtId="0" fontId="38" fillId="34" borderId="56" applyNumberFormat="0" applyFont="0" applyAlignment="0" applyProtection="0"/>
    <xf numFmtId="4" fontId="53" fillId="24" borderId="60" applyNumberFormat="0" applyProtection="0">
      <alignment horizontal="left" vertical="center" indent="1"/>
    </xf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4" fontId="27" fillId="5" borderId="61" applyNumberFormat="0" applyProtection="0">
      <alignment horizontal="right" vertical="center"/>
    </xf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18" borderId="61" applyNumberFormat="0" applyProtection="0">
      <alignment horizontal="left" vertical="top" indent="1"/>
    </xf>
    <xf numFmtId="0" fontId="104" fillId="5" borderId="55" applyNumberFormat="0" applyAlignment="0" applyProtection="0"/>
    <xf numFmtId="0" fontId="97" fillId="4" borderId="55" applyNumberForma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104" fillId="5" borderId="66" applyNumberFormat="0" applyAlignment="0" applyProtection="0"/>
    <xf numFmtId="0" fontId="97" fillId="4" borderId="55" applyNumberFormat="0" applyAlignment="0" applyProtection="0"/>
    <xf numFmtId="0" fontId="104" fillId="5" borderId="55" applyNumberFormat="0" applyAlignment="0" applyProtection="0"/>
    <xf numFmtId="0" fontId="38" fillId="34" borderId="63" applyNumberFormat="0" applyFont="0" applyAlignment="0" applyProtection="0"/>
    <xf numFmtId="0" fontId="97" fillId="4" borderId="55" applyNumberFormat="0" applyAlignment="0" applyProtection="0"/>
    <xf numFmtId="4" fontId="27" fillId="5" borderId="61" applyNumberFormat="0" applyProtection="0">
      <alignment horizontal="right" vertical="center"/>
    </xf>
    <xf numFmtId="0" fontId="38" fillId="34" borderId="63" applyNumberFormat="0" applyFont="0" applyAlignment="0" applyProtection="0"/>
    <xf numFmtId="0" fontId="104" fillId="5" borderId="55" applyNumberFormat="0" applyAlignment="0" applyProtection="0"/>
    <xf numFmtId="4" fontId="91" fillId="28" borderId="61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4" fontId="27" fillId="17" borderId="61" applyNumberFormat="0" applyProtection="0">
      <alignment horizontal="right" vertical="center"/>
    </xf>
    <xf numFmtId="0" fontId="38" fillId="34" borderId="56" applyNumberFormat="0" applyFont="0" applyAlignment="0" applyProtection="0"/>
    <xf numFmtId="4" fontId="53" fillId="24" borderId="60" applyNumberFormat="0" applyProtection="0">
      <alignment vertical="center"/>
    </xf>
    <xf numFmtId="0" fontId="27" fillId="0" borderId="62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38" fillId="34" borderId="63" applyNumberFormat="0" applyFont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4" fontId="27" fillId="0" borderId="61" applyNumberFormat="0" applyProtection="0">
      <alignment horizontal="right" vertical="center"/>
    </xf>
    <xf numFmtId="0" fontId="27" fillId="18" borderId="61" applyNumberFormat="0" applyProtection="0">
      <alignment horizontal="left" vertical="top" indent="1"/>
    </xf>
    <xf numFmtId="0" fontId="97" fillId="4" borderId="66" applyNumberFormat="0" applyAlignment="0" applyProtection="0"/>
    <xf numFmtId="0" fontId="97" fillId="4" borderId="66" applyNumberFormat="0" applyAlignment="0" applyProtection="0"/>
    <xf numFmtId="4" fontId="27" fillId="18" borderId="60" applyNumberFormat="0" applyProtection="0">
      <alignment horizontal="right" vertical="center"/>
    </xf>
    <xf numFmtId="0" fontId="27" fillId="18" borderId="61" applyNumberFormat="0" applyProtection="0">
      <alignment horizontal="left" vertical="top" indent="1"/>
    </xf>
    <xf numFmtId="0" fontId="27" fillId="18" borderId="61" applyNumberFormat="0" applyProtection="0">
      <alignment horizontal="left" vertical="top" indent="1"/>
    </xf>
    <xf numFmtId="0" fontId="27" fillId="18" borderId="61" applyNumberFormat="0" applyProtection="0">
      <alignment horizontal="left" vertical="top" indent="1"/>
    </xf>
    <xf numFmtId="0" fontId="27" fillId="18" borderId="61" applyNumberFormat="0" applyProtection="0">
      <alignment horizontal="left" vertical="top" indent="1"/>
    </xf>
    <xf numFmtId="4" fontId="92" fillId="31" borderId="61" applyNumberFormat="0" applyProtection="0">
      <alignment vertical="center"/>
    </xf>
    <xf numFmtId="0" fontId="27" fillId="18" borderId="61" applyNumberFormat="0" applyProtection="0">
      <alignment horizontal="left" vertical="top" indent="1"/>
    </xf>
    <xf numFmtId="4" fontId="53" fillId="32" borderId="60" applyNumberFormat="0" applyProtection="0">
      <alignment horizontal="right" vertical="center"/>
    </xf>
    <xf numFmtId="0" fontId="27" fillId="18" borderId="60" applyNumberFormat="0" applyProtection="0">
      <alignment horizontal="left" vertical="top" indent="1"/>
    </xf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38" fillId="34" borderId="56" applyNumberFormat="0" applyFont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38" fillId="34" borderId="56" applyNumberFormat="0" applyFont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53" fillId="25" borderId="61" applyNumberFormat="0" applyProtection="0">
      <alignment horizontal="left" vertical="top" indent="1"/>
    </xf>
    <xf numFmtId="4" fontId="53" fillId="24" borderId="60" applyNumberFormat="0" applyProtection="0">
      <alignment vertical="center"/>
    </xf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38" fillId="34" borderId="63" applyNumberFormat="0" applyFon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97" fillId="4" borderId="66" applyNumberForma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97" fillId="4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3" fillId="16" borderId="0" applyNumberFormat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88" applyNumberFormat="0" applyFont="0" applyFill="0" applyBorder="0" applyAlignment="0" applyProtection="0"/>
    <xf numFmtId="4" fontId="27" fillId="0" borderId="71" applyNumberFormat="0" applyProtection="0">
      <alignment horizontal="right" vertical="center"/>
    </xf>
    <xf numFmtId="0" fontId="27" fillId="0" borderId="72" applyNumberFormat="0" applyFont="0" applyFill="0" applyBorder="0" applyAlignment="0" applyProtection="0"/>
    <xf numFmtId="0" fontId="38" fillId="34" borderId="84" applyNumberFormat="0" applyFont="0" applyAlignment="0" applyProtection="0"/>
    <xf numFmtId="0" fontId="104" fillId="5" borderId="89" applyNumberFormat="0" applyAlignment="0" applyProtection="0"/>
    <xf numFmtId="0" fontId="104" fillId="5" borderId="83" applyNumberFormat="0" applyAlignment="0" applyProtection="0"/>
    <xf numFmtId="0" fontId="104" fillId="5" borderId="100" applyNumberFormat="0" applyAlignment="0" applyProtection="0"/>
    <xf numFmtId="0" fontId="27" fillId="18" borderId="93" applyNumberFormat="0" applyProtection="0">
      <alignment horizontal="left" vertical="top" indent="1"/>
    </xf>
    <xf numFmtId="0" fontId="27" fillId="18" borderId="94" applyNumberFormat="0" applyProtection="0">
      <alignment horizontal="left" vertical="top" indent="1"/>
    </xf>
    <xf numFmtId="4" fontId="92" fillId="31" borderId="94" applyNumberFormat="0" applyProtection="0">
      <alignment vertical="center"/>
    </xf>
    <xf numFmtId="0" fontId="27" fillId="18" borderId="96" applyNumberFormat="0" applyProtection="0">
      <alignment horizontal="left" vertical="center" indent="1"/>
    </xf>
    <xf numFmtId="4" fontId="92" fillId="31" borderId="97" applyNumberFormat="0" applyProtection="0">
      <alignment vertical="center"/>
    </xf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104" fillId="5" borderId="100" applyNumberForma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27" fillId="0" borderId="95" applyNumberFormat="0" applyFont="0" applyFill="0" applyBorder="0" applyAlignment="0" applyProtection="0"/>
    <xf numFmtId="4" fontId="27" fillId="18" borderId="93" applyNumberFormat="0" applyProtection="0">
      <alignment horizontal="left" vertical="center" indent="1"/>
    </xf>
    <xf numFmtId="4" fontId="27" fillId="32" borderId="93" applyNumberFormat="0" applyProtection="0">
      <alignment horizontal="right" vertical="center"/>
    </xf>
    <xf numFmtId="0" fontId="27" fillId="18" borderId="94" applyNumberFormat="0" applyProtection="0">
      <alignment horizontal="left" vertical="top" indent="1"/>
    </xf>
    <xf numFmtId="0" fontId="27" fillId="18" borderId="93" applyNumberFormat="0" applyProtection="0">
      <alignment horizontal="left" vertical="center" indent="1"/>
    </xf>
    <xf numFmtId="4" fontId="27" fillId="24" borderId="87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4" fontId="27" fillId="24" borderId="94" applyNumberFormat="0" applyProtection="0">
      <alignment horizontal="right" vertical="center"/>
    </xf>
    <xf numFmtId="0" fontId="53" fillId="25" borderId="78" applyNumberFormat="0" applyProtection="0">
      <alignment horizontal="left" vertical="top" indent="1"/>
    </xf>
    <xf numFmtId="0" fontId="27" fillId="0" borderId="98" applyNumberFormat="0" applyFont="0" applyFill="0" applyBorder="0" applyAlignment="0" applyProtection="0"/>
    <xf numFmtId="4" fontId="27" fillId="24" borderId="78" applyNumberFormat="0" applyProtection="0">
      <alignment horizontal="right" vertical="center"/>
    </xf>
    <xf numFmtId="4" fontId="91" fillId="26" borderId="78" applyNumberFormat="0" applyProtection="0">
      <alignment horizontal="right" vertical="center"/>
    </xf>
    <xf numFmtId="4" fontId="27" fillId="5" borderId="78" applyNumberFormat="0" applyProtection="0">
      <alignment horizontal="right" vertical="center"/>
    </xf>
    <xf numFmtId="4" fontId="27" fillId="15" borderId="78" applyNumberFormat="0" applyProtection="0">
      <alignment horizontal="right" vertical="center"/>
    </xf>
    <xf numFmtId="4" fontId="91" fillId="20" borderId="78" applyNumberFormat="0" applyProtection="0">
      <alignment horizontal="right" vertical="center"/>
    </xf>
    <xf numFmtId="4" fontId="27" fillId="19" borderId="78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53" fillId="25" borderId="87" applyNumberFormat="0" applyProtection="0">
      <alignment horizontal="left" vertical="top" indent="1"/>
    </xf>
    <xf numFmtId="0" fontId="27" fillId="18" borderId="77" applyNumberFormat="0" applyProtection="0">
      <alignment horizontal="left" vertical="center" indent="1"/>
    </xf>
    <xf numFmtId="0" fontId="27" fillId="18" borderId="77" applyNumberFormat="0" applyProtection="0">
      <alignment horizontal="left" vertical="center" indent="1"/>
    </xf>
    <xf numFmtId="0" fontId="27" fillId="18" borderId="77" applyNumberFormat="0" applyProtection="0">
      <alignment horizontal="left" vertical="center" indent="1"/>
    </xf>
    <xf numFmtId="0" fontId="27" fillId="18" borderId="77" applyNumberFormat="0" applyProtection="0">
      <alignment horizontal="left" vertical="center" indent="1"/>
    </xf>
    <xf numFmtId="0" fontId="27" fillId="18" borderId="78" applyNumberFormat="0" applyProtection="0">
      <alignment horizontal="left" vertical="top" indent="1"/>
    </xf>
    <xf numFmtId="4" fontId="59" fillId="31" borderId="78" applyNumberFormat="0" applyProtection="0">
      <alignment vertical="center"/>
    </xf>
    <xf numFmtId="4" fontId="27" fillId="18" borderId="78" applyNumberFormat="0" applyProtection="0">
      <alignment horizontal="left" vertical="center" indent="1"/>
    </xf>
    <xf numFmtId="4" fontId="27" fillId="32" borderId="77" applyNumberFormat="0" applyProtection="0">
      <alignment horizontal="right" vertical="center"/>
    </xf>
    <xf numFmtId="4" fontId="27" fillId="18" borderId="77" applyNumberFormat="0" applyProtection="0">
      <alignment horizontal="left" vertical="center" indent="1"/>
    </xf>
    <xf numFmtId="0" fontId="104" fillId="5" borderId="100" applyNumberFormat="0" applyAlignment="0" applyProtection="0"/>
    <xf numFmtId="0" fontId="27" fillId="0" borderId="79" applyNumberFormat="0" applyFont="0" applyFill="0" applyBorder="0" applyAlignment="0" applyProtection="0"/>
    <xf numFmtId="0" fontId="104" fillId="5" borderId="89" applyNumberFormat="0" applyAlignment="0" applyProtection="0"/>
    <xf numFmtId="0" fontId="104" fillId="5" borderId="83" applyNumberFormat="0" applyAlignment="0" applyProtection="0"/>
    <xf numFmtId="4" fontId="27" fillId="0" borderId="81" applyNumberFormat="0" applyProtection="0">
      <alignment horizontal="right" vertical="center"/>
    </xf>
    <xf numFmtId="0" fontId="38" fillId="34" borderId="90" applyNumberFormat="0" applyFont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97" fillId="4" borderId="100" applyNumberFormat="0" applyAlignment="0" applyProtection="0"/>
    <xf numFmtId="0" fontId="104" fillId="5" borderId="83" applyNumberFormat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97" fillId="4" borderId="73" applyNumberFormat="0" applyAlignment="0" applyProtection="0"/>
    <xf numFmtId="0" fontId="97" fillId="4" borderId="73" applyNumberFormat="0" applyAlignment="0" applyProtection="0"/>
    <xf numFmtId="0" fontId="27" fillId="0" borderId="88" applyNumberFormat="0" applyFont="0" applyFill="0" applyBorder="0" applyAlignment="0" applyProtection="0"/>
    <xf numFmtId="43" fontId="23" fillId="0" borderId="0" applyFont="0" applyFill="0" applyBorder="0" applyAlignment="0" applyProtection="0"/>
    <xf numFmtId="0" fontId="23" fillId="16" borderId="0" applyNumberFormat="0" applyBorder="0" applyAlignment="0" applyProtection="0"/>
    <xf numFmtId="0" fontId="27" fillId="18" borderId="94" applyNumberFormat="0" applyProtection="0">
      <alignment horizontal="left" vertical="top" indent="1"/>
    </xf>
    <xf numFmtId="0" fontId="23" fillId="16" borderId="0" applyNumberFormat="0" applyBorder="0" applyAlignment="0" applyProtection="0"/>
    <xf numFmtId="0" fontId="53" fillId="25" borderId="68" applyNumberFormat="0" applyProtection="0">
      <alignment horizontal="left" vertical="top" indent="1"/>
    </xf>
    <xf numFmtId="4" fontId="53" fillId="24" borderId="67" applyNumberFormat="0" applyProtection="0">
      <alignment horizontal="left" vertical="center" indent="1"/>
    </xf>
    <xf numFmtId="4" fontId="53" fillId="24" borderId="67" applyNumberFormat="0" applyProtection="0">
      <alignment vertical="center"/>
    </xf>
    <xf numFmtId="0" fontId="27" fillId="18" borderId="96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104" fillId="5" borderId="100" applyNumberFormat="0" applyAlignment="0" applyProtection="0"/>
    <xf numFmtId="4" fontId="53" fillId="24" borderId="86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27" fillId="18" borderId="86" applyNumberFormat="0" applyProtection="0">
      <alignment horizontal="right" vertical="center"/>
    </xf>
    <xf numFmtId="0" fontId="27" fillId="18" borderId="87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79" applyNumberFormat="0" applyFont="0" applyFill="0" applyBorder="0" applyAlignment="0" applyProtection="0"/>
    <xf numFmtId="4" fontId="27" fillId="15" borderId="71" applyNumberFormat="0" applyProtection="0">
      <alignment horizontal="right" vertical="center"/>
    </xf>
    <xf numFmtId="4" fontId="27" fillId="32" borderId="70" applyNumberFormat="0" applyProtection="0">
      <alignment horizontal="right" vertical="center"/>
    </xf>
    <xf numFmtId="4" fontId="53" fillId="32" borderId="70" applyNumberFormat="0" applyProtection="0">
      <alignment horizontal="right" vertical="center"/>
    </xf>
    <xf numFmtId="0" fontId="38" fillId="34" borderId="74" applyNumberFormat="0" applyFon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18" borderId="67" applyNumberFormat="0" applyProtection="0">
      <alignment horizontal="left" vertical="center" indent="1"/>
    </xf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4" fontId="52" fillId="24" borderId="81" applyNumberFormat="0" applyProtection="0">
      <alignment vertical="center"/>
    </xf>
    <xf numFmtId="0" fontId="27" fillId="0" borderId="7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4" fontId="27" fillId="0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18" borderId="67" applyNumberFormat="0" applyProtection="0">
      <alignment horizontal="left" vertical="top" indent="1"/>
    </xf>
    <xf numFmtId="0" fontId="27" fillId="0" borderId="82" applyNumberFormat="0" applyFont="0" applyFill="0" applyBorder="0" applyAlignment="0" applyProtection="0"/>
    <xf numFmtId="0" fontId="53" fillId="25" borderId="87" applyNumberFormat="0" applyProtection="0">
      <alignment horizontal="left" vertical="top" indent="1"/>
    </xf>
    <xf numFmtId="4" fontId="27" fillId="0" borderId="94" applyNumberFormat="0" applyProtection="0">
      <alignment horizontal="right" vertical="center"/>
    </xf>
    <xf numFmtId="4" fontId="27" fillId="32" borderId="93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4" fontId="27" fillId="18" borderId="94" applyNumberFormat="0" applyProtection="0">
      <alignment horizontal="left" vertical="center" indent="1"/>
    </xf>
    <xf numFmtId="4" fontId="53" fillId="24" borderId="77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9" applyNumberFormat="0" applyFont="0" applyFill="0" applyBorder="0" applyAlignment="0" applyProtection="0"/>
    <xf numFmtId="4" fontId="91" fillId="20" borderId="94" applyNumberFormat="0" applyProtection="0">
      <alignment horizontal="right" vertical="center"/>
    </xf>
    <xf numFmtId="0" fontId="104" fillId="5" borderId="100" applyNumberFormat="0" applyAlignment="0" applyProtection="0"/>
    <xf numFmtId="0" fontId="27" fillId="0" borderId="72" applyNumberFormat="0" applyFont="0" applyFill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4" fontId="27" fillId="18" borderId="80" applyNumberFormat="0" applyProtection="0">
      <alignment horizontal="right" vertical="center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0" borderId="94" applyNumberFormat="0" applyProtection="0">
      <alignment horizontal="right" vertical="center"/>
    </xf>
    <xf numFmtId="4" fontId="53" fillId="32" borderId="93" applyNumberFormat="0" applyProtection="0">
      <alignment horizontal="right" vertical="center"/>
    </xf>
    <xf numFmtId="0" fontId="27" fillId="18" borderId="94" applyNumberFormat="0" applyProtection="0">
      <alignment horizontal="left" vertical="top" indent="1"/>
    </xf>
    <xf numFmtId="0" fontId="27" fillId="18" borderId="94" applyNumberFormat="0" applyProtection="0">
      <alignment horizontal="left" vertical="top" indent="1"/>
    </xf>
    <xf numFmtId="4" fontId="27" fillId="19" borderId="94" applyNumberFormat="0" applyProtection="0">
      <alignment horizontal="right" vertical="center"/>
    </xf>
    <xf numFmtId="4" fontId="27" fillId="15" borderId="94" applyNumberFormat="0" applyProtection="0">
      <alignment horizontal="right" vertical="center"/>
    </xf>
    <xf numFmtId="4" fontId="91" fillId="26" borderId="94" applyNumberFormat="0" applyProtection="0">
      <alignment horizontal="right" vertical="center"/>
    </xf>
    <xf numFmtId="0" fontId="23" fillId="0" borderId="0"/>
    <xf numFmtId="0" fontId="23" fillId="0" borderId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4" fontId="91" fillId="27" borderId="78" applyNumberFormat="0" applyProtection="0">
      <alignment horizontal="right" vertical="center"/>
    </xf>
    <xf numFmtId="4" fontId="27" fillId="17" borderId="78" applyNumberFormat="0" applyProtection="0">
      <alignment horizontal="right" vertical="center"/>
    </xf>
    <xf numFmtId="4" fontId="91" fillId="28" borderId="78" applyNumberFormat="0" applyProtection="0">
      <alignment horizontal="right" vertical="center"/>
    </xf>
    <xf numFmtId="0" fontId="38" fillId="34" borderId="90" applyNumberFormat="0" applyFont="0" applyAlignment="0" applyProtection="0"/>
    <xf numFmtId="4" fontId="27" fillId="18" borderId="77" applyNumberFormat="0" applyProtection="0">
      <alignment horizontal="right" vertical="center"/>
    </xf>
    <xf numFmtId="0" fontId="27" fillId="18" borderId="78" applyNumberFormat="0" applyProtection="0">
      <alignment horizontal="left" vertical="top" indent="1"/>
    </xf>
    <xf numFmtId="0" fontId="27" fillId="18" borderId="78" applyNumberFormat="0" applyProtection="0">
      <alignment horizontal="left" vertical="top" indent="1"/>
    </xf>
    <xf numFmtId="0" fontId="27" fillId="18" borderId="78" applyNumberFormat="0" applyProtection="0">
      <alignment horizontal="left" vertical="top" indent="1"/>
    </xf>
    <xf numFmtId="4" fontId="92" fillId="31" borderId="78" applyNumberFormat="0" applyProtection="0">
      <alignment vertical="center"/>
    </xf>
    <xf numFmtId="0" fontId="27" fillId="18" borderId="78" applyNumberFormat="0" applyProtection="0">
      <alignment horizontal="left" vertical="top" indent="1"/>
    </xf>
    <xf numFmtId="4" fontId="53" fillId="32" borderId="77" applyNumberFormat="0" applyProtection="0">
      <alignment horizontal="right" vertical="center"/>
    </xf>
    <xf numFmtId="0" fontId="27" fillId="18" borderId="77" applyNumberFormat="0" applyProtection="0">
      <alignment horizontal="left" vertical="top" indent="1"/>
    </xf>
    <xf numFmtId="4" fontId="27" fillId="0" borderId="78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4" fontId="27" fillId="18" borderId="93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53" fillId="32" borderId="96" applyNumberFormat="0" applyProtection="0">
      <alignment horizontal="right" vertical="center"/>
    </xf>
    <xf numFmtId="0" fontId="97" fillId="4" borderId="83" applyNumberFormat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52" fillId="24" borderId="71" applyNumberFormat="0" applyProtection="0">
      <alignment vertical="center"/>
    </xf>
    <xf numFmtId="0" fontId="97" fillId="4" borderId="100" applyNumberFormat="0" applyAlignment="0" applyProtection="0"/>
    <xf numFmtId="0" fontId="97" fillId="4" borderId="73" applyNumberFormat="0" applyAlignment="0" applyProtection="0"/>
    <xf numFmtId="43" fontId="23" fillId="0" borderId="0" applyFont="0" applyFill="0" applyBorder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" fontId="92" fillId="31" borderId="87" applyNumberFormat="0" applyProtection="0">
      <alignment vertical="center"/>
    </xf>
    <xf numFmtId="4" fontId="52" fillId="24" borderId="68" applyNumberFormat="0" applyProtection="0">
      <alignment vertical="center"/>
    </xf>
    <xf numFmtId="0" fontId="27" fillId="0" borderId="79" applyNumberFormat="0" applyFont="0" applyFill="0" applyBorder="0" applyAlignment="0" applyProtection="0"/>
    <xf numFmtId="0" fontId="27" fillId="18" borderId="86" applyNumberFormat="0" applyProtection="0">
      <alignment horizontal="left" vertical="center" indent="1"/>
    </xf>
    <xf numFmtId="4" fontId="27" fillId="19" borderId="87" applyNumberFormat="0" applyProtection="0">
      <alignment horizontal="right" vertical="center"/>
    </xf>
    <xf numFmtId="0" fontId="27" fillId="18" borderId="67" applyNumberFormat="0" applyProtection="0">
      <alignment horizontal="left" vertical="center" indent="1"/>
    </xf>
    <xf numFmtId="0" fontId="27" fillId="0" borderId="72" applyNumberFormat="0" applyFont="0" applyFill="0" applyBorder="0" applyAlignment="0" applyProtection="0"/>
    <xf numFmtId="4" fontId="27" fillId="24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53" fillId="24" borderId="70" applyNumberFormat="0" applyProtection="0">
      <alignment vertical="center"/>
    </xf>
    <xf numFmtId="4" fontId="91" fillId="28" borderId="68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27" fillId="18" borderId="67" applyNumberFormat="0" applyProtection="0">
      <alignment horizontal="left" vertical="center" indent="1"/>
    </xf>
    <xf numFmtId="0" fontId="97" fillId="4" borderId="89" applyNumberFormat="0" applyAlignment="0" applyProtection="0"/>
    <xf numFmtId="4" fontId="27" fillId="18" borderId="67" applyNumberFormat="0" applyProtection="0">
      <alignment horizontal="left" vertical="center" indent="1"/>
    </xf>
    <xf numFmtId="0" fontId="38" fillId="34" borderId="84" applyNumberFormat="0" applyFont="0" applyAlignment="0" applyProtection="0"/>
    <xf numFmtId="4" fontId="27" fillId="24" borderId="71" applyNumberFormat="0" applyProtection="0">
      <alignment horizontal="right" vertical="center"/>
    </xf>
    <xf numFmtId="4" fontId="27" fillId="5" borderId="68" applyNumberFormat="0" applyProtection="0">
      <alignment horizontal="right" vertical="center"/>
    </xf>
    <xf numFmtId="0" fontId="38" fillId="34" borderId="74" applyNumberFormat="0" applyFont="0" applyAlignment="0" applyProtection="0"/>
    <xf numFmtId="0" fontId="27" fillId="18" borderId="81" applyNumberFormat="0" applyProtection="0">
      <alignment horizontal="left" vertical="top" indent="1"/>
    </xf>
    <xf numFmtId="4" fontId="27" fillId="18" borderId="68" applyNumberFormat="0" applyProtection="0">
      <alignment horizontal="left" vertical="center" indent="1"/>
    </xf>
    <xf numFmtId="4" fontId="27" fillId="0" borderId="71" applyNumberFormat="0" applyProtection="0">
      <alignment horizontal="right" vertical="center"/>
    </xf>
    <xf numFmtId="0" fontId="27" fillId="0" borderId="72" applyNumberFormat="0" applyFont="0" applyFill="0" applyBorder="0" applyAlignment="0" applyProtection="0"/>
    <xf numFmtId="0" fontId="38" fillId="34" borderId="90" applyNumberFormat="0" applyFont="0" applyAlignment="0" applyProtection="0"/>
    <xf numFmtId="0" fontId="97" fillId="4" borderId="100" applyNumberFormat="0" applyAlignment="0" applyProtection="0"/>
    <xf numFmtId="0" fontId="38" fillId="34" borderId="99" applyNumberFormat="0" applyFont="0" applyAlignment="0" applyProtection="0"/>
    <xf numFmtId="0" fontId="27" fillId="0" borderId="79" applyNumberFormat="0" applyFont="0" applyFill="0" applyBorder="0" applyAlignment="0" applyProtection="0"/>
    <xf numFmtId="4" fontId="91" fillId="27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104" fillId="5" borderId="73" applyNumberFormat="0" applyAlignment="0" applyProtection="0"/>
    <xf numFmtId="4" fontId="59" fillId="31" borderId="68" applyNumberFormat="0" applyProtection="0">
      <alignment vertical="center"/>
    </xf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18" borderId="77" applyNumberFormat="0" applyProtection="0">
      <alignment horizontal="left" vertical="top" indent="1"/>
    </xf>
    <xf numFmtId="0" fontId="27" fillId="18" borderId="67" applyNumberFormat="0" applyProtection="0">
      <alignment horizontal="left" vertical="center" indent="1"/>
    </xf>
    <xf numFmtId="0" fontId="38" fillId="34" borderId="99" applyNumberFormat="0" applyFont="0" applyAlignment="0" applyProtection="0"/>
    <xf numFmtId="4" fontId="27" fillId="17" borderId="68" applyNumberFormat="0" applyProtection="0">
      <alignment horizontal="right" vertical="center"/>
    </xf>
    <xf numFmtId="0" fontId="53" fillId="25" borderId="71" applyNumberFormat="0" applyProtection="0">
      <alignment horizontal="left" vertical="top" indent="1"/>
    </xf>
    <xf numFmtId="0" fontId="97" fillId="4" borderId="83" applyNumberFormat="0" applyAlignment="0" applyProtection="0"/>
    <xf numFmtId="0" fontId="38" fillId="34" borderId="90" applyNumberFormat="0" applyFont="0" applyAlignment="0" applyProtection="0"/>
    <xf numFmtId="0" fontId="53" fillId="25" borderId="68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104" fillId="5" borderId="83" applyNumberFormat="0" applyAlignment="0" applyProtection="0"/>
    <xf numFmtId="4" fontId="27" fillId="32" borderId="67" applyNumberFormat="0" applyProtection="0">
      <alignment horizontal="right" vertical="center"/>
    </xf>
    <xf numFmtId="0" fontId="104" fillId="5" borderId="89" applyNumberFormat="0" applyAlignment="0" applyProtection="0"/>
    <xf numFmtId="4" fontId="27" fillId="19" borderId="71" applyNumberFormat="0" applyProtection="0">
      <alignment horizontal="right" vertical="center"/>
    </xf>
    <xf numFmtId="0" fontId="104" fillId="5" borderId="100" applyNumberFormat="0" applyAlignment="0" applyProtection="0"/>
    <xf numFmtId="0" fontId="27" fillId="18" borderId="67" applyNumberFormat="0" applyProtection="0">
      <alignment horizontal="left" vertical="center" indent="1"/>
    </xf>
    <xf numFmtId="0" fontId="27" fillId="18" borderId="87" applyNumberFormat="0" applyProtection="0">
      <alignment horizontal="left" vertical="top" indent="1"/>
    </xf>
    <xf numFmtId="0" fontId="23" fillId="0" borderId="0"/>
    <xf numFmtId="43" fontId="23" fillId="0" borderId="0" applyFont="0" applyFill="0" applyBorder="0" applyAlignment="0" applyProtection="0"/>
    <xf numFmtId="0" fontId="27" fillId="18" borderId="70" applyNumberFormat="0" applyProtection="0">
      <alignment horizontal="left" vertical="center" indent="1"/>
    </xf>
    <xf numFmtId="0" fontId="97" fillId="4" borderId="83" applyNumberFormat="0" applyAlignment="0" applyProtection="0"/>
    <xf numFmtId="0" fontId="27" fillId="18" borderId="71" applyNumberFormat="0" applyProtection="0">
      <alignment horizontal="left" vertical="top" indent="1"/>
    </xf>
    <xf numFmtId="0" fontId="27" fillId="0" borderId="98" applyNumberFormat="0" applyFont="0" applyFill="0" applyBorder="0" applyAlignment="0" applyProtection="0"/>
    <xf numFmtId="4" fontId="92" fillId="31" borderId="71" applyNumberFormat="0" applyProtection="0">
      <alignment vertical="center"/>
    </xf>
    <xf numFmtId="0" fontId="27" fillId="18" borderId="67" applyNumberFormat="0" applyProtection="0">
      <alignment horizontal="left" vertical="center" indent="1"/>
    </xf>
    <xf numFmtId="0" fontId="27" fillId="18" borderId="71" applyNumberFormat="0" applyProtection="0">
      <alignment horizontal="left" vertical="top" indent="1"/>
    </xf>
    <xf numFmtId="0" fontId="27" fillId="18" borderId="67" applyNumberFormat="0" applyProtection="0">
      <alignment horizontal="left" vertical="center" indent="1"/>
    </xf>
    <xf numFmtId="4" fontId="53" fillId="32" borderId="70" applyNumberFormat="0" applyProtection="0">
      <alignment horizontal="right" vertical="center"/>
    </xf>
    <xf numFmtId="0" fontId="27" fillId="18" borderId="67" applyNumberFormat="0" applyProtection="0">
      <alignment horizontal="left" vertical="center" indent="1"/>
    </xf>
    <xf numFmtId="0" fontId="27" fillId="18" borderId="70" applyNumberFormat="0" applyProtection="0">
      <alignment horizontal="left" vertical="top" indent="1"/>
    </xf>
    <xf numFmtId="0" fontId="27" fillId="0" borderId="72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53" fillId="24" borderId="70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4" fontId="91" fillId="26" borderId="71" applyNumberFormat="0" applyProtection="0">
      <alignment horizontal="right" vertical="center"/>
    </xf>
    <xf numFmtId="4" fontId="27" fillId="5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4" fontId="91" fillId="28" borderId="71" applyNumberFormat="0" applyProtection="0">
      <alignment horizontal="right" vertical="center"/>
    </xf>
    <xf numFmtId="0" fontId="104" fillId="5" borderId="89" applyNumberFormat="0" applyAlignment="0" applyProtection="0"/>
    <xf numFmtId="0" fontId="27" fillId="0" borderId="82" applyNumberFormat="0" applyFont="0" applyFill="0" applyBorder="0" applyAlignment="0" applyProtection="0"/>
    <xf numFmtId="0" fontId="27" fillId="18" borderId="81" applyNumberFormat="0" applyProtection="0">
      <alignment horizontal="left" vertical="top" indent="1"/>
    </xf>
    <xf numFmtId="0" fontId="27" fillId="18" borderId="70" applyNumberFormat="0" applyProtection="0">
      <alignment horizontal="left" vertical="center" indent="1"/>
    </xf>
    <xf numFmtId="0" fontId="27" fillId="18" borderId="70" applyNumberFormat="0" applyProtection="0">
      <alignment horizontal="left" vertical="center" indent="1"/>
    </xf>
    <xf numFmtId="0" fontId="27" fillId="18" borderId="70" applyNumberFormat="0" applyProtection="0">
      <alignment horizontal="left" vertical="center" indent="1"/>
    </xf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97" fillId="4" borderId="73" applyNumberFormat="0" applyAlignment="0" applyProtection="0"/>
    <xf numFmtId="0" fontId="23" fillId="16" borderId="0" applyNumberFormat="0" applyBorder="0" applyAlignment="0" applyProtection="0"/>
    <xf numFmtId="43" fontId="23" fillId="0" borderId="0" applyFont="0" applyFill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7" fillId="18" borderId="68" applyNumberFormat="0" applyProtection="0">
      <alignment horizontal="left" vertical="top" indent="1"/>
    </xf>
    <xf numFmtId="4" fontId="27" fillId="19" borderId="68" applyNumberFormat="0" applyProtection="0">
      <alignment horizontal="right" vertical="center"/>
    </xf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7" fillId="0" borderId="72" applyNumberFormat="0" applyFont="0" applyFill="0" applyBorder="0" applyAlignment="0" applyProtection="0"/>
    <xf numFmtId="43" fontId="23" fillId="0" borderId="0" applyFont="0" applyFill="0" applyBorder="0" applyAlignment="0" applyProtection="0"/>
    <xf numFmtId="0" fontId="27" fillId="0" borderId="72" applyNumberFormat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" fontId="53" fillId="24" borderId="67" applyNumberFormat="0" applyProtection="0">
      <alignment vertical="center"/>
    </xf>
    <xf numFmtId="4" fontId="27" fillId="18" borderId="67" applyNumberFormat="0" applyProtection="0">
      <alignment horizontal="right" vertical="center"/>
    </xf>
    <xf numFmtId="0" fontId="27" fillId="18" borderId="86" applyNumberFormat="0" applyProtection="0">
      <alignment horizontal="left" vertical="center" indent="1"/>
    </xf>
    <xf numFmtId="0" fontId="38" fillId="34" borderId="84" applyNumberFormat="0" applyFont="0" applyAlignment="0" applyProtection="0"/>
    <xf numFmtId="0" fontId="27" fillId="18" borderId="68" applyNumberFormat="0" applyProtection="0">
      <alignment horizontal="left" vertical="top" indent="1"/>
    </xf>
    <xf numFmtId="0" fontId="104" fillId="5" borderId="73" applyNumberFormat="0" applyAlignment="0" applyProtection="0"/>
    <xf numFmtId="0" fontId="38" fillId="34" borderId="84" applyNumberFormat="0" applyFont="0" applyAlignment="0" applyProtection="0"/>
    <xf numFmtId="0" fontId="38" fillId="34" borderId="99" applyNumberFormat="0" applyFont="0" applyAlignment="0" applyProtection="0"/>
    <xf numFmtId="4" fontId="53" fillId="24" borderId="70" applyNumberFormat="0" applyProtection="0">
      <alignment vertical="center"/>
    </xf>
    <xf numFmtId="0" fontId="27" fillId="18" borderId="80" applyNumberFormat="0" applyProtection="0">
      <alignment horizontal="left" vertical="center" indent="1"/>
    </xf>
    <xf numFmtId="4" fontId="53" fillId="24" borderId="70" applyNumberFormat="0" applyProtection="0">
      <alignment horizontal="left" vertical="center" indent="1"/>
    </xf>
    <xf numFmtId="4" fontId="91" fillId="20" borderId="68" applyNumberFormat="0" applyProtection="0">
      <alignment horizontal="right" vertical="center"/>
    </xf>
    <xf numFmtId="4" fontId="27" fillId="5" borderId="71" applyNumberFormat="0" applyProtection="0">
      <alignment horizontal="right" vertical="center"/>
    </xf>
    <xf numFmtId="0" fontId="27" fillId="18" borderId="68" applyNumberFormat="0" applyProtection="0">
      <alignment horizontal="left" vertical="top" indent="1"/>
    </xf>
    <xf numFmtId="0" fontId="27" fillId="18" borderId="93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4" fontId="91" fillId="28" borderId="87" applyNumberFormat="0" applyProtection="0">
      <alignment horizontal="right" vertical="center"/>
    </xf>
    <xf numFmtId="4" fontId="53" fillId="32" borderId="67" applyNumberFormat="0" applyProtection="0">
      <alignment horizontal="right" vertical="center"/>
    </xf>
    <xf numFmtId="0" fontId="104" fillId="5" borderId="89" applyNumberFormat="0" applyAlignment="0" applyProtection="0"/>
    <xf numFmtId="4" fontId="27" fillId="17" borderId="71" applyNumberFormat="0" applyProtection="0">
      <alignment horizontal="right" vertical="center"/>
    </xf>
    <xf numFmtId="0" fontId="27" fillId="0" borderId="72" applyNumberFormat="0" applyFont="0" applyFill="0" applyBorder="0" applyAlignment="0" applyProtection="0"/>
    <xf numFmtId="0" fontId="97" fillId="4" borderId="89" applyNumberFormat="0" applyAlignment="0" applyProtection="0"/>
    <xf numFmtId="4" fontId="92" fillId="31" borderId="68" applyNumberFormat="0" applyProtection="0">
      <alignment vertical="center"/>
    </xf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18" borderId="86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4" fontId="27" fillId="18" borderId="70" applyNumberFormat="0" applyProtection="0">
      <alignment horizontal="left" vertical="center" indent="1"/>
    </xf>
    <xf numFmtId="4" fontId="91" fillId="26" borderId="68" applyNumberFormat="0" applyProtection="0">
      <alignment horizontal="right" vertical="center"/>
    </xf>
    <xf numFmtId="0" fontId="97" fillId="4" borderId="73" applyNumberFormat="0" applyAlignment="0" applyProtection="0"/>
    <xf numFmtId="0" fontId="27" fillId="18" borderId="68" applyNumberFormat="0" applyProtection="0">
      <alignment horizontal="left" vertical="top" indent="1"/>
    </xf>
    <xf numFmtId="0" fontId="27" fillId="18" borderId="80" applyNumberFormat="0" applyProtection="0">
      <alignment horizontal="left" vertical="center" indent="1"/>
    </xf>
    <xf numFmtId="0" fontId="27" fillId="0" borderId="72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79" applyNumberFormat="0" applyFont="0" applyFill="0" applyBorder="0" applyAlignment="0" applyProtection="0"/>
    <xf numFmtId="0" fontId="104" fillId="5" borderId="100" applyNumberFormat="0" applyAlignment="0" applyProtection="0"/>
    <xf numFmtId="4" fontId="27" fillId="15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4" fontId="53" fillId="24" borderId="77" applyNumberFormat="0" applyProtection="0">
      <alignment horizontal="left" vertical="center" indent="1"/>
    </xf>
    <xf numFmtId="0" fontId="107" fillId="4" borderId="75" applyNumberFormat="0" applyAlignment="0" applyProtection="0"/>
    <xf numFmtId="4" fontId="53" fillId="24" borderId="67" applyNumberFormat="0" applyProtection="0">
      <alignment horizontal="left" vertical="center" indent="1"/>
    </xf>
    <xf numFmtId="0" fontId="104" fillId="5" borderId="83" applyNumberFormat="0" applyAlignment="0" applyProtection="0"/>
    <xf numFmtId="0" fontId="104" fillId="5" borderId="100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" fontId="53" fillId="24" borderId="96" applyNumberFormat="0" applyProtection="0">
      <alignment vertical="center"/>
    </xf>
    <xf numFmtId="0" fontId="27" fillId="18" borderId="70" applyNumberFormat="0" applyProtection="0">
      <alignment horizontal="left" vertical="top" indent="1"/>
    </xf>
    <xf numFmtId="0" fontId="27" fillId="18" borderId="68" applyNumberFormat="0" applyProtection="0">
      <alignment horizontal="left" vertical="top" indent="1"/>
    </xf>
    <xf numFmtId="0" fontId="27" fillId="0" borderId="72" applyNumberFormat="0" applyFont="0" applyFill="0" applyBorder="0" applyAlignment="0" applyProtection="0"/>
    <xf numFmtId="0" fontId="27" fillId="18" borderId="68" applyNumberFormat="0" applyProtection="0">
      <alignment horizontal="left" vertical="top" indent="1"/>
    </xf>
    <xf numFmtId="0" fontId="27" fillId="18" borderId="97" applyNumberFormat="0" applyProtection="0">
      <alignment horizontal="left" vertical="top" indent="1"/>
    </xf>
    <xf numFmtId="0" fontId="23" fillId="0" borderId="0"/>
    <xf numFmtId="43" fontId="23" fillId="0" borderId="0" applyFont="0" applyFill="0" applyBorder="0" applyAlignment="0" applyProtection="0"/>
    <xf numFmtId="0" fontId="27" fillId="18" borderId="71" applyNumberFormat="0" applyProtection="0">
      <alignment horizontal="left" vertical="top" indent="1"/>
    </xf>
    <xf numFmtId="0" fontId="27" fillId="18" borderId="87" applyNumberFormat="0" applyProtection="0">
      <alignment horizontal="left" vertical="top" indent="1"/>
    </xf>
    <xf numFmtId="4" fontId="59" fillId="31" borderId="71" applyNumberFormat="0" applyProtection="0">
      <alignment vertical="center"/>
    </xf>
    <xf numFmtId="0" fontId="27" fillId="18" borderId="68" applyNumberFormat="0" applyProtection="0">
      <alignment horizontal="left" vertical="top" indent="1"/>
    </xf>
    <xf numFmtId="4" fontId="27" fillId="18" borderId="71" applyNumberFormat="0" applyProtection="0">
      <alignment horizontal="left" vertical="center" indent="1"/>
    </xf>
    <xf numFmtId="0" fontId="27" fillId="18" borderId="68" applyNumberFormat="0" applyProtection="0">
      <alignment horizontal="left" vertical="top" indent="1"/>
    </xf>
    <xf numFmtId="4" fontId="27" fillId="32" borderId="70" applyNumberFormat="0" applyProtection="0">
      <alignment horizontal="right" vertical="center"/>
    </xf>
    <xf numFmtId="0" fontId="27" fillId="18" borderId="68" applyNumberFormat="0" applyProtection="0">
      <alignment horizontal="left" vertical="top" indent="1"/>
    </xf>
    <xf numFmtId="4" fontId="27" fillId="18" borderId="70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98" applyNumberFormat="0" applyFont="0" applyFill="0" applyBorder="0" applyAlignment="0" applyProtection="0"/>
    <xf numFmtId="0" fontId="38" fillId="34" borderId="84" applyNumberFormat="0" applyFont="0" applyAlignment="0" applyProtection="0"/>
    <xf numFmtId="0" fontId="53" fillId="25" borderId="71" applyNumberFormat="0" applyProtection="0">
      <alignment horizontal="left" vertical="top" indent="1"/>
    </xf>
    <xf numFmtId="4" fontId="27" fillId="24" borderId="71" applyNumberFormat="0" applyProtection="0">
      <alignment horizontal="right" vertical="center"/>
    </xf>
    <xf numFmtId="4" fontId="91" fillId="27" borderId="71" applyNumberFormat="0" applyProtection="0">
      <alignment horizontal="right" vertical="center"/>
    </xf>
    <xf numFmtId="4" fontId="27" fillId="15" borderId="71" applyNumberFormat="0" applyProtection="0">
      <alignment horizontal="right" vertical="center"/>
    </xf>
    <xf numFmtId="4" fontId="91" fillId="20" borderId="71" applyNumberFormat="0" applyProtection="0">
      <alignment horizontal="right" vertical="center"/>
    </xf>
    <xf numFmtId="4" fontId="27" fillId="19" borderId="71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4" fontId="27" fillId="18" borderId="70" applyNumberFormat="0" applyProtection="0">
      <alignment horizontal="right" vertical="center"/>
    </xf>
    <xf numFmtId="0" fontId="104" fillId="5" borderId="100" applyNumberFormat="0" applyAlignment="0" applyProtection="0"/>
    <xf numFmtId="0" fontId="27" fillId="18" borderId="71" applyNumberFormat="0" applyProtection="0">
      <alignment horizontal="left" vertical="top" indent="1"/>
    </xf>
    <xf numFmtId="0" fontId="27" fillId="18" borderId="71" applyNumberFormat="0" applyProtection="0">
      <alignment horizontal="left" vertical="top" indent="1"/>
    </xf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8" fillId="34" borderId="99" applyNumberFormat="0" applyFont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27" fillId="24" borderId="68" applyNumberFormat="0" applyProtection="0">
      <alignment horizontal="right" vertical="center"/>
    </xf>
    <xf numFmtId="4" fontId="27" fillId="5" borderId="68" applyNumberFormat="0" applyProtection="0">
      <alignment horizontal="right" vertical="center"/>
    </xf>
    <xf numFmtId="4" fontId="27" fillId="15" borderId="68" applyNumberFormat="0" applyProtection="0">
      <alignment horizontal="right" vertical="center"/>
    </xf>
    <xf numFmtId="4" fontId="27" fillId="17" borderId="68" applyNumberFormat="0" applyProtection="0">
      <alignment horizontal="right" vertical="center"/>
    </xf>
    <xf numFmtId="4" fontId="27" fillId="19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4" fontId="27" fillId="19" borderId="97" applyNumberFormat="0" applyProtection="0">
      <alignment horizontal="right" vertical="center"/>
    </xf>
    <xf numFmtId="0" fontId="38" fillId="34" borderId="90" applyNumberFormat="0" applyFont="0" applyAlignment="0" applyProtection="0"/>
    <xf numFmtId="4" fontId="27" fillId="18" borderId="67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4" fontId="27" fillId="18" borderId="68" applyNumberFormat="0" applyProtection="0">
      <alignment horizontal="left" vertical="center" indent="1"/>
    </xf>
    <xf numFmtId="0" fontId="27" fillId="18" borderId="68" applyNumberFormat="0" applyProtection="0">
      <alignment horizontal="left" vertical="top" indent="1"/>
    </xf>
    <xf numFmtId="4" fontId="27" fillId="32" borderId="67" applyNumberFormat="0" applyProtection="0">
      <alignment horizontal="right" vertical="center"/>
    </xf>
    <xf numFmtId="4" fontId="53" fillId="32" borderId="67" applyNumberFormat="0" applyProtection="0">
      <alignment horizontal="right" vertical="center"/>
    </xf>
    <xf numFmtId="4" fontId="27" fillId="18" borderId="67" applyNumberFormat="0" applyProtection="0">
      <alignment horizontal="left" vertical="center" indent="1"/>
    </xf>
    <xf numFmtId="0" fontId="27" fillId="18" borderId="67" applyNumberFormat="0" applyProtection="0">
      <alignment horizontal="left" vertical="top" indent="1"/>
    </xf>
    <xf numFmtId="4" fontId="27" fillId="0" borderId="68" applyNumberFormat="0" applyProtection="0">
      <alignment horizontal="right" vertical="center"/>
    </xf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104" fillId="5" borderId="73" applyNumberFormat="0" applyAlignment="0" applyProtection="0"/>
    <xf numFmtId="0" fontId="38" fillId="34" borderId="84" applyNumberFormat="0" applyFont="0" applyAlignment="0" applyProtection="0"/>
    <xf numFmtId="4" fontId="27" fillId="0" borderId="78" applyNumberFormat="0" applyProtection="0">
      <alignment horizontal="right" vertical="center"/>
    </xf>
    <xf numFmtId="0" fontId="38" fillId="34" borderId="90" applyNumberFormat="0" applyFont="0" applyAlignment="0" applyProtection="0"/>
    <xf numFmtId="0" fontId="104" fillId="5" borderId="83" applyNumberFormat="0" applyAlignment="0" applyProtection="0"/>
    <xf numFmtId="0" fontId="97" fillId="4" borderId="89" applyNumberFormat="0" applyAlignment="0" applyProtection="0"/>
    <xf numFmtId="0" fontId="27" fillId="18" borderId="71" applyNumberFormat="0" applyProtection="0">
      <alignment horizontal="left" vertical="top" indent="1"/>
    </xf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18" borderId="70" applyNumberFormat="0" applyProtection="0">
      <alignment horizontal="left" vertical="center" indent="1"/>
    </xf>
    <xf numFmtId="0" fontId="97" fillId="4" borderId="89" applyNumberFormat="0" applyAlignment="0" applyProtection="0"/>
    <xf numFmtId="4" fontId="27" fillId="18" borderId="87" applyNumberFormat="0" applyProtection="0">
      <alignment horizontal="left" vertical="center" indent="1"/>
    </xf>
    <xf numFmtId="4" fontId="27" fillId="17" borderId="78" applyNumberFormat="0" applyProtection="0">
      <alignment horizontal="right" vertical="center"/>
    </xf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4" fontId="27" fillId="15" borderId="97" applyNumberFormat="0" applyProtection="0">
      <alignment horizontal="right" vertical="center"/>
    </xf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4" fontId="27" fillId="18" borderId="78" applyNumberFormat="0" applyProtection="0">
      <alignment horizontal="left" vertical="center" indent="1"/>
    </xf>
    <xf numFmtId="0" fontId="27" fillId="0" borderId="69" applyNumberFormat="0" applyFont="0" applyFill="0" applyBorder="0" applyAlignment="0" applyProtection="0"/>
    <xf numFmtId="0" fontId="27" fillId="18" borderId="70" applyNumberFormat="0" applyProtection="0">
      <alignment horizontal="left" vertical="center" indent="1"/>
    </xf>
    <xf numFmtId="0" fontId="27" fillId="0" borderId="69" applyNumberFormat="0" applyFont="0" applyFill="0" applyBorder="0" applyAlignment="0" applyProtection="0"/>
    <xf numFmtId="0" fontId="97" fillId="4" borderId="89" applyNumberFormat="0" applyAlignment="0" applyProtection="0"/>
    <xf numFmtId="0" fontId="38" fillId="34" borderId="74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69" applyNumberFormat="0" applyFont="0" applyFill="0" applyBorder="0" applyAlignment="0" applyProtection="0"/>
    <xf numFmtId="0" fontId="38" fillId="34" borderId="74" applyNumberFormat="0" applyFon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4" fontId="27" fillId="15" borderId="81" applyNumberFormat="0" applyProtection="0">
      <alignment horizontal="right" vertical="center"/>
    </xf>
    <xf numFmtId="0" fontId="104" fillId="5" borderId="83" applyNumberFormat="0" applyAlignment="0" applyProtection="0"/>
    <xf numFmtId="4" fontId="27" fillId="32" borderId="77" applyNumberFormat="0" applyProtection="0">
      <alignment horizontal="right" vertical="center"/>
    </xf>
    <xf numFmtId="4" fontId="27" fillId="18" borderId="77" applyNumberFormat="0" applyProtection="0">
      <alignment horizontal="left" vertical="center" indent="1"/>
    </xf>
    <xf numFmtId="4" fontId="53" fillId="32" borderId="80" applyNumberFormat="0" applyProtection="0">
      <alignment horizontal="right" vertical="center"/>
    </xf>
    <xf numFmtId="0" fontId="97" fillId="4" borderId="89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27" fillId="18" borderId="70" applyNumberFormat="0" applyProtection="0">
      <alignment horizontal="left" vertical="center" indent="1"/>
    </xf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4" fontId="27" fillId="5" borderId="78" applyNumberFormat="0" applyProtection="0">
      <alignment horizontal="right" vertical="center"/>
    </xf>
    <xf numFmtId="0" fontId="104" fillId="5" borderId="89" applyNumberFormat="0" applyAlignment="0" applyProtection="0"/>
    <xf numFmtId="0" fontId="27" fillId="18" borderId="70" applyNumberFormat="0" applyProtection="0">
      <alignment horizontal="left" vertical="center" indent="1"/>
    </xf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4" fontId="52" fillId="24" borderId="78" applyNumberFormat="0" applyProtection="0">
      <alignment vertical="center"/>
    </xf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18" borderId="97" applyNumberFormat="0" applyProtection="0">
      <alignment horizontal="left" vertical="top" indent="1"/>
    </xf>
    <xf numFmtId="0" fontId="38" fillId="34" borderId="74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4" fontId="91" fillId="20" borderId="87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38" fillId="34" borderId="90" applyNumberFormat="0" applyFont="0" applyAlignment="0" applyProtection="0"/>
    <xf numFmtId="4" fontId="53" fillId="24" borderId="77" applyNumberFormat="0" applyProtection="0">
      <alignment vertical="center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27" fillId="0" borderId="79" applyNumberFormat="0" applyFont="0" applyFill="0" applyBorder="0" applyAlignment="0" applyProtection="0"/>
    <xf numFmtId="0" fontId="27" fillId="18" borderId="94" applyNumberFormat="0" applyProtection="0">
      <alignment horizontal="left" vertical="top" indent="1"/>
    </xf>
    <xf numFmtId="0" fontId="27" fillId="0" borderId="72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79" applyNumberFormat="0" applyFont="0" applyFill="0" applyBorder="0" applyAlignment="0" applyProtection="0"/>
    <xf numFmtId="4" fontId="27" fillId="18" borderId="71" applyNumberFormat="0" applyProtection="0">
      <alignment horizontal="left" vertical="center" indent="1"/>
    </xf>
    <xf numFmtId="0" fontId="97" fillId="4" borderId="83" applyNumberFormat="0" applyAlignment="0" applyProtection="0"/>
    <xf numFmtId="0" fontId="97" fillId="4" borderId="73" applyNumberFormat="0" applyAlignment="0" applyProtection="0"/>
    <xf numFmtId="0" fontId="27" fillId="0" borderId="69" applyNumberFormat="0" applyFont="0" applyFill="0" applyBorder="0" applyAlignment="0" applyProtection="0"/>
    <xf numFmtId="0" fontId="27" fillId="18" borderId="71" applyNumberFormat="0" applyProtection="0">
      <alignment horizontal="left" vertical="top" indent="1"/>
    </xf>
    <xf numFmtId="4" fontId="27" fillId="15" borderId="78" applyNumberFormat="0" applyProtection="0">
      <alignment horizontal="right" vertical="center"/>
    </xf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109" fillId="0" borderId="76" applyNumberFormat="0" applyFill="0" applyAlignment="0" applyProtection="0"/>
    <xf numFmtId="0" fontId="27" fillId="0" borderId="88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18" borderId="71" applyNumberFormat="0" applyProtection="0">
      <alignment horizontal="left" vertical="top" indent="1"/>
    </xf>
    <xf numFmtId="0" fontId="27" fillId="0" borderId="69" applyNumberFormat="0" applyFont="0" applyFill="0" applyBorder="0" applyAlignment="0" applyProtection="0"/>
    <xf numFmtId="0" fontId="27" fillId="18" borderId="86" applyNumberFormat="0" applyProtection="0">
      <alignment horizontal="left" vertical="center" indent="1"/>
    </xf>
    <xf numFmtId="0" fontId="53" fillId="25" borderId="78" applyNumberFormat="0" applyProtection="0">
      <alignment horizontal="left" vertical="top" indent="1"/>
    </xf>
    <xf numFmtId="0" fontId="38" fillId="34" borderId="74" applyNumberFormat="0" applyFont="0" applyAlignment="0" applyProtection="0"/>
    <xf numFmtId="0" fontId="104" fillId="5" borderId="83" applyNumberFormat="0" applyAlignment="0" applyProtection="0"/>
    <xf numFmtId="0" fontId="27" fillId="0" borderId="69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0" borderId="69" applyNumberFormat="0" applyFont="0" applyFill="0" applyBorder="0" applyAlignment="0" applyProtection="0"/>
    <xf numFmtId="4" fontId="53" fillId="32" borderId="96" applyNumberFormat="0" applyProtection="0">
      <alignment horizontal="right" vertical="center"/>
    </xf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18" borderId="86" applyNumberFormat="0" applyProtection="0">
      <alignment horizontal="left" vertical="top" indent="1"/>
    </xf>
    <xf numFmtId="0" fontId="27" fillId="0" borderId="69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69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18" borderId="87" applyNumberFormat="0" applyProtection="0">
      <alignment horizontal="left" vertical="top" indent="1"/>
    </xf>
    <xf numFmtId="0" fontId="27" fillId="0" borderId="88" applyNumberFormat="0" applyFont="0" applyFill="0" applyBorder="0" applyAlignment="0" applyProtection="0"/>
    <xf numFmtId="4" fontId="27" fillId="32" borderId="80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18" borderId="78" applyNumberFormat="0" applyProtection="0">
      <alignment horizontal="left" vertical="top" indent="1"/>
    </xf>
    <xf numFmtId="4" fontId="53" fillId="32" borderId="77" applyNumberFormat="0" applyProtection="0">
      <alignment horizontal="right" vertical="center"/>
    </xf>
    <xf numFmtId="0" fontId="38" fillId="34" borderId="84" applyNumberFormat="0" applyFont="0" applyAlignment="0" applyProtection="0"/>
    <xf numFmtId="0" fontId="27" fillId="0" borderId="98" applyNumberFormat="0" applyFont="0" applyFill="0" applyBorder="0" applyAlignment="0" applyProtection="0"/>
    <xf numFmtId="0" fontId="27" fillId="18" borderId="93" applyNumberFormat="0" applyProtection="0">
      <alignment horizontal="left" vertical="center" indent="1"/>
    </xf>
    <xf numFmtId="0" fontId="104" fillId="5" borderId="73" applyNumberFormat="0" applyAlignment="0" applyProtection="0"/>
    <xf numFmtId="0" fontId="27" fillId="18" borderId="86" applyNumberFormat="0" applyProtection="0">
      <alignment horizontal="left" vertical="center" indent="1"/>
    </xf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38" fillId="34" borderId="74" applyNumberFormat="0" applyFont="0" applyAlignment="0" applyProtection="0"/>
    <xf numFmtId="4" fontId="27" fillId="19" borderId="78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38" fillId="34" borderId="99" applyNumberFormat="0" applyFont="0" applyAlignment="0" applyProtection="0"/>
    <xf numFmtId="4" fontId="27" fillId="32" borderId="86" applyNumberFormat="0" applyProtection="0">
      <alignment horizontal="right" vertical="center"/>
    </xf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18" borderId="71" applyNumberFormat="0" applyProtection="0">
      <alignment horizontal="left" vertical="top" indent="1"/>
    </xf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4" fontId="27" fillId="24" borderId="78" applyNumberFormat="0" applyProtection="0">
      <alignment horizontal="right" vertical="center"/>
    </xf>
    <xf numFmtId="0" fontId="27" fillId="18" borderId="71" applyNumberFormat="0" applyProtection="0">
      <alignment horizontal="left" vertical="top" indent="1"/>
    </xf>
    <xf numFmtId="0" fontId="27" fillId="0" borderId="69" applyNumberFormat="0" applyFont="0" applyFill="0" applyBorder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4" fontId="27" fillId="18" borderId="77" applyNumberFormat="0" applyProtection="0">
      <alignment horizontal="right" vertical="center"/>
    </xf>
    <xf numFmtId="0" fontId="97" fillId="4" borderId="89" applyNumberFormat="0" applyAlignment="0" applyProtection="0"/>
    <xf numFmtId="0" fontId="38" fillId="34" borderId="74" applyNumberFormat="0" applyFont="0" applyAlignment="0" applyProtection="0"/>
    <xf numFmtId="0" fontId="97" fillId="4" borderId="89" applyNumberFormat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79" applyNumberFormat="0" applyFont="0" applyFill="0" applyBorder="0" applyAlignment="0" applyProtection="0"/>
    <xf numFmtId="0" fontId="97" fillId="4" borderId="89" applyNumberFormat="0" applyAlignment="0" applyProtection="0"/>
    <xf numFmtId="4" fontId="27" fillId="18" borderId="70" applyNumberFormat="0" applyProtection="0">
      <alignment horizontal="right" vertical="center"/>
    </xf>
    <xf numFmtId="0" fontId="38" fillId="34" borderId="84" applyNumberFormat="0" applyFont="0" applyAlignment="0" applyProtection="0"/>
    <xf numFmtId="0" fontId="27" fillId="0" borderId="79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27" fillId="5" borderId="87" applyNumberFormat="0" applyProtection="0">
      <alignment horizontal="right" vertical="center"/>
    </xf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18" borderId="86" applyNumberFormat="0" applyProtection="0">
      <alignment horizontal="left" vertical="center" indent="1"/>
    </xf>
    <xf numFmtId="0" fontId="27" fillId="18" borderId="87" applyNumberFormat="0" applyProtection="0">
      <alignment horizontal="left" vertical="top" indent="1"/>
    </xf>
    <xf numFmtId="0" fontId="38" fillId="34" borderId="90" applyNumberFormat="0" applyFont="0" applyAlignment="0" applyProtection="0"/>
    <xf numFmtId="0" fontId="27" fillId="0" borderId="82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27" fillId="17" borderId="87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97" fillId="4" borderId="83" applyNumberFormat="0" applyAlignment="0" applyProtection="0"/>
    <xf numFmtId="0" fontId="27" fillId="18" borderId="78" applyNumberFormat="0" applyProtection="0">
      <alignment horizontal="left" vertical="top" indent="1"/>
    </xf>
    <xf numFmtId="0" fontId="104" fillId="5" borderId="83" applyNumberFormat="0" applyAlignment="0" applyProtection="0"/>
    <xf numFmtId="0" fontId="27" fillId="0" borderId="79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97" fillId="4" borderId="89" applyNumberFormat="0" applyAlignment="0" applyProtection="0"/>
    <xf numFmtId="0" fontId="38" fillId="34" borderId="99" applyNumberFormat="0" applyFon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79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18" borderId="86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4" fontId="91" fillId="26" borderId="87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18" borderId="78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27" fillId="18" borderId="80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4" fontId="27" fillId="32" borderId="86" applyNumberFormat="0" applyProtection="0">
      <alignment horizontal="right" vertical="center"/>
    </xf>
    <xf numFmtId="0" fontId="104" fillId="5" borderId="83" applyNumberFormat="0" applyAlignment="0" applyProtection="0"/>
    <xf numFmtId="4" fontId="53" fillId="24" borderId="80" applyNumberFormat="0" applyProtection="0">
      <alignment vertical="center"/>
    </xf>
    <xf numFmtId="0" fontId="27" fillId="18" borderId="78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97" fillId="4" borderId="83" applyNumberFormat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18" borderId="93" applyNumberFormat="0" applyProtection="0">
      <alignment horizontal="left" vertical="top" indent="1"/>
    </xf>
    <xf numFmtId="4" fontId="27" fillId="24" borderId="81" applyNumberFormat="0" applyProtection="0">
      <alignment horizontal="right" vertical="center"/>
    </xf>
    <xf numFmtId="0" fontId="97" fillId="4" borderId="83" applyNumberFormat="0" applyAlignment="0" applyProtection="0"/>
    <xf numFmtId="0" fontId="27" fillId="18" borderId="81" applyNumberFormat="0" applyProtection="0">
      <alignment horizontal="left" vertical="top" indent="1"/>
    </xf>
    <xf numFmtId="0" fontId="27" fillId="18" borderId="86" applyNumberFormat="0" applyProtection="0">
      <alignment horizontal="left" vertical="center" indent="1"/>
    </xf>
    <xf numFmtId="0" fontId="104" fillId="5" borderId="83" applyNumberFormat="0" applyAlignment="0" applyProtection="0"/>
    <xf numFmtId="4" fontId="27" fillId="0" borderId="81" applyNumberFormat="0" applyProtection="0">
      <alignment horizontal="right" vertical="center"/>
    </xf>
    <xf numFmtId="0" fontId="27" fillId="18" borderId="81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4" fontId="27" fillId="15" borderId="87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27" fillId="5" borderId="81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98" applyNumberFormat="0" applyFont="0" applyFill="0" applyBorder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104" fillId="5" borderId="100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27" fillId="18" borderId="80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0" fontId="27" fillId="18" borderId="78" applyNumberFormat="0" applyProtection="0">
      <alignment horizontal="left" vertical="top" indent="1"/>
    </xf>
    <xf numFmtId="4" fontId="91" fillId="27" borderId="87" applyNumberFormat="0" applyProtection="0">
      <alignment horizontal="right" vertical="center"/>
    </xf>
    <xf numFmtId="0" fontId="53" fillId="25" borderId="81" applyNumberFormat="0" applyProtection="0">
      <alignment horizontal="left" vertical="top" indent="1"/>
    </xf>
    <xf numFmtId="0" fontId="27" fillId="0" borderId="98" applyNumberFormat="0" applyFont="0" applyFill="0" applyBorder="0" applyAlignment="0" applyProtection="0"/>
    <xf numFmtId="0" fontId="38" fillId="34" borderId="90" applyNumberFormat="0" applyFont="0" applyAlignment="0" applyProtection="0"/>
    <xf numFmtId="0" fontId="104" fillId="5" borderId="89" applyNumberFormat="0" applyAlignment="0" applyProtection="0"/>
    <xf numFmtId="0" fontId="27" fillId="0" borderId="79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18" borderId="87" applyNumberFormat="0" applyProtection="0">
      <alignment horizontal="left" vertical="top" indent="1"/>
    </xf>
    <xf numFmtId="4" fontId="53" fillId="24" borderId="77" applyNumberFormat="0" applyProtection="0">
      <alignment vertical="center"/>
    </xf>
    <xf numFmtId="0" fontId="97" fillId="4" borderId="83" applyNumberFormat="0" applyAlignment="0" applyProtection="0"/>
    <xf numFmtId="0" fontId="38" fillId="34" borderId="90" applyNumberFormat="0" applyFont="0" applyAlignment="0" applyProtection="0"/>
    <xf numFmtId="4" fontId="27" fillId="17" borderId="87" applyNumberFormat="0" applyProtection="0">
      <alignment horizontal="right" vertical="center"/>
    </xf>
    <xf numFmtId="0" fontId="104" fillId="5" borderId="83" applyNumberFormat="0" applyAlignment="0" applyProtection="0"/>
    <xf numFmtId="0" fontId="27" fillId="0" borderId="79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82" applyNumberFormat="0" applyFont="0" applyFill="0" applyBorder="0" applyAlignment="0" applyProtection="0"/>
    <xf numFmtId="0" fontId="109" fillId="0" borderId="85" applyNumberFormat="0" applyFill="0" applyAlignment="0" applyProtection="0"/>
    <xf numFmtId="0" fontId="27" fillId="18" borderId="80" applyNumberFormat="0" applyProtection="0">
      <alignment horizontal="left" vertical="center" indent="1"/>
    </xf>
    <xf numFmtId="0" fontId="38" fillId="34" borderId="90" applyNumberFormat="0" applyFont="0" applyAlignment="0" applyProtection="0"/>
    <xf numFmtId="0" fontId="27" fillId="18" borderId="81" applyNumberFormat="0" applyProtection="0">
      <alignment horizontal="left" vertical="top" indent="1"/>
    </xf>
    <xf numFmtId="4" fontId="92" fillId="31" borderId="81" applyNumberFormat="0" applyProtection="0">
      <alignment vertical="center"/>
    </xf>
    <xf numFmtId="0" fontId="38" fillId="34" borderId="84" applyNumberFormat="0" applyFont="0" applyAlignment="0" applyProtection="0"/>
    <xf numFmtId="0" fontId="27" fillId="18" borderId="81" applyNumberFormat="0" applyProtection="0">
      <alignment horizontal="left" vertical="top" indent="1"/>
    </xf>
    <xf numFmtId="0" fontId="97" fillId="4" borderId="89" applyNumberFormat="0" applyAlignment="0" applyProtection="0"/>
    <xf numFmtId="4" fontId="53" fillId="32" borderId="80" applyNumberFormat="0" applyProtection="0">
      <alignment horizontal="right" vertical="center"/>
    </xf>
    <xf numFmtId="0" fontId="38" fillId="34" borderId="90" applyNumberFormat="0" applyFont="0" applyAlignment="0" applyProtection="0"/>
    <xf numFmtId="0" fontId="27" fillId="18" borderId="80" applyNumberFormat="0" applyProtection="0">
      <alignment horizontal="left" vertical="top" indent="1"/>
    </xf>
    <xf numFmtId="0" fontId="27" fillId="0" borderId="82" applyNumberFormat="0" applyFont="0" applyFill="0" applyBorder="0" applyAlignment="0" applyProtection="0"/>
    <xf numFmtId="0" fontId="38" fillId="34" borderId="99" applyNumberFormat="0" applyFont="0" applyAlignment="0" applyProtection="0"/>
    <xf numFmtId="4" fontId="53" fillId="24" borderId="80" applyNumberFormat="0" applyProtection="0">
      <alignment horizontal="left" vertical="center" indent="1"/>
    </xf>
    <xf numFmtId="4" fontId="27" fillId="0" borderId="87" applyNumberFormat="0" applyProtection="0">
      <alignment horizontal="right" vertical="center"/>
    </xf>
    <xf numFmtId="4" fontId="91" fillId="26" borderId="81" applyNumberFormat="0" applyProtection="0">
      <alignment horizontal="right" vertical="center"/>
    </xf>
    <xf numFmtId="4" fontId="27" fillId="5" borderId="81" applyNumberFormat="0" applyProtection="0">
      <alignment horizontal="right" vertical="center"/>
    </xf>
    <xf numFmtId="4" fontId="27" fillId="17" borderId="81" applyNumberFormat="0" applyProtection="0">
      <alignment horizontal="right" vertical="center"/>
    </xf>
    <xf numFmtId="4" fontId="91" fillId="28" borderId="81" applyNumberFormat="0" applyProtection="0">
      <alignment horizontal="right" vertical="center"/>
    </xf>
    <xf numFmtId="0" fontId="97" fillId="4" borderId="100" applyNumberFormat="0" applyAlignment="0" applyProtection="0"/>
    <xf numFmtId="0" fontId="27" fillId="18" borderId="80" applyNumberFormat="0" applyProtection="0">
      <alignment horizontal="left" vertical="center" indent="1"/>
    </xf>
    <xf numFmtId="0" fontId="27" fillId="18" borderId="80" applyNumberFormat="0" applyProtection="0">
      <alignment horizontal="left" vertical="center" indent="1"/>
    </xf>
    <xf numFmtId="0" fontId="27" fillId="18" borderId="80" applyNumberFormat="0" applyProtection="0">
      <alignment horizontal="left" vertical="center" indent="1"/>
    </xf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4" fontId="27" fillId="18" borderId="81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79" applyNumberFormat="0" applyFont="0" applyFill="0" applyBorder="0" applyAlignment="0" applyProtection="0"/>
    <xf numFmtId="0" fontId="27" fillId="18" borderId="77" applyNumberFormat="0" applyProtection="0">
      <alignment horizontal="left" vertical="center" indent="1"/>
    </xf>
    <xf numFmtId="0" fontId="27" fillId="0" borderId="8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18" borderId="81" applyNumberFormat="0" applyProtection="0">
      <alignment horizontal="left" vertical="top" indent="1"/>
    </xf>
    <xf numFmtId="0" fontId="97" fillId="4" borderId="83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97" fillId="4" borderId="89" applyNumberFormat="0" applyAlignment="0" applyProtection="0"/>
    <xf numFmtId="4" fontId="27" fillId="15" borderId="97" applyNumberFormat="0" applyProtection="0">
      <alignment horizontal="right" vertical="center"/>
    </xf>
    <xf numFmtId="0" fontId="104" fillId="5" borderId="89" applyNumberFormat="0" applyAlignment="0" applyProtection="0"/>
    <xf numFmtId="0" fontId="27" fillId="0" borderId="82" applyNumberFormat="0" applyFont="0" applyFill="0" applyBorder="0" applyAlignment="0" applyProtection="0"/>
    <xf numFmtId="0" fontId="38" fillId="34" borderId="99" applyNumberFormat="0" applyFont="0" applyAlignment="0" applyProtection="0"/>
    <xf numFmtId="0" fontId="104" fillId="5" borderId="89" applyNumberFormat="0" applyAlignment="0" applyProtection="0"/>
    <xf numFmtId="0" fontId="104" fillId="5" borderId="100" applyNumberFormat="0" applyAlignment="0" applyProtection="0"/>
    <xf numFmtId="0" fontId="27" fillId="18" borderId="77" applyNumberFormat="0" applyProtection="0">
      <alignment horizontal="left" vertical="center" indent="1"/>
    </xf>
    <xf numFmtId="0" fontId="38" fillId="34" borderId="84" applyNumberFormat="0" applyFont="0" applyAlignment="0" applyProtection="0"/>
    <xf numFmtId="0" fontId="97" fillId="4" borderId="89" applyNumberFormat="0" applyAlignment="0" applyProtection="0"/>
    <xf numFmtId="0" fontId="27" fillId="0" borderId="79" applyNumberFormat="0" applyFont="0" applyFill="0" applyBorder="0" applyAlignment="0" applyProtection="0"/>
    <xf numFmtId="0" fontId="104" fillId="5" borderId="83" applyNumberFormat="0" applyAlignment="0" applyProtection="0"/>
    <xf numFmtId="0" fontId="97" fillId="4" borderId="89" applyNumberFormat="0" applyAlignment="0" applyProtection="0"/>
    <xf numFmtId="4" fontId="53" fillId="24" borderId="80" applyNumberFormat="0" applyProtection="0">
      <alignment vertical="center"/>
    </xf>
    <xf numFmtId="0" fontId="27" fillId="0" borderId="79" applyNumberFormat="0" applyFont="0" applyFill="0" applyBorder="0" applyAlignment="0" applyProtection="0"/>
    <xf numFmtId="4" fontId="53" fillId="24" borderId="80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0" fontId="27" fillId="18" borderId="77" applyNumberFormat="0" applyProtection="0">
      <alignment horizontal="left" vertical="center" indent="1"/>
    </xf>
    <xf numFmtId="0" fontId="38" fillId="34" borderId="84" applyNumberFormat="0" applyFont="0" applyAlignment="0" applyProtection="0"/>
    <xf numFmtId="0" fontId="27" fillId="0" borderId="79" applyNumberFormat="0" applyFont="0" applyFill="0" applyBorder="0" applyAlignment="0" applyProtection="0"/>
    <xf numFmtId="0" fontId="27" fillId="18" borderId="86" applyNumberFormat="0" applyProtection="0">
      <alignment horizontal="left" vertical="center" indent="1"/>
    </xf>
    <xf numFmtId="4" fontId="27" fillId="5" borderId="94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27" fillId="17" borderId="81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27" fillId="19" borderId="81" applyNumberFormat="0" applyProtection="0">
      <alignment horizontal="right" vertical="center"/>
    </xf>
    <xf numFmtId="0" fontId="38" fillId="34" borderId="84" applyNumberFormat="0" applyFont="0" applyAlignment="0" applyProtection="0"/>
    <xf numFmtId="4" fontId="53" fillId="32" borderId="86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97" fillId="4" borderId="89" applyNumberFormat="0" applyAlignment="0" applyProtection="0"/>
    <xf numFmtId="0" fontId="27" fillId="18" borderId="77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27" fillId="0" borderId="97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18" borderId="80" applyNumberFormat="0" applyProtection="0">
      <alignment horizontal="left" vertical="center" indent="1"/>
    </xf>
    <xf numFmtId="4" fontId="27" fillId="18" borderId="87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18" borderId="80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0" borderId="79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79" applyNumberFormat="0" applyFont="0" applyFill="0" applyBorder="0" applyAlignment="0" applyProtection="0"/>
    <xf numFmtId="4" fontId="59" fillId="31" borderId="87" applyNumberFormat="0" applyProtection="0">
      <alignment vertical="center"/>
    </xf>
    <xf numFmtId="4" fontId="27" fillId="0" borderId="87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18" borderId="81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4" fontId="59" fillId="31" borderId="81" applyNumberFormat="0" applyProtection="0">
      <alignment vertical="center"/>
    </xf>
    <xf numFmtId="0" fontId="27" fillId="0" borderId="79" applyNumberFormat="0" applyFont="0" applyFill="0" applyBorder="0" applyAlignment="0" applyProtection="0"/>
    <xf numFmtId="4" fontId="27" fillId="18" borderId="81" applyNumberFormat="0" applyProtection="0">
      <alignment horizontal="left" vertical="center" indent="1"/>
    </xf>
    <xf numFmtId="4" fontId="27" fillId="32" borderId="80" applyNumberFormat="0" applyProtection="0">
      <alignment horizontal="right" vertical="center"/>
    </xf>
    <xf numFmtId="0" fontId="97" fillId="4" borderId="89" applyNumberFormat="0" applyAlignment="0" applyProtection="0"/>
    <xf numFmtId="4" fontId="27" fillId="18" borderId="80" applyNumberFormat="0" applyProtection="0">
      <alignment horizontal="left" vertical="center" indent="1"/>
    </xf>
    <xf numFmtId="0" fontId="104" fillId="5" borderId="100" applyNumberFormat="0" applyAlignment="0" applyProtection="0"/>
    <xf numFmtId="0" fontId="38" fillId="34" borderId="90" applyNumberFormat="0" applyFont="0" applyAlignment="0" applyProtection="0"/>
    <xf numFmtId="4" fontId="53" fillId="24" borderId="93" applyNumberFormat="0" applyProtection="0">
      <alignment horizontal="left" vertical="center" indent="1"/>
    </xf>
    <xf numFmtId="0" fontId="27" fillId="0" borderId="88" applyNumberFormat="0" applyFont="0" applyFill="0" applyBorder="0" applyAlignment="0" applyProtection="0"/>
    <xf numFmtId="0" fontId="53" fillId="25" borderId="81" applyNumberFormat="0" applyProtection="0">
      <alignment horizontal="left" vertical="top" indent="1"/>
    </xf>
    <xf numFmtId="4" fontId="27" fillId="24" borderId="81" applyNumberFormat="0" applyProtection="0">
      <alignment horizontal="right" vertical="center"/>
    </xf>
    <xf numFmtId="4" fontId="91" fillId="27" borderId="81" applyNumberFormat="0" applyProtection="0">
      <alignment horizontal="right" vertical="center"/>
    </xf>
    <xf numFmtId="4" fontId="27" fillId="15" borderId="81" applyNumberFormat="0" applyProtection="0">
      <alignment horizontal="right" vertical="center"/>
    </xf>
    <xf numFmtId="4" fontId="91" fillId="20" borderId="81" applyNumberFormat="0" applyProtection="0">
      <alignment horizontal="right" vertical="center"/>
    </xf>
    <xf numFmtId="4" fontId="27" fillId="19" borderId="81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4" fontId="27" fillId="18" borderId="80" applyNumberFormat="0" applyProtection="0">
      <alignment horizontal="right" vertical="center"/>
    </xf>
    <xf numFmtId="0" fontId="27" fillId="18" borderId="81" applyNumberFormat="0" applyProtection="0">
      <alignment horizontal="left" vertical="top" indent="1"/>
    </xf>
    <xf numFmtId="0" fontId="27" fillId="18" borderId="81" applyNumberFormat="0" applyProtection="0">
      <alignment horizontal="left" vertical="top" indent="1"/>
    </xf>
    <xf numFmtId="0" fontId="97" fillId="4" borderId="89" applyNumberFormat="0" applyAlignment="0" applyProtection="0"/>
    <xf numFmtId="0" fontId="27" fillId="0" borderId="82" applyNumberFormat="0" applyFont="0" applyFill="0" applyBorder="0" applyAlignment="0" applyProtection="0"/>
    <xf numFmtId="0" fontId="38" fillId="34" borderId="84" applyNumberFormat="0" applyFont="0" applyAlignment="0" applyProtection="0"/>
    <xf numFmtId="0" fontId="38" fillId="34" borderId="90" applyNumberFormat="0" applyFont="0" applyAlignment="0" applyProtection="0"/>
    <xf numFmtId="0" fontId="27" fillId="0" borderId="82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98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4" fontId="53" fillId="32" borderId="86" applyNumberFormat="0" applyProtection="0">
      <alignment horizontal="right" vertical="center"/>
    </xf>
    <xf numFmtId="0" fontId="97" fillId="4" borderId="89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9" applyNumberForma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91" fillId="28" borderId="94" applyNumberFormat="0" applyProtection="0">
      <alignment horizontal="right" vertical="center"/>
    </xf>
    <xf numFmtId="0" fontId="97" fillId="4" borderId="89" applyNumberFormat="0" applyAlignment="0" applyProtection="0"/>
    <xf numFmtId="4" fontId="52" fillId="24" borderId="97" applyNumberFormat="0" applyProtection="0">
      <alignment vertical="center"/>
    </xf>
    <xf numFmtId="4" fontId="27" fillId="18" borderId="93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4" fontId="27" fillId="5" borderId="87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97" fillId="4" borderId="89" applyNumberFormat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97" fillId="4" borderId="100" applyNumberFormat="0" applyAlignment="0" applyProtection="0"/>
    <xf numFmtId="4" fontId="53" fillId="24" borderId="93" applyNumberFormat="0" applyProtection="0">
      <alignment horizontal="left" vertical="center" indent="1"/>
    </xf>
    <xf numFmtId="4" fontId="53" fillId="24" borderId="86" applyNumberFormat="0" applyProtection="0">
      <alignment horizontal="left" vertical="center" indent="1"/>
    </xf>
    <xf numFmtId="0" fontId="38" fillId="34" borderId="99" applyNumberFormat="0" applyFont="0" applyAlignment="0" applyProtection="0"/>
    <xf numFmtId="0" fontId="38" fillId="34" borderId="90" applyNumberFormat="0" applyFont="0" applyAlignment="0" applyProtection="0"/>
    <xf numFmtId="0" fontId="97" fillId="4" borderId="89" applyNumberFormat="0" applyAlignment="0" applyProtection="0"/>
    <xf numFmtId="4" fontId="53" fillId="24" borderId="93" applyNumberFormat="0" applyProtection="0">
      <alignment vertical="center"/>
    </xf>
    <xf numFmtId="0" fontId="27" fillId="0" borderId="88" applyNumberFormat="0" applyFont="0" applyFill="0" applyBorder="0" applyAlignment="0" applyProtection="0"/>
    <xf numFmtId="0" fontId="97" fillId="4" borderId="89" applyNumberForma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95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38" fillId="34" borderId="99" applyNumberFormat="0" applyFon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97" fillId="4" borderId="89" applyNumberFormat="0" applyAlignment="0" applyProtection="0"/>
    <xf numFmtId="0" fontId="97" fillId="4" borderId="89" applyNumberFormat="0" applyAlignment="0" applyProtection="0"/>
    <xf numFmtId="0" fontId="38" fillId="34" borderId="99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18" borderId="87" applyNumberFormat="0" applyProtection="0">
      <alignment horizontal="left" vertical="top" indent="1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97" fillId="4" borderId="89" applyNumberFormat="0" applyAlignment="0" applyProtection="0"/>
    <xf numFmtId="0" fontId="38" fillId="34" borderId="90" applyNumberFormat="0" applyFont="0" applyAlignment="0" applyProtection="0"/>
    <xf numFmtId="0" fontId="27" fillId="18" borderId="93" applyNumberFormat="0" applyProtection="0">
      <alignment horizontal="left" vertical="center" indent="1"/>
    </xf>
    <xf numFmtId="0" fontId="38" fillId="34" borderId="90" applyNumberFormat="0" applyFont="0" applyAlignment="0" applyProtection="0"/>
    <xf numFmtId="4" fontId="53" fillId="24" borderId="86" applyNumberFormat="0" applyProtection="0">
      <alignment vertical="center"/>
    </xf>
    <xf numFmtId="0" fontId="104" fillId="5" borderId="89" applyNumberFormat="0" applyAlignment="0" applyProtection="0"/>
    <xf numFmtId="0" fontId="38" fillId="34" borderId="90" applyNumberFormat="0" applyFont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4" fontId="52" fillId="24" borderId="87" applyNumberFormat="0" applyProtection="0">
      <alignment vertical="center"/>
    </xf>
    <xf numFmtId="0" fontId="97" fillId="4" borderId="89" applyNumberFormat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4" fontId="27" fillId="24" borderId="87" applyNumberFormat="0" applyProtection="0">
      <alignment horizontal="right" vertical="center"/>
    </xf>
    <xf numFmtId="4" fontId="91" fillId="27" borderId="97" applyNumberFormat="0" applyProtection="0">
      <alignment horizontal="right" vertical="center"/>
    </xf>
    <xf numFmtId="4" fontId="91" fillId="20" borderId="97" applyNumberFormat="0" applyProtection="0">
      <alignment horizontal="right" vertical="center"/>
    </xf>
    <xf numFmtId="4" fontId="27" fillId="18" borderId="96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104" fillId="5" borderId="89" applyNumberFormat="0" applyAlignment="0" applyProtection="0"/>
    <xf numFmtId="0" fontId="97" fillId="4" borderId="89" applyNumberFormat="0" applyAlignment="0" applyProtection="0"/>
    <xf numFmtId="0" fontId="38" fillId="34" borderId="90" applyNumberFormat="0" applyFon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91" fillId="27" borderId="94" applyNumberFormat="0" applyProtection="0">
      <alignment horizontal="right" vertical="center"/>
    </xf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107" fillId="4" borderId="91" applyNumberFormat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27" fillId="15" borderId="87" applyNumberFormat="0" applyProtection="0">
      <alignment horizontal="right" vertical="center"/>
    </xf>
    <xf numFmtId="4" fontId="27" fillId="18" borderId="94" applyNumberFormat="0" applyProtection="0">
      <alignment horizontal="left" vertical="center" indent="1"/>
    </xf>
    <xf numFmtId="0" fontId="104" fillId="5" borderId="89" applyNumberFormat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18" borderId="87" applyNumberFormat="0" applyProtection="0">
      <alignment horizontal="left" vertical="top" indent="1"/>
    </xf>
    <xf numFmtId="4" fontId="27" fillId="18" borderId="86" applyNumberFormat="0" applyProtection="0">
      <alignment horizontal="right" vertical="center"/>
    </xf>
    <xf numFmtId="4" fontId="27" fillId="19" borderId="87" applyNumberFormat="0" applyProtection="0">
      <alignment horizontal="right" vertical="center"/>
    </xf>
    <xf numFmtId="4" fontId="53" fillId="24" borderId="86" applyNumberFormat="0" applyProtection="0">
      <alignment vertical="center"/>
    </xf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98" applyNumberFormat="0" applyFont="0" applyFill="0" applyBorder="0" applyAlignment="0" applyProtection="0"/>
    <xf numFmtId="0" fontId="104" fillId="5" borderId="89" applyNumberFormat="0" applyAlignment="0" applyProtection="0"/>
    <xf numFmtId="0" fontId="104" fillId="5" borderId="89" applyNumberFormat="0" applyAlignment="0" applyProtection="0"/>
    <xf numFmtId="0" fontId="104" fillId="5" borderId="89" applyNumberFormat="0" applyAlignment="0" applyProtection="0"/>
    <xf numFmtId="4" fontId="27" fillId="24" borderId="97" applyNumberFormat="0" applyProtection="0">
      <alignment horizontal="right" vertical="center"/>
    </xf>
    <xf numFmtId="0" fontId="38" fillId="34" borderId="90" applyNumberFormat="0" applyFont="0" applyAlignment="0" applyProtection="0"/>
    <xf numFmtId="0" fontId="104" fillId="5" borderId="100" applyNumberFormat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109" fillId="0" borderId="92" applyNumberFormat="0" applyFill="0" applyAlignment="0" applyProtection="0"/>
    <xf numFmtId="0" fontId="104" fillId="5" borderId="100" applyNumberFormat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104" fillId="5" borderId="100" applyNumberFormat="0" applyAlignment="0" applyProtection="0"/>
    <xf numFmtId="0" fontId="27" fillId="18" borderId="86" applyNumberFormat="0" applyProtection="0">
      <alignment horizontal="left" vertical="center" indent="1"/>
    </xf>
    <xf numFmtId="0" fontId="27" fillId="18" borderId="93" applyNumberFormat="0" applyProtection="0">
      <alignment horizontal="left" vertical="center" indent="1"/>
    </xf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4" fontId="27" fillId="18" borderId="86" applyNumberFormat="0" applyProtection="0">
      <alignment horizontal="left" vertical="center" indent="1"/>
    </xf>
    <xf numFmtId="0" fontId="97" fillId="4" borderId="100" applyNumberFormat="0" applyAlignment="0" applyProtection="0"/>
    <xf numFmtId="0" fontId="104" fillId="5" borderId="89" applyNumberFormat="0" applyAlignment="0" applyProtection="0"/>
    <xf numFmtId="0" fontId="97" fillId="4" borderId="89" applyNumberFormat="0" applyAlignment="0" applyProtection="0"/>
    <xf numFmtId="4" fontId="27" fillId="17" borderId="94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104" fillId="5" borderId="89" applyNumberFormat="0" applyAlignment="0" applyProtection="0"/>
    <xf numFmtId="0" fontId="38" fillId="34" borderId="90" applyNumberFormat="0" applyFont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53" fillId="25" borderId="97" applyNumberFormat="0" applyProtection="0">
      <alignment horizontal="left" vertical="top" indent="1"/>
    </xf>
    <xf numFmtId="0" fontId="38" fillId="34" borderId="90" applyNumberFormat="0" applyFont="0" applyAlignment="0" applyProtection="0"/>
    <xf numFmtId="4" fontId="27" fillId="32" borderId="96" applyNumberFormat="0" applyProtection="0">
      <alignment horizontal="right" vertical="center"/>
    </xf>
    <xf numFmtId="0" fontId="38" fillId="34" borderId="90" applyNumberFormat="0" applyFont="0" applyAlignment="0" applyProtection="0"/>
    <xf numFmtId="0" fontId="97" fillId="4" borderId="89" applyNumberFormat="0" applyAlignment="0" applyProtection="0"/>
    <xf numFmtId="0" fontId="38" fillId="34" borderId="99" applyNumberFormat="0" applyFont="0" applyAlignment="0" applyProtection="0"/>
    <xf numFmtId="0" fontId="27" fillId="0" borderId="88" applyNumberFormat="0" applyFont="0" applyFill="0" applyBorder="0" applyAlignment="0" applyProtection="0"/>
    <xf numFmtId="4" fontId="27" fillId="15" borderId="94" applyNumberFormat="0" applyProtection="0">
      <alignment horizontal="right" vertical="center"/>
    </xf>
    <xf numFmtId="4" fontId="27" fillId="18" borderId="96" applyNumberFormat="0" applyProtection="0">
      <alignment horizontal="left" vertical="center" indent="1"/>
    </xf>
    <xf numFmtId="0" fontId="104" fillId="5" borderId="89" applyNumberFormat="0" applyAlignment="0" applyProtection="0"/>
    <xf numFmtId="4" fontId="53" fillId="24" borderId="96" applyNumberFormat="0" applyProtection="0">
      <alignment vertical="center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4" fontId="59" fillId="31" borderId="94" applyNumberFormat="0" applyProtection="0">
      <alignment vertical="center"/>
    </xf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27" fillId="5" borderId="94" applyNumberFormat="0" applyProtection="0">
      <alignment horizontal="right" vertical="center"/>
    </xf>
    <xf numFmtId="4" fontId="27" fillId="24" borderId="97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53" fillId="25" borderId="97" applyNumberFormat="0" applyProtection="0">
      <alignment horizontal="left" vertical="top" indent="1"/>
    </xf>
    <xf numFmtId="0" fontId="27" fillId="0" borderId="98" applyNumberFormat="0" applyFont="0" applyFill="0" applyBorder="0" applyAlignment="0" applyProtection="0"/>
    <xf numFmtId="0" fontId="104" fillId="5" borderId="89" applyNumberFormat="0" applyAlignment="0" applyProtection="0"/>
    <xf numFmtId="0" fontId="38" fillId="34" borderId="90" applyNumberFormat="0" applyFont="0" applyAlignment="0" applyProtection="0"/>
    <xf numFmtId="4" fontId="27" fillId="19" borderId="97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18" borderId="87" applyNumberFormat="0" applyProtection="0">
      <alignment horizontal="left" vertical="top" indent="1"/>
    </xf>
    <xf numFmtId="4" fontId="27" fillId="17" borderId="94" applyNumberFormat="0" applyProtection="0">
      <alignment horizontal="right" vertical="center"/>
    </xf>
    <xf numFmtId="0" fontId="53" fillId="25" borderId="94" applyNumberFormat="0" applyProtection="0">
      <alignment horizontal="left" vertical="top" indent="1"/>
    </xf>
    <xf numFmtId="0" fontId="38" fillId="34" borderId="90" applyNumberFormat="0" applyFont="0" applyAlignment="0" applyProtection="0"/>
    <xf numFmtId="0" fontId="97" fillId="4" borderId="89" applyNumberFormat="0" applyAlignment="0" applyProtection="0"/>
    <xf numFmtId="0" fontId="104" fillId="5" borderId="89" applyNumberFormat="0" applyAlignment="0" applyProtection="0"/>
    <xf numFmtId="0" fontId="27" fillId="18" borderId="87" applyNumberFormat="0" applyProtection="0">
      <alignment horizontal="left" vertical="top" indent="1"/>
    </xf>
    <xf numFmtId="0" fontId="104" fillId="5" borderId="89" applyNumberFormat="0" applyAlignment="0" applyProtection="0"/>
    <xf numFmtId="0" fontId="97" fillId="4" borderId="89" applyNumberFormat="0" applyAlignment="0" applyProtection="0"/>
    <xf numFmtId="0" fontId="38" fillId="34" borderId="90" applyNumberFormat="0" applyFont="0" applyAlignment="0" applyProtection="0"/>
    <xf numFmtId="0" fontId="38" fillId="34" borderId="90" applyNumberFormat="0" applyFont="0" applyAlignment="0" applyProtection="0"/>
    <xf numFmtId="0" fontId="27" fillId="0" borderId="0"/>
    <xf numFmtId="0" fontId="27" fillId="18" borderId="97" applyNumberFormat="0" applyProtection="0">
      <alignment horizontal="left" vertical="top" indent="1"/>
    </xf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18" borderId="96" applyNumberFormat="0" applyProtection="0">
      <alignment horizontal="left" vertical="center" indent="1"/>
    </xf>
    <xf numFmtId="0" fontId="27" fillId="18" borderId="93" applyNumberFormat="0" applyProtection="0">
      <alignment horizontal="left" vertical="center" indent="1"/>
    </xf>
    <xf numFmtId="0" fontId="27" fillId="18" borderId="97" applyNumberFormat="0" applyProtection="0">
      <alignment horizontal="left" vertical="top" indent="1"/>
    </xf>
    <xf numFmtId="0" fontId="97" fillId="4" borderId="100" applyNumberFormat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97" fillId="4" borderId="100" applyNumberFormat="0" applyAlignment="0" applyProtection="0"/>
    <xf numFmtId="4" fontId="27" fillId="0" borderId="97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18" borderId="94" applyNumberFormat="0" applyProtection="0">
      <alignment horizontal="left" vertical="top" indent="1"/>
    </xf>
    <xf numFmtId="0" fontId="38" fillId="34" borderId="99" applyNumberFormat="0" applyFon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4" fontId="53" fillId="24" borderId="93" applyNumberFormat="0" applyProtection="0">
      <alignment vertical="center"/>
    </xf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38" fillId="34" borderId="99" applyNumberFormat="0" applyFont="0" applyAlignment="0" applyProtection="0"/>
    <xf numFmtId="0" fontId="27" fillId="18" borderId="96" applyNumberFormat="0" applyProtection="0">
      <alignment horizontal="left" vertical="center" indent="1"/>
    </xf>
    <xf numFmtId="4" fontId="27" fillId="18" borderId="93" applyNumberFormat="0" applyProtection="0">
      <alignment horizontal="left" vertical="center" indent="1"/>
    </xf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104" fillId="5" borderId="100" applyNumberFormat="0" applyAlignment="0" applyProtection="0"/>
    <xf numFmtId="4" fontId="52" fillId="24" borderId="94" applyNumberFormat="0" applyProtection="0">
      <alignment vertical="center"/>
    </xf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4" fontId="27" fillId="24" borderId="94" applyNumberFormat="0" applyProtection="0">
      <alignment horizontal="right" vertical="center"/>
    </xf>
    <xf numFmtId="0" fontId="104" fillId="5" borderId="100" applyNumberFormat="0" applyAlignment="0" applyProtection="0"/>
    <xf numFmtId="0" fontId="104" fillId="5" borderId="100" applyNumberFormat="0" applyAlignment="0" applyProtection="0"/>
    <xf numFmtId="0" fontId="104" fillId="5" borderId="100" applyNumberFormat="0" applyAlignment="0" applyProtection="0"/>
    <xf numFmtId="0" fontId="38" fillId="34" borderId="99" applyNumberFormat="0" applyFont="0" applyAlignment="0" applyProtection="0"/>
    <xf numFmtId="0" fontId="27" fillId="18" borderId="97" applyNumberFormat="0" applyProtection="0">
      <alignment horizontal="left" vertical="top" indent="1"/>
    </xf>
    <xf numFmtId="0" fontId="104" fillId="5" borderId="100" applyNumberFormat="0" applyAlignment="0" applyProtection="0"/>
    <xf numFmtId="0" fontId="27" fillId="18" borderId="96" applyNumberFormat="0" applyProtection="0">
      <alignment horizontal="left" vertical="center" indent="1"/>
    </xf>
    <xf numFmtId="0" fontId="104" fillId="5" borderId="100" applyNumberFormat="0" applyAlignment="0" applyProtection="0"/>
    <xf numFmtId="4" fontId="27" fillId="17" borderId="97" applyNumberFormat="0" applyProtection="0">
      <alignment horizontal="right" vertical="center"/>
    </xf>
    <xf numFmtId="4" fontId="53" fillId="24" borderId="96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104" fillId="5" borderId="100" applyNumberFormat="0" applyAlignment="0" applyProtection="0"/>
    <xf numFmtId="0" fontId="27" fillId="18" borderId="96" applyNumberFormat="0" applyProtection="0">
      <alignment horizontal="left" vertical="top" indent="1"/>
    </xf>
    <xf numFmtId="0" fontId="97" fillId="4" borderId="100" applyNumberFormat="0" applyAlignment="0" applyProtection="0"/>
    <xf numFmtId="0" fontId="104" fillId="5" borderId="100" applyNumberFormat="0" applyAlignment="0" applyProtection="0"/>
    <xf numFmtId="4" fontId="53" fillId="24" borderId="96" applyNumberFormat="0" applyProtection="0">
      <alignment horizontal="left" vertical="center" indent="1"/>
    </xf>
    <xf numFmtId="4" fontId="91" fillId="26" borderId="97" applyNumberFormat="0" applyProtection="0">
      <alignment horizontal="right" vertical="center"/>
    </xf>
    <xf numFmtId="0" fontId="27" fillId="18" borderId="94" applyNumberFormat="0" applyProtection="0">
      <alignment horizontal="left" vertical="top" indent="1"/>
    </xf>
    <xf numFmtId="0" fontId="38" fillId="34" borderId="99" applyNumberFormat="0" applyFont="0" applyAlignment="0" applyProtection="0"/>
    <xf numFmtId="4" fontId="27" fillId="19" borderId="94" applyNumberFormat="0" applyProtection="0">
      <alignment horizontal="right" vertical="center"/>
    </xf>
    <xf numFmtId="0" fontId="104" fillId="5" borderId="100" applyNumberFormat="0" applyAlignment="0" applyProtection="0"/>
    <xf numFmtId="0" fontId="27" fillId="18" borderId="93" applyNumberFormat="0" applyProtection="0">
      <alignment horizontal="left" vertical="center" indent="1"/>
    </xf>
    <xf numFmtId="0" fontId="27" fillId="18" borderId="96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18" borderId="97" applyNumberFormat="0" applyProtection="0">
      <alignment horizontal="left" vertical="top" indent="1"/>
    </xf>
    <xf numFmtId="4" fontId="53" fillId="32" borderId="93" applyNumberFormat="0" applyProtection="0">
      <alignment horizontal="right" vertical="center"/>
    </xf>
    <xf numFmtId="0" fontId="53" fillId="25" borderId="94" applyNumberFormat="0" applyProtection="0">
      <alignment horizontal="left" vertical="top" indent="1"/>
    </xf>
    <xf numFmtId="4" fontId="27" fillId="18" borderId="97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97" fillId="4" borderId="100" applyNumberFormat="0" applyAlignment="0" applyProtection="0"/>
    <xf numFmtId="0" fontId="38" fillId="34" borderId="99" applyNumberFormat="0" applyFont="0" applyAlignment="0" applyProtection="0"/>
    <xf numFmtId="0" fontId="38" fillId="34" borderId="99" applyNumberFormat="0" applyFon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32" borderId="96" applyNumberFormat="0" applyProtection="0">
      <alignment horizontal="right" vertical="center"/>
    </xf>
    <xf numFmtId="0" fontId="38" fillId="34" borderId="99" applyNumberFormat="0" applyFont="0" applyAlignment="0" applyProtection="0"/>
    <xf numFmtId="0" fontId="97" fillId="4" borderId="100" applyNumberFormat="0" applyAlignment="0" applyProtection="0"/>
    <xf numFmtId="0" fontId="27" fillId="18" borderId="96" applyNumberFormat="0" applyProtection="0">
      <alignment horizontal="left" vertical="center" indent="1"/>
    </xf>
    <xf numFmtId="4" fontId="27" fillId="17" borderId="97" applyNumberFormat="0" applyProtection="0">
      <alignment horizontal="right" vertical="center"/>
    </xf>
    <xf numFmtId="0" fontId="38" fillId="34" borderId="99" applyNumberFormat="0" applyFont="0" applyAlignment="0" applyProtection="0"/>
    <xf numFmtId="4" fontId="59" fillId="31" borderId="97" applyNumberFormat="0" applyProtection="0">
      <alignment vertical="center"/>
    </xf>
    <xf numFmtId="0" fontId="27" fillId="18" borderId="96" applyNumberFormat="0" applyProtection="0">
      <alignment horizontal="left" vertical="center" indent="1"/>
    </xf>
    <xf numFmtId="0" fontId="27" fillId="18" borderId="97" applyNumberFormat="0" applyProtection="0">
      <alignment horizontal="left" vertical="top" indent="1"/>
    </xf>
    <xf numFmtId="0" fontId="38" fillId="34" borderId="99" applyNumberFormat="0" applyFont="0" applyAlignment="0" applyProtection="0"/>
    <xf numFmtId="0" fontId="38" fillId="34" borderId="99" applyNumberFormat="0" applyFont="0" applyAlignment="0" applyProtection="0"/>
    <xf numFmtId="0" fontId="27" fillId="0" borderId="98" applyNumberFormat="0" applyFont="0" applyFill="0" applyBorder="0" applyAlignment="0" applyProtection="0"/>
    <xf numFmtId="0" fontId="27" fillId="18" borderId="96" applyNumberFormat="0" applyProtection="0">
      <alignment horizontal="left" vertical="center" indent="1"/>
    </xf>
    <xf numFmtId="0" fontId="38" fillId="34" borderId="99" applyNumberFormat="0" applyFont="0" applyAlignment="0" applyProtection="0"/>
    <xf numFmtId="4" fontId="27" fillId="18" borderId="96" applyNumberFormat="0" applyProtection="0">
      <alignment horizontal="right" vertical="center"/>
    </xf>
    <xf numFmtId="0" fontId="38" fillId="34" borderId="99" applyNumberFormat="0" applyFont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38" fillId="34" borderId="99" applyNumberFormat="0" applyFon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5" borderId="97" applyNumberFormat="0" applyProtection="0">
      <alignment horizontal="right" vertical="center"/>
    </xf>
    <xf numFmtId="0" fontId="97" fillId="4" borderId="100" applyNumberFormat="0" applyAlignment="0" applyProtection="0"/>
    <xf numFmtId="4" fontId="91" fillId="28" borderId="97" applyNumberFormat="0" applyProtection="0">
      <alignment horizontal="right" vertical="center"/>
    </xf>
    <xf numFmtId="0" fontId="38" fillId="34" borderId="99" applyNumberFormat="0" applyFont="0" applyAlignment="0" applyProtection="0"/>
    <xf numFmtId="4" fontId="27" fillId="18" borderId="97" applyNumberFormat="0" applyProtection="0">
      <alignment horizontal="left" vertical="center" indent="1"/>
    </xf>
    <xf numFmtId="0" fontId="104" fillId="5" borderId="100" applyNumberFormat="0" applyAlignment="0" applyProtection="0"/>
    <xf numFmtId="0" fontId="27" fillId="18" borderId="97" applyNumberFormat="0" applyProtection="0">
      <alignment horizontal="left" vertical="top" indent="1"/>
    </xf>
    <xf numFmtId="0" fontId="38" fillId="34" borderId="99" applyNumberFormat="0" applyFont="0" applyAlignment="0" applyProtection="0"/>
    <xf numFmtId="0" fontId="97" fillId="4" borderId="100" applyNumberFormat="0" applyAlignment="0" applyProtection="0"/>
    <xf numFmtId="0" fontId="27" fillId="18" borderId="97" applyNumberFormat="0" applyProtection="0">
      <alignment horizontal="left" vertical="top" indent="1"/>
    </xf>
    <xf numFmtId="0" fontId="27" fillId="18" borderId="94" applyNumberFormat="0" applyProtection="0">
      <alignment horizontal="left" vertical="top" indent="1"/>
    </xf>
    <xf numFmtId="4" fontId="27" fillId="5" borderId="97" applyNumberFormat="0" applyProtection="0">
      <alignment horizontal="right" vertical="center"/>
    </xf>
    <xf numFmtId="0" fontId="27" fillId="18" borderId="96" applyNumberFormat="0" applyProtection="0">
      <alignment horizontal="left" vertical="top" indent="1"/>
    </xf>
    <xf numFmtId="0" fontId="27" fillId="18" borderId="97" applyNumberFormat="0" applyProtection="0">
      <alignment horizontal="left" vertical="top" indent="1"/>
    </xf>
    <xf numFmtId="0" fontId="27" fillId="18" borderId="93" applyNumberFormat="0" applyProtection="0">
      <alignment horizontal="left" vertical="center" indent="1"/>
    </xf>
    <xf numFmtId="0" fontId="27" fillId="18" borderId="94" applyNumberFormat="0" applyProtection="0">
      <alignment horizontal="left" vertical="top" indent="1"/>
    </xf>
    <xf numFmtId="0" fontId="38" fillId="34" borderId="99" applyNumberFormat="0" applyFont="0" applyAlignment="0" applyProtection="0"/>
    <xf numFmtId="0" fontId="104" fillId="5" borderId="100" applyNumberForma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38" fillId="34" borderId="99" applyNumberFormat="0" applyFont="0" applyAlignment="0" applyProtection="0"/>
    <xf numFmtId="0" fontId="104" fillId="5" borderId="100" applyNumberFormat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101" applyNumberFormat="0" applyFill="0" applyAlignment="0" applyProtection="0"/>
    <xf numFmtId="0" fontId="111" fillId="0" borderId="0" applyNumberFormat="0" applyFill="0" applyBorder="0" applyAlignment="0" applyProtection="0"/>
    <xf numFmtId="0" fontId="112" fillId="41" borderId="0" applyNumberFormat="0" applyBorder="0" applyAlignment="0" applyProtection="0"/>
    <xf numFmtId="0" fontId="113" fillId="42" borderId="0" applyNumberFormat="0" applyBorder="0" applyAlignment="0" applyProtection="0"/>
    <xf numFmtId="0" fontId="114" fillId="43" borderId="0" applyNumberFormat="0" applyBorder="0" applyAlignment="0" applyProtection="0"/>
    <xf numFmtId="0" fontId="115" fillId="44" borderId="102" applyNumberFormat="0" applyAlignment="0" applyProtection="0"/>
    <xf numFmtId="0" fontId="116" fillId="45" borderId="103" applyNumberFormat="0" applyAlignment="0" applyProtection="0"/>
    <xf numFmtId="0" fontId="117" fillId="45" borderId="102" applyNumberFormat="0" applyAlignment="0" applyProtection="0"/>
    <xf numFmtId="0" fontId="118" fillId="0" borderId="104" applyNumberFormat="0" applyFill="0" applyAlignment="0" applyProtection="0"/>
    <xf numFmtId="0" fontId="119" fillId="46" borderId="105" applyNumberFormat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122" fillId="50" borderId="0" applyNumberFormat="0" applyBorder="0" applyAlignment="0" applyProtection="0"/>
    <xf numFmtId="0" fontId="1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122" fillId="54" borderId="0" applyNumberFormat="0" applyBorder="0" applyAlignment="0" applyProtection="0"/>
    <xf numFmtId="0" fontId="122" fillId="55" borderId="0" applyNumberFormat="0" applyBorder="0" applyAlignment="0" applyProtection="0"/>
    <xf numFmtId="0" fontId="22" fillId="56" borderId="0" applyNumberFormat="0" applyBorder="0" applyAlignment="0" applyProtection="0"/>
    <xf numFmtId="0" fontId="22" fillId="57" borderId="0" applyNumberFormat="0" applyBorder="0" applyAlignment="0" applyProtection="0"/>
    <xf numFmtId="0" fontId="122" fillId="58" borderId="0" applyNumberFormat="0" applyBorder="0" applyAlignment="0" applyProtection="0"/>
    <xf numFmtId="0" fontId="1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1" borderId="0" applyNumberFormat="0" applyBorder="0" applyAlignment="0" applyProtection="0"/>
    <xf numFmtId="0" fontId="122" fillId="62" borderId="0" applyNumberFormat="0" applyBorder="0" applyAlignment="0" applyProtection="0"/>
    <xf numFmtId="0" fontId="1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5" borderId="0" applyNumberFormat="0" applyBorder="0" applyAlignment="0" applyProtection="0"/>
    <xf numFmtId="0" fontId="122" fillId="66" borderId="0" applyNumberFormat="0" applyBorder="0" applyAlignment="0" applyProtection="0"/>
    <xf numFmtId="0" fontId="1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122" fillId="70" borderId="0" applyNumberFormat="0" applyBorder="0" applyAlignment="0" applyProtection="0"/>
    <xf numFmtId="0" fontId="22" fillId="0" borderId="0"/>
    <xf numFmtId="0" fontId="123" fillId="0" borderId="106" applyNumberFormat="0" applyFill="0" applyAlignment="0" applyProtection="0"/>
    <xf numFmtId="0" fontId="124" fillId="0" borderId="107" applyNumberFormat="0" applyFill="0" applyAlignment="0" applyProtection="0"/>
    <xf numFmtId="0" fontId="22" fillId="13" borderId="24" applyNumberFormat="0" applyFont="0" applyAlignment="0" applyProtection="0"/>
    <xf numFmtId="0" fontId="125" fillId="0" borderId="108" applyNumberFormat="0" applyFill="0" applyAlignment="0" applyProtection="0"/>
    <xf numFmtId="0" fontId="21" fillId="0" borderId="0"/>
    <xf numFmtId="43" fontId="21" fillId="0" borderId="0" applyFont="0" applyFill="0" applyBorder="0" applyAlignment="0" applyProtection="0"/>
    <xf numFmtId="0" fontId="126" fillId="0" borderId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127" fillId="48" borderId="0" applyNumberFormat="0" applyBorder="0" applyAlignment="0" applyProtection="0"/>
    <xf numFmtId="0" fontId="127" fillId="52" borderId="0" applyNumberFormat="0" applyBorder="0" applyAlignment="0" applyProtection="0"/>
    <xf numFmtId="0" fontId="127" fillId="56" borderId="0" applyNumberFormat="0" applyBorder="0" applyAlignment="0" applyProtection="0"/>
    <xf numFmtId="0" fontId="127" fillId="64" borderId="0" applyNumberFormat="0" applyBorder="0" applyAlignment="0" applyProtection="0"/>
    <xf numFmtId="0" fontId="127" fillId="68" borderId="0" applyNumberFormat="0" applyBorder="0" applyAlignment="0" applyProtection="0"/>
    <xf numFmtId="0" fontId="127" fillId="49" borderId="0" applyNumberFormat="0" applyBorder="0" applyAlignment="0" applyProtection="0"/>
    <xf numFmtId="0" fontId="127" fillId="53" borderId="0" applyNumberFormat="0" applyBorder="0" applyAlignment="0" applyProtection="0"/>
    <xf numFmtId="0" fontId="127" fillId="57" borderId="0" applyNumberFormat="0" applyBorder="0" applyAlignment="0" applyProtection="0"/>
    <xf numFmtId="0" fontId="127" fillId="61" borderId="0" applyNumberFormat="0" applyBorder="0" applyAlignment="0" applyProtection="0"/>
    <xf numFmtId="0" fontId="127" fillId="65" borderId="0" applyNumberFormat="0" applyBorder="0" applyAlignment="0" applyProtection="0"/>
    <xf numFmtId="0" fontId="127" fillId="69" borderId="0" applyNumberFormat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27" fillId="0" borderId="0"/>
    <xf numFmtId="0" fontId="19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192" fontId="131" fillId="74" borderId="0" applyNumberFormat="0" applyBorder="0" applyAlignment="0" applyProtection="0"/>
    <xf numFmtId="192" fontId="131" fillId="74" borderId="0" applyNumberFormat="0" applyBorder="0" applyAlignment="0" applyProtection="0"/>
    <xf numFmtId="192" fontId="131" fillId="74" borderId="0" applyNumberFormat="0" applyBorder="0" applyAlignment="0" applyProtection="0"/>
    <xf numFmtId="192" fontId="131" fillId="33" borderId="0" applyNumberFormat="0" applyBorder="0" applyAlignment="0" applyProtection="0"/>
    <xf numFmtId="192" fontId="131" fillId="33" borderId="0" applyNumberFormat="0" applyBorder="0" applyAlignment="0" applyProtection="0"/>
    <xf numFmtId="192" fontId="131" fillId="33" borderId="0" applyNumberFormat="0" applyBorder="0" applyAlignment="0" applyProtection="0"/>
    <xf numFmtId="192" fontId="131" fillId="75" borderId="0" applyNumberFormat="0" applyBorder="0" applyAlignment="0" applyProtection="0"/>
    <xf numFmtId="192" fontId="131" fillId="75" borderId="0" applyNumberFormat="0" applyBorder="0" applyAlignment="0" applyProtection="0"/>
    <xf numFmtId="192" fontId="131" fillId="75" borderId="0" applyNumberFormat="0" applyBorder="0" applyAlignment="0" applyProtection="0"/>
    <xf numFmtId="192" fontId="131" fillId="16" borderId="0" applyNumberFormat="0" applyBorder="0" applyAlignment="0" applyProtection="0"/>
    <xf numFmtId="192" fontId="131" fillId="16" borderId="0" applyNumberFormat="0" applyBorder="0" applyAlignment="0" applyProtection="0"/>
    <xf numFmtId="192" fontId="131" fillId="16" borderId="0" applyNumberFormat="0" applyBorder="0" applyAlignment="0" applyProtection="0"/>
    <xf numFmtId="192" fontId="131" fillId="74" borderId="0" applyNumberFormat="0" applyBorder="0" applyAlignment="0" applyProtection="0"/>
    <xf numFmtId="192" fontId="131" fillId="74" borderId="0" applyNumberFormat="0" applyBorder="0" applyAlignment="0" applyProtection="0"/>
    <xf numFmtId="192" fontId="131" fillId="74" borderId="0" applyNumberFormat="0" applyBorder="0" applyAlignment="0" applyProtection="0"/>
    <xf numFmtId="192" fontId="131" fillId="2" borderId="0" applyNumberFormat="0" applyBorder="0" applyAlignment="0" applyProtection="0"/>
    <xf numFmtId="192" fontId="131" fillId="2" borderId="0" applyNumberFormat="0" applyBorder="0" applyAlignment="0" applyProtection="0"/>
    <xf numFmtId="192" fontId="131" fillId="2" borderId="0" applyNumberFormat="0" applyBorder="0" applyAlignment="0" applyProtection="0"/>
    <xf numFmtId="192" fontId="131" fillId="19" borderId="0" applyNumberFormat="0" applyBorder="0" applyAlignment="0" applyProtection="0"/>
    <xf numFmtId="192" fontId="131" fillId="19" borderId="0" applyNumberFormat="0" applyBorder="0" applyAlignment="0" applyProtection="0"/>
    <xf numFmtId="192" fontId="131" fillId="19" borderId="0" applyNumberFormat="0" applyBorder="0" applyAlignment="0" applyProtection="0"/>
    <xf numFmtId="192" fontId="131" fillId="20" borderId="0" applyNumberFormat="0" applyBorder="0" applyAlignment="0" applyProtection="0"/>
    <xf numFmtId="192" fontId="131" fillId="20" borderId="0" applyNumberFormat="0" applyBorder="0" applyAlignment="0" applyProtection="0"/>
    <xf numFmtId="192" fontId="131" fillId="20" borderId="0" applyNumberFormat="0" applyBorder="0" applyAlignment="0" applyProtection="0"/>
    <xf numFmtId="192" fontId="131" fillId="76" borderId="0" applyNumberFormat="0" applyBorder="0" applyAlignment="0" applyProtection="0"/>
    <xf numFmtId="192" fontId="131" fillId="76" borderId="0" applyNumberFormat="0" applyBorder="0" applyAlignment="0" applyProtection="0"/>
    <xf numFmtId="192" fontId="131" fillId="76" borderId="0" applyNumberFormat="0" applyBorder="0" applyAlignment="0" applyProtection="0"/>
    <xf numFmtId="192" fontId="131" fillId="38" borderId="0" applyNumberFormat="0" applyBorder="0" applyAlignment="0" applyProtection="0"/>
    <xf numFmtId="192" fontId="131" fillId="38" borderId="0" applyNumberFormat="0" applyBorder="0" applyAlignment="0" applyProtection="0"/>
    <xf numFmtId="192" fontId="131" fillId="38" borderId="0" applyNumberFormat="0" applyBorder="0" applyAlignment="0" applyProtection="0"/>
    <xf numFmtId="192" fontId="131" fillId="19" borderId="0" applyNumberFormat="0" applyBorder="0" applyAlignment="0" applyProtection="0"/>
    <xf numFmtId="192" fontId="131" fillId="19" borderId="0" applyNumberFormat="0" applyBorder="0" applyAlignment="0" applyProtection="0"/>
    <xf numFmtId="192" fontId="131" fillId="19" borderId="0" applyNumberFormat="0" applyBorder="0" applyAlignment="0" applyProtection="0"/>
    <xf numFmtId="192" fontId="131" fillId="18" borderId="0" applyNumberFormat="0" applyBorder="0" applyAlignment="0" applyProtection="0"/>
    <xf numFmtId="192" fontId="131" fillId="18" borderId="0" applyNumberFormat="0" applyBorder="0" applyAlignment="0" applyProtection="0"/>
    <xf numFmtId="192" fontId="131" fillId="18" borderId="0" applyNumberFormat="0" applyBorder="0" applyAlignment="0" applyProtection="0"/>
    <xf numFmtId="192" fontId="132" fillId="17" borderId="0" applyNumberFormat="0" applyBorder="0" applyAlignment="0" applyProtection="0"/>
    <xf numFmtId="192" fontId="132" fillId="17" borderId="0" applyNumberFormat="0" applyBorder="0" applyAlignment="0" applyProtection="0"/>
    <xf numFmtId="192" fontId="133" fillId="77" borderId="100" applyNumberFormat="0" applyAlignment="0" applyProtection="0"/>
    <xf numFmtId="192" fontId="133" fillId="77" borderId="100" applyNumberFormat="0" applyAlignment="0" applyProtection="0"/>
    <xf numFmtId="192" fontId="133" fillId="77" borderId="100" applyNumberFormat="0" applyAlignment="0" applyProtection="0"/>
    <xf numFmtId="192" fontId="133" fillId="77" borderId="100" applyNumberFormat="0" applyAlignment="0" applyProtection="0"/>
    <xf numFmtId="192" fontId="54" fillId="40" borderId="31" applyNumberFormat="0" applyAlignment="0" applyProtection="0"/>
    <xf numFmtId="192" fontId="54" fillId="40" borderId="31" applyNumberFormat="0" applyAlignment="0" applyProtection="0"/>
    <xf numFmtId="192" fontId="54" fillId="3" borderId="0">
      <alignment horizontal="left"/>
    </xf>
    <xf numFmtId="192" fontId="55" fillId="3" borderId="0">
      <alignment horizontal="right"/>
    </xf>
    <xf numFmtId="192" fontId="56" fillId="4" borderId="0">
      <alignment horizontal="center"/>
    </xf>
    <xf numFmtId="192" fontId="55" fillId="3" borderId="0">
      <alignment horizontal="right"/>
    </xf>
    <xf numFmtId="192" fontId="57" fillId="4" borderId="0">
      <alignment horizontal="left"/>
    </xf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134" fillId="0" borderId="0" applyNumberFormat="0" applyFill="0" applyBorder="0" applyAlignment="0" applyProtection="0"/>
    <xf numFmtId="192" fontId="134" fillId="0" borderId="0" applyNumberFormat="0" applyFill="0" applyBorder="0" applyAlignment="0" applyProtection="0"/>
    <xf numFmtId="192" fontId="53" fillId="0" borderId="0" applyProtection="0"/>
    <xf numFmtId="192" fontId="35" fillId="0" borderId="0" applyProtection="0"/>
    <xf numFmtId="192" fontId="81" fillId="0" borderId="0" applyProtection="0"/>
    <xf numFmtId="192" fontId="31" fillId="0" borderId="0" applyProtection="0"/>
    <xf numFmtId="192" fontId="31" fillId="0" borderId="0" applyProtection="0"/>
    <xf numFmtId="192" fontId="27" fillId="0" borderId="0" applyProtection="0"/>
    <xf numFmtId="192" fontId="27" fillId="0" borderId="0" applyProtection="0"/>
    <xf numFmtId="192" fontId="53" fillId="0" borderId="0" applyProtection="0"/>
    <xf numFmtId="192" fontId="82" fillId="0" borderId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192" fontId="88" fillId="73" borderId="0" applyNumberFormat="0" applyBorder="0" applyAlignment="0" applyProtection="0"/>
    <xf numFmtId="192" fontId="88" fillId="73" borderId="0" applyNumberFormat="0" applyBorder="0" applyAlignment="0" applyProtection="0"/>
    <xf numFmtId="192" fontId="135" fillId="0" borderId="109" applyNumberFormat="0" applyFill="0" applyAlignment="0" applyProtection="0"/>
    <xf numFmtId="192" fontId="135" fillId="0" borderId="109" applyNumberFormat="0" applyFill="0" applyAlignment="0" applyProtection="0"/>
    <xf numFmtId="192" fontId="136" fillId="0" borderId="110" applyNumberFormat="0" applyFill="0" applyAlignment="0" applyProtection="0"/>
    <xf numFmtId="192" fontId="136" fillId="0" borderId="110" applyNumberFormat="0" applyFill="0" applyAlignment="0" applyProtection="0"/>
    <xf numFmtId="192" fontId="137" fillId="0" borderId="111" applyNumberFormat="0" applyFill="0" applyAlignment="0" applyProtection="0"/>
    <xf numFmtId="192" fontId="137" fillId="0" borderId="111" applyNumberFormat="0" applyFill="0" applyAlignment="0" applyProtection="0"/>
    <xf numFmtId="192" fontId="137" fillId="0" borderId="111" applyNumberFormat="0" applyFill="0" applyAlignment="0" applyProtection="0"/>
    <xf numFmtId="192" fontId="137" fillId="0" borderId="111" applyNumberFormat="0" applyFill="0" applyAlignment="0" applyProtection="0"/>
    <xf numFmtId="192" fontId="137" fillId="0" borderId="111" applyNumberFormat="0" applyFill="0" applyAlignment="0" applyProtection="0"/>
    <xf numFmtId="192" fontId="137" fillId="0" borderId="0" applyNumberFormat="0" applyFill="0" applyBorder="0" applyAlignment="0" applyProtection="0"/>
    <xf numFmtId="192" fontId="137" fillId="0" borderId="0" applyNumberFormat="0" applyFill="0" applyBorder="0" applyAlignment="0" applyProtection="0"/>
    <xf numFmtId="185" fontId="138" fillId="0" borderId="0" applyNumberFormat="0" applyFill="0" applyBorder="0" applyAlignment="0" applyProtection="0">
      <alignment vertical="top"/>
      <protection locked="0"/>
    </xf>
    <xf numFmtId="192" fontId="139" fillId="2" borderId="100" applyNumberFormat="0" applyAlignment="0" applyProtection="0"/>
    <xf numFmtId="192" fontId="139" fillId="2" borderId="100" applyNumberFormat="0" applyAlignment="0" applyProtection="0"/>
    <xf numFmtId="192" fontId="139" fillId="2" borderId="100" applyNumberFormat="0" applyAlignment="0" applyProtection="0"/>
    <xf numFmtId="192" fontId="139" fillId="2" borderId="100" applyNumberFormat="0" applyAlignment="0" applyProtection="0"/>
    <xf numFmtId="192" fontId="54" fillId="3" borderId="0">
      <alignment horizontal="left"/>
    </xf>
    <xf numFmtId="192" fontId="58" fillId="4" borderId="0">
      <alignment horizontal="left"/>
    </xf>
    <xf numFmtId="192" fontId="140" fillId="0" borderId="112" applyNumberFormat="0" applyFill="0" applyAlignment="0" applyProtection="0"/>
    <xf numFmtId="192" fontId="140" fillId="0" borderId="112" applyNumberFormat="0" applyFill="0" applyAlignment="0" applyProtection="0"/>
    <xf numFmtId="192" fontId="141" fillId="5" borderId="0" applyNumberFormat="0" applyBorder="0" applyAlignment="0" applyProtection="0"/>
    <xf numFmtId="192" fontId="141" fillId="5" borderId="0" applyNumberFormat="0" applyBorder="0" applyAlignment="0" applyProtection="0"/>
    <xf numFmtId="192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4" fontId="27" fillId="0" borderId="0"/>
    <xf numFmtId="192" fontId="27" fillId="0" borderId="0"/>
    <xf numFmtId="192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4" fontId="27" fillId="0" borderId="0"/>
    <xf numFmtId="192" fontId="27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194" fontId="27" fillId="0" borderId="0"/>
    <xf numFmtId="0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192" fontId="27" fillId="0" borderId="0"/>
    <xf numFmtId="37" fontId="35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43" fontId="1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8" fillId="0" borderId="0"/>
    <xf numFmtId="185" fontId="2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27" fillId="0" borderId="0"/>
    <xf numFmtId="192" fontId="27" fillId="0" borderId="0"/>
    <xf numFmtId="192" fontId="146" fillId="0" borderId="0"/>
    <xf numFmtId="0" fontId="148" fillId="0" borderId="0"/>
    <xf numFmtId="0" fontId="150" fillId="0" borderId="0"/>
    <xf numFmtId="0" fontId="14" fillId="0" borderId="0"/>
    <xf numFmtId="44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43" fontId="154" fillId="0" borderId="0" applyFont="0" applyFill="0" applyBorder="0" applyAlignment="0" applyProtection="0"/>
    <xf numFmtId="0" fontId="154" fillId="0" borderId="0"/>
    <xf numFmtId="0" fontId="13" fillId="0" borderId="0"/>
    <xf numFmtId="43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148" fillId="0" borderId="0"/>
    <xf numFmtId="0" fontId="12" fillId="0" borderId="0"/>
    <xf numFmtId="0" fontId="12" fillId="0" borderId="0"/>
    <xf numFmtId="0" fontId="12" fillId="0" borderId="0"/>
    <xf numFmtId="0" fontId="148" fillId="0" borderId="0"/>
    <xf numFmtId="0" fontId="11" fillId="0" borderId="0"/>
    <xf numFmtId="0" fontId="94" fillId="0" borderId="0"/>
    <xf numFmtId="0" fontId="11" fillId="0" borderId="0"/>
    <xf numFmtId="0" fontId="8" fillId="0" borderId="0"/>
    <xf numFmtId="0" fontId="6" fillId="0" borderId="0"/>
    <xf numFmtId="43" fontId="15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72" fillId="0" borderId="0"/>
    <xf numFmtId="43" fontId="172" fillId="0" borderId="0" applyFont="0" applyFill="0" applyBorder="0" applyAlignment="0" applyProtection="0"/>
  </cellStyleXfs>
  <cellXfs count="893">
    <xf numFmtId="37" fontId="0" fillId="0" borderId="0" xfId="0"/>
    <xf numFmtId="164" fontId="32" fillId="0" borderId="0" xfId="27" applyNumberFormat="1" applyFont="1" applyProtection="1">
      <protection locked="0"/>
    </xf>
    <xf numFmtId="185" fontId="32" fillId="0" borderId="0" xfId="27" applyFont="1" applyProtection="1"/>
    <xf numFmtId="185" fontId="29" fillId="0" borderId="0" xfId="27" applyFont="1"/>
    <xf numFmtId="185" fontId="32" fillId="0" borderId="0" xfId="27" applyFont="1"/>
    <xf numFmtId="185" fontId="32" fillId="0" borderId="0" xfId="27" applyFont="1" applyAlignment="1" applyProtection="1">
      <alignment horizontal="left"/>
      <protection locked="0"/>
    </xf>
    <xf numFmtId="185" fontId="32" fillId="0" borderId="0" xfId="27" applyFont="1" applyAlignment="1" applyProtection="1">
      <alignment horizontal="center"/>
      <protection locked="0"/>
    </xf>
    <xf numFmtId="185" fontId="32" fillId="0" borderId="0" xfId="27" applyFont="1" applyAlignment="1" applyProtection="1">
      <alignment horizontal="center"/>
    </xf>
    <xf numFmtId="185" fontId="32" fillId="0" borderId="0" xfId="27" applyFont="1" applyAlignment="1" applyProtection="1">
      <alignment horizontal="left"/>
    </xf>
    <xf numFmtId="185" fontId="32" fillId="0" borderId="0" xfId="27" applyFont="1" applyProtection="1">
      <protection locked="0"/>
    </xf>
    <xf numFmtId="174" fontId="32" fillId="0" borderId="0" xfId="9" applyNumberFormat="1" applyFont="1"/>
    <xf numFmtId="174" fontId="29" fillId="0" borderId="0" xfId="9" applyNumberFormat="1" applyFont="1"/>
    <xf numFmtId="178" fontId="32" fillId="0" borderId="0" xfId="6" applyNumberFormat="1" applyFont="1"/>
    <xf numFmtId="178" fontId="29" fillId="0" borderId="0" xfId="6" applyNumberFormat="1" applyFont="1"/>
    <xf numFmtId="176" fontId="32" fillId="0" borderId="0" xfId="6" applyNumberFormat="1" applyFont="1"/>
    <xf numFmtId="170" fontId="32" fillId="0" borderId="0" xfId="35" applyNumberFormat="1" applyFont="1"/>
    <xf numFmtId="37" fontId="32" fillId="0" borderId="0" xfId="27" applyNumberFormat="1" applyFont="1"/>
    <xf numFmtId="37" fontId="32" fillId="0" borderId="0" xfId="27" applyNumberFormat="1" applyFont="1" applyAlignment="1" applyProtection="1">
      <alignment horizontal="left"/>
      <protection locked="0"/>
    </xf>
    <xf numFmtId="185" fontId="32" fillId="0" borderId="0" xfId="27" applyFont="1" applyAlignment="1">
      <alignment horizontal="center"/>
    </xf>
    <xf numFmtId="37" fontId="32" fillId="0" borderId="0" xfId="0" applyFont="1" applyAlignment="1" applyProtection="1">
      <alignment horizontal="center"/>
    </xf>
    <xf numFmtId="10" fontId="32" fillId="0" borderId="0" xfId="35" applyNumberFormat="1" applyFont="1"/>
    <xf numFmtId="43" fontId="31" fillId="0" borderId="0" xfId="6" applyFont="1"/>
    <xf numFmtId="43" fontId="31" fillId="0" borderId="0" xfId="6" applyFont="1" applyFill="1"/>
    <xf numFmtId="37" fontId="35" fillId="0" borderId="0" xfId="0" applyFont="1"/>
    <xf numFmtId="37" fontId="35" fillId="0" borderId="0" xfId="0" applyFont="1" applyFill="1"/>
    <xf numFmtId="180" fontId="39" fillId="0" borderId="0" xfId="26" applyNumberFormat="1" applyFont="1" applyFill="1"/>
    <xf numFmtId="185" fontId="39" fillId="0" borderId="0" xfId="26" applyFont="1" applyFill="1"/>
    <xf numFmtId="43" fontId="39" fillId="0" borderId="0" xfId="6" applyFont="1" applyFill="1"/>
    <xf numFmtId="185" fontId="39" fillId="0" borderId="0" xfId="26" applyFont="1" applyFill="1" applyAlignment="1">
      <alignment horizontal="center"/>
    </xf>
    <xf numFmtId="44" fontId="39" fillId="0" borderId="0" xfId="11" applyFont="1" applyFill="1"/>
    <xf numFmtId="37" fontId="35" fillId="0" borderId="0" xfId="0" applyFont="1" applyFill="1" applyAlignment="1">
      <alignment horizontal="center"/>
    </xf>
    <xf numFmtId="43" fontId="31" fillId="0" borderId="0" xfId="28" applyNumberFormat="1" applyFill="1"/>
    <xf numFmtId="37" fontId="36" fillId="0" borderId="0" xfId="0" applyFont="1"/>
    <xf numFmtId="39" fontId="36" fillId="0" borderId="0" xfId="0" applyNumberFormat="1" applyFont="1" applyAlignment="1">
      <alignment horizontal="right"/>
    </xf>
    <xf numFmtId="39" fontId="35" fillId="0" borderId="0" xfId="0" applyNumberFormat="1" applyFont="1" applyAlignment="1">
      <alignment horizontal="right"/>
    </xf>
    <xf numFmtId="39" fontId="35" fillId="0" borderId="0" xfId="0" applyNumberFormat="1" applyFont="1"/>
    <xf numFmtId="164" fontId="41" fillId="0" borderId="0" xfId="0" applyNumberFormat="1" applyFont="1" applyProtection="1">
      <protection locked="0"/>
    </xf>
    <xf numFmtId="37" fontId="35" fillId="0" borderId="0" xfId="0" applyFont="1" applyAlignment="1" applyProtection="1">
      <alignment horizontal="left"/>
    </xf>
    <xf numFmtId="37" fontId="35" fillId="0" borderId="0" xfId="0" applyFont="1" applyFill="1" applyAlignment="1" applyProtection="1">
      <alignment horizontal="left"/>
    </xf>
    <xf numFmtId="37" fontId="41" fillId="0" borderId="0" xfId="0" applyFont="1" applyFill="1" applyProtection="1">
      <protection locked="0"/>
    </xf>
    <xf numFmtId="37" fontId="41" fillId="0" borderId="0" xfId="0" applyFont="1" applyAlignment="1" applyProtection="1">
      <alignment horizontal="left"/>
      <protection locked="0"/>
    </xf>
    <xf numFmtId="164" fontId="35" fillId="0" borderId="0" xfId="0" applyNumberFormat="1" applyFont="1" applyAlignment="1" applyProtection="1">
      <alignment horizontal="left"/>
    </xf>
    <xf numFmtId="164" fontId="35" fillId="0" borderId="0" xfId="0" applyNumberFormat="1" applyFont="1" applyProtection="1"/>
    <xf numFmtId="164" fontId="41" fillId="0" borderId="0" xfId="0" applyNumberFormat="1" applyFont="1" applyAlignment="1" applyProtection="1">
      <alignment horizontal="left"/>
      <protection locked="0"/>
    </xf>
    <xf numFmtId="37" fontId="41" fillId="0" borderId="0" xfId="0" applyFont="1" applyFill="1" applyAlignment="1" applyProtection="1">
      <alignment horizontal="left"/>
      <protection locked="0"/>
    </xf>
    <xf numFmtId="37" fontId="41" fillId="0" borderId="0" xfId="0" quotePrefix="1" applyFont="1" applyAlignment="1" applyProtection="1">
      <alignment horizontal="left"/>
      <protection locked="0"/>
    </xf>
    <xf numFmtId="37" fontId="35" fillId="0" borderId="0" xfId="0" applyFont="1" applyFill="1" applyProtection="1"/>
    <xf numFmtId="37" fontId="41" fillId="0" borderId="0" xfId="0" applyFont="1" applyProtection="1">
      <protection locked="0"/>
    </xf>
    <xf numFmtId="37" fontId="35" fillId="0" borderId="0" xfId="0" applyFont="1" applyAlignment="1" applyProtection="1">
      <alignment horizontal="center"/>
    </xf>
    <xf numFmtId="37" fontId="35" fillId="0" borderId="0" xfId="0" applyFont="1" applyProtection="1"/>
    <xf numFmtId="165" fontId="35" fillId="0" borderId="0" xfId="0" applyNumberFormat="1" applyFont="1" applyAlignment="1" applyProtection="1">
      <alignment horizontal="left"/>
    </xf>
    <xf numFmtId="166" fontId="35" fillId="0" borderId="0" xfId="0" applyNumberFormat="1" applyFont="1" applyAlignment="1" applyProtection="1">
      <alignment horizontal="left"/>
    </xf>
    <xf numFmtId="37" fontId="41" fillId="0" borderId="0" xfId="0" quotePrefix="1" applyFont="1" applyAlignment="1" applyProtection="1">
      <alignment horizontal="center"/>
      <protection locked="0"/>
    </xf>
    <xf numFmtId="37" fontId="41" fillId="0" borderId="0" xfId="0" applyFont="1" applyAlignment="1" applyProtection="1">
      <alignment horizontal="center"/>
      <protection locked="0"/>
    </xf>
    <xf numFmtId="37" fontId="35" fillId="0" borderId="0" xfId="0" applyFont="1" applyAlignment="1">
      <alignment horizontal="center"/>
    </xf>
    <xf numFmtId="37" fontId="35" fillId="0" borderId="0" xfId="0" applyNumberFormat="1" applyFont="1" applyProtection="1"/>
    <xf numFmtId="37" fontId="35" fillId="0" borderId="0" xfId="0" applyFont="1" applyAlignment="1" applyProtection="1">
      <alignment horizontal="fill"/>
    </xf>
    <xf numFmtId="37" fontId="35" fillId="0" borderId="0" xfId="0" applyFont="1" applyProtection="1">
      <protection locked="0"/>
    </xf>
    <xf numFmtId="37" fontId="41" fillId="0" borderId="0" xfId="0" applyNumberFormat="1" applyFont="1" applyAlignment="1" applyProtection="1">
      <alignment horizontal="center"/>
      <protection locked="0"/>
    </xf>
    <xf numFmtId="37" fontId="35" fillId="0" borderId="0" xfId="0" quotePrefix="1" applyFont="1" applyAlignment="1" applyProtection="1">
      <alignment horizontal="left"/>
    </xf>
    <xf numFmtId="168" fontId="35" fillId="0" borderId="0" xfId="0" applyNumberFormat="1" applyFont="1" applyProtection="1"/>
    <xf numFmtId="165" fontId="35" fillId="0" borderId="0" xfId="0" applyNumberFormat="1" applyFont="1" applyProtection="1"/>
    <xf numFmtId="10" fontId="35" fillId="0" borderId="0" xfId="0" applyNumberFormat="1" applyFont="1" applyProtection="1"/>
    <xf numFmtId="169" fontId="35" fillId="0" borderId="0" xfId="0" applyNumberFormat="1" applyFont="1" applyProtection="1"/>
    <xf numFmtId="37" fontId="42" fillId="0" borderId="0" xfId="0" applyFont="1" applyFill="1"/>
    <xf numFmtId="37" fontId="43" fillId="0" borderId="0" xfId="0" applyFont="1"/>
    <xf numFmtId="39" fontId="42" fillId="0" borderId="2" xfId="0" applyNumberFormat="1" applyFont="1" applyFill="1" applyBorder="1" applyAlignment="1">
      <alignment horizontal="center"/>
    </xf>
    <xf numFmtId="37" fontId="35" fillId="0" borderId="0" xfId="0" applyFont="1" applyFill="1" applyAlignment="1" applyProtection="1">
      <alignment horizontal="left"/>
      <protection locked="0"/>
    </xf>
    <xf numFmtId="37" fontId="44" fillId="0" borderId="0" xfId="0" applyFont="1"/>
    <xf numFmtId="37" fontId="41" fillId="0" borderId="0" xfId="0" applyFont="1" applyFill="1"/>
    <xf numFmtId="37" fontId="41" fillId="0" borderId="0" xfId="0" quotePrefix="1" applyFont="1" applyFill="1" applyAlignment="1">
      <alignment horizontal="left"/>
    </xf>
    <xf numFmtId="37" fontId="44" fillId="0" borderId="0" xfId="0" applyFont="1" applyProtection="1">
      <protection locked="0"/>
    </xf>
    <xf numFmtId="37" fontId="44" fillId="0" borderId="0" xfId="0" applyFont="1" applyFill="1" applyProtection="1">
      <protection locked="0"/>
    </xf>
    <xf numFmtId="37" fontId="41" fillId="0" borderId="0" xfId="0" quotePrefix="1" applyFont="1" applyFill="1" applyAlignment="1" applyProtection="1">
      <alignment horizontal="left"/>
      <protection locked="0"/>
    </xf>
    <xf numFmtId="37" fontId="35" fillId="0" borderId="0" xfId="0" applyFont="1" applyFill="1" applyProtection="1">
      <protection locked="0"/>
    </xf>
    <xf numFmtId="37" fontId="45" fillId="0" borderId="0" xfId="0" applyFont="1" applyProtection="1">
      <protection locked="0"/>
    </xf>
    <xf numFmtId="37" fontId="44" fillId="0" borderId="0" xfId="0" applyFont="1" applyFill="1"/>
    <xf numFmtId="37" fontId="42" fillId="0" borderId="0" xfId="0" applyFont="1" applyFill="1" applyAlignment="1" applyProtection="1">
      <alignment horizontal="center"/>
      <protection locked="0"/>
    </xf>
    <xf numFmtId="37" fontId="42" fillId="0" borderId="0" xfId="0" applyFont="1" applyFill="1" applyAlignment="1">
      <alignment horizontal="center"/>
    </xf>
    <xf numFmtId="37" fontId="46" fillId="0" borderId="0" xfId="0" applyFont="1" applyFill="1" applyProtection="1">
      <protection locked="0"/>
    </xf>
    <xf numFmtId="37" fontId="47" fillId="0" borderId="0" xfId="0" applyFont="1" applyFill="1"/>
    <xf numFmtId="37" fontId="47" fillId="0" borderId="0" xfId="0" applyFont="1" applyFill="1" applyProtection="1">
      <protection locked="0"/>
    </xf>
    <xf numFmtId="43" fontId="47" fillId="0" borderId="0" xfId="6" applyFont="1" applyFill="1" applyProtection="1">
      <protection locked="0"/>
    </xf>
    <xf numFmtId="37" fontId="45" fillId="0" borderId="0" xfId="0" applyFont="1" applyFill="1" applyProtection="1">
      <protection locked="0"/>
    </xf>
    <xf numFmtId="37" fontId="35" fillId="0" borderId="0" xfId="0" applyNumberFormat="1" applyFont="1" applyFill="1" applyProtection="1"/>
    <xf numFmtId="177" fontId="47" fillId="0" borderId="0" xfId="6" applyNumberFormat="1" applyFont="1" applyFill="1" applyProtection="1">
      <protection locked="0"/>
    </xf>
    <xf numFmtId="37" fontId="41" fillId="0" borderId="0" xfId="0" applyFont="1" applyFill="1" applyAlignment="1" applyProtection="1">
      <alignment horizontal="center"/>
      <protection locked="0"/>
    </xf>
    <xf numFmtId="37" fontId="41" fillId="0" borderId="0" xfId="0" applyFont="1" applyFill="1" applyAlignment="1">
      <alignment horizontal="center"/>
    </xf>
    <xf numFmtId="185" fontId="35" fillId="0" borderId="0" xfId="0" quotePrefix="1" applyNumberFormat="1" applyFont="1" applyFill="1" applyAlignment="1" applyProtection="1">
      <alignment horizontal="left"/>
      <protection locked="0"/>
    </xf>
    <xf numFmtId="37" fontId="35" fillId="0" borderId="0" xfId="0" quotePrefix="1" applyFont="1" applyFill="1" applyAlignment="1">
      <alignment horizontal="left"/>
    </xf>
    <xf numFmtId="172" fontId="47" fillId="0" borderId="0" xfId="0" applyNumberFormat="1" applyFont="1" applyFill="1" applyProtection="1">
      <protection locked="0"/>
    </xf>
    <xf numFmtId="43" fontId="35" fillId="0" borderId="0" xfId="6" applyFont="1"/>
    <xf numFmtId="37" fontId="41" fillId="0" borderId="0" xfId="0" applyNumberFormat="1" applyFont="1" applyProtection="1">
      <protection locked="0"/>
    </xf>
    <xf numFmtId="37" fontId="42" fillId="0" borderId="0" xfId="0" applyFont="1" applyFill="1" applyProtection="1">
      <protection locked="0"/>
    </xf>
    <xf numFmtId="37" fontId="42" fillId="0" borderId="0" xfId="0" applyFont="1" applyFill="1" applyBorder="1" applyAlignment="1">
      <alignment horizontal="center"/>
    </xf>
    <xf numFmtId="167" fontId="35" fillId="0" borderId="0" xfId="0" applyNumberFormat="1" applyFont="1" applyFill="1" applyProtection="1"/>
    <xf numFmtId="37" fontId="35" fillId="0" borderId="0" xfId="0" applyFont="1" applyAlignment="1" applyProtection="1">
      <alignment horizontal="left"/>
      <protection locked="0"/>
    </xf>
    <xf numFmtId="175" fontId="35" fillId="0" borderId="0" xfId="0" applyNumberFormat="1" applyFont="1"/>
    <xf numFmtId="171" fontId="41" fillId="0" borderId="0" xfId="0" applyNumberFormat="1" applyFont="1" applyProtection="1">
      <protection locked="0"/>
    </xf>
    <xf numFmtId="10" fontId="35" fillId="0" borderId="0" xfId="0" applyNumberFormat="1" applyFont="1" applyProtection="1">
      <protection locked="0"/>
    </xf>
    <xf numFmtId="37" fontId="41" fillId="0" borderId="0" xfId="0" applyFont="1"/>
    <xf numFmtId="37" fontId="35" fillId="0" borderId="0" xfId="0" quotePrefix="1" applyFont="1" applyAlignment="1">
      <alignment horizontal="left"/>
    </xf>
    <xf numFmtId="37" fontId="35" fillId="0" borderId="0" xfId="0" applyFont="1" applyAlignment="1">
      <alignment horizontal="left"/>
    </xf>
    <xf numFmtId="37" fontId="0" fillId="0" borderId="0" xfId="0" applyFill="1"/>
    <xf numFmtId="37" fontId="0" fillId="0" borderId="0" xfId="0" applyFill="1" applyBorder="1"/>
    <xf numFmtId="185" fontId="31" fillId="0" borderId="0" xfId="28" applyFill="1"/>
    <xf numFmtId="173" fontId="35" fillId="0" borderId="0" xfId="0" applyNumberFormat="1" applyFont="1" applyFill="1"/>
    <xf numFmtId="37" fontId="37" fillId="0" borderId="0" xfId="0" applyFont="1" applyFill="1" applyAlignment="1">
      <alignment horizontal="center"/>
    </xf>
    <xf numFmtId="37" fontId="37" fillId="0" borderId="0" xfId="0" applyFont="1" applyFill="1"/>
    <xf numFmtId="37" fontId="37" fillId="0" borderId="5" xfId="0" applyFont="1" applyFill="1" applyBorder="1" applyAlignment="1">
      <alignment horizontal="center"/>
    </xf>
    <xf numFmtId="37" fontId="38" fillId="0" borderId="0" xfId="0" applyFont="1" applyFill="1"/>
    <xf numFmtId="37" fontId="38" fillId="0" borderId="0" xfId="0" applyFont="1" applyFill="1" applyAlignment="1">
      <alignment horizontal="right"/>
    </xf>
    <xf numFmtId="37" fontId="38" fillId="0" borderId="0" xfId="0" quotePrefix="1" applyFont="1" applyFill="1" applyAlignment="1">
      <alignment horizontal="center"/>
    </xf>
    <xf numFmtId="38" fontId="38" fillId="0" borderId="6" xfId="0" applyNumberFormat="1" applyFont="1" applyFill="1" applyBorder="1"/>
    <xf numFmtId="38" fontId="38" fillId="0" borderId="0" xfId="0" applyNumberFormat="1" applyFont="1" applyFill="1"/>
    <xf numFmtId="37" fontId="38" fillId="0" borderId="0" xfId="0" applyFont="1" applyFill="1" applyAlignment="1">
      <alignment horizontal="center"/>
    </xf>
    <xf numFmtId="182" fontId="38" fillId="0" borderId="0" xfId="0" applyNumberFormat="1" applyFont="1" applyFill="1"/>
    <xf numFmtId="38" fontId="38" fillId="0" borderId="0" xfId="0" applyNumberFormat="1" applyFont="1" applyFill="1" applyAlignment="1">
      <alignment horizontal="center"/>
    </xf>
    <xf numFmtId="37" fontId="38" fillId="0" borderId="5" xfId="0" applyFont="1" applyFill="1" applyBorder="1" applyAlignment="1">
      <alignment horizontal="center"/>
    </xf>
    <xf numFmtId="38" fontId="38" fillId="0" borderId="5" xfId="0" applyNumberFormat="1" applyFont="1" applyFill="1" applyBorder="1" applyAlignment="1">
      <alignment horizontal="center"/>
    </xf>
    <xf numFmtId="179" fontId="38" fillId="0" borderId="0" xfId="35" applyNumberFormat="1" applyFont="1" applyFill="1"/>
    <xf numFmtId="182" fontId="38" fillId="0" borderId="4" xfId="0" applyNumberFormat="1" applyFont="1" applyFill="1" applyBorder="1"/>
    <xf numFmtId="182" fontId="38" fillId="0" borderId="7" xfId="0" applyNumberFormat="1" applyFont="1" applyFill="1" applyBorder="1"/>
    <xf numFmtId="37" fontId="27" fillId="0" borderId="0" xfId="0" applyFont="1" applyFill="1"/>
    <xf numFmtId="38" fontId="40" fillId="0" borderId="0" xfId="0" applyNumberFormat="1" applyFont="1" applyFill="1" applyBorder="1"/>
    <xf numFmtId="37" fontId="43" fillId="0" borderId="0" xfId="0" applyFont="1" applyFill="1" applyAlignment="1" applyProtection="1">
      <alignment horizontal="center"/>
      <protection locked="0"/>
    </xf>
    <xf numFmtId="37" fontId="35" fillId="9" borderId="0" xfId="0" applyFont="1" applyFill="1"/>
    <xf numFmtId="174" fontId="42" fillId="0" borderId="0" xfId="0" applyNumberFormat="1" applyFont="1" applyFill="1"/>
    <xf numFmtId="37" fontId="42" fillId="0" borderId="0" xfId="0" applyFont="1"/>
    <xf numFmtId="183" fontId="38" fillId="0" borderId="0" xfId="0" applyNumberFormat="1" applyFont="1" applyFill="1"/>
    <xf numFmtId="37" fontId="38" fillId="0" borderId="0" xfId="0" applyFont="1" applyFill="1" applyBorder="1"/>
    <xf numFmtId="37" fontId="27" fillId="0" borderId="0" xfId="0" applyFont="1" applyFill="1" applyBorder="1"/>
    <xf numFmtId="43" fontId="31" fillId="0" borderId="7" xfId="28" applyNumberFormat="1" applyFill="1" applyBorder="1"/>
    <xf numFmtId="38" fontId="38" fillId="0" borderId="0" xfId="0" applyNumberFormat="1" applyFont="1" applyFill="1" applyBorder="1" applyAlignment="1">
      <alignment horizontal="center"/>
    </xf>
    <xf numFmtId="182" fontId="38" fillId="0" borderId="0" xfId="0" applyNumberFormat="1" applyFont="1" applyFill="1" applyBorder="1"/>
    <xf numFmtId="37" fontId="37" fillId="0" borderId="5" xfId="0" quotePrefix="1" applyFont="1" applyFill="1" applyBorder="1" applyAlignment="1">
      <alignment horizontal="center"/>
    </xf>
    <xf numFmtId="37" fontId="42" fillId="0" borderId="0" xfId="0" quotePrefix="1" applyFont="1" applyFill="1" applyAlignment="1">
      <alignment horizontal="left"/>
    </xf>
    <xf numFmtId="44" fontId="0" fillId="0" borderId="0" xfId="11" applyFont="1"/>
    <xf numFmtId="37" fontId="41" fillId="0" borderId="0" xfId="0" quotePrefix="1" applyFont="1" applyFill="1" applyAlignment="1" applyProtection="1">
      <alignment horizontal="center"/>
      <protection locked="0"/>
    </xf>
    <xf numFmtId="38" fontId="38" fillId="0" borderId="0" xfId="0" applyNumberFormat="1" applyFont="1" applyFill="1" applyBorder="1"/>
    <xf numFmtId="37" fontId="66" fillId="0" borderId="0" xfId="0" quotePrefix="1" applyFont="1" applyFill="1" applyAlignment="1">
      <alignment horizontal="left"/>
    </xf>
    <xf numFmtId="185" fontId="31" fillId="0" borderId="0" xfId="28" quotePrefix="1" applyFont="1" applyFill="1" applyBorder="1" applyAlignment="1">
      <alignment horizontal="left"/>
    </xf>
    <xf numFmtId="44" fontId="53" fillId="0" borderId="7" xfId="11" applyFont="1" applyBorder="1"/>
    <xf numFmtId="185" fontId="27" fillId="0" borderId="0" xfId="29" applyFill="1"/>
    <xf numFmtId="185" fontId="27" fillId="0" borderId="0" xfId="29" applyFill="1" applyAlignment="1">
      <alignment horizontal="center"/>
    </xf>
    <xf numFmtId="37" fontId="27" fillId="0" borderId="0" xfId="29" applyNumberFormat="1" applyFill="1"/>
    <xf numFmtId="39" fontId="27" fillId="0" borderId="0" xfId="29" applyNumberFormat="1" applyFill="1"/>
    <xf numFmtId="185" fontId="27" fillId="0" borderId="0" xfId="29" applyNumberFormat="1" applyFill="1"/>
    <xf numFmtId="37" fontId="35" fillId="0" borderId="0" xfId="0" quotePrefix="1" applyFont="1" applyFill="1" applyAlignment="1">
      <alignment horizontal="right"/>
    </xf>
    <xf numFmtId="37" fontId="35" fillId="0" borderId="0" xfId="0" applyFont="1" applyFill="1" applyAlignment="1">
      <alignment horizontal="right"/>
    </xf>
    <xf numFmtId="10" fontId="35" fillId="0" borderId="0" xfId="35" applyNumberFormat="1" applyFont="1"/>
    <xf numFmtId="10" fontId="35" fillId="0" borderId="0" xfId="35" applyNumberFormat="1" applyFont="1" applyFill="1"/>
    <xf numFmtId="178" fontId="35" fillId="0" borderId="0" xfId="6" applyNumberFormat="1" applyFont="1" applyProtection="1"/>
    <xf numFmtId="167" fontId="35" fillId="0" borderId="0" xfId="35" applyNumberFormat="1" applyFont="1" applyFill="1"/>
    <xf numFmtId="170" fontId="41" fillId="0" borderId="0" xfId="35" applyNumberFormat="1" applyFont="1" applyFill="1"/>
    <xf numFmtId="179" fontId="41" fillId="0" borderId="0" xfId="35" applyNumberFormat="1" applyFont="1" applyFill="1"/>
    <xf numFmtId="37" fontId="35" fillId="0" borderId="0" xfId="0" applyFont="1" applyFill="1" applyAlignment="1" applyProtection="1">
      <alignment horizontal="right"/>
      <protection locked="0"/>
    </xf>
    <xf numFmtId="185" fontId="32" fillId="0" borderId="0" xfId="27" quotePrefix="1" applyFont="1" applyAlignment="1" applyProtection="1">
      <alignment horizontal="center"/>
      <protection locked="0"/>
    </xf>
    <xf numFmtId="37" fontId="0" fillId="10" borderId="8" xfId="0" applyFill="1" applyBorder="1"/>
    <xf numFmtId="37" fontId="0" fillId="10" borderId="9" xfId="0" applyFill="1" applyBorder="1"/>
    <xf numFmtId="37" fontId="0" fillId="10" borderId="0" xfId="0" applyFill="1" applyBorder="1"/>
    <xf numFmtId="37" fontId="0" fillId="10" borderId="10" xfId="0" applyFill="1" applyBorder="1"/>
    <xf numFmtId="37" fontId="0" fillId="10" borderId="11" xfId="0" applyFill="1" applyBorder="1"/>
    <xf numFmtId="37" fontId="0" fillId="10" borderId="12" xfId="0" applyFill="1" applyBorder="1"/>
    <xf numFmtId="37" fontId="0" fillId="10" borderId="13" xfId="0" applyFill="1" applyBorder="1"/>
    <xf numFmtId="37" fontId="53" fillId="10" borderId="4" xfId="0" applyFont="1" applyFill="1" applyBorder="1" applyAlignment="1">
      <alignment horizontal="center"/>
    </xf>
    <xf numFmtId="37" fontId="53" fillId="10" borderId="14" xfId="0" applyFont="1" applyFill="1" applyBorder="1" applyAlignment="1">
      <alignment horizontal="center"/>
    </xf>
    <xf numFmtId="37" fontId="53" fillId="10" borderId="15" xfId="0" applyFont="1" applyFill="1" applyBorder="1" applyAlignment="1">
      <alignment horizontal="center"/>
    </xf>
    <xf numFmtId="37" fontId="0" fillId="0" borderId="16" xfId="0" applyBorder="1"/>
    <xf numFmtId="37" fontId="0" fillId="0" borderId="0" xfId="0" applyBorder="1" applyAlignment="1">
      <alignment horizontal="center"/>
    </xf>
    <xf numFmtId="37" fontId="0" fillId="0" borderId="17" xfId="0" applyBorder="1" applyAlignment="1">
      <alignment horizontal="center"/>
    </xf>
    <xf numFmtId="37" fontId="0" fillId="0" borderId="12" xfId="0" applyBorder="1" applyAlignment="1">
      <alignment horizontal="center"/>
    </xf>
    <xf numFmtId="37" fontId="0" fillId="0" borderId="18" xfId="0" applyBorder="1"/>
    <xf numFmtId="37" fontId="0" fillId="0" borderId="17" xfId="0" applyBorder="1"/>
    <xf numFmtId="37" fontId="0" fillId="0" borderId="0" xfId="0" applyBorder="1"/>
    <xf numFmtId="37" fontId="0" fillId="0" borderId="12" xfId="0" applyBorder="1"/>
    <xf numFmtId="37" fontId="53" fillId="0" borderId="18" xfId="0" applyFont="1" applyBorder="1" applyAlignment="1">
      <alignment horizontal="right"/>
    </xf>
    <xf numFmtId="44" fontId="53" fillId="0" borderId="0" xfId="11" applyFont="1" applyBorder="1" applyAlignment="1">
      <alignment horizontal="right"/>
    </xf>
    <xf numFmtId="44" fontId="53" fillId="0" borderId="17" xfId="11" applyFont="1" applyBorder="1" applyAlignment="1">
      <alignment horizontal="right"/>
    </xf>
    <xf numFmtId="44" fontId="53" fillId="0" borderId="19" xfId="11" applyFont="1" applyBorder="1" applyAlignment="1">
      <alignment horizontal="right"/>
    </xf>
    <xf numFmtId="37" fontId="68" fillId="0" borderId="18" xfId="0" applyFont="1" applyBorder="1" applyAlignment="1">
      <alignment horizontal="right"/>
    </xf>
    <xf numFmtId="44" fontId="68" fillId="0" borderId="0" xfId="11" applyFont="1" applyBorder="1" applyAlignment="1">
      <alignment horizontal="right"/>
    </xf>
    <xf numFmtId="44" fontId="68" fillId="0" borderId="17" xfId="11" applyFont="1" applyBorder="1" applyAlignment="1">
      <alignment horizontal="right"/>
    </xf>
    <xf numFmtId="44" fontId="68" fillId="0" borderId="19" xfId="11" applyFont="1" applyBorder="1" applyAlignment="1">
      <alignment horizontal="right"/>
    </xf>
    <xf numFmtId="37" fontId="0" fillId="0" borderId="20" xfId="0" applyBorder="1"/>
    <xf numFmtId="37" fontId="0" fillId="0" borderId="5" xfId="0" applyBorder="1"/>
    <xf numFmtId="37" fontId="0" fillId="0" borderId="21" xfId="0" applyBorder="1"/>
    <xf numFmtId="37" fontId="0" fillId="0" borderId="22" xfId="0" applyBorder="1"/>
    <xf numFmtId="44" fontId="53" fillId="0" borderId="12" xfId="11" applyFont="1" applyBorder="1" applyAlignment="1">
      <alignment horizontal="right"/>
    </xf>
    <xf numFmtId="37" fontId="29" fillId="0" borderId="18" xfId="0" applyFont="1" applyBorder="1"/>
    <xf numFmtId="44" fontId="29" fillId="0" borderId="0" xfId="11" applyFont="1" applyBorder="1" applyAlignment="1">
      <alignment horizontal="right"/>
    </xf>
    <xf numFmtId="37" fontId="29" fillId="0" borderId="17" xfId="0" applyFont="1" applyBorder="1"/>
    <xf numFmtId="44" fontId="29" fillId="0" borderId="12" xfId="11" applyFont="1" applyBorder="1" applyAlignment="1">
      <alignment horizontal="right"/>
    </xf>
    <xf numFmtId="44" fontId="29" fillId="0" borderId="4" xfId="11" applyFont="1" applyBorder="1" applyAlignment="1">
      <alignment horizontal="right"/>
    </xf>
    <xf numFmtId="164" fontId="35" fillId="0" borderId="0" xfId="0" applyNumberFormat="1" applyFont="1" applyProtection="1">
      <protection locked="0"/>
    </xf>
    <xf numFmtId="37" fontId="35" fillId="0" borderId="0" xfId="0" quotePrefix="1" applyFont="1" applyFill="1" applyAlignment="1" applyProtection="1">
      <alignment horizontal="left"/>
    </xf>
    <xf numFmtId="37" fontId="41" fillId="0" borderId="0" xfId="0" applyFont="1" applyFill="1" applyProtection="1"/>
    <xf numFmtId="37" fontId="35" fillId="0" borderId="0" xfId="0" applyFont="1" applyFill="1" applyAlignment="1" applyProtection="1">
      <alignment horizontal="fill"/>
    </xf>
    <xf numFmtId="167" fontId="41" fillId="0" borderId="0" xfId="0" applyNumberFormat="1" applyFont="1" applyFill="1" applyProtection="1">
      <protection locked="0"/>
    </xf>
    <xf numFmtId="185" fontId="32" fillId="0" borderId="0" xfId="27" quotePrefix="1" applyFont="1" applyAlignment="1" applyProtection="1">
      <alignment horizontal="center"/>
    </xf>
    <xf numFmtId="185" fontId="53" fillId="0" borderId="0" xfId="0" applyNumberFormat="1" applyFont="1" applyFill="1"/>
    <xf numFmtId="185" fontId="38" fillId="0" borderId="0" xfId="0" applyNumberFormat="1" applyFont="1"/>
    <xf numFmtId="185" fontId="38" fillId="0" borderId="0" xfId="0" quotePrefix="1" applyNumberFormat="1" applyFont="1" applyAlignment="1">
      <alignment horizontal="center"/>
    </xf>
    <xf numFmtId="185" fontId="38" fillId="0" borderId="0" xfId="0" applyNumberFormat="1" applyFont="1"/>
    <xf numFmtId="37" fontId="38" fillId="0" borderId="0" xfId="0" applyNumberFormat="1" applyFont="1"/>
    <xf numFmtId="39" fontId="38" fillId="0" borderId="0" xfId="0" applyNumberFormat="1" applyFont="1"/>
    <xf numFmtId="185" fontId="38" fillId="0" borderId="0" xfId="0" applyNumberFormat="1" applyFont="1" applyAlignment="1">
      <alignment horizontal="center"/>
    </xf>
    <xf numFmtId="37" fontId="38" fillId="0" borderId="0" xfId="0" quotePrefix="1" applyNumberFormat="1" applyFont="1" applyAlignment="1">
      <alignment horizontal="center"/>
    </xf>
    <xf numFmtId="39" fontId="38" fillId="0" borderId="0" xfId="0" quotePrefix="1" applyNumberFormat="1" applyFont="1" applyAlignment="1">
      <alignment horizontal="center"/>
    </xf>
    <xf numFmtId="185" fontId="38" fillId="0" borderId="0" xfId="0" applyNumberFormat="1" applyFont="1" applyAlignment="1">
      <alignment horizontal="center"/>
    </xf>
    <xf numFmtId="43" fontId="33" fillId="0" borderId="0" xfId="6" applyFont="1"/>
    <xf numFmtId="10" fontId="31" fillId="0" borderId="0" xfId="35" applyNumberFormat="1" applyFont="1"/>
    <xf numFmtId="10" fontId="31" fillId="0" borderId="0" xfId="35" applyNumberFormat="1" applyFont="1" applyBorder="1"/>
    <xf numFmtId="43" fontId="31" fillId="0" borderId="6" xfId="6" applyFont="1" applyBorder="1"/>
    <xf numFmtId="43" fontId="31" fillId="0" borderId="4" xfId="6" applyFont="1" applyBorder="1"/>
    <xf numFmtId="43" fontId="33" fillId="0" borderId="0" xfId="6" applyFont="1" applyBorder="1"/>
    <xf numFmtId="43" fontId="31" fillId="0" borderId="0" xfId="6" applyFont="1" applyBorder="1"/>
    <xf numFmtId="10" fontId="31" fillId="0" borderId="4" xfId="35" applyNumberFormat="1" applyFont="1" applyBorder="1"/>
    <xf numFmtId="10" fontId="31" fillId="0" borderId="7" xfId="35" applyNumberFormat="1" applyFont="1" applyBorder="1"/>
    <xf numFmtId="43" fontId="31" fillId="0" borderId="7" xfId="6" applyFont="1" applyBorder="1"/>
    <xf numFmtId="185" fontId="67" fillId="0" borderId="0" xfId="0" applyNumberFormat="1" applyFont="1" applyFill="1" applyAlignment="1">
      <alignment horizontal="center"/>
    </xf>
    <xf numFmtId="185" fontId="53" fillId="0" borderId="0" xfId="0" quotePrefix="1" applyNumberFormat="1" applyFont="1" applyFill="1" applyAlignment="1">
      <alignment horizontal="left"/>
    </xf>
    <xf numFmtId="185" fontId="67" fillId="0" borderId="0" xfId="0" applyNumberFormat="1" applyFont="1" applyFill="1" applyBorder="1" applyAlignment="1">
      <alignment horizontal="center"/>
    </xf>
    <xf numFmtId="185" fontId="53" fillId="0" borderId="0" xfId="0" applyNumberFormat="1" applyFont="1" applyFill="1" applyAlignment="1">
      <alignment horizontal="right"/>
    </xf>
    <xf numFmtId="37" fontId="28" fillId="0" borderId="18" xfId="0" quotePrefix="1" applyFont="1" applyBorder="1"/>
    <xf numFmtId="185" fontId="0" fillId="0" borderId="0" xfId="0" applyNumberFormat="1" applyAlignment="1">
      <alignment horizontal="center"/>
    </xf>
    <xf numFmtId="185" fontId="52" fillId="0" borderId="0" xfId="0" applyNumberFormat="1" applyFont="1" applyAlignment="1">
      <alignment horizontal="center"/>
    </xf>
    <xf numFmtId="44" fontId="52" fillId="0" borderId="0" xfId="11" applyFont="1" applyAlignment="1">
      <alignment horizontal="center"/>
    </xf>
    <xf numFmtId="185" fontId="28" fillId="0" borderId="0" xfId="0" applyNumberFormat="1" applyFont="1" applyAlignment="1">
      <alignment horizontal="center"/>
    </xf>
    <xf numFmtId="186" fontId="70" fillId="0" borderId="0" xfId="12" applyNumberFormat="1" applyFont="1" applyFill="1" applyBorder="1"/>
    <xf numFmtId="185" fontId="53" fillId="0" borderId="0" xfId="0" applyNumberFormat="1" applyFont="1" applyAlignment="1">
      <alignment horizontal="right"/>
    </xf>
    <xf numFmtId="188" fontId="70" fillId="0" borderId="0" xfId="11" applyNumberFormat="1" applyFont="1" applyFill="1" applyBorder="1"/>
    <xf numFmtId="185" fontId="53" fillId="0" borderId="0" xfId="0" quotePrefix="1" applyNumberFormat="1" applyFont="1" applyAlignment="1">
      <alignment horizontal="right"/>
    </xf>
    <xf numFmtId="3" fontId="53" fillId="0" borderId="5" xfId="0" applyNumberFormat="1" applyFont="1" applyFill="1" applyBorder="1" applyAlignment="1">
      <alignment horizontal="center"/>
    </xf>
    <xf numFmtId="3" fontId="28" fillId="0" borderId="0" xfId="0" applyNumberFormat="1" applyFont="1" applyFill="1"/>
    <xf numFmtId="185" fontId="0" fillId="0" borderId="0" xfId="0" applyNumberFormat="1" applyFill="1" applyBorder="1"/>
    <xf numFmtId="37" fontId="35" fillId="11" borderId="0" xfId="0" applyFont="1" applyFill="1"/>
    <xf numFmtId="37" fontId="38" fillId="0" borderId="0" xfId="22" applyNumberFormat="1" applyFont="1" applyFill="1" applyAlignment="1">
      <alignment horizontal="right"/>
    </xf>
    <xf numFmtId="37" fontId="38" fillId="0" borderId="0" xfId="22" applyNumberFormat="1" applyFont="1" applyFill="1"/>
    <xf numFmtId="38" fontId="40" fillId="0" borderId="0" xfId="22" applyNumberFormat="1" applyFont="1" applyFill="1"/>
    <xf numFmtId="37" fontId="69" fillId="0" borderId="0" xfId="22" applyNumberFormat="1" applyFont="1" applyFill="1"/>
    <xf numFmtId="38" fontId="40" fillId="0" borderId="4" xfId="22" applyNumberFormat="1" applyFont="1" applyFill="1" applyBorder="1"/>
    <xf numFmtId="37" fontId="74" fillId="0" borderId="0" xfId="0" applyFont="1" applyFill="1" applyProtection="1">
      <protection locked="0"/>
    </xf>
    <xf numFmtId="37" fontId="74" fillId="0" borderId="0" xfId="0" applyFont="1" applyFill="1"/>
    <xf numFmtId="37" fontId="74" fillId="0" borderId="0" xfId="0" applyFont="1"/>
    <xf numFmtId="37" fontId="41" fillId="0" borderId="0" xfId="0" applyFont="1" applyFill="1" applyBorder="1" applyProtection="1">
      <protection locked="0"/>
    </xf>
    <xf numFmtId="37" fontId="42" fillId="0" borderId="0" xfId="0" applyFont="1" applyFill="1" applyBorder="1" applyAlignment="1" applyProtection="1">
      <alignment horizontal="center"/>
      <protection locked="0"/>
    </xf>
    <xf numFmtId="37" fontId="35" fillId="0" borderId="0" xfId="0" applyFont="1" applyFill="1" applyBorder="1"/>
    <xf numFmtId="37" fontId="35" fillId="0" borderId="0" xfId="0" applyFont="1" applyFill="1" applyBorder="1" applyAlignment="1" applyProtection="1">
      <alignment horizontal="center"/>
      <protection locked="0"/>
    </xf>
    <xf numFmtId="39" fontId="36" fillId="0" borderId="4" xfId="0" applyNumberFormat="1" applyFont="1" applyBorder="1" applyAlignment="1">
      <alignment horizontal="right"/>
    </xf>
    <xf numFmtId="37" fontId="36" fillId="0" borderId="4" xfId="0" applyFont="1" applyBorder="1" applyAlignment="1">
      <alignment horizontal="center"/>
    </xf>
    <xf numFmtId="37" fontId="41" fillId="11" borderId="0" xfId="0" applyFont="1" applyFill="1" applyProtection="1">
      <protection locked="0"/>
    </xf>
    <xf numFmtId="185" fontId="73" fillId="0" borderId="0" xfId="23" applyFont="1" applyFill="1" applyBorder="1" applyAlignment="1">
      <alignment horizontal="right" vertical="top"/>
    </xf>
    <xf numFmtId="185" fontId="58" fillId="0" borderId="0" xfId="23" applyFont="1" applyFill="1" applyBorder="1" applyAlignment="1">
      <alignment horizontal="center" vertical="top"/>
    </xf>
    <xf numFmtId="185" fontId="28" fillId="0" borderId="0" xfId="20"/>
    <xf numFmtId="185" fontId="38" fillId="0" borderId="0" xfId="20" applyFont="1"/>
    <xf numFmtId="185" fontId="38" fillId="0" borderId="0" xfId="20" applyNumberFormat="1" applyFont="1" applyAlignment="1">
      <alignment horizontal="right"/>
    </xf>
    <xf numFmtId="39" fontId="38" fillId="0" borderId="0" xfId="20" applyNumberFormat="1" applyFont="1"/>
    <xf numFmtId="186" fontId="38" fillId="0" borderId="0" xfId="12" applyNumberFormat="1" applyFont="1"/>
    <xf numFmtId="37" fontId="38" fillId="0" borderId="0" xfId="20" applyNumberFormat="1" applyFont="1"/>
    <xf numFmtId="39" fontId="38" fillId="0" borderId="4" xfId="20" applyNumberFormat="1" applyFont="1" applyBorder="1"/>
    <xf numFmtId="39" fontId="38" fillId="0" borderId="0" xfId="20" applyNumberFormat="1" applyFont="1" applyFill="1"/>
    <xf numFmtId="179" fontId="35" fillId="0" borderId="0" xfId="35" applyNumberFormat="1" applyFont="1" applyFill="1" applyAlignment="1">
      <alignment horizontal="center"/>
    </xf>
    <xf numFmtId="185" fontId="31" fillId="0" borderId="0" xfId="21" applyFont="1" applyAlignment="1"/>
    <xf numFmtId="185" fontId="31" fillId="0" borderId="0" xfId="21" applyFont="1"/>
    <xf numFmtId="185" fontId="31" fillId="0" borderId="0" xfId="21" applyFont="1" applyAlignment="1">
      <alignment horizontal="centerContinuous"/>
    </xf>
    <xf numFmtId="187" fontId="31" fillId="0" borderId="0" xfId="21" quotePrefix="1" applyNumberFormat="1" applyFont="1" applyAlignment="1"/>
    <xf numFmtId="185" fontId="31" fillId="0" borderId="0" xfId="21" quotePrefix="1" applyFont="1" applyAlignment="1">
      <alignment horizontal="left"/>
    </xf>
    <xf numFmtId="43" fontId="31" fillId="0" borderId="0" xfId="21" applyNumberFormat="1" applyFont="1"/>
    <xf numFmtId="185" fontId="31" fillId="0" borderId="0" xfId="21" applyFont="1" applyBorder="1"/>
    <xf numFmtId="185" fontId="31" fillId="0" borderId="0" xfId="21" applyFont="1" applyBorder="1" applyAlignment="1">
      <alignment horizontal="left"/>
    </xf>
    <xf numFmtId="43" fontId="31" fillId="0" borderId="0" xfId="21" applyNumberFormat="1" applyFont="1" applyBorder="1"/>
    <xf numFmtId="43" fontId="31" fillId="0" borderId="4" xfId="21" applyNumberFormat="1" applyFont="1" applyBorder="1"/>
    <xf numFmtId="39" fontId="35" fillId="0" borderId="0" xfId="0" applyNumberFormat="1" applyFont="1" applyFill="1"/>
    <xf numFmtId="37" fontId="41" fillId="12" borderId="0" xfId="0" applyFont="1" applyFill="1" applyProtection="1">
      <protection locked="0"/>
    </xf>
    <xf numFmtId="37" fontId="74" fillId="0" borderId="0" xfId="0" applyFont="1" applyFill="1" applyProtection="1"/>
    <xf numFmtId="37" fontId="74" fillId="0" borderId="0" xfId="0" applyFont="1" applyProtection="1">
      <protection locked="0"/>
    </xf>
    <xf numFmtId="37" fontId="35" fillId="0" borderId="3" xfId="0" applyFont="1" applyFill="1" applyBorder="1" applyAlignment="1" applyProtection="1">
      <alignment horizontal="center"/>
      <protection locked="0"/>
    </xf>
    <xf numFmtId="37" fontId="35" fillId="0" borderId="0" xfId="0" applyFont="1" applyFill="1" applyAlignment="1" applyProtection="1">
      <alignment horizontal="center"/>
      <protection locked="0"/>
    </xf>
    <xf numFmtId="37" fontId="41" fillId="12" borderId="0" xfId="0" applyFont="1" applyFill="1" applyAlignment="1" applyProtection="1">
      <alignment horizontal="center"/>
      <protection locked="0"/>
    </xf>
    <xf numFmtId="37" fontId="35" fillId="0" borderId="3" xfId="0" applyFont="1" applyFill="1" applyBorder="1" applyAlignment="1">
      <alignment horizontal="center"/>
    </xf>
    <xf numFmtId="37" fontId="42" fillId="12" borderId="0" xfId="0" applyFont="1" applyFill="1"/>
    <xf numFmtId="43" fontId="35" fillId="0" borderId="0" xfId="6" applyFont="1" applyFill="1" applyProtection="1">
      <protection locked="0"/>
    </xf>
    <xf numFmtId="37" fontId="75" fillId="0" borderId="0" xfId="0" applyFont="1" applyFill="1" applyAlignment="1" applyProtection="1">
      <alignment horizontal="center"/>
      <protection locked="0"/>
    </xf>
    <xf numFmtId="37" fontId="75" fillId="12" borderId="0" xfId="0" applyFont="1" applyFill="1"/>
    <xf numFmtId="37" fontId="75" fillId="12" borderId="0" xfId="0" applyFont="1" applyFill="1" applyAlignment="1" applyProtection="1">
      <alignment horizontal="center"/>
      <protection locked="0"/>
    </xf>
    <xf numFmtId="37" fontId="41" fillId="12" borderId="0" xfId="0" applyFont="1" applyFill="1" applyAlignment="1">
      <alignment horizontal="center"/>
    </xf>
    <xf numFmtId="37" fontId="75" fillId="12" borderId="0" xfId="0" applyFont="1" applyFill="1" applyProtection="1">
      <protection locked="0"/>
    </xf>
    <xf numFmtId="37" fontId="75" fillId="12" borderId="0" xfId="0" applyFont="1" applyFill="1" applyAlignment="1">
      <alignment horizontal="center"/>
    </xf>
    <xf numFmtId="37" fontId="76" fillId="12" borderId="0" xfId="0" applyFont="1" applyFill="1"/>
    <xf numFmtId="37" fontId="36" fillId="0" borderId="0" xfId="0" applyFont="1" applyFill="1" applyAlignment="1" applyProtection="1">
      <alignment horizontal="center"/>
      <protection locked="0"/>
    </xf>
    <xf numFmtId="39" fontId="36" fillId="0" borderId="3" xfId="0" applyNumberFormat="1" applyFont="1" applyFill="1" applyBorder="1" applyAlignment="1">
      <alignment horizontal="center"/>
    </xf>
    <xf numFmtId="39" fontId="35" fillId="0" borderId="0" xfId="0" applyNumberFormat="1" applyFont="1" applyFill="1" applyAlignment="1">
      <alignment horizontal="center"/>
    </xf>
    <xf numFmtId="37" fontId="41" fillId="12" borderId="0" xfId="0" applyFont="1" applyFill="1"/>
    <xf numFmtId="185" fontId="38" fillId="0" borderId="0" xfId="20" applyFont="1" applyFill="1"/>
    <xf numFmtId="185" fontId="38" fillId="0" borderId="0" xfId="20" applyNumberFormat="1" applyFont="1" applyFill="1" applyAlignment="1">
      <alignment horizontal="right"/>
    </xf>
    <xf numFmtId="37" fontId="38" fillId="0" borderId="0" xfId="20" applyNumberFormat="1" applyFont="1" applyFill="1"/>
    <xf numFmtId="185" fontId="38" fillId="0" borderId="0" xfId="20" quotePrefix="1" applyFont="1" applyFill="1" applyAlignment="1">
      <alignment horizontal="left"/>
    </xf>
    <xf numFmtId="38" fontId="38" fillId="0" borderId="0" xfId="22" applyNumberFormat="1" applyFont="1" applyFill="1" applyBorder="1"/>
    <xf numFmtId="38" fontId="38" fillId="0" borderId="4" xfId="22" applyNumberFormat="1" applyFont="1" applyFill="1" applyBorder="1"/>
    <xf numFmtId="185" fontId="28" fillId="0" borderId="0" xfId="25" applyFont="1" applyFill="1"/>
    <xf numFmtId="43" fontId="58" fillId="0" borderId="0" xfId="8" applyFont="1" applyFill="1" applyBorder="1" applyAlignment="1">
      <alignment horizontal="right" vertical="top"/>
    </xf>
    <xf numFmtId="43" fontId="64" fillId="0" borderId="0" xfId="8" applyFont="1" applyFill="1" applyBorder="1" applyAlignment="1">
      <alignment horizontal="right" vertical="top"/>
    </xf>
    <xf numFmtId="43" fontId="36" fillId="0" borderId="4" xfId="6" applyFont="1" applyBorder="1"/>
    <xf numFmtId="43" fontId="58" fillId="0" borderId="0" xfId="6" applyFont="1" applyFill="1" applyBorder="1" applyAlignment="1">
      <alignment horizontal="center" vertical="top"/>
    </xf>
    <xf numFmtId="172" fontId="47" fillId="0" borderId="0" xfId="0" applyNumberFormat="1" applyFont="1" applyFill="1"/>
    <xf numFmtId="172" fontId="35" fillId="0" borderId="0" xfId="0" applyNumberFormat="1" applyFont="1" applyFill="1"/>
    <xf numFmtId="37" fontId="41" fillId="12" borderId="0" xfId="0" applyFont="1" applyFill="1" applyProtection="1"/>
    <xf numFmtId="37" fontId="41" fillId="11" borderId="0" xfId="0" quotePrefix="1" applyFont="1" applyFill="1" applyAlignment="1" applyProtection="1">
      <alignment horizontal="left"/>
      <protection locked="0"/>
    </xf>
    <xf numFmtId="0" fontId="28" fillId="0" borderId="0" xfId="0" applyNumberFormat="1" applyFont="1" applyAlignment="1">
      <alignment horizontal="center"/>
    </xf>
    <xf numFmtId="0" fontId="53" fillId="0" borderId="0" xfId="0" applyNumberFormat="1" applyFont="1" applyAlignment="1">
      <alignment horizontal="right"/>
    </xf>
    <xf numFmtId="0" fontId="52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37" fontId="27" fillId="0" borderId="18" xfId="0" quotePrefix="1" applyFont="1" applyBorder="1" applyAlignment="1">
      <alignment horizontal="left"/>
    </xf>
    <xf numFmtId="185" fontId="0" fillId="0" borderId="0" xfId="0" applyNumberFormat="1" applyBorder="1"/>
    <xf numFmtId="44" fontId="0" fillId="0" borderId="0" xfId="11" applyFont="1" applyBorder="1"/>
    <xf numFmtId="0" fontId="67" fillId="0" borderId="0" xfId="0" applyNumberFormat="1" applyFont="1" applyFill="1" applyAlignment="1">
      <alignment horizontal="center"/>
    </xf>
    <xf numFmtId="0" fontId="67" fillId="0" borderId="0" xfId="0" applyNumberFormat="1" applyFont="1" applyFill="1" applyBorder="1" applyAlignment="1">
      <alignment horizontal="center"/>
    </xf>
    <xf numFmtId="2" fontId="35" fillId="0" borderId="0" xfId="6" applyNumberFormat="1" applyFont="1" applyFill="1"/>
    <xf numFmtId="185" fontId="27" fillId="0" borderId="0" xfId="0" applyNumberFormat="1" applyFont="1" applyFill="1" applyAlignment="1">
      <alignment horizontal="left"/>
    </xf>
    <xf numFmtId="0" fontId="32" fillId="8" borderId="0" xfId="27" applyNumberFormat="1" applyFont="1" applyFill="1" applyProtection="1">
      <protection locked="0"/>
    </xf>
    <xf numFmtId="0" fontId="32" fillId="0" borderId="0" xfId="27" applyNumberFormat="1" applyFont="1"/>
    <xf numFmtId="0" fontId="32" fillId="0" borderId="0" xfId="27" applyNumberFormat="1" applyFont="1" applyProtection="1"/>
    <xf numFmtId="0" fontId="29" fillId="0" borderId="0" xfId="27" applyNumberFormat="1" applyFont="1"/>
    <xf numFmtId="178" fontId="32" fillId="0" borderId="0" xfId="6" applyNumberFormat="1" applyFont="1" applyProtection="1"/>
    <xf numFmtId="43" fontId="59" fillId="0" borderId="0" xfId="6" applyFont="1" applyFill="1" applyBorder="1" applyAlignment="1">
      <alignment horizontal="center" vertical="top"/>
    </xf>
    <xf numFmtId="0" fontId="38" fillId="0" borderId="0" xfId="6" applyNumberFormat="1" applyFont="1"/>
    <xf numFmtId="0" fontId="38" fillId="0" borderId="0" xfId="6" applyNumberFormat="1" applyFont="1" applyFill="1"/>
    <xf numFmtId="186" fontId="27" fillId="0" borderId="0" xfId="12" applyNumberFormat="1" applyFont="1" applyFill="1" applyBorder="1"/>
    <xf numFmtId="44" fontId="27" fillId="0" borderId="0" xfId="11" applyFont="1" applyBorder="1"/>
    <xf numFmtId="44" fontId="53" fillId="0" borderId="0" xfId="11" applyFont="1" applyBorder="1"/>
    <xf numFmtId="44" fontId="52" fillId="0" borderId="0" xfId="11" applyFont="1" applyBorder="1" applyAlignment="1">
      <alignment horizontal="center"/>
    </xf>
    <xf numFmtId="185" fontId="39" fillId="0" borderId="0" xfId="26" applyFont="1" applyFill="1" applyBorder="1"/>
    <xf numFmtId="0" fontId="53" fillId="0" borderId="0" xfId="52" applyFont="1" applyFill="1"/>
    <xf numFmtId="37" fontId="35" fillId="14" borderId="0" xfId="0" applyFont="1" applyFill="1"/>
    <xf numFmtId="4" fontId="77" fillId="0" borderId="4" xfId="52" applyNumberFormat="1" applyFont="1" applyFill="1" applyBorder="1" applyAlignment="1">
      <alignment horizontal="center"/>
    </xf>
    <xf numFmtId="4" fontId="77" fillId="0" borderId="0" xfId="52" applyNumberFormat="1" applyFont="1" applyFill="1" applyAlignment="1">
      <alignment horizontal="center"/>
    </xf>
    <xf numFmtId="10" fontId="31" fillId="0" borderId="0" xfId="35" quotePrefix="1" applyNumberFormat="1" applyFont="1" applyBorder="1" applyAlignment="1">
      <alignment horizontal="left"/>
    </xf>
    <xf numFmtId="0" fontId="53" fillId="0" borderId="0" xfId="0" applyNumberFormat="1" applyFont="1" applyFill="1"/>
    <xf numFmtId="0" fontId="27" fillId="0" borderId="0" xfId="0" applyNumberFormat="1" applyFont="1" applyFill="1"/>
    <xf numFmtId="43" fontId="53" fillId="0" borderId="0" xfId="229" applyFont="1" applyFill="1" applyAlignment="1">
      <alignment horizontal="center"/>
    </xf>
    <xf numFmtId="43" fontId="53" fillId="0" borderId="4" xfId="229" applyFont="1" applyFill="1" applyBorder="1" applyAlignment="1">
      <alignment horizontal="center"/>
    </xf>
    <xf numFmtId="43" fontId="53" fillId="0" borderId="0" xfId="229" applyFont="1" applyFill="1" applyBorder="1" applyAlignment="1">
      <alignment horizontal="center"/>
    </xf>
    <xf numFmtId="185" fontId="32" fillId="0" borderId="0" xfId="0" applyNumberFormat="1" applyFont="1" applyFill="1" applyProtection="1">
      <protection locked="0"/>
    </xf>
    <xf numFmtId="43" fontId="27" fillId="0" borderId="0" xfId="229" applyFont="1" applyFill="1"/>
    <xf numFmtId="185" fontId="27" fillId="0" borderId="0" xfId="0" applyNumberFormat="1" applyFont="1" applyFill="1"/>
    <xf numFmtId="39" fontId="27" fillId="0" borderId="0" xfId="54" applyNumberFormat="1" applyFont="1" applyFill="1"/>
    <xf numFmtId="43" fontId="27" fillId="0" borderId="0" xfId="0" applyNumberFormat="1" applyFont="1" applyFill="1"/>
    <xf numFmtId="39" fontId="27" fillId="0" borderId="0" xfId="54" applyNumberFormat="1" applyFont="1" applyFill="1" applyBorder="1"/>
    <xf numFmtId="43" fontId="27" fillId="0" borderId="0" xfId="229" applyFont="1" applyFill="1" applyBorder="1"/>
    <xf numFmtId="0" fontId="27" fillId="0" borderId="0" xfId="0" applyNumberFormat="1" applyFont="1" applyFill="1" applyBorder="1"/>
    <xf numFmtId="43" fontId="27" fillId="0" borderId="0" xfId="0" applyNumberFormat="1" applyFont="1" applyFill="1" applyBorder="1"/>
    <xf numFmtId="43" fontId="27" fillId="0" borderId="25" xfId="229" applyFont="1" applyFill="1" applyBorder="1"/>
    <xf numFmtId="43" fontId="27" fillId="0" borderId="4" xfId="229" applyFont="1" applyFill="1" applyBorder="1"/>
    <xf numFmtId="43" fontId="27" fillId="0" borderId="4" xfId="0" applyNumberFormat="1" applyFont="1" applyFill="1" applyBorder="1"/>
    <xf numFmtId="43" fontId="27" fillId="0" borderId="7" xfId="229" applyFont="1" applyFill="1" applyBorder="1"/>
    <xf numFmtId="0" fontId="32" fillId="0" borderId="0" xfId="52" applyFont="1" applyFill="1" applyProtection="1">
      <protection locked="0"/>
    </xf>
    <xf numFmtId="0" fontId="27" fillId="0" borderId="0" xfId="52" applyFont="1" applyFill="1"/>
    <xf numFmtId="44" fontId="27" fillId="0" borderId="0" xfId="54" applyFont="1" applyBorder="1"/>
    <xf numFmtId="37" fontId="35" fillId="0" borderId="0" xfId="0" quotePrefix="1" applyFont="1" applyFill="1"/>
    <xf numFmtId="37" fontId="42" fillId="0" borderId="0" xfId="0" applyFont="1" applyFill="1" applyBorder="1"/>
    <xf numFmtId="37" fontId="42" fillId="0" borderId="0" xfId="0" quotePrefix="1" applyFont="1" applyFill="1" applyBorder="1" applyAlignment="1">
      <alignment horizontal="left"/>
    </xf>
    <xf numFmtId="37" fontId="75" fillId="0" borderId="0" xfId="0" applyFont="1" applyFill="1" applyBorder="1"/>
    <xf numFmtId="185" fontId="28" fillId="0" borderId="0" xfId="24" applyFont="1" applyFill="1" applyAlignment="1"/>
    <xf numFmtId="178" fontId="38" fillId="0" borderId="0" xfId="6" applyNumberFormat="1" applyFont="1" applyFill="1"/>
    <xf numFmtId="178" fontId="38" fillId="0" borderId="0" xfId="6" applyNumberFormat="1" applyFont="1" applyFill="1" applyBorder="1"/>
    <xf numFmtId="178" fontId="38" fillId="0" borderId="4" xfId="6" applyNumberFormat="1" applyFont="1" applyFill="1" applyBorder="1"/>
    <xf numFmtId="0" fontId="27" fillId="0" borderId="0" xfId="0" quotePrefix="1" applyNumberFormat="1" applyFont="1" applyFill="1" applyAlignment="1">
      <alignment horizontal="left"/>
    </xf>
    <xf numFmtId="44" fontId="27" fillId="0" borderId="0" xfId="54" applyFont="1" applyFill="1"/>
    <xf numFmtId="44" fontId="27" fillId="0" borderId="0" xfId="54" applyFont="1" applyFill="1" applyBorder="1"/>
    <xf numFmtId="185" fontId="69" fillId="0" borderId="0" xfId="0" quotePrefix="1" applyNumberFormat="1" applyFont="1" applyBorder="1"/>
    <xf numFmtId="37" fontId="75" fillId="0" borderId="0" xfId="0" applyFont="1" applyFill="1" applyAlignment="1">
      <alignment horizontal="center"/>
    </xf>
    <xf numFmtId="0" fontId="77" fillId="0" borderId="0" xfId="3115" applyFont="1" applyFill="1"/>
    <xf numFmtId="0" fontId="77" fillId="0" borderId="4" xfId="3115" applyNumberFormat="1" applyFont="1" applyFill="1" applyBorder="1" applyAlignment="1" applyProtection="1">
      <alignment horizontal="center" wrapText="1"/>
    </xf>
    <xf numFmtId="4" fontId="77" fillId="0" borderId="4" xfId="3115" applyNumberFormat="1" applyFont="1" applyFill="1" applyBorder="1" applyAlignment="1">
      <alignment horizontal="center"/>
    </xf>
    <xf numFmtId="4" fontId="77" fillId="0" borderId="0" xfId="3115" applyNumberFormat="1" applyFont="1" applyFill="1" applyAlignment="1">
      <alignment horizontal="center"/>
    </xf>
    <xf numFmtId="4" fontId="78" fillId="0" borderId="0" xfId="3115" applyNumberFormat="1" applyFont="1" applyFill="1" applyAlignment="1">
      <alignment horizontal="center"/>
    </xf>
    <xf numFmtId="39" fontId="78" fillId="0" borderId="0" xfId="3115" applyNumberFormat="1" applyFont="1" applyFill="1" applyAlignment="1">
      <alignment horizontal="right"/>
    </xf>
    <xf numFmtId="0" fontId="77" fillId="0" borderId="0" xfId="3115" applyFont="1" applyFill="1" applyAlignment="1">
      <alignment horizontal="center" wrapText="1"/>
    </xf>
    <xf numFmtId="0" fontId="77" fillId="0" borderId="0" xfId="3115" applyFont="1" applyFill="1" applyAlignment="1">
      <alignment horizontal="left"/>
    </xf>
    <xf numFmtId="0" fontId="77" fillId="0" borderId="0" xfId="3115" applyFont="1" applyFill="1" applyAlignment="1">
      <alignment horizontal="right"/>
    </xf>
    <xf numFmtId="174" fontId="35" fillId="0" borderId="0" xfId="0" applyNumberFormat="1" applyFont="1" applyFill="1"/>
    <xf numFmtId="170" fontId="75" fillId="12" borderId="0" xfId="35" applyNumberFormat="1" applyFont="1" applyFill="1" applyProtection="1">
      <protection locked="0"/>
    </xf>
    <xf numFmtId="8" fontId="128" fillId="71" borderId="0" xfId="0" applyNumberFormat="1" applyFont="1" applyFill="1" applyBorder="1" applyAlignment="1">
      <alignment horizontal="right" vertical="top" wrapText="1"/>
    </xf>
    <xf numFmtId="37" fontId="35" fillId="11" borderId="0" xfId="0" applyFont="1" applyFill="1" applyAlignment="1" applyProtection="1">
      <alignment horizontal="center"/>
    </xf>
    <xf numFmtId="37" fontId="41" fillId="11" borderId="0" xfId="0" applyFont="1" applyFill="1" applyAlignment="1" applyProtection="1">
      <alignment horizontal="left"/>
      <protection locked="0"/>
    </xf>
    <xf numFmtId="44" fontId="53" fillId="0" borderId="7" xfId="54" applyFont="1" applyBorder="1"/>
    <xf numFmtId="37" fontId="75" fillId="0" borderId="0" xfId="0" applyFont="1" applyFill="1" applyProtection="1">
      <protection locked="0"/>
    </xf>
    <xf numFmtId="37" fontId="35" fillId="0" borderId="0" xfId="0" applyFont="1" applyFill="1" applyAlignment="1" applyProtection="1">
      <alignment horizontal="right"/>
    </xf>
    <xf numFmtId="4" fontId="77" fillId="0" borderId="0" xfId="3115" applyNumberFormat="1" applyFont="1" applyFill="1" applyAlignment="1">
      <alignment horizontal="center" wrapText="1"/>
    </xf>
    <xf numFmtId="0" fontId="129" fillId="0" borderId="3" xfId="161" applyFont="1" applyFill="1" applyBorder="1"/>
    <xf numFmtId="43" fontId="130" fillId="0" borderId="3" xfId="229" applyFont="1" applyFill="1" applyBorder="1" applyAlignment="1">
      <alignment horizontal="right"/>
    </xf>
    <xf numFmtId="43" fontId="33" fillId="0" borderId="0" xfId="6" applyFont="1" applyFill="1"/>
    <xf numFmtId="43" fontId="33" fillId="0" borderId="4" xfId="6" applyFont="1" applyFill="1" applyBorder="1"/>
    <xf numFmtId="3" fontId="53" fillId="0" borderId="0" xfId="0" applyNumberFormat="1" applyFont="1" applyFill="1" applyAlignment="1">
      <alignment horizontal="centerContinuous"/>
    </xf>
    <xf numFmtId="3" fontId="27" fillId="0" borderId="0" xfId="0" applyNumberFormat="1" applyFont="1" applyFill="1" applyAlignment="1"/>
    <xf numFmtId="3" fontId="53" fillId="0" borderId="7" xfId="0" applyNumberFormat="1" applyFont="1" applyFill="1" applyBorder="1" applyAlignment="1"/>
    <xf numFmtId="3" fontId="0" fillId="0" borderId="0" xfId="0" applyNumberFormat="1" applyFill="1" applyAlignment="1"/>
    <xf numFmtId="185" fontId="27" fillId="0" borderId="0" xfId="0" applyNumberFormat="1" applyFont="1" applyFill="1" applyAlignment="1">
      <alignment horizontal="center"/>
    </xf>
    <xf numFmtId="37" fontId="53" fillId="0" borderId="0" xfId="0" applyFont="1" applyFill="1"/>
    <xf numFmtId="38" fontId="40" fillId="0" borderId="0" xfId="8257" applyNumberFormat="1" applyFont="1" applyFill="1"/>
    <xf numFmtId="37" fontId="38" fillId="0" borderId="0" xfId="8257" applyNumberFormat="1" applyFont="1" applyFill="1"/>
    <xf numFmtId="38" fontId="38" fillId="0" borderId="0" xfId="8257" applyNumberFormat="1" applyFont="1" applyFill="1" applyBorder="1"/>
    <xf numFmtId="37" fontId="29" fillId="0" borderId="0" xfId="0" applyFont="1" applyBorder="1"/>
    <xf numFmtId="37" fontId="35" fillId="0" borderId="0" xfId="0" applyNumberFormat="1" applyFont="1" applyFill="1" applyAlignment="1">
      <alignment horizontal="center"/>
    </xf>
    <xf numFmtId="0" fontId="35" fillId="0" borderId="0" xfId="0" applyNumberFormat="1" applyFont="1"/>
    <xf numFmtId="37" fontId="38" fillId="0" borderId="0" xfId="8257" applyNumberFormat="1" applyFont="1" applyFill="1" applyAlignment="1">
      <alignment horizontal="right"/>
    </xf>
    <xf numFmtId="185" fontId="38" fillId="0" borderId="0" xfId="8257" quotePrefix="1" applyNumberFormat="1" applyFont="1" applyFill="1" applyAlignment="1">
      <alignment horizontal="right"/>
    </xf>
    <xf numFmtId="185" fontId="27" fillId="0" borderId="0" xfId="229" applyNumberFormat="1" applyFont="1" applyFill="1"/>
    <xf numFmtId="165" fontId="35" fillId="0" borderId="0" xfId="0" applyNumberFormat="1" applyFont="1" applyAlignment="1" applyProtection="1">
      <alignment horizontal="right"/>
    </xf>
    <xf numFmtId="166" fontId="35" fillId="0" borderId="0" xfId="0" applyNumberFormat="1" applyFont="1" applyAlignment="1" applyProtection="1">
      <alignment horizontal="right"/>
    </xf>
    <xf numFmtId="0" fontId="77" fillId="0" borderId="0" xfId="3115" quotePrefix="1" applyFont="1" applyFill="1" applyAlignment="1">
      <alignment horizontal="right" vertical="center" wrapText="1"/>
    </xf>
    <xf numFmtId="49" fontId="31" fillId="0" borderId="0" xfId="0" applyNumberFormat="1" applyFont="1" applyAlignment="1">
      <alignment horizontal="right"/>
    </xf>
    <xf numFmtId="49" fontId="31" fillId="0" borderId="0" xfId="0" applyNumberFormat="1" applyFont="1" applyFill="1" applyAlignment="1">
      <alignment horizontal="right"/>
    </xf>
    <xf numFmtId="0" fontId="58" fillId="0" borderId="0" xfId="0" applyNumberFormat="1" applyFont="1" applyFill="1" applyBorder="1" applyAlignment="1">
      <alignment horizontal="right" vertical="top"/>
    </xf>
    <xf numFmtId="185" fontId="0" fillId="0" borderId="0" xfId="0" applyNumberFormat="1" applyFill="1" applyBorder="1" applyAlignment="1">
      <alignment horizontal="right"/>
    </xf>
    <xf numFmtId="44" fontId="27" fillId="0" borderId="0" xfId="6452" applyFont="1" applyBorder="1" applyAlignment="1">
      <alignment horizontal="right"/>
    </xf>
    <xf numFmtId="37" fontId="27" fillId="0" borderId="17" xfId="0" applyFont="1" applyBorder="1"/>
    <xf numFmtId="44" fontId="27" fillId="0" borderId="4" xfId="6452" applyFont="1" applyBorder="1" applyAlignment="1">
      <alignment horizontal="right"/>
    </xf>
    <xf numFmtId="39" fontId="27" fillId="0" borderId="0" xfId="0" applyNumberFormat="1" applyFont="1" applyBorder="1"/>
    <xf numFmtId="39" fontId="27" fillId="0" borderId="17" xfId="0" applyNumberFormat="1" applyFont="1" applyBorder="1"/>
    <xf numFmtId="0" fontId="17" fillId="0" borderId="0" xfId="8258" applyFont="1"/>
    <xf numFmtId="39" fontId="35" fillId="0" borderId="0" xfId="0" applyNumberFormat="1" applyFont="1" applyFill="1" applyProtection="1">
      <protection locked="0"/>
    </xf>
    <xf numFmtId="37" fontId="41" fillId="12" borderId="0" xfId="0" applyNumberFormat="1" applyFont="1" applyFill="1" applyProtection="1">
      <protection locked="0"/>
    </xf>
    <xf numFmtId="0" fontId="16" fillId="0" borderId="0" xfId="8260"/>
    <xf numFmtId="0" fontId="16" fillId="0" borderId="0" xfId="8260" applyAlignment="1">
      <alignment horizontal="left"/>
    </xf>
    <xf numFmtId="0" fontId="16" fillId="0" borderId="0" xfId="8260" applyAlignment="1">
      <alignment horizontal="left" vertical="top"/>
    </xf>
    <xf numFmtId="43" fontId="16" fillId="0" borderId="0" xfId="8260" applyNumberFormat="1"/>
    <xf numFmtId="39" fontId="74" fillId="0" borderId="0" xfId="0" applyNumberFormat="1" applyFont="1" applyFill="1" applyAlignment="1">
      <alignment horizontal="center"/>
    </xf>
    <xf numFmtId="44" fontId="29" fillId="0" borderId="12" xfId="11" applyNumberFormat="1" applyFont="1" applyBorder="1" applyAlignment="1">
      <alignment horizontal="right"/>
    </xf>
    <xf numFmtId="39" fontId="35" fillId="11" borderId="0" xfId="0" applyNumberFormat="1" applyFont="1" applyFill="1" applyAlignment="1">
      <alignment horizontal="center"/>
    </xf>
    <xf numFmtId="37" fontId="35" fillId="11" borderId="0" xfId="0" quotePrefix="1" applyFont="1" applyFill="1"/>
    <xf numFmtId="0" fontId="35" fillId="0" borderId="0" xfId="0" applyNumberFormat="1" applyFont="1" applyFill="1"/>
    <xf numFmtId="37" fontId="35" fillId="0" borderId="0" xfId="0" applyNumberFormat="1" applyFont="1" applyFill="1"/>
    <xf numFmtId="185" fontId="34" fillId="0" borderId="0" xfId="28" applyFont="1" applyFill="1"/>
    <xf numFmtId="185" fontId="31" fillId="0" borderId="0" xfId="28" quotePrefix="1" applyFont="1" applyFill="1" applyAlignment="1">
      <alignment horizontal="left"/>
    </xf>
    <xf numFmtId="14" fontId="31" fillId="0" borderId="0" xfId="6" applyNumberFormat="1" applyFont="1" applyFill="1" applyAlignment="1">
      <alignment horizontal="center"/>
    </xf>
    <xf numFmtId="43" fontId="31" fillId="0" borderId="0" xfId="6" quotePrefix="1" applyFont="1" applyFill="1" applyAlignment="1">
      <alignment horizontal="left"/>
    </xf>
    <xf numFmtId="179" fontId="31" fillId="0" borderId="0" xfId="35" applyNumberFormat="1" applyFont="1" applyFill="1"/>
    <xf numFmtId="185" fontId="33" fillId="0" borderId="0" xfId="28" applyFont="1" applyFill="1"/>
    <xf numFmtId="185" fontId="31" fillId="0" borderId="0" xfId="28" applyFill="1" applyAlignment="1">
      <alignment horizontal="right"/>
    </xf>
    <xf numFmtId="185" fontId="31" fillId="0" borderId="0" xfId="28" quotePrefix="1" applyFill="1" applyAlignment="1">
      <alignment horizontal="left"/>
    </xf>
    <xf numFmtId="185" fontId="31" fillId="0" borderId="0" xfId="28" applyFont="1" applyFill="1"/>
    <xf numFmtId="185" fontId="31" fillId="0" borderId="0" xfId="28" applyFill="1" applyAlignment="1">
      <alignment horizontal="left"/>
    </xf>
    <xf numFmtId="185" fontId="31" fillId="0" borderId="0" xfId="28" quotePrefix="1" applyFill="1" applyAlignment="1">
      <alignment horizontal="right"/>
    </xf>
    <xf numFmtId="185" fontId="31" fillId="0" borderId="0" xfId="28" quotePrefix="1" applyFont="1" applyFill="1" applyAlignment="1">
      <alignment horizontal="right"/>
    </xf>
    <xf numFmtId="3" fontId="71" fillId="0" borderId="0" xfId="0" applyNumberFormat="1" applyFont="1" applyFill="1"/>
    <xf numFmtId="185" fontId="28" fillId="0" borderId="0" xfId="0" applyNumberFormat="1" applyFont="1" applyFill="1"/>
    <xf numFmtId="3" fontId="53" fillId="0" borderId="0" xfId="0" applyNumberFormat="1" applyFont="1" applyFill="1"/>
    <xf numFmtId="3" fontId="53" fillId="0" borderId="0" xfId="0" applyNumberFormat="1" applyFont="1" applyFill="1" applyBorder="1"/>
    <xf numFmtId="185" fontId="53" fillId="0" borderId="0" xfId="24" applyFont="1" applyFill="1" applyAlignment="1"/>
    <xf numFmtId="3" fontId="28" fillId="0" borderId="0" xfId="0" applyNumberFormat="1" applyFont="1" applyFill="1" applyBorder="1"/>
    <xf numFmtId="3" fontId="28" fillId="0" borderId="7" xfId="0" applyNumberFormat="1" applyFont="1" applyFill="1" applyBorder="1"/>
    <xf numFmtId="3" fontId="27" fillId="0" borderId="0" xfId="0" quotePrefix="1" applyNumberFormat="1" applyFont="1" applyFill="1" applyAlignment="1">
      <alignment horizontal="left"/>
    </xf>
    <xf numFmtId="185" fontId="27" fillId="0" borderId="0" xfId="24" applyFont="1" applyFill="1" applyAlignment="1"/>
    <xf numFmtId="37" fontId="72" fillId="0" borderId="0" xfId="0" applyFont="1" applyFill="1"/>
    <xf numFmtId="37" fontId="143" fillId="0" borderId="0" xfId="0" applyFont="1" applyFill="1"/>
    <xf numFmtId="44" fontId="143" fillId="0" borderId="0" xfId="11" applyFont="1" applyFill="1"/>
    <xf numFmtId="175" fontId="72" fillId="0" borderId="0" xfId="0" applyNumberFormat="1" applyFont="1" applyFill="1"/>
    <xf numFmtId="7" fontId="143" fillId="0" borderId="0" xfId="0" applyNumberFormat="1" applyFont="1" applyFill="1"/>
    <xf numFmtId="7" fontId="72" fillId="0" borderId="0" xfId="0" applyNumberFormat="1" applyFont="1" applyFill="1"/>
    <xf numFmtId="0" fontId="27" fillId="0" borderId="0" xfId="8262" applyNumberFormat="1" applyFont="1" applyFill="1" applyBorder="1" applyAlignment="1" applyProtection="1"/>
    <xf numFmtId="0" fontId="53" fillId="0" borderId="3" xfId="8262" applyNumberFormat="1" applyFont="1" applyFill="1" applyBorder="1" applyAlignment="1" applyProtection="1">
      <alignment horizontal="center"/>
    </xf>
    <xf numFmtId="0" fontId="53" fillId="0" borderId="3" xfId="8262" applyNumberFormat="1" applyFont="1" applyFill="1" applyBorder="1" applyAlignment="1" applyProtection="1">
      <alignment horizontal="center" wrapText="1"/>
    </xf>
    <xf numFmtId="39" fontId="53" fillId="0" borderId="3" xfId="8262" applyNumberFormat="1" applyFont="1" applyFill="1" applyBorder="1" applyAlignment="1" applyProtection="1">
      <alignment horizontal="center" wrapText="1"/>
    </xf>
    <xf numFmtId="0" fontId="53" fillId="0" borderId="3" xfId="8262" applyFont="1" applyBorder="1" applyAlignment="1">
      <alignment horizontal="center" wrapText="1"/>
    </xf>
    <xf numFmtId="0" fontId="53" fillId="0" borderId="3" xfId="8262" applyFont="1" applyFill="1" applyBorder="1" applyAlignment="1">
      <alignment horizontal="center" wrapText="1"/>
    </xf>
    <xf numFmtId="0" fontId="27" fillId="0" borderId="3" xfId="8262" quotePrefix="1" applyNumberFormat="1" applyFont="1" applyFill="1" applyBorder="1" applyAlignment="1" applyProtection="1">
      <alignment horizontal="left" vertical="center" wrapText="1"/>
    </xf>
    <xf numFmtId="0" fontId="27" fillId="0" borderId="3" xfId="8262" applyNumberFormat="1" applyFont="1" applyFill="1" applyBorder="1" applyAlignment="1" applyProtection="1">
      <alignment horizontal="left" vertical="center" wrapText="1"/>
    </xf>
    <xf numFmtId="43" fontId="27" fillId="0" borderId="3" xfId="8262" applyNumberFormat="1" applyFont="1" applyFill="1" applyBorder="1" applyAlignment="1" applyProtection="1">
      <alignment horizontal="right" vertical="center"/>
    </xf>
    <xf numFmtId="0" fontId="27" fillId="0" borderId="3" xfId="8262" applyFont="1" applyFill="1" applyBorder="1" applyAlignment="1">
      <alignment horizontal="center" vertical="center"/>
    </xf>
    <xf numFmtId="192" fontId="27" fillId="0" borderId="3" xfId="8263" applyFont="1" applyFill="1" applyBorder="1" applyAlignment="1">
      <alignment horizontal="center" vertical="center" wrapText="1"/>
    </xf>
    <xf numFmtId="192" fontId="27" fillId="0" borderId="3" xfId="8263" quotePrefix="1" applyFont="1" applyFill="1" applyBorder="1" applyAlignment="1">
      <alignment horizontal="center" vertical="center" wrapText="1"/>
    </xf>
    <xf numFmtId="0" fontId="27" fillId="0" borderId="0" xfId="8262" applyNumberFormat="1" applyFont="1" applyFill="1" applyBorder="1" applyAlignment="1" applyProtection="1">
      <alignment horizontal="left" vertical="top" wrapText="1"/>
    </xf>
    <xf numFmtId="44" fontId="27" fillId="0" borderId="0" xfId="8262" applyNumberFormat="1" applyFont="1" applyFill="1" applyBorder="1" applyAlignment="1" applyProtection="1">
      <alignment horizontal="left" vertical="top"/>
    </xf>
    <xf numFmtId="0" fontId="27" fillId="0" borderId="0" xfId="8262" applyFont="1" applyFill="1" applyBorder="1" applyAlignment="1">
      <alignment horizontal="center" vertical="top"/>
    </xf>
    <xf numFmtId="0" fontId="27" fillId="0" borderId="0" xfId="8262" applyFont="1" applyBorder="1" applyAlignment="1">
      <alignment horizontal="left" vertical="top"/>
    </xf>
    <xf numFmtId="0" fontId="27" fillId="0" borderId="0" xfId="8262" applyFont="1" applyFill="1" applyBorder="1" applyAlignment="1">
      <alignment horizontal="center" wrapText="1"/>
    </xf>
    <xf numFmtId="0" fontId="53" fillId="0" borderId="0" xfId="8262" applyNumberFormat="1" applyFont="1" applyFill="1" applyBorder="1" applyAlignment="1" applyProtection="1">
      <alignment horizontal="left"/>
    </xf>
    <xf numFmtId="44" fontId="53" fillId="0" borderId="7" xfId="8262" applyNumberFormat="1" applyFont="1" applyFill="1" applyBorder="1" applyAlignment="1" applyProtection="1"/>
    <xf numFmtId="0" fontId="27" fillId="0" borderId="0" xfId="8262" applyFont="1"/>
    <xf numFmtId="0" fontId="38" fillId="0" borderId="0" xfId="8262" applyNumberFormat="1" applyFont="1" applyFill="1" applyBorder="1" applyAlignment="1" applyProtection="1"/>
    <xf numFmtId="39" fontId="38" fillId="0" borderId="0" xfId="8262" applyNumberFormat="1" applyFont="1" applyFill="1" applyBorder="1" applyAlignment="1" applyProtection="1"/>
    <xf numFmtId="44" fontId="38" fillId="0" borderId="0" xfId="8262" applyNumberFormat="1" applyFont="1"/>
    <xf numFmtId="0" fontId="38" fillId="0" borderId="0" xfId="8262" applyFont="1"/>
    <xf numFmtId="0" fontId="27" fillId="0" borderId="0" xfId="8262" applyNumberFormat="1" applyFont="1" applyFill="1" applyBorder="1" applyAlignment="1" applyProtection="1">
      <alignment horizontal="left" vertical="center"/>
    </xf>
    <xf numFmtId="0" fontId="38" fillId="0" borderId="0" xfId="8262" quotePrefix="1" applyNumberFormat="1" applyFont="1" applyFill="1" applyBorder="1" applyAlignment="1" applyProtection="1"/>
    <xf numFmtId="39" fontId="27" fillId="0" borderId="0" xfId="8262" applyNumberFormat="1" applyFont="1" applyFill="1" applyBorder="1" applyAlignment="1" applyProtection="1"/>
    <xf numFmtId="0" fontId="27" fillId="0" borderId="0" xfId="277" applyFill="1"/>
    <xf numFmtId="195" fontId="27" fillId="0" borderId="0" xfId="54" applyNumberFormat="1" applyFont="1" applyFill="1" applyBorder="1"/>
    <xf numFmtId="192" fontId="27" fillId="0" borderId="0" xfId="8264" applyFont="1" applyAlignment="1">
      <alignment vertical="center"/>
    </xf>
    <xf numFmtId="192" fontId="147" fillId="0" borderId="0" xfId="8264" applyFont="1" applyAlignment="1">
      <alignment vertical="center"/>
    </xf>
    <xf numFmtId="0" fontId="125" fillId="0" borderId="0" xfId="8260" applyFont="1" applyAlignment="1">
      <alignment horizontal="center"/>
    </xf>
    <xf numFmtId="4" fontId="77" fillId="0" borderId="0" xfId="3115" applyNumberFormat="1" applyFont="1" applyFill="1" applyAlignment="1">
      <alignment horizontal="right"/>
    </xf>
    <xf numFmtId="0" fontId="35" fillId="0" borderId="0" xfId="0" applyNumberFormat="1" applyFont="1" applyFill="1" applyAlignment="1">
      <alignment horizontal="left"/>
    </xf>
    <xf numFmtId="186" fontId="70" fillId="0" borderId="0" xfId="3133" applyNumberFormat="1" applyFont="1" applyFill="1" applyBorder="1"/>
    <xf numFmtId="44" fontId="27" fillId="0" borderId="0" xfId="3156" applyFont="1" applyBorder="1"/>
    <xf numFmtId="44" fontId="53" fillId="0" borderId="7" xfId="3156" applyFont="1" applyBorder="1"/>
    <xf numFmtId="44" fontId="52" fillId="0" borderId="0" xfId="3156" applyFont="1" applyAlignment="1">
      <alignment horizontal="center"/>
    </xf>
    <xf numFmtId="44" fontId="0" fillId="0" borderId="0" xfId="3156" applyFont="1"/>
    <xf numFmtId="37" fontId="35" fillId="78" borderId="0" xfId="0" applyFont="1" applyFill="1"/>
    <xf numFmtId="39" fontId="36" fillId="0" borderId="4" xfId="0" applyNumberFormat="1" applyFont="1" applyBorder="1" applyAlignment="1">
      <alignment horizontal="center"/>
    </xf>
    <xf numFmtId="0" fontId="15" fillId="0" borderId="0" xfId="8260" applyFont="1" applyAlignment="1">
      <alignment horizontal="center"/>
    </xf>
    <xf numFmtId="37" fontId="35" fillId="0" borderId="0" xfId="0" applyNumberFormat="1" applyFont="1"/>
    <xf numFmtId="0" fontId="151" fillId="0" borderId="0" xfId="8267" applyFont="1" applyFill="1" applyAlignment="1" applyProtection="1">
      <alignment horizontal="left"/>
    </xf>
    <xf numFmtId="0" fontId="32" fillId="0" borderId="0" xfId="8266" applyFont="1" applyFill="1"/>
    <xf numFmtId="0" fontId="151" fillId="0" borderId="0" xfId="8267" quotePrefix="1" applyFont="1" applyFill="1" applyAlignment="1" applyProtection="1">
      <alignment horizontal="left"/>
      <protection locked="0"/>
    </xf>
    <xf numFmtId="0" fontId="151" fillId="0" borderId="4" xfId="8266" applyFont="1" applyFill="1" applyBorder="1" applyAlignment="1">
      <alignment horizontal="center" wrapText="1"/>
    </xf>
    <xf numFmtId="41" fontId="151" fillId="0" borderId="4" xfId="8266" applyNumberFormat="1" applyFont="1" applyFill="1" applyBorder="1" applyAlignment="1">
      <alignment horizontal="center" wrapText="1"/>
    </xf>
    <xf numFmtId="10" fontId="151" fillId="0" borderId="4" xfId="8266" applyNumberFormat="1" applyFont="1" applyFill="1" applyBorder="1" applyAlignment="1">
      <alignment horizontal="center" wrapText="1"/>
    </xf>
    <xf numFmtId="197" fontId="151" fillId="0" borderId="4" xfId="8266" applyNumberFormat="1" applyFont="1" applyFill="1" applyBorder="1" applyAlignment="1">
      <alignment horizontal="center" wrapText="1"/>
    </xf>
    <xf numFmtId="0" fontId="32" fillId="0" borderId="0" xfId="8266" applyFont="1" applyFill="1" applyAlignment="1">
      <alignment horizontal="center" wrapText="1"/>
    </xf>
    <xf numFmtId="0" fontId="32" fillId="0" borderId="0" xfId="8266" applyFont="1" applyFill="1" applyAlignment="1">
      <alignment horizontal="center"/>
    </xf>
    <xf numFmtId="0" fontId="151" fillId="0" borderId="0" xfId="8266" applyFont="1" applyFill="1"/>
    <xf numFmtId="41" fontId="151" fillId="0" borderId="0" xfId="8266" applyNumberFormat="1" applyFont="1" applyFill="1"/>
    <xf numFmtId="10" fontId="151" fillId="0" borderId="0" xfId="8266" applyNumberFormat="1" applyFont="1" applyFill="1"/>
    <xf numFmtId="41" fontId="32" fillId="0" borderId="0" xfId="8266" applyNumberFormat="1" applyFont="1" applyFill="1"/>
    <xf numFmtId="197" fontId="32" fillId="0" borderId="0" xfId="8266" applyNumberFormat="1" applyFont="1" applyFill="1"/>
    <xf numFmtId="0" fontId="32" fillId="0" borderId="0" xfId="8266" applyFont="1" applyFill="1" applyAlignment="1">
      <alignment horizontal="left" indent="1"/>
    </xf>
    <xf numFmtId="195" fontId="32" fillId="0" borderId="0" xfId="8268" applyNumberFormat="1" applyFont="1" applyFill="1" applyAlignment="1">
      <alignment horizontal="left"/>
    </xf>
    <xf numFmtId="41" fontId="32" fillId="0" borderId="0" xfId="8266" applyNumberFormat="1" applyFont="1" applyFill="1" applyAlignment="1">
      <alignment horizontal="left" indent="1"/>
    </xf>
    <xf numFmtId="179" fontId="32" fillId="0" borderId="0" xfId="8266" applyNumberFormat="1" applyFont="1" applyFill="1" applyAlignment="1">
      <alignment horizontal="right"/>
    </xf>
    <xf numFmtId="10" fontId="32" fillId="0" borderId="0" xfId="8266" applyNumberFormat="1" applyFont="1" applyFill="1" applyAlignment="1">
      <alignment horizontal="right"/>
    </xf>
    <xf numFmtId="195" fontId="32" fillId="0" borderId="0" xfId="8268" applyNumberFormat="1" applyFont="1" applyFill="1"/>
    <xf numFmtId="44" fontId="32" fillId="0" borderId="0" xfId="8268" applyNumberFormat="1" applyFont="1" applyFill="1"/>
    <xf numFmtId="195" fontId="32" fillId="0" borderId="0" xfId="8268" applyNumberFormat="1" applyFont="1" applyFill="1" applyBorder="1" applyAlignment="1">
      <alignment horizontal="left"/>
    </xf>
    <xf numFmtId="195" fontId="32" fillId="0" borderId="4" xfId="8268" applyNumberFormat="1" applyFont="1" applyFill="1" applyBorder="1" applyAlignment="1">
      <alignment horizontal="left"/>
    </xf>
    <xf numFmtId="41" fontId="32" fillId="0" borderId="0" xfId="8266" applyNumberFormat="1" applyFont="1" applyFill="1" applyBorder="1"/>
    <xf numFmtId="195" fontId="32" fillId="0" borderId="0" xfId="8268" applyNumberFormat="1" applyFont="1" applyFill="1" applyBorder="1"/>
    <xf numFmtId="195" fontId="32" fillId="0" borderId="4" xfId="8268" applyNumberFormat="1" applyFont="1" applyFill="1" applyBorder="1"/>
    <xf numFmtId="0" fontId="151" fillId="0" borderId="0" xfId="8266" applyFont="1" applyFill="1" applyAlignment="1">
      <alignment horizontal="left" indent="2"/>
    </xf>
    <xf numFmtId="41" fontId="32" fillId="0" borderId="0" xfId="8266" applyNumberFormat="1" applyFont="1" applyFill="1" applyAlignment="1">
      <alignment horizontal="left" indent="2"/>
    </xf>
    <xf numFmtId="195" fontId="32" fillId="0" borderId="0" xfId="8268" applyNumberFormat="1" applyFont="1" applyFill="1" applyAlignment="1">
      <alignment horizontal="left" indent="1"/>
    </xf>
    <xf numFmtId="0" fontId="32" fillId="0" borderId="0" xfId="8266" applyFont="1" applyFill="1" applyAlignment="1">
      <alignment horizontal="left" indent="2"/>
    </xf>
    <xf numFmtId="195" fontId="32" fillId="0" borderId="25" xfId="8268" applyNumberFormat="1" applyFont="1" applyFill="1" applyBorder="1" applyAlignment="1">
      <alignment horizontal="left"/>
    </xf>
    <xf numFmtId="41" fontId="32" fillId="0" borderId="0" xfId="8266" applyNumberFormat="1" applyFont="1" applyFill="1" applyAlignment="1">
      <alignment horizontal="left"/>
    </xf>
    <xf numFmtId="41" fontId="151" fillId="0" borderId="0" xfId="8266" applyNumberFormat="1" applyFont="1" applyFill="1" applyAlignment="1">
      <alignment horizontal="left"/>
    </xf>
    <xf numFmtId="41" fontId="32" fillId="0" borderId="0" xfId="8266" applyNumberFormat="1" applyFont="1" applyFill="1" applyBorder="1" applyAlignment="1">
      <alignment horizontal="left" indent="1"/>
    </xf>
    <xf numFmtId="195" fontId="32" fillId="0" borderId="6" xfId="8268" applyNumberFormat="1" applyFont="1" applyFill="1" applyBorder="1"/>
    <xf numFmtId="10" fontId="32" fillId="0" borderId="0" xfId="8266" applyNumberFormat="1" applyFont="1" applyFill="1"/>
    <xf numFmtId="0" fontId="151" fillId="0" borderId="0" xfId="8266" applyFont="1" applyFill="1" applyAlignment="1">
      <alignment horizontal="left"/>
    </xf>
    <xf numFmtId="0" fontId="32" fillId="0" borderId="0" xfId="8266" applyFont="1" applyFill="1" applyAlignment="1">
      <alignment horizontal="left"/>
    </xf>
    <xf numFmtId="0" fontId="150" fillId="0" borderId="0" xfId="8266"/>
    <xf numFmtId="10" fontId="150" fillId="0" borderId="0" xfId="8266" applyNumberFormat="1"/>
    <xf numFmtId="0" fontId="151" fillId="0" borderId="4" xfId="8266" applyFont="1" applyFill="1" applyBorder="1" applyAlignment="1">
      <alignment horizontal="center"/>
    </xf>
    <xf numFmtId="198" fontId="151" fillId="0" borderId="4" xfId="8266" applyNumberFormat="1" applyFont="1" applyFill="1" applyBorder="1" applyAlignment="1">
      <alignment horizontal="center"/>
    </xf>
    <xf numFmtId="0" fontId="152" fillId="0" borderId="4" xfId="8266" applyFont="1" applyBorder="1" applyAlignment="1">
      <alignment horizontal="center" wrapText="1"/>
    </xf>
    <xf numFmtId="10" fontId="152" fillId="0" borderId="4" xfId="8266" applyNumberFormat="1" applyFont="1" applyBorder="1" applyAlignment="1">
      <alignment horizontal="center" wrapText="1"/>
    </xf>
    <xf numFmtId="0" fontId="151" fillId="0" borderId="0" xfId="8266" applyFont="1" applyFill="1" applyBorder="1" applyAlignment="1">
      <alignment horizontal="center" wrapText="1"/>
    </xf>
    <xf numFmtId="179" fontId="32" fillId="0" borderId="0" xfId="8269" applyNumberFormat="1" applyFont="1" applyFill="1"/>
    <xf numFmtId="41" fontId="150" fillId="0" borderId="0" xfId="8266" applyNumberFormat="1"/>
    <xf numFmtId="179" fontId="153" fillId="12" borderId="0" xfId="8269" applyNumberFormat="1" applyFont="1" applyFill="1"/>
    <xf numFmtId="41" fontId="150" fillId="0" borderId="0" xfId="8266" applyNumberFormat="1" applyBorder="1"/>
    <xf numFmtId="195" fontId="32" fillId="0" borderId="113" xfId="8268" applyNumberFormat="1" applyFont="1" applyFill="1" applyBorder="1"/>
    <xf numFmtId="195" fontId="151" fillId="0" borderId="7" xfId="8268" applyNumberFormat="1" applyFont="1" applyFill="1" applyBorder="1"/>
    <xf numFmtId="195" fontId="151" fillId="0" borderId="0" xfId="8268" applyNumberFormat="1" applyFont="1" applyFill="1" applyBorder="1"/>
    <xf numFmtId="37" fontId="35" fillId="14" borderId="0" xfId="0" quotePrefix="1" applyFont="1" applyFill="1"/>
    <xf numFmtId="37" fontId="32" fillId="0" borderId="0" xfId="0" applyFont="1" applyFill="1"/>
    <xf numFmtId="0" fontId="53" fillId="0" borderId="0" xfId="0" applyNumberFormat="1" applyFont="1" applyFill="1" applyAlignment="1" applyProtection="1">
      <alignment horizontal="center"/>
    </xf>
    <xf numFmtId="181" fontId="53" fillId="0" borderId="0" xfId="0" quotePrefix="1" applyNumberFormat="1" applyFont="1" applyFill="1" applyAlignment="1">
      <alignment horizontal="center"/>
    </xf>
    <xf numFmtId="181" fontId="53" fillId="0" borderId="0" xfId="0" applyNumberFormat="1" applyFont="1" applyFill="1" applyAlignment="1">
      <alignment horizontal="center"/>
    </xf>
    <xf numFmtId="0" fontId="53" fillId="0" borderId="0" xfId="0" applyNumberFormat="1" applyFont="1" applyFill="1" applyAlignment="1" applyProtection="1">
      <alignment horizontal="left"/>
    </xf>
    <xf numFmtId="181" fontId="53" fillId="0" borderId="0" xfId="0" quotePrefix="1" applyNumberFormat="1" applyFont="1" applyFill="1" applyAlignment="1">
      <alignment horizontal="left"/>
    </xf>
    <xf numFmtId="181" fontId="53" fillId="0" borderId="0" xfId="0" applyNumberFormat="1" applyFont="1" applyFill="1" applyAlignment="1">
      <alignment horizontal="left"/>
    </xf>
    <xf numFmtId="185" fontId="53" fillId="0" borderId="0" xfId="0" applyNumberFormat="1" applyFont="1" applyFill="1" applyAlignment="1" applyProtection="1">
      <alignment horizontal="left"/>
    </xf>
    <xf numFmtId="0" fontId="53" fillId="0" borderId="0" xfId="52" applyFont="1" applyFill="1" applyAlignment="1" applyProtection="1">
      <alignment horizontal="left"/>
    </xf>
    <xf numFmtId="196" fontId="148" fillId="0" borderId="0" xfId="8275" applyNumberFormat="1" applyFont="1" applyFill="1" applyAlignment="1">
      <alignment horizontal="center"/>
    </xf>
    <xf numFmtId="196" fontId="148" fillId="0" borderId="0" xfId="8275" applyNumberFormat="1" applyFont="1" applyFill="1" applyAlignment="1">
      <alignment horizontal="right"/>
    </xf>
    <xf numFmtId="0" fontId="53" fillId="0" borderId="0" xfId="0" applyNumberFormat="1" applyFont="1" applyFill="1" applyAlignment="1">
      <alignment horizontal="center"/>
    </xf>
    <xf numFmtId="43" fontId="27" fillId="0" borderId="0" xfId="229" applyNumberFormat="1" applyFont="1" applyFill="1"/>
    <xf numFmtId="0" fontId="27" fillId="0" borderId="0" xfId="229" applyNumberFormat="1" applyFont="1" applyFill="1" applyBorder="1"/>
    <xf numFmtId="0" fontId="32" fillId="0" borderId="0" xfId="52" applyFont="1" applyFill="1" applyBorder="1" applyProtection="1">
      <protection locked="0"/>
    </xf>
    <xf numFmtId="44" fontId="67" fillId="0" borderId="0" xfId="54" applyFont="1" applyFill="1" applyBorder="1" applyAlignment="1">
      <alignment horizontal="center"/>
    </xf>
    <xf numFmtId="44" fontId="67" fillId="0" borderId="0" xfId="54" applyFont="1" applyFill="1" applyAlignment="1">
      <alignment horizontal="center"/>
    </xf>
    <xf numFmtId="44" fontId="67" fillId="0" borderId="0" xfId="54" quotePrefix="1" applyFont="1" applyFill="1" applyAlignment="1">
      <alignment horizontal="center"/>
    </xf>
    <xf numFmtId="0" fontId="27" fillId="0" borderId="0" xfId="0" applyNumberFormat="1" applyFont="1" applyFill="1" applyAlignment="1">
      <alignment horizontal="center"/>
    </xf>
    <xf numFmtId="44" fontId="53" fillId="0" borderId="0" xfId="54" applyFont="1" applyFill="1" applyBorder="1"/>
    <xf numFmtId="44" fontId="53" fillId="0" borderId="7" xfId="54" applyFont="1" applyFill="1" applyBorder="1"/>
    <xf numFmtId="185" fontId="27" fillId="0" borderId="0" xfId="0" quotePrefix="1" applyNumberFormat="1" applyFont="1" applyFill="1" applyAlignment="1">
      <alignment horizontal="left"/>
    </xf>
    <xf numFmtId="44" fontId="27" fillId="0" borderId="0" xfId="25" applyNumberFormat="1" applyFont="1" applyFill="1"/>
    <xf numFmtId="44" fontId="0" fillId="0" borderId="0" xfId="54" applyNumberFormat="1" applyFont="1" applyFill="1" applyBorder="1"/>
    <xf numFmtId="44" fontId="142" fillId="0" borderId="0" xfId="54" applyFont="1" applyFill="1" applyBorder="1"/>
    <xf numFmtId="43" fontId="33" fillId="0" borderId="0" xfId="8252" applyFont="1" applyFill="1"/>
    <xf numFmtId="3" fontId="53" fillId="0" borderId="0" xfId="0" applyNumberFormat="1" applyFont="1" applyFill="1" applyBorder="1" applyAlignment="1">
      <alignment horizontal="center"/>
    </xf>
    <xf numFmtId="4" fontId="28" fillId="0" borderId="0" xfId="0" applyNumberFormat="1" applyFont="1" applyFill="1" applyBorder="1"/>
    <xf numFmtId="185" fontId="28" fillId="0" borderId="0" xfId="24" applyFont="1" applyFill="1" applyBorder="1" applyAlignment="1"/>
    <xf numFmtId="44" fontId="143" fillId="0" borderId="0" xfId="11" applyFont="1" applyFill="1" applyBorder="1"/>
    <xf numFmtId="37" fontId="143" fillId="0" borderId="0" xfId="0" applyFont="1" applyFill="1" applyBorder="1"/>
    <xf numFmtId="7" fontId="143" fillId="0" borderId="0" xfId="0" applyNumberFormat="1" applyFont="1" applyFill="1" applyBorder="1"/>
    <xf numFmtId="0" fontId="31" fillId="0" borderId="0" xfId="8278" applyFont="1"/>
    <xf numFmtId="178" fontId="31" fillId="0" borderId="0" xfId="8278" applyNumberFormat="1" applyFont="1"/>
    <xf numFmtId="202" fontId="35" fillId="0" borderId="0" xfId="0" applyNumberFormat="1" applyFont="1"/>
    <xf numFmtId="9" fontId="35" fillId="0" borderId="0" xfId="99" applyFont="1" applyFill="1"/>
    <xf numFmtId="37" fontId="36" fillId="11" borderId="0" xfId="0" applyFont="1" applyFill="1"/>
    <xf numFmtId="37" fontId="36" fillId="0" borderId="0" xfId="0" applyFont="1" applyFill="1"/>
    <xf numFmtId="37" fontId="36" fillId="11" borderId="4" xfId="0" applyFont="1" applyFill="1" applyBorder="1"/>
    <xf numFmtId="37" fontId="36" fillId="11" borderId="6" xfId="0" applyFont="1" applyFill="1" applyBorder="1"/>
    <xf numFmtId="37" fontId="75" fillId="0" borderId="0" xfId="0" applyFont="1" applyFill="1"/>
    <xf numFmtId="49" fontId="148" fillId="0" borderId="0" xfId="8279" applyNumberFormat="1" applyFont="1" applyAlignment="1">
      <alignment horizontal="right" wrapText="1"/>
    </xf>
    <xf numFmtId="196" fontId="149" fillId="0" borderId="0" xfId="8279" applyNumberFormat="1" applyFont="1" applyAlignment="1">
      <alignment horizontal="left"/>
    </xf>
    <xf numFmtId="196" fontId="148" fillId="0" borderId="0" xfId="8279" applyNumberFormat="1" applyFont="1" applyAlignment="1">
      <alignment horizontal="right"/>
    </xf>
    <xf numFmtId="196" fontId="148" fillId="0" borderId="0" xfId="8279" applyNumberFormat="1" applyFont="1" applyAlignment="1">
      <alignment horizontal="left"/>
    </xf>
    <xf numFmtId="199" fontId="163" fillId="0" borderId="0" xfId="0" applyNumberFormat="1" applyFont="1" applyFill="1" applyBorder="1" applyAlignment="1">
      <alignment horizontal="right"/>
    </xf>
    <xf numFmtId="0" fontId="11" fillId="0" borderId="0" xfId="8280" applyFill="1"/>
    <xf numFmtId="188" fontId="94" fillId="0" borderId="0" xfId="8281" applyNumberFormat="1" applyFill="1"/>
    <xf numFmtId="188" fontId="11" fillId="0" borderId="0" xfId="8280" applyNumberFormat="1" applyFill="1"/>
    <xf numFmtId="201" fontId="12" fillId="0" borderId="0" xfId="8276" applyNumberFormat="1" applyFont="1" applyFill="1" applyAlignment="1">
      <alignment horizontal="left"/>
    </xf>
    <xf numFmtId="201" fontId="12" fillId="0" borderId="0" xfId="8276" applyNumberFormat="1" applyFont="1" applyFill="1" applyBorder="1" applyAlignment="1">
      <alignment horizontal="right"/>
    </xf>
    <xf numFmtId="7" fontId="31" fillId="0" borderId="0" xfId="6" applyNumberFormat="1" applyFont="1" applyFill="1"/>
    <xf numFmtId="37" fontId="74" fillId="12" borderId="0" xfId="0" applyFont="1" applyFill="1" applyProtection="1">
      <protection locked="0"/>
    </xf>
    <xf numFmtId="44" fontId="27" fillId="0" borderId="23" xfId="6452" applyFont="1" applyFill="1" applyBorder="1" applyAlignment="1">
      <alignment horizontal="right"/>
    </xf>
    <xf numFmtId="44" fontId="27" fillId="0" borderId="12" xfId="6452" applyFont="1" applyBorder="1" applyAlignment="1">
      <alignment horizontal="right"/>
    </xf>
    <xf numFmtId="44" fontId="27" fillId="0" borderId="0" xfId="54" applyFont="1" applyBorder="1" applyAlignment="1">
      <alignment horizontal="right"/>
    </xf>
    <xf numFmtId="44" fontId="27" fillId="0" borderId="4" xfId="54" applyFont="1" applyBorder="1" applyAlignment="1">
      <alignment horizontal="right"/>
    </xf>
    <xf numFmtId="44" fontId="27" fillId="0" borderId="115" xfId="6452" applyFont="1" applyBorder="1" applyAlignment="1">
      <alignment horizontal="right"/>
    </xf>
    <xf numFmtId="44" fontId="53" fillId="0" borderId="0" xfId="11" applyFont="1" applyAlignment="1">
      <alignment horizontal="center"/>
    </xf>
    <xf numFmtId="37" fontId="41" fillId="0" borderId="0" xfId="0" applyNumberFormat="1" applyFont="1" applyFill="1" applyAlignment="1" applyProtection="1">
      <alignment horizontal="center"/>
      <protection locked="0"/>
    </xf>
    <xf numFmtId="0" fontId="148" fillId="0" borderId="0" xfId="8279"/>
    <xf numFmtId="198" fontId="148" fillId="0" borderId="0" xfId="8279" applyNumberFormat="1"/>
    <xf numFmtId="42" fontId="148" fillId="0" borderId="0" xfId="8279" applyNumberFormat="1"/>
    <xf numFmtId="41" fontId="148" fillId="0" borderId="0" xfId="8279" applyNumberFormat="1"/>
    <xf numFmtId="42" fontId="148" fillId="0" borderId="7" xfId="8279" applyNumberFormat="1" applyBorder="1"/>
    <xf numFmtId="205" fontId="148" fillId="0" borderId="0" xfId="8279" applyNumberFormat="1"/>
    <xf numFmtId="205" fontId="148" fillId="0" borderId="7" xfId="8279" applyNumberFormat="1" applyBorder="1"/>
    <xf numFmtId="49" fontId="148" fillId="0" borderId="0" xfId="8279" applyNumberFormat="1" applyFont="1" applyAlignment="1">
      <alignment horizontal="left"/>
    </xf>
    <xf numFmtId="49" fontId="149" fillId="0" borderId="0" xfId="8279" applyNumberFormat="1" applyFont="1" applyAlignment="1">
      <alignment horizontal="left" wrapText="1"/>
    </xf>
    <xf numFmtId="41" fontId="148" fillId="0" borderId="0" xfId="8279" applyNumberFormat="1" applyFont="1" applyAlignment="1">
      <alignment horizontal="right"/>
    </xf>
    <xf numFmtId="196" fontId="164" fillId="0" borderId="0" xfId="8279" applyNumberFormat="1" applyFont="1" applyAlignment="1">
      <alignment horizontal="left"/>
    </xf>
    <xf numFmtId="196" fontId="165" fillId="0" borderId="0" xfId="8279" applyNumberFormat="1" applyFont="1" applyAlignment="1">
      <alignment horizontal="left"/>
    </xf>
    <xf numFmtId="41" fontId="148" fillId="0" borderId="113" xfId="8279" applyNumberFormat="1" applyFont="1" applyBorder="1" applyAlignment="1">
      <alignment horizontal="right"/>
    </xf>
    <xf numFmtId="41" fontId="148" fillId="0" borderId="6" xfId="8279" applyNumberFormat="1" applyFont="1" applyBorder="1" applyAlignment="1">
      <alignment horizontal="right"/>
    </xf>
    <xf numFmtId="41" fontId="148" fillId="0" borderId="7" xfId="8279" applyNumberFormat="1" applyFont="1" applyBorder="1" applyAlignment="1">
      <alignment horizontal="right"/>
    </xf>
    <xf numFmtId="0" fontId="8" fillId="0" borderId="0" xfId="8260" applyFont="1" applyAlignment="1">
      <alignment horizontal="center"/>
    </xf>
    <xf numFmtId="37" fontId="161" fillId="0" borderId="0" xfId="0" applyFont="1"/>
    <xf numFmtId="37" fontId="31" fillId="0" borderId="0" xfId="0" applyFont="1" applyBorder="1"/>
    <xf numFmtId="37" fontId="31" fillId="0" borderId="0" xfId="0" applyFont="1"/>
    <xf numFmtId="37" fontId="161" fillId="0" borderId="0" xfId="0" applyFont="1" applyFill="1" applyBorder="1"/>
    <xf numFmtId="49" fontId="161" fillId="0" borderId="0" xfId="0" applyNumberFormat="1" applyFont="1" applyFill="1" applyBorder="1"/>
    <xf numFmtId="37" fontId="161" fillId="72" borderId="3" xfId="0" applyFont="1" applyFill="1" applyBorder="1" applyAlignment="1">
      <alignment horizontal="center"/>
    </xf>
    <xf numFmtId="49" fontId="161" fillId="72" borderId="3" xfId="0" applyNumberFormat="1" applyFont="1" applyFill="1" applyBorder="1" applyAlignment="1">
      <alignment horizontal="center"/>
    </xf>
    <xf numFmtId="37" fontId="31" fillId="0" borderId="0" xfId="0" applyFont="1" applyAlignment="1">
      <alignment horizontal="left"/>
    </xf>
    <xf numFmtId="178" fontId="31" fillId="0" borderId="0" xfId="6" applyNumberFormat="1" applyFont="1"/>
    <xf numFmtId="37" fontId="31" fillId="0" borderId="0" xfId="0" applyFont="1" applyFill="1" applyAlignment="1">
      <alignment horizontal="left"/>
    </xf>
    <xf numFmtId="37" fontId="31" fillId="0" borderId="0" xfId="0" applyFont="1" applyFill="1"/>
    <xf numFmtId="49" fontId="162" fillId="79" borderId="4" xfId="0" applyNumberFormat="1" applyFont="1" applyFill="1" applyBorder="1" applyAlignment="1">
      <alignment horizontal="left"/>
    </xf>
    <xf numFmtId="178" fontId="161" fillId="0" borderId="113" xfId="6" applyNumberFormat="1" applyFont="1" applyBorder="1"/>
    <xf numFmtId="37" fontId="75" fillId="12" borderId="0" xfId="0" applyFont="1" applyFill="1" applyAlignment="1" applyProtection="1">
      <alignment horizontal="right"/>
      <protection locked="0"/>
    </xf>
    <xf numFmtId="37" fontId="74" fillId="0" borderId="0" xfId="0" applyFont="1" applyFill="1" applyAlignment="1">
      <alignment horizontal="left"/>
    </xf>
    <xf numFmtId="195" fontId="32" fillId="0" borderId="0" xfId="8266" applyNumberFormat="1" applyFont="1" applyFill="1"/>
    <xf numFmtId="0" fontId="150" fillId="0" borderId="0" xfId="8284" applyFont="1"/>
    <xf numFmtId="0" fontId="151" fillId="0" borderId="0" xfId="8284" applyFont="1" applyProtection="1"/>
    <xf numFmtId="0" fontId="150" fillId="0" borderId="0" xfId="8284" applyFont="1" applyProtection="1"/>
    <xf numFmtId="0" fontId="150" fillId="0" borderId="0" xfId="8284" applyNumberFormat="1" applyFont="1" applyFill="1" applyAlignment="1" applyProtection="1"/>
    <xf numFmtId="0" fontId="150" fillId="0" borderId="0" xfId="8284" applyNumberFormat="1" applyFont="1" applyFill="1" applyAlignment="1" applyProtection="1">
      <alignment horizontal="left"/>
    </xf>
    <xf numFmtId="14" fontId="32" fillId="0" borderId="0" xfId="8284" applyNumberFormat="1" applyFont="1" applyFill="1" applyBorder="1" applyAlignment="1" applyProtection="1">
      <alignment horizontal="centerContinuous"/>
    </xf>
    <xf numFmtId="44" fontId="166" fillId="80" borderId="116" xfId="8284" applyNumberFormat="1" applyFont="1" applyFill="1" applyBorder="1" applyAlignment="1" applyProtection="1">
      <alignment horizontal="left"/>
    </xf>
    <xf numFmtId="0" fontId="167" fillId="80" borderId="117" xfId="8284" applyFont="1" applyFill="1" applyBorder="1" applyProtection="1"/>
    <xf numFmtId="0" fontId="167" fillId="80" borderId="118" xfId="8284" applyFont="1" applyFill="1" applyBorder="1" applyProtection="1"/>
    <xf numFmtId="0" fontId="150" fillId="81" borderId="23" xfId="8284" applyFont="1" applyFill="1" applyBorder="1" applyProtection="1"/>
    <xf numFmtId="0" fontId="150" fillId="81" borderId="0" xfId="8284" applyFont="1" applyFill="1" applyBorder="1" applyProtection="1"/>
    <xf numFmtId="0" fontId="150" fillId="81" borderId="17" xfId="8284" applyFont="1" applyFill="1" applyBorder="1" applyProtection="1"/>
    <xf numFmtId="0" fontId="150" fillId="81" borderId="119" xfId="8284" applyFont="1" applyFill="1" applyBorder="1" applyProtection="1"/>
    <xf numFmtId="0" fontId="150" fillId="81" borderId="120" xfId="8284" applyFont="1" applyFill="1" applyBorder="1" applyProtection="1"/>
    <xf numFmtId="0" fontId="150" fillId="81" borderId="121" xfId="8284" applyFont="1" applyFill="1" applyBorder="1" applyProtection="1"/>
    <xf numFmtId="0" fontId="150" fillId="0" borderId="0" xfId="8284" applyFont="1" applyFill="1"/>
    <xf numFmtId="0" fontId="150" fillId="81" borderId="122" xfId="8284" applyFont="1" applyFill="1" applyBorder="1" applyProtection="1"/>
    <xf numFmtId="0" fontId="152" fillId="81" borderId="0" xfId="8284" applyFont="1" applyFill="1" applyBorder="1" applyProtection="1"/>
    <xf numFmtId="0" fontId="168" fillId="81" borderId="0" xfId="8284" applyFont="1" applyFill="1" applyBorder="1" applyAlignment="1" applyProtection="1">
      <alignment horizontal="center"/>
    </xf>
    <xf numFmtId="0" fontId="150" fillId="81" borderId="123" xfId="8284" applyFont="1" applyFill="1" applyBorder="1" applyProtection="1"/>
    <xf numFmtId="207" fontId="150" fillId="81" borderId="0" xfId="8284" applyNumberFormat="1" applyFont="1" applyFill="1" applyBorder="1" applyAlignment="1" applyProtection="1">
      <alignment horizontal="left" indent="1"/>
    </xf>
    <xf numFmtId="43" fontId="169" fillId="82" borderId="124" xfId="8285" applyFont="1" applyFill="1" applyBorder="1" applyAlignment="1" applyProtection="1">
      <alignment horizontal="center"/>
    </xf>
    <xf numFmtId="43" fontId="169" fillId="82" borderId="125" xfId="8286" applyFont="1" applyFill="1" applyBorder="1" applyAlignment="1" applyProtection="1">
      <alignment horizontal="center"/>
    </xf>
    <xf numFmtId="43" fontId="170" fillId="82" borderId="125" xfId="8286" applyFont="1" applyFill="1" applyBorder="1" applyAlignment="1" applyProtection="1">
      <alignment horizontal="center"/>
    </xf>
    <xf numFmtId="207" fontId="150" fillId="81" borderId="0" xfId="8284" applyNumberFormat="1" applyFont="1" applyFill="1" applyBorder="1" applyAlignment="1" applyProtection="1">
      <alignment horizontal="left"/>
    </xf>
    <xf numFmtId="43" fontId="171" fillId="82" borderId="125" xfId="8286" applyFont="1" applyFill="1" applyBorder="1" applyAlignment="1" applyProtection="1">
      <alignment horizontal="center"/>
    </xf>
    <xf numFmtId="43" fontId="169" fillId="82" borderId="124" xfId="8286" applyFont="1" applyFill="1" applyBorder="1" applyAlignment="1" applyProtection="1">
      <alignment horizontal="center"/>
    </xf>
    <xf numFmtId="207" fontId="152" fillId="81" borderId="0" xfId="8284" applyNumberFormat="1" applyFont="1" applyFill="1" applyBorder="1" applyAlignment="1" applyProtection="1">
      <alignment horizontal="left"/>
    </xf>
    <xf numFmtId="0" fontId="150" fillId="81" borderId="126" xfId="8284" applyFont="1" applyFill="1" applyBorder="1" applyProtection="1"/>
    <xf numFmtId="0" fontId="150" fillId="81" borderId="127" xfId="8284" applyFont="1" applyFill="1" applyBorder="1" applyProtection="1"/>
    <xf numFmtId="0" fontId="150" fillId="81" borderId="128" xfId="8284" applyFont="1" applyFill="1" applyBorder="1" applyProtection="1"/>
    <xf numFmtId="0" fontId="150" fillId="81" borderId="129" xfId="8284" applyFont="1" applyFill="1" applyBorder="1" applyProtection="1"/>
    <xf numFmtId="0" fontId="150" fillId="81" borderId="4" xfId="8284" applyFont="1" applyFill="1" applyBorder="1" applyProtection="1"/>
    <xf numFmtId="0" fontId="150" fillId="81" borderId="14" xfId="8284" applyFont="1" applyFill="1" applyBorder="1" applyProtection="1"/>
    <xf numFmtId="196" fontId="12" fillId="0" borderId="0" xfId="8277" applyNumberFormat="1" applyFont="1" applyFill="1" applyAlignment="1">
      <alignment horizontal="left"/>
    </xf>
    <xf numFmtId="41" fontId="150" fillId="0" borderId="0" xfId="8266" applyNumberFormat="1" applyFill="1"/>
    <xf numFmtId="179" fontId="153" fillId="0" borderId="0" xfId="8269" applyNumberFormat="1" applyFont="1" applyFill="1"/>
    <xf numFmtId="0" fontId="32" fillId="83" borderId="0" xfId="8266" quotePrefix="1" applyFont="1" applyFill="1" applyAlignment="1">
      <alignment horizontal="center"/>
    </xf>
    <xf numFmtId="0" fontId="32" fillId="83" borderId="0" xfId="8266" applyFont="1" applyFill="1"/>
    <xf numFmtId="0" fontId="32" fillId="83" borderId="0" xfId="8266" applyFont="1" applyFill="1" applyAlignment="1">
      <alignment horizontal="center"/>
    </xf>
    <xf numFmtId="41" fontId="150" fillId="0" borderId="0" xfId="8266" applyNumberFormat="1" applyFill="1" applyBorder="1"/>
    <xf numFmtId="179" fontId="32" fillId="0" borderId="0" xfId="99" applyNumberFormat="1" applyFont="1" applyFill="1"/>
    <xf numFmtId="0" fontId="32" fillId="0" borderId="0" xfId="8266" applyNumberFormat="1" applyFont="1" applyFill="1"/>
    <xf numFmtId="0" fontId="32" fillId="0" borderId="0" xfId="8266" quotePrefix="1" applyFont="1" applyFill="1" applyAlignment="1">
      <alignment horizontal="center"/>
    </xf>
    <xf numFmtId="0" fontId="32" fillId="0" borderId="0" xfId="8266" applyFont="1" applyFill="1" applyBorder="1"/>
    <xf numFmtId="195" fontId="32" fillId="0" borderId="0" xfId="8266" applyNumberFormat="1" applyFont="1" applyFill="1" applyBorder="1"/>
    <xf numFmtId="37" fontId="35" fillId="12" borderId="0" xfId="0" applyFont="1" applyFill="1" applyAlignment="1">
      <alignment horizontal="center"/>
    </xf>
    <xf numFmtId="0" fontId="125" fillId="0" borderId="0" xfId="8280" applyFont="1" applyFill="1"/>
    <xf numFmtId="0" fontId="8" fillId="0" borderId="0" xfId="8280" applyFont="1" applyFill="1"/>
    <xf numFmtId="188" fontId="7" fillId="0" borderId="0" xfId="8280" applyNumberFormat="1" applyFont="1" applyFill="1"/>
    <xf numFmtId="188" fontId="94" fillId="0" borderId="7" xfId="8281" applyNumberFormat="1" applyFill="1" applyBorder="1"/>
    <xf numFmtId="196" fontId="159" fillId="0" borderId="0" xfId="8282" applyNumberFormat="1" applyFont="1" applyFill="1" applyAlignment="1">
      <alignment horizontal="left"/>
    </xf>
    <xf numFmtId="2" fontId="11" fillId="0" borderId="0" xfId="8280" applyNumberFormat="1" applyFill="1"/>
    <xf numFmtId="49" fontId="148" fillId="0" borderId="0" xfId="8279" applyNumberFormat="1" applyFont="1" applyFill="1" applyAlignment="1">
      <alignment horizontal="left" wrapText="1"/>
    </xf>
    <xf numFmtId="49" fontId="148" fillId="0" borderId="0" xfId="8279" applyNumberFormat="1" applyFont="1" applyFill="1" applyAlignment="1">
      <alignment horizontal="right" wrapText="1"/>
    </xf>
    <xf numFmtId="196" fontId="149" fillId="0" borderId="0" xfId="8279" applyNumberFormat="1" applyFont="1" applyFill="1" applyAlignment="1">
      <alignment horizontal="left"/>
    </xf>
    <xf numFmtId="196" fontId="148" fillId="0" borderId="0" xfId="8279" applyNumberFormat="1" applyFont="1" applyFill="1" applyAlignment="1">
      <alignment horizontal="right"/>
    </xf>
    <xf numFmtId="196" fontId="148" fillId="0" borderId="0" xfId="8279" applyNumberFormat="1" applyFont="1" applyFill="1" applyAlignment="1">
      <alignment horizontal="left"/>
    </xf>
    <xf numFmtId="199" fontId="148" fillId="0" borderId="0" xfId="8279" applyNumberFormat="1" applyFont="1" applyFill="1" applyAlignment="1">
      <alignment horizontal="right"/>
    </xf>
    <xf numFmtId="203" fontId="148" fillId="0" borderId="0" xfId="8279" applyNumberFormat="1" applyFont="1" applyFill="1" applyAlignment="1">
      <alignment horizontal="right"/>
    </xf>
    <xf numFmtId="195" fontId="169" fillId="0" borderId="4" xfId="8268" applyNumberFormat="1" applyFont="1" applyFill="1" applyBorder="1" applyAlignment="1">
      <alignment horizontal="left"/>
    </xf>
    <xf numFmtId="0" fontId="125" fillId="0" borderId="0" xfId="8260" applyFont="1" applyAlignment="1">
      <alignment horizontal="center"/>
    </xf>
    <xf numFmtId="196" fontId="149" fillId="0" borderId="5" xfId="8279" applyNumberFormat="1" applyFont="1" applyFill="1" applyBorder="1" applyAlignment="1">
      <alignment horizontal="left"/>
    </xf>
    <xf numFmtId="196" fontId="149" fillId="0" borderId="5" xfId="8279" applyNumberFormat="1" applyFont="1" applyFill="1" applyBorder="1" applyAlignment="1">
      <alignment horizontal="right"/>
    </xf>
    <xf numFmtId="196" fontId="148" fillId="0" borderId="0" xfId="8279" applyNumberFormat="1" applyFont="1" applyAlignment="1">
      <alignment horizontal="left" wrapText="1"/>
    </xf>
    <xf numFmtId="200" fontId="148" fillId="0" borderId="0" xfId="8279" applyNumberFormat="1" applyFont="1" applyAlignment="1">
      <alignment horizontal="left"/>
    </xf>
    <xf numFmtId="0" fontId="5" fillId="0" borderId="0" xfId="8258" applyFont="1"/>
    <xf numFmtId="37" fontId="41" fillId="0" borderId="0" xfId="0" applyFont="1" applyFill="1" applyAlignment="1" applyProtection="1">
      <alignment horizontal="right"/>
      <protection locked="0"/>
    </xf>
    <xf numFmtId="200" fontId="148" fillId="0" borderId="0" xfId="8279" applyNumberFormat="1" applyFont="1" applyAlignment="1">
      <alignment horizontal="right"/>
    </xf>
    <xf numFmtId="2" fontId="150" fillId="0" borderId="0" xfId="8284" applyNumberFormat="1" applyFont="1" applyFill="1"/>
    <xf numFmtId="2" fontId="150" fillId="0" borderId="0" xfId="8284" applyNumberFormat="1" applyFont="1"/>
    <xf numFmtId="10" fontId="150" fillId="0" borderId="0" xfId="35" applyNumberFormat="1" applyFont="1" applyFill="1"/>
    <xf numFmtId="0" fontId="150" fillId="0" borderId="0" xfId="8284" applyFont="1" applyFill="1" applyAlignment="1">
      <alignment horizontal="right"/>
    </xf>
    <xf numFmtId="208" fontId="41" fillId="0" borderId="0" xfId="0" applyNumberFormat="1" applyFont="1" applyFill="1" applyProtection="1">
      <protection locked="0"/>
    </xf>
    <xf numFmtId="181" fontId="27" fillId="0" borderId="0" xfId="0" applyNumberFormat="1" applyFont="1" applyFill="1" applyAlignment="1">
      <alignment horizontal="center"/>
    </xf>
    <xf numFmtId="44" fontId="31" fillId="0" borderId="0" xfId="54" applyFont="1" applyFill="1" applyAlignment="1">
      <alignment horizontal="center"/>
    </xf>
    <xf numFmtId="201" fontId="1" fillId="0" borderId="0" xfId="8276" applyNumberFormat="1" applyFont="1" applyFill="1" applyAlignment="1">
      <alignment horizontal="left"/>
    </xf>
    <xf numFmtId="185" fontId="27" fillId="0" borderId="0" xfId="26" applyFont="1" applyFill="1"/>
    <xf numFmtId="3" fontId="27" fillId="0" borderId="0" xfId="0" applyNumberFormat="1" applyFont="1" applyFill="1"/>
    <xf numFmtId="3" fontId="27" fillId="0" borderId="0" xfId="0" applyNumberFormat="1" applyFont="1" applyFill="1" applyBorder="1"/>
    <xf numFmtId="3" fontId="27" fillId="0" borderId="0" xfId="0" applyNumberFormat="1" applyFont="1" applyFill="1" applyBorder="1" applyAlignment="1">
      <alignment horizontal="right"/>
    </xf>
    <xf numFmtId="3" fontId="27" fillId="0" borderId="0" xfId="0" applyNumberFormat="1" applyFont="1" applyFill="1" applyAlignment="1">
      <alignment horizontal="right"/>
    </xf>
    <xf numFmtId="1" fontId="41" fillId="0" borderId="0" xfId="0" quotePrefix="1" applyNumberFormat="1" applyFont="1" applyFill="1" applyAlignment="1" applyProtection="1">
      <alignment horizontal="left"/>
      <protection locked="0"/>
    </xf>
    <xf numFmtId="0" fontId="41" fillId="0" borderId="0" xfId="0" applyNumberFormat="1" applyFont="1" applyFill="1" applyAlignment="1" applyProtection="1">
      <alignment horizontal="left"/>
      <protection locked="0"/>
    </xf>
    <xf numFmtId="49" fontId="149" fillId="0" borderId="0" xfId="8258" applyNumberFormat="1" applyFont="1" applyFill="1" applyAlignment="1">
      <alignment horizontal="center" wrapText="1"/>
    </xf>
    <xf numFmtId="49" fontId="149" fillId="0" borderId="0" xfId="8275" applyNumberFormat="1" applyFont="1" applyFill="1" applyAlignment="1">
      <alignment horizontal="center" wrapText="1"/>
    </xf>
    <xf numFmtId="0" fontId="27" fillId="0" borderId="0" xfId="0" applyNumberFormat="1" applyFont="1" applyFill="1" applyAlignment="1">
      <alignment horizontal="left"/>
    </xf>
    <xf numFmtId="185" fontId="27" fillId="0" borderId="0" xfId="0" applyNumberFormat="1" applyFont="1" applyFill="1" applyBorder="1"/>
    <xf numFmtId="43" fontId="27" fillId="0" borderId="0" xfId="6" applyFont="1" applyFill="1" applyBorder="1"/>
    <xf numFmtId="39" fontId="27" fillId="0" borderId="0" xfId="11" applyNumberFormat="1" applyFont="1" applyFill="1" applyBorder="1"/>
    <xf numFmtId="43" fontId="27" fillId="0" borderId="0" xfId="8252" applyFont="1" applyFill="1" applyBorder="1"/>
    <xf numFmtId="43" fontId="27" fillId="0" borderId="0" xfId="6" applyFont="1" applyFill="1"/>
    <xf numFmtId="39" fontId="27" fillId="0" borderId="0" xfId="11" applyNumberFormat="1" applyFont="1" applyFill="1"/>
    <xf numFmtId="43" fontId="27" fillId="0" borderId="0" xfId="8252" applyFont="1" applyFill="1"/>
    <xf numFmtId="185" fontId="53" fillId="0" borderId="0" xfId="0" applyNumberFormat="1" applyFont="1" applyFill="1" applyBorder="1"/>
    <xf numFmtId="44" fontId="27" fillId="0" borderId="0" xfId="11" applyFont="1" applyFill="1"/>
    <xf numFmtId="44" fontId="27" fillId="0" borderId="0" xfId="11" applyFont="1" applyFill="1" applyBorder="1"/>
    <xf numFmtId="43" fontId="27" fillId="0" borderId="0" xfId="229" applyFont="1" applyFill="1" applyAlignment="1">
      <alignment horizontal="center"/>
    </xf>
    <xf numFmtId="49" fontId="53" fillId="0" borderId="0" xfId="229" applyNumberFormat="1" applyFont="1" applyFill="1" applyAlignment="1">
      <alignment horizontal="center"/>
    </xf>
    <xf numFmtId="185" fontId="53" fillId="0" borderId="0" xfId="0" applyNumberFormat="1" applyFont="1" applyFill="1" applyAlignment="1">
      <alignment horizontal="center"/>
    </xf>
    <xf numFmtId="43" fontId="53" fillId="0" borderId="0" xfId="6" applyFont="1" applyFill="1" applyAlignment="1">
      <alignment horizontal="center"/>
    </xf>
    <xf numFmtId="43" fontId="53" fillId="0" borderId="4" xfId="6" applyFont="1" applyFill="1" applyBorder="1" applyAlignment="1">
      <alignment horizontal="center"/>
    </xf>
    <xf numFmtId="181" fontId="27" fillId="0" borderId="0" xfId="0" applyNumberFormat="1" applyFont="1" applyFill="1" applyBorder="1" applyAlignment="1">
      <alignment horizontal="center"/>
    </xf>
    <xf numFmtId="43" fontId="53" fillId="0" borderId="0" xfId="6" applyFont="1" applyFill="1" applyBorder="1" applyAlignment="1">
      <alignment horizontal="center"/>
    </xf>
    <xf numFmtId="43" fontId="53" fillId="0" borderId="0" xfId="8252" applyFont="1" applyFill="1" applyBorder="1" applyAlignment="1">
      <alignment horizontal="center"/>
    </xf>
    <xf numFmtId="43" fontId="27" fillId="0" borderId="4" xfId="6" applyFont="1" applyFill="1" applyBorder="1"/>
    <xf numFmtId="43" fontId="27" fillId="0" borderId="4" xfId="8252" applyFont="1" applyFill="1" applyBorder="1"/>
    <xf numFmtId="43" fontId="27" fillId="0" borderId="7" xfId="6" applyFont="1" applyFill="1" applyBorder="1"/>
    <xf numFmtId="43" fontId="27" fillId="0" borderId="7" xfId="8252" applyFont="1" applyFill="1" applyBorder="1"/>
    <xf numFmtId="181" fontId="53" fillId="0" borderId="0" xfId="52" applyNumberFormat="1" applyFont="1" applyFill="1" applyAlignment="1">
      <alignment horizontal="center"/>
    </xf>
    <xf numFmtId="0" fontId="27" fillId="0" borderId="0" xfId="52" applyFont="1" applyFill="1" applyBorder="1"/>
    <xf numFmtId="181" fontId="53" fillId="0" borderId="0" xfId="52" applyNumberFormat="1" applyFont="1" applyFill="1" applyBorder="1" applyAlignment="1">
      <alignment horizontal="center"/>
    </xf>
    <xf numFmtId="43" fontId="53" fillId="0" borderId="0" xfId="53" applyFont="1" applyFill="1" applyAlignment="1">
      <alignment horizontal="center"/>
    </xf>
    <xf numFmtId="43" fontId="27" fillId="0" borderId="0" xfId="53" applyFont="1" applyFill="1"/>
    <xf numFmtId="49" fontId="149" fillId="0" borderId="0" xfId="8258" quotePrefix="1" applyNumberFormat="1" applyFont="1" applyFill="1" applyAlignment="1">
      <alignment horizontal="center" wrapText="1"/>
    </xf>
    <xf numFmtId="43" fontId="53" fillId="0" borderId="4" xfId="53" applyFont="1" applyFill="1" applyBorder="1" applyAlignment="1">
      <alignment horizontal="center"/>
    </xf>
    <xf numFmtId="43" fontId="53" fillId="0" borderId="0" xfId="53" applyFont="1" applyFill="1" applyBorder="1" applyAlignment="1">
      <alignment horizontal="center"/>
    </xf>
    <xf numFmtId="43" fontId="53" fillId="0" borderId="0" xfId="8252" applyFont="1" applyFill="1" applyAlignment="1">
      <alignment horizontal="center"/>
    </xf>
    <xf numFmtId="43" fontId="27" fillId="0" borderId="0" xfId="53" applyFont="1" applyFill="1" applyBorder="1"/>
    <xf numFmtId="43" fontId="27" fillId="0" borderId="4" xfId="53" applyFont="1" applyFill="1" applyBorder="1"/>
    <xf numFmtId="43" fontId="27" fillId="0" borderId="7" xfId="53" applyFont="1" applyFill="1" applyBorder="1"/>
    <xf numFmtId="49" fontId="155" fillId="0" borderId="0" xfId="8275" applyNumberFormat="1" applyFont="1" applyFill="1" applyAlignment="1">
      <alignment horizontal="left"/>
    </xf>
    <xf numFmtId="49" fontId="148" fillId="0" borderId="0" xfId="8275" applyNumberFormat="1" applyFont="1" applyFill="1" applyAlignment="1">
      <alignment horizontal="right" wrapText="1"/>
    </xf>
    <xf numFmtId="49" fontId="148" fillId="0" borderId="0" xfId="8275" applyNumberFormat="1" applyFont="1" applyFill="1" applyAlignment="1">
      <alignment horizontal="center" wrapText="1"/>
    </xf>
    <xf numFmtId="49" fontId="2" fillId="0" borderId="0" xfId="8276" applyNumberFormat="1" applyFont="1" applyFill="1" applyAlignment="1">
      <alignment horizontal="left" wrapText="1"/>
    </xf>
    <xf numFmtId="196" fontId="156" fillId="0" borderId="0" xfId="8275" applyNumberFormat="1" applyFont="1" applyFill="1" applyAlignment="1">
      <alignment horizontal="center"/>
    </xf>
    <xf numFmtId="0" fontId="148" fillId="0" borderId="0" xfId="8275" applyNumberFormat="1" applyFont="1" applyFill="1" applyAlignment="1">
      <alignment horizontal="right"/>
    </xf>
    <xf numFmtId="196" fontId="148" fillId="0" borderId="0" xfId="8275" applyNumberFormat="1" applyFont="1" applyFill="1" applyAlignment="1">
      <alignment horizontal="left"/>
    </xf>
    <xf numFmtId="199" fontId="148" fillId="0" borderId="0" xfId="8275" applyNumberFormat="1" applyFont="1" applyFill="1" applyAlignment="1">
      <alignment horizontal="right"/>
    </xf>
    <xf numFmtId="200" fontId="148" fillId="0" borderId="0" xfId="8275" applyNumberFormat="1" applyFont="1" applyFill="1" applyAlignment="1">
      <alignment horizontal="right"/>
    </xf>
    <xf numFmtId="49" fontId="10" fillId="0" borderId="0" xfId="8277" applyNumberFormat="1" applyFont="1" applyFill="1" applyAlignment="1">
      <alignment horizontal="left" wrapText="1"/>
    </xf>
    <xf numFmtId="49" fontId="12" fillId="0" borderId="0" xfId="8276" applyNumberFormat="1" applyFont="1" applyFill="1" applyAlignment="1">
      <alignment horizontal="right" wrapText="1"/>
    </xf>
    <xf numFmtId="49" fontId="12" fillId="0" borderId="0" xfId="8276" applyNumberFormat="1" applyFont="1" applyFill="1" applyBorder="1" applyAlignment="1">
      <alignment horizontal="right" wrapText="1"/>
    </xf>
    <xf numFmtId="49" fontId="12" fillId="0" borderId="0" xfId="8277" applyNumberFormat="1" applyFont="1" applyFill="1" applyAlignment="1">
      <alignment horizontal="left" wrapText="1"/>
    </xf>
    <xf numFmtId="49" fontId="9" fillId="0" borderId="0" xfId="8276" applyNumberFormat="1" applyFont="1" applyFill="1" applyAlignment="1">
      <alignment horizontal="right" wrapText="1"/>
    </xf>
    <xf numFmtId="196" fontId="125" fillId="0" borderId="0" xfId="8276" applyNumberFormat="1" applyFont="1" applyFill="1" applyAlignment="1">
      <alignment horizontal="left"/>
    </xf>
    <xf numFmtId="196" fontId="125" fillId="0" borderId="0" xfId="8276" applyNumberFormat="1" applyFont="1" applyFill="1" applyAlignment="1">
      <alignment horizontal="right"/>
    </xf>
    <xf numFmtId="196" fontId="125" fillId="0" borderId="0" xfId="8276" applyNumberFormat="1" applyFont="1" applyFill="1" applyBorder="1" applyAlignment="1">
      <alignment horizontal="right"/>
    </xf>
    <xf numFmtId="196" fontId="12" fillId="0" borderId="0" xfId="8276" applyNumberFormat="1" applyFont="1" applyFill="1" applyAlignment="1">
      <alignment horizontal="right"/>
    </xf>
    <xf numFmtId="196" fontId="12" fillId="0" borderId="0" xfId="8276" applyNumberFormat="1" applyFont="1" applyFill="1" applyBorder="1" applyAlignment="1">
      <alignment horizontal="right"/>
    </xf>
    <xf numFmtId="196" fontId="157" fillId="0" borderId="0" xfId="8276" applyNumberFormat="1" applyFont="1" applyFill="1" applyAlignment="1">
      <alignment horizontal="right"/>
    </xf>
    <xf numFmtId="196" fontId="157" fillId="0" borderId="0" xfId="8276" applyNumberFormat="1" applyFont="1" applyFill="1" applyBorder="1" applyAlignment="1">
      <alignment horizontal="right"/>
    </xf>
    <xf numFmtId="196" fontId="12" fillId="0" borderId="0" xfId="8276" applyNumberFormat="1" applyFont="1" applyFill="1" applyAlignment="1">
      <alignment horizontal="left"/>
    </xf>
    <xf numFmtId="196" fontId="12" fillId="0" borderId="5" xfId="8276" applyNumberFormat="1" applyFont="1" applyFill="1" applyBorder="1" applyAlignment="1">
      <alignment horizontal="right"/>
    </xf>
    <xf numFmtId="196" fontId="158" fillId="0" borderId="0" xfId="8276" applyNumberFormat="1" applyFont="1" applyFill="1" applyAlignment="1">
      <alignment horizontal="right"/>
    </xf>
    <xf numFmtId="196" fontId="158" fillId="0" borderId="0" xfId="8276" applyNumberFormat="1" applyFont="1" applyFill="1" applyBorder="1" applyAlignment="1">
      <alignment horizontal="right"/>
    </xf>
    <xf numFmtId="196" fontId="159" fillId="0" borderId="0" xfId="8276" applyNumberFormat="1" applyFont="1" applyFill="1" applyAlignment="1">
      <alignment horizontal="left"/>
    </xf>
    <xf numFmtId="196" fontId="158" fillId="0" borderId="0" xfId="8276" applyNumberFormat="1" applyFont="1" applyFill="1" applyAlignment="1">
      <alignment horizontal="left"/>
    </xf>
    <xf numFmtId="199" fontId="12" fillId="0" borderId="0" xfId="8276" applyNumberFormat="1" applyFont="1" applyFill="1" applyAlignment="1">
      <alignment horizontal="right"/>
    </xf>
    <xf numFmtId="196" fontId="12" fillId="0" borderId="5" xfId="8276" applyNumberFormat="1" applyFont="1" applyFill="1" applyBorder="1" applyAlignment="1">
      <alignment horizontal="left"/>
    </xf>
    <xf numFmtId="196" fontId="125" fillId="0" borderId="5" xfId="8276" applyNumberFormat="1" applyFont="1" applyFill="1" applyBorder="1" applyAlignment="1">
      <alignment horizontal="left"/>
    </xf>
    <xf numFmtId="196" fontId="125" fillId="0" borderId="5" xfId="8276" applyNumberFormat="1" applyFont="1" applyFill="1" applyBorder="1" applyAlignment="1">
      <alignment horizontal="right"/>
    </xf>
    <xf numFmtId="196" fontId="3" fillId="0" borderId="0" xfId="8276" applyNumberFormat="1" applyFont="1" applyFill="1" applyBorder="1" applyAlignment="1">
      <alignment horizontal="right"/>
    </xf>
    <xf numFmtId="196" fontId="3" fillId="0" borderId="0" xfId="8276" applyNumberFormat="1" applyFont="1" applyFill="1" applyAlignment="1">
      <alignment horizontal="right"/>
    </xf>
    <xf numFmtId="199" fontId="12" fillId="0" borderId="5" xfId="8276" applyNumberFormat="1" applyFont="1" applyFill="1" applyBorder="1" applyAlignment="1">
      <alignment horizontal="right"/>
    </xf>
    <xf numFmtId="196" fontId="157" fillId="0" borderId="5" xfId="8276" applyNumberFormat="1" applyFont="1" applyFill="1" applyBorder="1" applyAlignment="1">
      <alignment horizontal="right"/>
    </xf>
    <xf numFmtId="199" fontId="125" fillId="0" borderId="0" xfId="8276" applyNumberFormat="1" applyFont="1" applyFill="1" applyAlignment="1">
      <alignment horizontal="right"/>
    </xf>
    <xf numFmtId="199" fontId="125" fillId="0" borderId="5" xfId="8276" applyNumberFormat="1" applyFont="1" applyFill="1" applyBorder="1" applyAlignment="1">
      <alignment horizontal="right"/>
    </xf>
    <xf numFmtId="49" fontId="12" fillId="0" borderId="0" xfId="8277" applyNumberFormat="1" applyFont="1" applyFill="1" applyAlignment="1">
      <alignment horizontal="right" wrapText="1"/>
    </xf>
    <xf numFmtId="49" fontId="6" fillId="0" borderId="0" xfId="8277" applyNumberFormat="1" applyFont="1" applyFill="1" applyAlignment="1">
      <alignment horizontal="right" wrapText="1"/>
    </xf>
    <xf numFmtId="196" fontId="12" fillId="0" borderId="0" xfId="8277" applyNumberFormat="1" applyFont="1" applyFill="1" applyAlignment="1">
      <alignment horizontal="right"/>
    </xf>
    <xf numFmtId="196" fontId="125" fillId="0" borderId="0" xfId="8277" applyNumberFormat="1" applyFont="1" applyFill="1" applyAlignment="1">
      <alignment horizontal="left"/>
    </xf>
    <xf numFmtId="196" fontId="157" fillId="0" borderId="0" xfId="8277" applyNumberFormat="1" applyFont="1" applyFill="1" applyAlignment="1">
      <alignment horizontal="right"/>
    </xf>
    <xf numFmtId="196" fontId="12" fillId="0" borderId="5" xfId="8277" applyNumberFormat="1" applyFont="1" applyFill="1" applyBorder="1" applyAlignment="1">
      <alignment horizontal="right"/>
    </xf>
    <xf numFmtId="196" fontId="125" fillId="0" borderId="5" xfId="8277" applyNumberFormat="1" applyFont="1" applyFill="1" applyBorder="1" applyAlignment="1">
      <alignment horizontal="right"/>
    </xf>
    <xf numFmtId="196" fontId="4" fillId="0" borderId="0" xfId="8277" applyNumberFormat="1" applyFont="1" applyFill="1" applyAlignment="1">
      <alignment horizontal="right"/>
    </xf>
    <xf numFmtId="196" fontId="4" fillId="0" borderId="0" xfId="8277" applyNumberFormat="1" applyFont="1" applyFill="1" applyAlignment="1">
      <alignment horizontal="left"/>
    </xf>
    <xf numFmtId="196" fontId="125" fillId="0" borderId="0" xfId="8277" applyNumberFormat="1" applyFont="1" applyFill="1" applyAlignment="1">
      <alignment horizontal="right"/>
    </xf>
    <xf numFmtId="206" fontId="12" fillId="0" borderId="0" xfId="8277" applyNumberFormat="1" applyFont="1" applyFill="1" applyAlignment="1">
      <alignment horizontal="right"/>
    </xf>
    <xf numFmtId="199" fontId="12" fillId="0" borderId="0" xfId="8277" applyNumberFormat="1" applyFont="1" applyFill="1" applyAlignment="1">
      <alignment horizontal="right"/>
    </xf>
    <xf numFmtId="185" fontId="27" fillId="0" borderId="0" xfId="25" applyFont="1" applyFill="1"/>
    <xf numFmtId="44" fontId="142" fillId="0" borderId="0" xfId="54" applyNumberFormat="1" applyFont="1" applyFill="1"/>
    <xf numFmtId="170" fontId="142" fillId="0" borderId="0" xfId="99" applyNumberFormat="1" applyFont="1" applyFill="1"/>
    <xf numFmtId="185" fontId="27" fillId="0" borderId="0" xfId="25" applyFont="1" applyFill="1" applyAlignment="1">
      <alignment horizontal="center"/>
    </xf>
    <xf numFmtId="0" fontId="27" fillId="0" borderId="0" xfId="25" applyNumberFormat="1" applyFont="1" applyFill="1"/>
    <xf numFmtId="185" fontId="27" fillId="0" borderId="0" xfId="25" applyFont="1" applyFill="1" applyAlignment="1">
      <alignment horizontal="left"/>
    </xf>
    <xf numFmtId="49" fontId="1" fillId="0" borderId="0" xfId="8276" applyNumberFormat="1" applyFont="1" applyFill="1" applyAlignment="1">
      <alignment horizontal="right" wrapText="1"/>
    </xf>
    <xf numFmtId="49" fontId="12" fillId="0" borderId="0" xfId="8276" applyNumberFormat="1" applyFont="1" applyFill="1" applyAlignment="1">
      <alignment horizontal="left" wrapText="1"/>
    </xf>
    <xf numFmtId="49" fontId="1" fillId="0" borderId="0" xfId="8276" applyNumberFormat="1" applyFont="1" applyFill="1" applyAlignment="1">
      <alignment horizontal="left" wrapText="1"/>
    </xf>
    <xf numFmtId="201" fontId="1" fillId="0" borderId="0" xfId="8276" applyNumberFormat="1" applyFont="1" applyFill="1" applyAlignment="1">
      <alignment horizontal="right"/>
    </xf>
    <xf numFmtId="201" fontId="125" fillId="0" borderId="25" xfId="8276" applyNumberFormat="1" applyFont="1" applyFill="1" applyBorder="1" applyAlignment="1">
      <alignment horizontal="right"/>
    </xf>
    <xf numFmtId="201" fontId="12" fillId="0" borderId="0" xfId="8276" applyNumberFormat="1" applyFont="1" applyFill="1" applyAlignment="1">
      <alignment horizontal="right"/>
    </xf>
    <xf numFmtId="201" fontId="1" fillId="0" borderId="0" xfId="8276" applyNumberFormat="1" applyFont="1" applyFill="1" applyBorder="1" applyAlignment="1">
      <alignment horizontal="right"/>
    </xf>
    <xf numFmtId="201" fontId="160" fillId="0" borderId="0" xfId="8276" applyNumberFormat="1" applyFont="1" applyFill="1" applyAlignment="1">
      <alignment horizontal="left"/>
    </xf>
    <xf numFmtId="201" fontId="125" fillId="0" borderId="0" xfId="8276" applyNumberFormat="1" applyFont="1" applyFill="1" applyBorder="1" applyAlignment="1">
      <alignment horizontal="right"/>
    </xf>
    <xf numFmtId="204" fontId="12" fillId="0" borderId="0" xfId="8276" applyNumberFormat="1" applyFont="1" applyFill="1" applyBorder="1" applyAlignment="1">
      <alignment horizontal="right"/>
    </xf>
    <xf numFmtId="196" fontId="1" fillId="0" borderId="0" xfId="8276" applyNumberFormat="1" applyFont="1" applyFill="1" applyBorder="1" applyAlignment="1">
      <alignment horizontal="right"/>
    </xf>
    <xf numFmtId="196" fontId="1" fillId="0" borderId="0" xfId="8276" applyNumberFormat="1" applyFont="1" applyFill="1" applyAlignment="1">
      <alignment horizontal="left"/>
    </xf>
    <xf numFmtId="49" fontId="125" fillId="0" borderId="0" xfId="8283" applyNumberFormat="1" applyFont="1" applyFill="1"/>
    <xf numFmtId="0" fontId="125" fillId="0" borderId="0" xfId="8283" applyFont="1" applyFill="1"/>
    <xf numFmtId="49" fontId="8" fillId="0" borderId="0" xfId="8283" applyNumberFormat="1" applyFill="1"/>
    <xf numFmtId="6" fontId="8" fillId="0" borderId="0" xfId="8283" applyNumberFormat="1" applyFill="1"/>
    <xf numFmtId="0" fontId="8" fillId="0" borderId="0" xfId="8283" applyFill="1"/>
    <xf numFmtId="8" fontId="8" fillId="0" borderId="0" xfId="8283" applyNumberFormat="1" applyFill="1"/>
    <xf numFmtId="0" fontId="70" fillId="0" borderId="0" xfId="3115" applyFont="1" applyFill="1"/>
    <xf numFmtId="39" fontId="78" fillId="0" borderId="0" xfId="3115" applyNumberFormat="1" applyFont="1" applyFill="1" applyAlignment="1">
      <alignment horizontal="center" wrapText="1"/>
    </xf>
    <xf numFmtId="4" fontId="129" fillId="0" borderId="3" xfId="161" applyNumberFormat="1" applyFont="1" applyFill="1" applyBorder="1" applyAlignment="1">
      <alignment horizontal="center"/>
    </xf>
    <xf numFmtId="4" fontId="130" fillId="0" borderId="3" xfId="161" applyNumberFormat="1" applyFont="1" applyFill="1" applyBorder="1" applyAlignment="1">
      <alignment horizontal="center"/>
    </xf>
    <xf numFmtId="0" fontId="21" fillId="0" borderId="0" xfId="3115" applyFill="1"/>
    <xf numFmtId="39" fontId="79" fillId="0" borderId="0" xfId="3115" applyNumberFormat="1" applyFont="1" applyFill="1" applyAlignment="1">
      <alignment horizontal="right" wrapText="1"/>
    </xf>
    <xf numFmtId="37" fontId="77" fillId="0" borderId="3" xfId="0" applyFont="1" applyFill="1" applyBorder="1" applyAlignment="1">
      <alignment horizontal="center"/>
    </xf>
    <xf numFmtId="4" fontId="129" fillId="0" borderId="3" xfId="0" applyNumberFormat="1" applyFont="1" applyFill="1" applyBorder="1" applyAlignment="1">
      <alignment horizontal="right"/>
    </xf>
    <xf numFmtId="191" fontId="130" fillId="0" borderId="3" xfId="218" applyNumberFormat="1" applyFont="1" applyFill="1" applyBorder="1" applyAlignment="1">
      <alignment horizontal="right" vertical="top"/>
    </xf>
    <xf numFmtId="0" fontId="27" fillId="0" borderId="0" xfId="3115" applyFont="1" applyFill="1"/>
    <xf numFmtId="191" fontId="130" fillId="0" borderId="3" xfId="218" applyNumberFormat="1" applyFont="1" applyFill="1" applyBorder="1" applyAlignment="1">
      <alignment horizontal="right"/>
    </xf>
    <xf numFmtId="4" fontId="129" fillId="0" borderId="0" xfId="0" applyNumberFormat="1" applyFont="1" applyFill="1" applyAlignment="1">
      <alignment horizontal="left"/>
    </xf>
    <xf numFmtId="4" fontId="130" fillId="0" borderId="114" xfId="161" applyNumberFormat="1" applyFont="1" applyFill="1" applyBorder="1" applyAlignment="1">
      <alignment horizontal="right"/>
    </xf>
    <xf numFmtId="4" fontId="144" fillId="0" borderId="3" xfId="0" applyNumberFormat="1" applyFont="1" applyFill="1" applyBorder="1" applyAlignment="1">
      <alignment horizontal="right"/>
    </xf>
    <xf numFmtId="37" fontId="145" fillId="0" borderId="0" xfId="0" applyFont="1" applyFill="1"/>
    <xf numFmtId="0" fontId="129" fillId="0" borderId="3" xfId="161" applyFont="1" applyFill="1" applyBorder="1" applyAlignment="1">
      <alignment horizontal="center"/>
    </xf>
    <xf numFmtId="4" fontId="129" fillId="0" borderId="3" xfId="161" applyNumberFormat="1" applyFont="1" applyFill="1" applyBorder="1" applyAlignment="1">
      <alignment horizontal="right"/>
    </xf>
    <xf numFmtId="191" fontId="130" fillId="0" borderId="3" xfId="0" applyNumberFormat="1" applyFont="1" applyFill="1" applyBorder="1"/>
    <xf numFmtId="0" fontId="77" fillId="0" borderId="0" xfId="52" applyFont="1" applyFill="1" applyAlignment="1">
      <alignment horizontal="center"/>
    </xf>
    <xf numFmtId="196" fontId="160" fillId="0" borderId="0" xfId="0" applyNumberFormat="1" applyFont="1" applyAlignment="1">
      <alignment horizontal="left"/>
    </xf>
    <xf numFmtId="49" fontId="173" fillId="0" borderId="0" xfId="0" applyNumberFormat="1" applyFont="1" applyAlignment="1">
      <alignment horizontal="left" wrapText="1"/>
    </xf>
    <xf numFmtId="178" fontId="173" fillId="0" borderId="0" xfId="6" applyNumberFormat="1" applyFont="1" applyAlignment="1">
      <alignment horizontal="left"/>
    </xf>
    <xf numFmtId="196" fontId="173" fillId="0" borderId="0" xfId="0" applyNumberFormat="1" applyFont="1" applyAlignment="1">
      <alignment horizontal="left"/>
    </xf>
    <xf numFmtId="0" fontId="151" fillId="0" borderId="0" xfId="8266" applyFont="1" applyFill="1" applyAlignment="1">
      <alignment horizontal="center"/>
    </xf>
    <xf numFmtId="0" fontId="151" fillId="0" borderId="5" xfId="8266" applyFont="1" applyFill="1" applyBorder="1" applyAlignment="1">
      <alignment horizontal="center"/>
    </xf>
    <xf numFmtId="0" fontId="152" fillId="0" borderId="0" xfId="8266" applyFont="1" applyAlignment="1">
      <alignment horizontal="center"/>
    </xf>
    <xf numFmtId="0" fontId="152" fillId="0" borderId="5" xfId="8266" applyFont="1" applyBorder="1" applyAlignment="1">
      <alignment horizontal="center"/>
    </xf>
    <xf numFmtId="0" fontId="53" fillId="0" borderId="0" xfId="8262" quotePrefix="1" applyNumberFormat="1" applyFont="1" applyFill="1" applyBorder="1" applyAlignment="1" applyProtection="1">
      <alignment horizontal="center"/>
    </xf>
    <xf numFmtId="0" fontId="53" fillId="0" borderId="0" xfId="8262" applyNumberFormat="1" applyFont="1" applyFill="1" applyBorder="1" applyAlignment="1" applyProtection="1">
      <alignment horizontal="center"/>
    </xf>
    <xf numFmtId="14" fontId="53" fillId="0" borderId="0" xfId="8262" quotePrefix="1" applyNumberFormat="1" applyFont="1" applyFill="1" applyBorder="1" applyAlignment="1" applyProtection="1">
      <alignment horizontal="center"/>
    </xf>
    <xf numFmtId="0" fontId="27" fillId="0" borderId="0" xfId="8262" quotePrefix="1" applyNumberFormat="1" applyFont="1" applyFill="1" applyBorder="1" applyAlignment="1" applyProtection="1">
      <alignment horizontal="center" vertical="center"/>
    </xf>
    <xf numFmtId="185" fontId="37" fillId="0" borderId="0" xfId="0" applyNumberFormat="1" applyFont="1" applyFill="1" applyAlignment="1">
      <alignment horizontal="center"/>
    </xf>
    <xf numFmtId="185" fontId="37" fillId="0" borderId="0" xfId="0" quotePrefix="1" applyNumberFormat="1" applyFont="1" applyFill="1" applyAlignment="1">
      <alignment horizontal="center"/>
    </xf>
    <xf numFmtId="185" fontId="48" fillId="0" borderId="0" xfId="0" quotePrefix="1" applyNumberFormat="1" applyFont="1" applyFill="1" applyAlignment="1">
      <alignment horizontal="center"/>
    </xf>
    <xf numFmtId="185" fontId="51" fillId="0" borderId="0" xfId="0" quotePrefix="1" applyNumberFormat="1" applyFont="1" applyFill="1" applyAlignment="1">
      <alignment horizontal="center"/>
    </xf>
    <xf numFmtId="185" fontId="51" fillId="0" borderId="0" xfId="0" quotePrefix="1" applyNumberFormat="1" applyFont="1" applyBorder="1" applyAlignment="1">
      <alignment horizontal="center"/>
    </xf>
    <xf numFmtId="37" fontId="48" fillId="10" borderId="11" xfId="0" quotePrefix="1" applyFont="1" applyFill="1" applyBorder="1" applyAlignment="1">
      <alignment horizontal="center"/>
    </xf>
    <xf numFmtId="37" fontId="48" fillId="10" borderId="0" xfId="0" quotePrefix="1" applyFont="1" applyFill="1" applyBorder="1" applyAlignment="1">
      <alignment horizontal="center"/>
    </xf>
    <xf numFmtId="37" fontId="48" fillId="10" borderId="12" xfId="0" quotePrefix="1" applyFont="1" applyFill="1" applyBorder="1" applyAlignment="1">
      <alignment horizontal="center"/>
    </xf>
    <xf numFmtId="3" fontId="53" fillId="0" borderId="0" xfId="0" quotePrefix="1" applyNumberFormat="1" applyFont="1" applyFill="1" applyBorder="1" applyAlignment="1">
      <alignment horizontal="center"/>
    </xf>
    <xf numFmtId="3" fontId="51" fillId="0" borderId="0" xfId="0" applyNumberFormat="1" applyFont="1" applyFill="1" applyAlignment="1">
      <alignment horizontal="center"/>
    </xf>
    <xf numFmtId="3" fontId="51" fillId="0" borderId="0" xfId="0" quotePrefix="1" applyNumberFormat="1" applyFont="1" applyFill="1" applyAlignment="1">
      <alignment horizontal="center"/>
    </xf>
    <xf numFmtId="3" fontId="52" fillId="0" borderId="0" xfId="0" quotePrefix="1" applyNumberFormat="1" applyFont="1" applyFill="1" applyAlignment="1">
      <alignment horizontal="center"/>
    </xf>
    <xf numFmtId="3" fontId="53" fillId="0" borderId="0" xfId="0" applyNumberFormat="1" applyFont="1" applyFill="1" applyAlignment="1">
      <alignment horizontal="center"/>
    </xf>
    <xf numFmtId="49" fontId="161" fillId="72" borderId="3" xfId="0" applyNumberFormat="1" applyFont="1" applyFill="1" applyBorder="1" applyAlignment="1">
      <alignment horizontal="center"/>
    </xf>
    <xf numFmtId="0" fontId="125" fillId="0" borderId="0" xfId="8260" applyFont="1" applyAlignment="1">
      <alignment horizontal="center"/>
    </xf>
    <xf numFmtId="37" fontId="37" fillId="0" borderId="0" xfId="0" applyFont="1" applyFill="1" applyAlignment="1">
      <alignment horizontal="center"/>
    </xf>
    <xf numFmtId="185" fontId="31" fillId="0" borderId="0" xfId="21" applyFont="1" applyAlignment="1">
      <alignment horizontal="center"/>
    </xf>
    <xf numFmtId="187" fontId="31" fillId="0" borderId="0" xfId="21" quotePrefix="1" applyNumberFormat="1" applyFont="1" applyAlignment="1">
      <alignment horizontal="center"/>
    </xf>
    <xf numFmtId="0" fontId="77" fillId="0" borderId="0" xfId="3115" applyFont="1" applyFill="1" applyAlignment="1">
      <alignment horizontal="center"/>
    </xf>
  </cellXfs>
  <cellStyles count="8289">
    <cellStyle name="_Row1" xfId="57"/>
    <cellStyle name="_Row1 2" xfId="163"/>
    <cellStyle name="20% - Accent1" xfId="3087" builtinId="30" customBuiltin="1"/>
    <cellStyle name="20% - Accent1 10" xfId="3161"/>
    <cellStyle name="20% - Accent1 10 2" xfId="3162"/>
    <cellStyle name="20% - Accent1 10 2 2" xfId="3163"/>
    <cellStyle name="20% - Accent1 10 3" xfId="3164"/>
    <cellStyle name="20% - Accent1 11" xfId="3165"/>
    <cellStyle name="20% - Accent1 11 2" xfId="3166"/>
    <cellStyle name="20% - Accent1 11 2 2" xfId="3167"/>
    <cellStyle name="20% - Accent1 11 3" xfId="3168"/>
    <cellStyle name="20% - Accent1 12" xfId="3169"/>
    <cellStyle name="20% - Accent1 12 2" xfId="3170"/>
    <cellStyle name="20% - Accent1 13" xfId="3171"/>
    <cellStyle name="20% - Accent1 2" xfId="164"/>
    <cellStyle name="20% - Accent1 2 2" xfId="3173"/>
    <cellStyle name="20% - Accent1 2 2 2" xfId="3174"/>
    <cellStyle name="20% - Accent1 2 2 2 2" xfId="3175"/>
    <cellStyle name="20% - Accent1 2 2 2 2 2" xfId="3176"/>
    <cellStyle name="20% - Accent1 2 2 2 2 2 2" xfId="3177"/>
    <cellStyle name="20% - Accent1 2 2 2 2 2 2 2" xfId="3178"/>
    <cellStyle name="20% - Accent1 2 2 2 2 2 3" xfId="3179"/>
    <cellStyle name="20% - Accent1 2 2 2 2 3" xfId="3180"/>
    <cellStyle name="20% - Accent1 2 2 2 2 3 2" xfId="3181"/>
    <cellStyle name="20% - Accent1 2 2 2 2 4" xfId="3182"/>
    <cellStyle name="20% - Accent1 2 2 2 3" xfId="3183"/>
    <cellStyle name="20% - Accent1 2 2 2 3 2" xfId="3184"/>
    <cellStyle name="20% - Accent1 2 2 2 3 2 2" xfId="3185"/>
    <cellStyle name="20% - Accent1 2 2 2 3 3" xfId="3186"/>
    <cellStyle name="20% - Accent1 2 2 2 4" xfId="3187"/>
    <cellStyle name="20% - Accent1 2 2 2 4 2" xfId="3188"/>
    <cellStyle name="20% - Accent1 2 2 2 5" xfId="3189"/>
    <cellStyle name="20% - Accent1 2 2 3" xfId="3190"/>
    <cellStyle name="20% - Accent1 2 2 3 2" xfId="3191"/>
    <cellStyle name="20% - Accent1 2 2 3 2 2" xfId="3192"/>
    <cellStyle name="20% - Accent1 2 2 3 2 2 2" xfId="3193"/>
    <cellStyle name="20% - Accent1 2 2 3 2 3" xfId="3194"/>
    <cellStyle name="20% - Accent1 2 2 3 3" xfId="3195"/>
    <cellStyle name="20% - Accent1 2 2 3 3 2" xfId="3196"/>
    <cellStyle name="20% - Accent1 2 2 3 4" xfId="3197"/>
    <cellStyle name="20% - Accent1 2 2 4" xfId="3198"/>
    <cellStyle name="20% - Accent1 2 2 4 2" xfId="3199"/>
    <cellStyle name="20% - Accent1 2 2 4 2 2" xfId="3200"/>
    <cellStyle name="20% - Accent1 2 2 4 3" xfId="3201"/>
    <cellStyle name="20% - Accent1 2 2 5" xfId="3202"/>
    <cellStyle name="20% - Accent1 2 2 5 2" xfId="3203"/>
    <cellStyle name="20% - Accent1 2 2 6" xfId="3204"/>
    <cellStyle name="20% - Accent1 2 3" xfId="3205"/>
    <cellStyle name="20% - Accent1 2 3 2" xfId="3206"/>
    <cellStyle name="20% - Accent1 2 3 2 2" xfId="3207"/>
    <cellStyle name="20% - Accent1 2 3 2 2 2" xfId="3208"/>
    <cellStyle name="20% - Accent1 2 3 2 2 2 2" xfId="3209"/>
    <cellStyle name="20% - Accent1 2 3 2 2 3" xfId="3210"/>
    <cellStyle name="20% - Accent1 2 3 2 3" xfId="3211"/>
    <cellStyle name="20% - Accent1 2 3 2 3 2" xfId="3212"/>
    <cellStyle name="20% - Accent1 2 3 2 4" xfId="3213"/>
    <cellStyle name="20% - Accent1 2 3 3" xfId="3214"/>
    <cellStyle name="20% - Accent1 2 3 3 2" xfId="3215"/>
    <cellStyle name="20% - Accent1 2 3 3 2 2" xfId="3216"/>
    <cellStyle name="20% - Accent1 2 3 3 3" xfId="3217"/>
    <cellStyle name="20% - Accent1 2 3 4" xfId="3218"/>
    <cellStyle name="20% - Accent1 2 3 4 2" xfId="3219"/>
    <cellStyle name="20% - Accent1 2 3 5" xfId="3220"/>
    <cellStyle name="20% - Accent1 2 4" xfId="3221"/>
    <cellStyle name="20% - Accent1 2 4 2" xfId="3222"/>
    <cellStyle name="20% - Accent1 2 4 2 2" xfId="3223"/>
    <cellStyle name="20% - Accent1 2 4 2 2 2" xfId="3224"/>
    <cellStyle name="20% - Accent1 2 4 2 3" xfId="3225"/>
    <cellStyle name="20% - Accent1 2 4 3" xfId="3226"/>
    <cellStyle name="20% - Accent1 2 4 3 2" xfId="3227"/>
    <cellStyle name="20% - Accent1 2 4 4" xfId="3228"/>
    <cellStyle name="20% - Accent1 2 5" xfId="3229"/>
    <cellStyle name="20% - Accent1 2 5 2" xfId="3230"/>
    <cellStyle name="20% - Accent1 2 5 2 2" xfId="3231"/>
    <cellStyle name="20% - Accent1 2 5 3" xfId="3232"/>
    <cellStyle name="20% - Accent1 2 6" xfId="3233"/>
    <cellStyle name="20% - Accent1 2 6 2" xfId="3234"/>
    <cellStyle name="20% - Accent1 2 7" xfId="3235"/>
    <cellStyle name="20% - Accent1 2 8" xfId="3172"/>
    <cellStyle name="20% - Accent1 3" xfId="3122"/>
    <cellStyle name="20% - Accent1 3 2" xfId="3237"/>
    <cellStyle name="20% - Accent1 3 2 2" xfId="3238"/>
    <cellStyle name="20% - Accent1 3 2 2 2" xfId="3239"/>
    <cellStyle name="20% - Accent1 3 2 2 2 2" xfId="3240"/>
    <cellStyle name="20% - Accent1 3 2 2 2 2 2" xfId="3241"/>
    <cellStyle name="20% - Accent1 3 2 2 2 2 2 2" xfId="3242"/>
    <cellStyle name="20% - Accent1 3 2 2 2 2 3" xfId="3243"/>
    <cellStyle name="20% - Accent1 3 2 2 2 3" xfId="3244"/>
    <cellStyle name="20% - Accent1 3 2 2 2 3 2" xfId="3245"/>
    <cellStyle name="20% - Accent1 3 2 2 2 4" xfId="3246"/>
    <cellStyle name="20% - Accent1 3 2 2 3" xfId="3247"/>
    <cellStyle name="20% - Accent1 3 2 2 3 2" xfId="3248"/>
    <cellStyle name="20% - Accent1 3 2 2 3 2 2" xfId="3249"/>
    <cellStyle name="20% - Accent1 3 2 2 3 3" xfId="3250"/>
    <cellStyle name="20% - Accent1 3 2 2 4" xfId="3251"/>
    <cellStyle name="20% - Accent1 3 2 2 4 2" xfId="3252"/>
    <cellStyle name="20% - Accent1 3 2 2 5" xfId="3253"/>
    <cellStyle name="20% - Accent1 3 2 3" xfId="3254"/>
    <cellStyle name="20% - Accent1 3 2 3 2" xfId="3255"/>
    <cellStyle name="20% - Accent1 3 2 3 2 2" xfId="3256"/>
    <cellStyle name="20% - Accent1 3 2 3 2 2 2" xfId="3257"/>
    <cellStyle name="20% - Accent1 3 2 3 2 3" xfId="3258"/>
    <cellStyle name="20% - Accent1 3 2 3 3" xfId="3259"/>
    <cellStyle name="20% - Accent1 3 2 3 3 2" xfId="3260"/>
    <cellStyle name="20% - Accent1 3 2 3 4" xfId="3261"/>
    <cellStyle name="20% - Accent1 3 2 4" xfId="3262"/>
    <cellStyle name="20% - Accent1 3 2 4 2" xfId="3263"/>
    <cellStyle name="20% - Accent1 3 2 4 2 2" xfId="3264"/>
    <cellStyle name="20% - Accent1 3 2 4 3" xfId="3265"/>
    <cellStyle name="20% - Accent1 3 2 5" xfId="3266"/>
    <cellStyle name="20% - Accent1 3 2 5 2" xfId="3267"/>
    <cellStyle name="20% - Accent1 3 2 6" xfId="3268"/>
    <cellStyle name="20% - Accent1 3 3" xfId="3269"/>
    <cellStyle name="20% - Accent1 3 3 2" xfId="3270"/>
    <cellStyle name="20% - Accent1 3 3 2 2" xfId="3271"/>
    <cellStyle name="20% - Accent1 3 3 2 2 2" xfId="3272"/>
    <cellStyle name="20% - Accent1 3 3 2 2 2 2" xfId="3273"/>
    <cellStyle name="20% - Accent1 3 3 2 2 3" xfId="3274"/>
    <cellStyle name="20% - Accent1 3 3 2 3" xfId="3275"/>
    <cellStyle name="20% - Accent1 3 3 2 3 2" xfId="3276"/>
    <cellStyle name="20% - Accent1 3 3 2 4" xfId="3277"/>
    <cellStyle name="20% - Accent1 3 3 3" xfId="3278"/>
    <cellStyle name="20% - Accent1 3 3 3 2" xfId="3279"/>
    <cellStyle name="20% - Accent1 3 3 3 2 2" xfId="3280"/>
    <cellStyle name="20% - Accent1 3 3 3 3" xfId="3281"/>
    <cellStyle name="20% - Accent1 3 3 4" xfId="3282"/>
    <cellStyle name="20% - Accent1 3 3 4 2" xfId="3283"/>
    <cellStyle name="20% - Accent1 3 3 5" xfId="3284"/>
    <cellStyle name="20% - Accent1 3 4" xfId="3285"/>
    <cellStyle name="20% - Accent1 3 4 2" xfId="3286"/>
    <cellStyle name="20% - Accent1 3 4 2 2" xfId="3287"/>
    <cellStyle name="20% - Accent1 3 4 2 2 2" xfId="3288"/>
    <cellStyle name="20% - Accent1 3 4 2 3" xfId="3289"/>
    <cellStyle name="20% - Accent1 3 4 3" xfId="3290"/>
    <cellStyle name="20% - Accent1 3 4 3 2" xfId="3291"/>
    <cellStyle name="20% - Accent1 3 4 4" xfId="3292"/>
    <cellStyle name="20% - Accent1 3 5" xfId="3293"/>
    <cellStyle name="20% - Accent1 3 5 2" xfId="3294"/>
    <cellStyle name="20% - Accent1 3 5 2 2" xfId="3295"/>
    <cellStyle name="20% - Accent1 3 5 3" xfId="3296"/>
    <cellStyle name="20% - Accent1 3 6" xfId="3297"/>
    <cellStyle name="20% - Accent1 3 6 2" xfId="3298"/>
    <cellStyle name="20% - Accent1 3 7" xfId="3299"/>
    <cellStyle name="20% - Accent1 3 8" xfId="3236"/>
    <cellStyle name="20% - Accent1 4" xfId="3300"/>
    <cellStyle name="20% - Accent1 4 2" xfId="3301"/>
    <cellStyle name="20% - Accent1 4 2 2" xfId="3302"/>
    <cellStyle name="20% - Accent1 4 2 2 2" xfId="3303"/>
    <cellStyle name="20% - Accent1 4 2 2 2 2" xfId="3304"/>
    <cellStyle name="20% - Accent1 4 2 2 2 2 2" xfId="3305"/>
    <cellStyle name="20% - Accent1 4 2 2 2 3" xfId="3306"/>
    <cellStyle name="20% - Accent1 4 2 2 3" xfId="3307"/>
    <cellStyle name="20% - Accent1 4 2 2 3 2" xfId="3308"/>
    <cellStyle name="20% - Accent1 4 2 2 4" xfId="3309"/>
    <cellStyle name="20% - Accent1 4 2 3" xfId="3310"/>
    <cellStyle name="20% - Accent1 4 2 3 2" xfId="3311"/>
    <cellStyle name="20% - Accent1 4 2 3 2 2" xfId="3312"/>
    <cellStyle name="20% - Accent1 4 2 3 3" xfId="3313"/>
    <cellStyle name="20% - Accent1 4 2 4" xfId="3314"/>
    <cellStyle name="20% - Accent1 4 2 4 2" xfId="3315"/>
    <cellStyle name="20% - Accent1 4 2 5" xfId="3316"/>
    <cellStyle name="20% - Accent1 4 3" xfId="3317"/>
    <cellStyle name="20% - Accent1 4 3 2" xfId="3318"/>
    <cellStyle name="20% - Accent1 4 3 2 2" xfId="3319"/>
    <cellStyle name="20% - Accent1 4 3 2 2 2" xfId="3320"/>
    <cellStyle name="20% - Accent1 4 3 2 3" xfId="3321"/>
    <cellStyle name="20% - Accent1 4 3 3" xfId="3322"/>
    <cellStyle name="20% - Accent1 4 3 3 2" xfId="3323"/>
    <cellStyle name="20% - Accent1 4 3 4" xfId="3324"/>
    <cellStyle name="20% - Accent1 4 4" xfId="3325"/>
    <cellStyle name="20% - Accent1 4 4 2" xfId="3326"/>
    <cellStyle name="20% - Accent1 4 4 2 2" xfId="3327"/>
    <cellStyle name="20% - Accent1 4 4 3" xfId="3328"/>
    <cellStyle name="20% - Accent1 4 5" xfId="3329"/>
    <cellStyle name="20% - Accent1 4 5 2" xfId="3330"/>
    <cellStyle name="20% - Accent1 4 6" xfId="3331"/>
    <cellStyle name="20% - Accent1 5" xfId="3332"/>
    <cellStyle name="20% - Accent1 5 2" xfId="3333"/>
    <cellStyle name="20% - Accent1 5 2 2" xfId="3334"/>
    <cellStyle name="20% - Accent1 5 2 2 2" xfId="3335"/>
    <cellStyle name="20% - Accent1 5 2 2 2 2" xfId="3336"/>
    <cellStyle name="20% - Accent1 5 2 2 3" xfId="3337"/>
    <cellStyle name="20% - Accent1 5 2 3" xfId="3338"/>
    <cellStyle name="20% - Accent1 5 2 3 2" xfId="3339"/>
    <cellStyle name="20% - Accent1 5 2 4" xfId="3340"/>
    <cellStyle name="20% - Accent1 5 3" xfId="3341"/>
    <cellStyle name="20% - Accent1 5 3 2" xfId="3342"/>
    <cellStyle name="20% - Accent1 5 3 2 2" xfId="3343"/>
    <cellStyle name="20% - Accent1 5 3 3" xfId="3344"/>
    <cellStyle name="20% - Accent1 5 4" xfId="3345"/>
    <cellStyle name="20% - Accent1 5 4 2" xfId="3346"/>
    <cellStyle name="20% - Accent1 5 5" xfId="3347"/>
    <cellStyle name="20% - Accent1 6" xfId="3348"/>
    <cellStyle name="20% - Accent1 6 2" xfId="3349"/>
    <cellStyle name="20% - Accent1 6 2 2" xfId="3350"/>
    <cellStyle name="20% - Accent1 6 2 2 2" xfId="3351"/>
    <cellStyle name="20% - Accent1 6 2 3" xfId="3352"/>
    <cellStyle name="20% - Accent1 6 3" xfId="3353"/>
    <cellStyle name="20% - Accent1 6 3 2" xfId="3354"/>
    <cellStyle name="20% - Accent1 6 4" xfId="3355"/>
    <cellStyle name="20% - Accent1 7" xfId="3356"/>
    <cellStyle name="20% - Accent1 7 2" xfId="3357"/>
    <cellStyle name="20% - Accent1 7 2 2" xfId="3358"/>
    <cellStyle name="20% - Accent1 7 2 2 2" xfId="3359"/>
    <cellStyle name="20% - Accent1 7 2 3" xfId="3360"/>
    <cellStyle name="20% - Accent1 7 3" xfId="3361"/>
    <cellStyle name="20% - Accent1 7 3 2" xfId="3362"/>
    <cellStyle name="20% - Accent1 7 4" xfId="3363"/>
    <cellStyle name="20% - Accent1 8" xfId="3364"/>
    <cellStyle name="20% - Accent1 8 2" xfId="3365"/>
    <cellStyle name="20% - Accent1 8 2 2" xfId="3366"/>
    <cellStyle name="20% - Accent1 8 2 2 2" xfId="3367"/>
    <cellStyle name="20% - Accent1 8 2 3" xfId="3368"/>
    <cellStyle name="20% - Accent1 8 3" xfId="3369"/>
    <cellStyle name="20% - Accent1 8 3 2" xfId="3370"/>
    <cellStyle name="20% - Accent1 8 4" xfId="3371"/>
    <cellStyle name="20% - Accent1 9" xfId="3372"/>
    <cellStyle name="20% - Accent1 9 2" xfId="3373"/>
    <cellStyle name="20% - Accent1 9 2 2" xfId="3374"/>
    <cellStyle name="20% - Accent1 9 3" xfId="3375"/>
    <cellStyle name="20% - Accent2" xfId="3091" builtinId="34" customBuiltin="1"/>
    <cellStyle name="20% - Accent2 10" xfId="3376"/>
    <cellStyle name="20% - Accent2 10 2" xfId="3377"/>
    <cellStyle name="20% - Accent2 10 2 2" xfId="3378"/>
    <cellStyle name="20% - Accent2 10 3" xfId="3379"/>
    <cellStyle name="20% - Accent2 11" xfId="3380"/>
    <cellStyle name="20% - Accent2 11 2" xfId="3381"/>
    <cellStyle name="20% - Accent2 11 2 2" xfId="3382"/>
    <cellStyle name="20% - Accent2 11 3" xfId="3383"/>
    <cellStyle name="20% - Accent2 12" xfId="3384"/>
    <cellStyle name="20% - Accent2 12 2" xfId="3385"/>
    <cellStyle name="20% - Accent2 13" xfId="3386"/>
    <cellStyle name="20% - Accent2 2" xfId="165"/>
    <cellStyle name="20% - Accent2 2 2" xfId="3388"/>
    <cellStyle name="20% - Accent2 2 2 2" xfId="3389"/>
    <cellStyle name="20% - Accent2 2 2 2 2" xfId="3390"/>
    <cellStyle name="20% - Accent2 2 2 2 2 2" xfId="3391"/>
    <cellStyle name="20% - Accent2 2 2 2 2 2 2" xfId="3392"/>
    <cellStyle name="20% - Accent2 2 2 2 2 2 2 2" xfId="3393"/>
    <cellStyle name="20% - Accent2 2 2 2 2 2 3" xfId="3394"/>
    <cellStyle name="20% - Accent2 2 2 2 2 3" xfId="3395"/>
    <cellStyle name="20% - Accent2 2 2 2 2 3 2" xfId="3396"/>
    <cellStyle name="20% - Accent2 2 2 2 2 4" xfId="3397"/>
    <cellStyle name="20% - Accent2 2 2 2 3" xfId="3398"/>
    <cellStyle name="20% - Accent2 2 2 2 3 2" xfId="3399"/>
    <cellStyle name="20% - Accent2 2 2 2 3 2 2" xfId="3400"/>
    <cellStyle name="20% - Accent2 2 2 2 3 3" xfId="3401"/>
    <cellStyle name="20% - Accent2 2 2 2 4" xfId="3402"/>
    <cellStyle name="20% - Accent2 2 2 2 4 2" xfId="3403"/>
    <cellStyle name="20% - Accent2 2 2 2 5" xfId="3404"/>
    <cellStyle name="20% - Accent2 2 2 3" xfId="3405"/>
    <cellStyle name="20% - Accent2 2 2 3 2" xfId="3406"/>
    <cellStyle name="20% - Accent2 2 2 3 2 2" xfId="3407"/>
    <cellStyle name="20% - Accent2 2 2 3 2 2 2" xfId="3408"/>
    <cellStyle name="20% - Accent2 2 2 3 2 3" xfId="3409"/>
    <cellStyle name="20% - Accent2 2 2 3 3" xfId="3410"/>
    <cellStyle name="20% - Accent2 2 2 3 3 2" xfId="3411"/>
    <cellStyle name="20% - Accent2 2 2 3 4" xfId="3412"/>
    <cellStyle name="20% - Accent2 2 2 4" xfId="3413"/>
    <cellStyle name="20% - Accent2 2 2 4 2" xfId="3414"/>
    <cellStyle name="20% - Accent2 2 2 4 2 2" xfId="3415"/>
    <cellStyle name="20% - Accent2 2 2 4 3" xfId="3416"/>
    <cellStyle name="20% - Accent2 2 2 5" xfId="3417"/>
    <cellStyle name="20% - Accent2 2 2 5 2" xfId="3418"/>
    <cellStyle name="20% - Accent2 2 2 6" xfId="3419"/>
    <cellStyle name="20% - Accent2 2 3" xfId="3420"/>
    <cellStyle name="20% - Accent2 2 3 2" xfId="3421"/>
    <cellStyle name="20% - Accent2 2 3 2 2" xfId="3422"/>
    <cellStyle name="20% - Accent2 2 3 2 2 2" xfId="3423"/>
    <cellStyle name="20% - Accent2 2 3 2 2 2 2" xfId="3424"/>
    <cellStyle name="20% - Accent2 2 3 2 2 3" xfId="3425"/>
    <cellStyle name="20% - Accent2 2 3 2 3" xfId="3426"/>
    <cellStyle name="20% - Accent2 2 3 2 3 2" xfId="3427"/>
    <cellStyle name="20% - Accent2 2 3 2 4" xfId="3428"/>
    <cellStyle name="20% - Accent2 2 3 3" xfId="3429"/>
    <cellStyle name="20% - Accent2 2 3 3 2" xfId="3430"/>
    <cellStyle name="20% - Accent2 2 3 3 2 2" xfId="3431"/>
    <cellStyle name="20% - Accent2 2 3 3 3" xfId="3432"/>
    <cellStyle name="20% - Accent2 2 3 4" xfId="3433"/>
    <cellStyle name="20% - Accent2 2 3 4 2" xfId="3434"/>
    <cellStyle name="20% - Accent2 2 3 5" xfId="3435"/>
    <cellStyle name="20% - Accent2 2 4" xfId="3436"/>
    <cellStyle name="20% - Accent2 2 4 2" xfId="3437"/>
    <cellStyle name="20% - Accent2 2 4 2 2" xfId="3438"/>
    <cellStyle name="20% - Accent2 2 4 2 2 2" xfId="3439"/>
    <cellStyle name="20% - Accent2 2 4 2 3" xfId="3440"/>
    <cellStyle name="20% - Accent2 2 4 3" xfId="3441"/>
    <cellStyle name="20% - Accent2 2 4 3 2" xfId="3442"/>
    <cellStyle name="20% - Accent2 2 4 4" xfId="3443"/>
    <cellStyle name="20% - Accent2 2 5" xfId="3444"/>
    <cellStyle name="20% - Accent2 2 5 2" xfId="3445"/>
    <cellStyle name="20% - Accent2 2 5 2 2" xfId="3446"/>
    <cellStyle name="20% - Accent2 2 5 3" xfId="3447"/>
    <cellStyle name="20% - Accent2 2 6" xfId="3448"/>
    <cellStyle name="20% - Accent2 2 6 2" xfId="3449"/>
    <cellStyle name="20% - Accent2 2 7" xfId="3450"/>
    <cellStyle name="20% - Accent2 2 8" xfId="3387"/>
    <cellStyle name="20% - Accent2 3" xfId="3123"/>
    <cellStyle name="20% - Accent2 3 2" xfId="3452"/>
    <cellStyle name="20% - Accent2 3 2 2" xfId="3453"/>
    <cellStyle name="20% - Accent2 3 2 2 2" xfId="3454"/>
    <cellStyle name="20% - Accent2 3 2 2 2 2" xfId="3455"/>
    <cellStyle name="20% - Accent2 3 2 2 2 2 2" xfId="3456"/>
    <cellStyle name="20% - Accent2 3 2 2 2 2 2 2" xfId="3457"/>
    <cellStyle name="20% - Accent2 3 2 2 2 2 3" xfId="3458"/>
    <cellStyle name="20% - Accent2 3 2 2 2 3" xfId="3459"/>
    <cellStyle name="20% - Accent2 3 2 2 2 3 2" xfId="3460"/>
    <cellStyle name="20% - Accent2 3 2 2 2 4" xfId="3461"/>
    <cellStyle name="20% - Accent2 3 2 2 3" xfId="3462"/>
    <cellStyle name="20% - Accent2 3 2 2 3 2" xfId="3463"/>
    <cellStyle name="20% - Accent2 3 2 2 3 2 2" xfId="3464"/>
    <cellStyle name="20% - Accent2 3 2 2 3 3" xfId="3465"/>
    <cellStyle name="20% - Accent2 3 2 2 4" xfId="3466"/>
    <cellStyle name="20% - Accent2 3 2 2 4 2" xfId="3467"/>
    <cellStyle name="20% - Accent2 3 2 2 5" xfId="3468"/>
    <cellStyle name="20% - Accent2 3 2 3" xfId="3469"/>
    <cellStyle name="20% - Accent2 3 2 3 2" xfId="3470"/>
    <cellStyle name="20% - Accent2 3 2 3 2 2" xfId="3471"/>
    <cellStyle name="20% - Accent2 3 2 3 2 2 2" xfId="3472"/>
    <cellStyle name="20% - Accent2 3 2 3 2 3" xfId="3473"/>
    <cellStyle name="20% - Accent2 3 2 3 3" xfId="3474"/>
    <cellStyle name="20% - Accent2 3 2 3 3 2" xfId="3475"/>
    <cellStyle name="20% - Accent2 3 2 3 4" xfId="3476"/>
    <cellStyle name="20% - Accent2 3 2 4" xfId="3477"/>
    <cellStyle name="20% - Accent2 3 2 4 2" xfId="3478"/>
    <cellStyle name="20% - Accent2 3 2 4 2 2" xfId="3479"/>
    <cellStyle name="20% - Accent2 3 2 4 3" xfId="3480"/>
    <cellStyle name="20% - Accent2 3 2 5" xfId="3481"/>
    <cellStyle name="20% - Accent2 3 2 5 2" xfId="3482"/>
    <cellStyle name="20% - Accent2 3 2 6" xfId="3483"/>
    <cellStyle name="20% - Accent2 3 3" xfId="3484"/>
    <cellStyle name="20% - Accent2 3 3 2" xfId="3485"/>
    <cellStyle name="20% - Accent2 3 3 2 2" xfId="3486"/>
    <cellStyle name="20% - Accent2 3 3 2 2 2" xfId="3487"/>
    <cellStyle name="20% - Accent2 3 3 2 2 2 2" xfId="3488"/>
    <cellStyle name="20% - Accent2 3 3 2 2 3" xfId="3489"/>
    <cellStyle name="20% - Accent2 3 3 2 3" xfId="3490"/>
    <cellStyle name="20% - Accent2 3 3 2 3 2" xfId="3491"/>
    <cellStyle name="20% - Accent2 3 3 2 4" xfId="3492"/>
    <cellStyle name="20% - Accent2 3 3 3" xfId="3493"/>
    <cellStyle name="20% - Accent2 3 3 3 2" xfId="3494"/>
    <cellStyle name="20% - Accent2 3 3 3 2 2" xfId="3495"/>
    <cellStyle name="20% - Accent2 3 3 3 3" xfId="3496"/>
    <cellStyle name="20% - Accent2 3 3 4" xfId="3497"/>
    <cellStyle name="20% - Accent2 3 3 4 2" xfId="3498"/>
    <cellStyle name="20% - Accent2 3 3 5" xfId="3499"/>
    <cellStyle name="20% - Accent2 3 4" xfId="3500"/>
    <cellStyle name="20% - Accent2 3 4 2" xfId="3501"/>
    <cellStyle name="20% - Accent2 3 4 2 2" xfId="3502"/>
    <cellStyle name="20% - Accent2 3 4 2 2 2" xfId="3503"/>
    <cellStyle name="20% - Accent2 3 4 2 3" xfId="3504"/>
    <cellStyle name="20% - Accent2 3 4 3" xfId="3505"/>
    <cellStyle name="20% - Accent2 3 4 3 2" xfId="3506"/>
    <cellStyle name="20% - Accent2 3 4 4" xfId="3507"/>
    <cellStyle name="20% - Accent2 3 5" xfId="3508"/>
    <cellStyle name="20% - Accent2 3 5 2" xfId="3509"/>
    <cellStyle name="20% - Accent2 3 5 2 2" xfId="3510"/>
    <cellStyle name="20% - Accent2 3 5 3" xfId="3511"/>
    <cellStyle name="20% - Accent2 3 6" xfId="3512"/>
    <cellStyle name="20% - Accent2 3 6 2" xfId="3513"/>
    <cellStyle name="20% - Accent2 3 7" xfId="3514"/>
    <cellStyle name="20% - Accent2 3 8" xfId="3451"/>
    <cellStyle name="20% - Accent2 4" xfId="3515"/>
    <cellStyle name="20% - Accent2 4 2" xfId="3516"/>
    <cellStyle name="20% - Accent2 4 2 2" xfId="3517"/>
    <cellStyle name="20% - Accent2 4 2 2 2" xfId="3518"/>
    <cellStyle name="20% - Accent2 4 2 2 2 2" xfId="3519"/>
    <cellStyle name="20% - Accent2 4 2 2 2 2 2" xfId="3520"/>
    <cellStyle name="20% - Accent2 4 2 2 2 3" xfId="3521"/>
    <cellStyle name="20% - Accent2 4 2 2 3" xfId="3522"/>
    <cellStyle name="20% - Accent2 4 2 2 3 2" xfId="3523"/>
    <cellStyle name="20% - Accent2 4 2 2 4" xfId="3524"/>
    <cellStyle name="20% - Accent2 4 2 3" xfId="3525"/>
    <cellStyle name="20% - Accent2 4 2 3 2" xfId="3526"/>
    <cellStyle name="20% - Accent2 4 2 3 2 2" xfId="3527"/>
    <cellStyle name="20% - Accent2 4 2 3 3" xfId="3528"/>
    <cellStyle name="20% - Accent2 4 2 4" xfId="3529"/>
    <cellStyle name="20% - Accent2 4 2 4 2" xfId="3530"/>
    <cellStyle name="20% - Accent2 4 2 5" xfId="3531"/>
    <cellStyle name="20% - Accent2 4 3" xfId="3532"/>
    <cellStyle name="20% - Accent2 4 3 2" xfId="3533"/>
    <cellStyle name="20% - Accent2 4 3 2 2" xfId="3534"/>
    <cellStyle name="20% - Accent2 4 3 2 2 2" xfId="3535"/>
    <cellStyle name="20% - Accent2 4 3 2 3" xfId="3536"/>
    <cellStyle name="20% - Accent2 4 3 3" xfId="3537"/>
    <cellStyle name="20% - Accent2 4 3 3 2" xfId="3538"/>
    <cellStyle name="20% - Accent2 4 3 4" xfId="3539"/>
    <cellStyle name="20% - Accent2 4 4" xfId="3540"/>
    <cellStyle name="20% - Accent2 4 4 2" xfId="3541"/>
    <cellStyle name="20% - Accent2 4 4 2 2" xfId="3542"/>
    <cellStyle name="20% - Accent2 4 4 3" xfId="3543"/>
    <cellStyle name="20% - Accent2 4 5" xfId="3544"/>
    <cellStyle name="20% - Accent2 4 5 2" xfId="3545"/>
    <cellStyle name="20% - Accent2 4 6" xfId="3546"/>
    <cellStyle name="20% - Accent2 5" xfId="3547"/>
    <cellStyle name="20% - Accent2 5 2" xfId="3548"/>
    <cellStyle name="20% - Accent2 5 2 2" xfId="3549"/>
    <cellStyle name="20% - Accent2 5 2 2 2" xfId="3550"/>
    <cellStyle name="20% - Accent2 5 2 2 2 2" xfId="3551"/>
    <cellStyle name="20% - Accent2 5 2 2 3" xfId="3552"/>
    <cellStyle name="20% - Accent2 5 2 3" xfId="3553"/>
    <cellStyle name="20% - Accent2 5 2 3 2" xfId="3554"/>
    <cellStyle name="20% - Accent2 5 2 4" xfId="3555"/>
    <cellStyle name="20% - Accent2 5 3" xfId="3556"/>
    <cellStyle name="20% - Accent2 5 3 2" xfId="3557"/>
    <cellStyle name="20% - Accent2 5 3 2 2" xfId="3558"/>
    <cellStyle name="20% - Accent2 5 3 3" xfId="3559"/>
    <cellStyle name="20% - Accent2 5 4" xfId="3560"/>
    <cellStyle name="20% - Accent2 5 4 2" xfId="3561"/>
    <cellStyle name="20% - Accent2 5 5" xfId="3562"/>
    <cellStyle name="20% - Accent2 6" xfId="3563"/>
    <cellStyle name="20% - Accent2 6 2" xfId="3564"/>
    <cellStyle name="20% - Accent2 6 2 2" xfId="3565"/>
    <cellStyle name="20% - Accent2 6 2 2 2" xfId="3566"/>
    <cellStyle name="20% - Accent2 6 2 3" xfId="3567"/>
    <cellStyle name="20% - Accent2 6 3" xfId="3568"/>
    <cellStyle name="20% - Accent2 6 3 2" xfId="3569"/>
    <cellStyle name="20% - Accent2 6 4" xfId="3570"/>
    <cellStyle name="20% - Accent2 7" xfId="3571"/>
    <cellStyle name="20% - Accent2 7 2" xfId="3572"/>
    <cellStyle name="20% - Accent2 7 2 2" xfId="3573"/>
    <cellStyle name="20% - Accent2 7 2 2 2" xfId="3574"/>
    <cellStyle name="20% - Accent2 7 2 3" xfId="3575"/>
    <cellStyle name="20% - Accent2 7 3" xfId="3576"/>
    <cellStyle name="20% - Accent2 7 3 2" xfId="3577"/>
    <cellStyle name="20% - Accent2 7 4" xfId="3578"/>
    <cellStyle name="20% - Accent2 8" xfId="3579"/>
    <cellStyle name="20% - Accent2 8 2" xfId="3580"/>
    <cellStyle name="20% - Accent2 8 2 2" xfId="3581"/>
    <cellStyle name="20% - Accent2 8 2 2 2" xfId="3582"/>
    <cellStyle name="20% - Accent2 8 2 3" xfId="3583"/>
    <cellStyle name="20% - Accent2 8 3" xfId="3584"/>
    <cellStyle name="20% - Accent2 8 3 2" xfId="3585"/>
    <cellStyle name="20% - Accent2 8 4" xfId="3586"/>
    <cellStyle name="20% - Accent2 9" xfId="3587"/>
    <cellStyle name="20% - Accent2 9 2" xfId="3588"/>
    <cellStyle name="20% - Accent2 9 2 2" xfId="3589"/>
    <cellStyle name="20% - Accent2 9 3" xfId="3590"/>
    <cellStyle name="20% - Accent3" xfId="3095" builtinId="38" customBuiltin="1"/>
    <cellStyle name="20% - Accent3 10" xfId="3591"/>
    <cellStyle name="20% - Accent3 10 2" xfId="3592"/>
    <cellStyle name="20% - Accent3 10 2 2" xfId="3593"/>
    <cellStyle name="20% - Accent3 10 3" xfId="3594"/>
    <cellStyle name="20% - Accent3 11" xfId="3595"/>
    <cellStyle name="20% - Accent3 11 2" xfId="3596"/>
    <cellStyle name="20% - Accent3 11 2 2" xfId="3597"/>
    <cellStyle name="20% - Accent3 11 3" xfId="3598"/>
    <cellStyle name="20% - Accent3 12" xfId="3599"/>
    <cellStyle name="20% - Accent3 12 2" xfId="3600"/>
    <cellStyle name="20% - Accent3 13" xfId="3601"/>
    <cellStyle name="20% - Accent3 2" xfId="166"/>
    <cellStyle name="20% - Accent3 2 2" xfId="3603"/>
    <cellStyle name="20% - Accent3 2 2 2" xfId="3604"/>
    <cellStyle name="20% - Accent3 2 2 2 2" xfId="3605"/>
    <cellStyle name="20% - Accent3 2 2 2 2 2" xfId="3606"/>
    <cellStyle name="20% - Accent3 2 2 2 2 2 2" xfId="3607"/>
    <cellStyle name="20% - Accent3 2 2 2 2 2 2 2" xfId="3608"/>
    <cellStyle name="20% - Accent3 2 2 2 2 2 3" xfId="3609"/>
    <cellStyle name="20% - Accent3 2 2 2 2 3" xfId="3610"/>
    <cellStyle name="20% - Accent3 2 2 2 2 3 2" xfId="3611"/>
    <cellStyle name="20% - Accent3 2 2 2 2 4" xfId="3612"/>
    <cellStyle name="20% - Accent3 2 2 2 3" xfId="3613"/>
    <cellStyle name="20% - Accent3 2 2 2 3 2" xfId="3614"/>
    <cellStyle name="20% - Accent3 2 2 2 3 2 2" xfId="3615"/>
    <cellStyle name="20% - Accent3 2 2 2 3 3" xfId="3616"/>
    <cellStyle name="20% - Accent3 2 2 2 4" xfId="3617"/>
    <cellStyle name="20% - Accent3 2 2 2 4 2" xfId="3618"/>
    <cellStyle name="20% - Accent3 2 2 2 5" xfId="3619"/>
    <cellStyle name="20% - Accent3 2 2 3" xfId="3620"/>
    <cellStyle name="20% - Accent3 2 2 3 2" xfId="3621"/>
    <cellStyle name="20% - Accent3 2 2 3 2 2" xfId="3622"/>
    <cellStyle name="20% - Accent3 2 2 3 2 2 2" xfId="3623"/>
    <cellStyle name="20% - Accent3 2 2 3 2 3" xfId="3624"/>
    <cellStyle name="20% - Accent3 2 2 3 3" xfId="3625"/>
    <cellStyle name="20% - Accent3 2 2 3 3 2" xfId="3626"/>
    <cellStyle name="20% - Accent3 2 2 3 4" xfId="3627"/>
    <cellStyle name="20% - Accent3 2 2 4" xfId="3628"/>
    <cellStyle name="20% - Accent3 2 2 4 2" xfId="3629"/>
    <cellStyle name="20% - Accent3 2 2 4 2 2" xfId="3630"/>
    <cellStyle name="20% - Accent3 2 2 4 3" xfId="3631"/>
    <cellStyle name="20% - Accent3 2 2 5" xfId="3632"/>
    <cellStyle name="20% - Accent3 2 2 5 2" xfId="3633"/>
    <cellStyle name="20% - Accent3 2 2 6" xfId="3634"/>
    <cellStyle name="20% - Accent3 2 3" xfId="3635"/>
    <cellStyle name="20% - Accent3 2 3 2" xfId="3636"/>
    <cellStyle name="20% - Accent3 2 3 2 2" xfId="3637"/>
    <cellStyle name="20% - Accent3 2 3 2 2 2" xfId="3638"/>
    <cellStyle name="20% - Accent3 2 3 2 2 2 2" xfId="3639"/>
    <cellStyle name="20% - Accent3 2 3 2 2 3" xfId="3640"/>
    <cellStyle name="20% - Accent3 2 3 2 3" xfId="3641"/>
    <cellStyle name="20% - Accent3 2 3 2 3 2" xfId="3642"/>
    <cellStyle name="20% - Accent3 2 3 2 4" xfId="3643"/>
    <cellStyle name="20% - Accent3 2 3 3" xfId="3644"/>
    <cellStyle name="20% - Accent3 2 3 3 2" xfId="3645"/>
    <cellStyle name="20% - Accent3 2 3 3 2 2" xfId="3646"/>
    <cellStyle name="20% - Accent3 2 3 3 3" xfId="3647"/>
    <cellStyle name="20% - Accent3 2 3 4" xfId="3648"/>
    <cellStyle name="20% - Accent3 2 3 4 2" xfId="3649"/>
    <cellStyle name="20% - Accent3 2 3 5" xfId="3650"/>
    <cellStyle name="20% - Accent3 2 4" xfId="3651"/>
    <cellStyle name="20% - Accent3 2 4 2" xfId="3652"/>
    <cellStyle name="20% - Accent3 2 4 2 2" xfId="3653"/>
    <cellStyle name="20% - Accent3 2 4 2 2 2" xfId="3654"/>
    <cellStyle name="20% - Accent3 2 4 2 3" xfId="3655"/>
    <cellStyle name="20% - Accent3 2 4 3" xfId="3656"/>
    <cellStyle name="20% - Accent3 2 4 3 2" xfId="3657"/>
    <cellStyle name="20% - Accent3 2 4 4" xfId="3658"/>
    <cellStyle name="20% - Accent3 2 5" xfId="3659"/>
    <cellStyle name="20% - Accent3 2 5 2" xfId="3660"/>
    <cellStyle name="20% - Accent3 2 5 2 2" xfId="3661"/>
    <cellStyle name="20% - Accent3 2 5 3" xfId="3662"/>
    <cellStyle name="20% - Accent3 2 6" xfId="3663"/>
    <cellStyle name="20% - Accent3 2 6 2" xfId="3664"/>
    <cellStyle name="20% - Accent3 2 7" xfId="3665"/>
    <cellStyle name="20% - Accent3 2 8" xfId="3602"/>
    <cellStyle name="20% - Accent3 3" xfId="3124"/>
    <cellStyle name="20% - Accent3 3 2" xfId="3667"/>
    <cellStyle name="20% - Accent3 3 2 2" xfId="3668"/>
    <cellStyle name="20% - Accent3 3 2 2 2" xfId="3669"/>
    <cellStyle name="20% - Accent3 3 2 2 2 2" xfId="3670"/>
    <cellStyle name="20% - Accent3 3 2 2 2 2 2" xfId="3671"/>
    <cellStyle name="20% - Accent3 3 2 2 2 2 2 2" xfId="3672"/>
    <cellStyle name="20% - Accent3 3 2 2 2 2 3" xfId="3673"/>
    <cellStyle name="20% - Accent3 3 2 2 2 3" xfId="3674"/>
    <cellStyle name="20% - Accent3 3 2 2 2 3 2" xfId="3675"/>
    <cellStyle name="20% - Accent3 3 2 2 2 4" xfId="3676"/>
    <cellStyle name="20% - Accent3 3 2 2 3" xfId="3677"/>
    <cellStyle name="20% - Accent3 3 2 2 3 2" xfId="3678"/>
    <cellStyle name="20% - Accent3 3 2 2 3 2 2" xfId="3679"/>
    <cellStyle name="20% - Accent3 3 2 2 3 3" xfId="3680"/>
    <cellStyle name="20% - Accent3 3 2 2 4" xfId="3681"/>
    <cellStyle name="20% - Accent3 3 2 2 4 2" xfId="3682"/>
    <cellStyle name="20% - Accent3 3 2 2 5" xfId="3683"/>
    <cellStyle name="20% - Accent3 3 2 3" xfId="3684"/>
    <cellStyle name="20% - Accent3 3 2 3 2" xfId="3685"/>
    <cellStyle name="20% - Accent3 3 2 3 2 2" xfId="3686"/>
    <cellStyle name="20% - Accent3 3 2 3 2 2 2" xfId="3687"/>
    <cellStyle name="20% - Accent3 3 2 3 2 3" xfId="3688"/>
    <cellStyle name="20% - Accent3 3 2 3 3" xfId="3689"/>
    <cellStyle name="20% - Accent3 3 2 3 3 2" xfId="3690"/>
    <cellStyle name="20% - Accent3 3 2 3 4" xfId="3691"/>
    <cellStyle name="20% - Accent3 3 2 4" xfId="3692"/>
    <cellStyle name="20% - Accent3 3 2 4 2" xfId="3693"/>
    <cellStyle name="20% - Accent3 3 2 4 2 2" xfId="3694"/>
    <cellStyle name="20% - Accent3 3 2 4 3" xfId="3695"/>
    <cellStyle name="20% - Accent3 3 2 5" xfId="3696"/>
    <cellStyle name="20% - Accent3 3 2 5 2" xfId="3697"/>
    <cellStyle name="20% - Accent3 3 2 6" xfId="3698"/>
    <cellStyle name="20% - Accent3 3 3" xfId="3699"/>
    <cellStyle name="20% - Accent3 3 3 2" xfId="3700"/>
    <cellStyle name="20% - Accent3 3 3 2 2" xfId="3701"/>
    <cellStyle name="20% - Accent3 3 3 2 2 2" xfId="3702"/>
    <cellStyle name="20% - Accent3 3 3 2 2 2 2" xfId="3703"/>
    <cellStyle name="20% - Accent3 3 3 2 2 3" xfId="3704"/>
    <cellStyle name="20% - Accent3 3 3 2 3" xfId="3705"/>
    <cellStyle name="20% - Accent3 3 3 2 3 2" xfId="3706"/>
    <cellStyle name="20% - Accent3 3 3 2 4" xfId="3707"/>
    <cellStyle name="20% - Accent3 3 3 3" xfId="3708"/>
    <cellStyle name="20% - Accent3 3 3 3 2" xfId="3709"/>
    <cellStyle name="20% - Accent3 3 3 3 2 2" xfId="3710"/>
    <cellStyle name="20% - Accent3 3 3 3 3" xfId="3711"/>
    <cellStyle name="20% - Accent3 3 3 4" xfId="3712"/>
    <cellStyle name="20% - Accent3 3 3 4 2" xfId="3713"/>
    <cellStyle name="20% - Accent3 3 3 5" xfId="3714"/>
    <cellStyle name="20% - Accent3 3 4" xfId="3715"/>
    <cellStyle name="20% - Accent3 3 4 2" xfId="3716"/>
    <cellStyle name="20% - Accent3 3 4 2 2" xfId="3717"/>
    <cellStyle name="20% - Accent3 3 4 2 2 2" xfId="3718"/>
    <cellStyle name="20% - Accent3 3 4 2 3" xfId="3719"/>
    <cellStyle name="20% - Accent3 3 4 3" xfId="3720"/>
    <cellStyle name="20% - Accent3 3 4 3 2" xfId="3721"/>
    <cellStyle name="20% - Accent3 3 4 4" xfId="3722"/>
    <cellStyle name="20% - Accent3 3 5" xfId="3723"/>
    <cellStyle name="20% - Accent3 3 5 2" xfId="3724"/>
    <cellStyle name="20% - Accent3 3 5 2 2" xfId="3725"/>
    <cellStyle name="20% - Accent3 3 5 3" xfId="3726"/>
    <cellStyle name="20% - Accent3 3 6" xfId="3727"/>
    <cellStyle name="20% - Accent3 3 6 2" xfId="3728"/>
    <cellStyle name="20% - Accent3 3 7" xfId="3729"/>
    <cellStyle name="20% - Accent3 3 8" xfId="3666"/>
    <cellStyle name="20% - Accent3 4" xfId="3730"/>
    <cellStyle name="20% - Accent3 4 2" xfId="3731"/>
    <cellStyle name="20% - Accent3 4 2 2" xfId="3732"/>
    <cellStyle name="20% - Accent3 4 2 2 2" xfId="3733"/>
    <cellStyle name="20% - Accent3 4 2 2 2 2" xfId="3734"/>
    <cellStyle name="20% - Accent3 4 2 2 2 2 2" xfId="3735"/>
    <cellStyle name="20% - Accent3 4 2 2 2 3" xfId="3736"/>
    <cellStyle name="20% - Accent3 4 2 2 3" xfId="3737"/>
    <cellStyle name="20% - Accent3 4 2 2 3 2" xfId="3738"/>
    <cellStyle name="20% - Accent3 4 2 2 4" xfId="3739"/>
    <cellStyle name="20% - Accent3 4 2 3" xfId="3740"/>
    <cellStyle name="20% - Accent3 4 2 3 2" xfId="3741"/>
    <cellStyle name="20% - Accent3 4 2 3 2 2" xfId="3742"/>
    <cellStyle name="20% - Accent3 4 2 3 3" xfId="3743"/>
    <cellStyle name="20% - Accent3 4 2 4" xfId="3744"/>
    <cellStyle name="20% - Accent3 4 2 4 2" xfId="3745"/>
    <cellStyle name="20% - Accent3 4 2 5" xfId="3746"/>
    <cellStyle name="20% - Accent3 4 3" xfId="3747"/>
    <cellStyle name="20% - Accent3 4 3 2" xfId="3748"/>
    <cellStyle name="20% - Accent3 4 3 2 2" xfId="3749"/>
    <cellStyle name="20% - Accent3 4 3 2 2 2" xfId="3750"/>
    <cellStyle name="20% - Accent3 4 3 2 3" xfId="3751"/>
    <cellStyle name="20% - Accent3 4 3 3" xfId="3752"/>
    <cellStyle name="20% - Accent3 4 3 3 2" xfId="3753"/>
    <cellStyle name="20% - Accent3 4 3 4" xfId="3754"/>
    <cellStyle name="20% - Accent3 4 4" xfId="3755"/>
    <cellStyle name="20% - Accent3 4 4 2" xfId="3756"/>
    <cellStyle name="20% - Accent3 4 4 2 2" xfId="3757"/>
    <cellStyle name="20% - Accent3 4 4 3" xfId="3758"/>
    <cellStyle name="20% - Accent3 4 5" xfId="3759"/>
    <cellStyle name="20% - Accent3 4 5 2" xfId="3760"/>
    <cellStyle name="20% - Accent3 4 6" xfId="3761"/>
    <cellStyle name="20% - Accent3 5" xfId="3762"/>
    <cellStyle name="20% - Accent3 5 2" xfId="3763"/>
    <cellStyle name="20% - Accent3 5 2 2" xfId="3764"/>
    <cellStyle name="20% - Accent3 5 2 2 2" xfId="3765"/>
    <cellStyle name="20% - Accent3 5 2 2 2 2" xfId="3766"/>
    <cellStyle name="20% - Accent3 5 2 2 3" xfId="3767"/>
    <cellStyle name="20% - Accent3 5 2 3" xfId="3768"/>
    <cellStyle name="20% - Accent3 5 2 3 2" xfId="3769"/>
    <cellStyle name="20% - Accent3 5 2 4" xfId="3770"/>
    <cellStyle name="20% - Accent3 5 3" xfId="3771"/>
    <cellStyle name="20% - Accent3 5 3 2" xfId="3772"/>
    <cellStyle name="20% - Accent3 5 3 2 2" xfId="3773"/>
    <cellStyle name="20% - Accent3 5 3 3" xfId="3774"/>
    <cellStyle name="20% - Accent3 5 4" xfId="3775"/>
    <cellStyle name="20% - Accent3 5 4 2" xfId="3776"/>
    <cellStyle name="20% - Accent3 5 5" xfId="3777"/>
    <cellStyle name="20% - Accent3 6" xfId="3778"/>
    <cellStyle name="20% - Accent3 6 2" xfId="3779"/>
    <cellStyle name="20% - Accent3 6 2 2" xfId="3780"/>
    <cellStyle name="20% - Accent3 6 2 2 2" xfId="3781"/>
    <cellStyle name="20% - Accent3 6 2 3" xfId="3782"/>
    <cellStyle name="20% - Accent3 6 3" xfId="3783"/>
    <cellStyle name="20% - Accent3 6 3 2" xfId="3784"/>
    <cellStyle name="20% - Accent3 6 4" xfId="3785"/>
    <cellStyle name="20% - Accent3 7" xfId="3786"/>
    <cellStyle name="20% - Accent3 7 2" xfId="3787"/>
    <cellStyle name="20% - Accent3 7 2 2" xfId="3788"/>
    <cellStyle name="20% - Accent3 7 2 2 2" xfId="3789"/>
    <cellStyle name="20% - Accent3 7 2 3" xfId="3790"/>
    <cellStyle name="20% - Accent3 7 3" xfId="3791"/>
    <cellStyle name="20% - Accent3 7 3 2" xfId="3792"/>
    <cellStyle name="20% - Accent3 7 4" xfId="3793"/>
    <cellStyle name="20% - Accent3 8" xfId="3794"/>
    <cellStyle name="20% - Accent3 8 2" xfId="3795"/>
    <cellStyle name="20% - Accent3 8 2 2" xfId="3796"/>
    <cellStyle name="20% - Accent3 8 2 2 2" xfId="3797"/>
    <cellStyle name="20% - Accent3 8 2 3" xfId="3798"/>
    <cellStyle name="20% - Accent3 8 3" xfId="3799"/>
    <cellStyle name="20% - Accent3 8 3 2" xfId="3800"/>
    <cellStyle name="20% - Accent3 8 4" xfId="3801"/>
    <cellStyle name="20% - Accent3 9" xfId="3802"/>
    <cellStyle name="20% - Accent3 9 2" xfId="3803"/>
    <cellStyle name="20% - Accent3 9 2 2" xfId="3804"/>
    <cellStyle name="20% - Accent3 9 3" xfId="3805"/>
    <cellStyle name="20% - Accent4" xfId="3099" builtinId="42" customBuiltin="1"/>
    <cellStyle name="20% - Accent4 10" xfId="3806"/>
    <cellStyle name="20% - Accent4 10 2" xfId="3807"/>
    <cellStyle name="20% - Accent4 10 2 2" xfId="3808"/>
    <cellStyle name="20% - Accent4 10 3" xfId="3809"/>
    <cellStyle name="20% - Accent4 11" xfId="3810"/>
    <cellStyle name="20% - Accent4 11 2" xfId="3811"/>
    <cellStyle name="20% - Accent4 11 2 2" xfId="3812"/>
    <cellStyle name="20% - Accent4 11 3" xfId="3813"/>
    <cellStyle name="20% - Accent4 12" xfId="3814"/>
    <cellStyle name="20% - Accent4 12 2" xfId="3815"/>
    <cellStyle name="20% - Accent4 12 2 2" xfId="3816"/>
    <cellStyle name="20% - Accent4 12 3" xfId="3817"/>
    <cellStyle name="20% - Accent4 13" xfId="3818"/>
    <cellStyle name="20% - Accent4 13 2" xfId="3819"/>
    <cellStyle name="20% - Accent4 14" xfId="3820"/>
    <cellStyle name="20% - Accent4 2" xfId="58"/>
    <cellStyle name="20% - Accent4 2 2" xfId="220"/>
    <cellStyle name="20% - Accent4 2 2 2" xfId="516"/>
    <cellStyle name="20% - Accent4 2 2 2 2" xfId="1942"/>
    <cellStyle name="20% - Accent4 2 2 2 2 2" xfId="3825"/>
    <cellStyle name="20% - Accent4 2 2 2 2 2 2" xfId="3826"/>
    <cellStyle name="20% - Accent4 2 2 2 2 2 2 2" xfId="3827"/>
    <cellStyle name="20% - Accent4 2 2 2 2 2 3" xfId="3828"/>
    <cellStyle name="20% - Accent4 2 2 2 2 3" xfId="3829"/>
    <cellStyle name="20% - Accent4 2 2 2 2 3 2" xfId="3830"/>
    <cellStyle name="20% - Accent4 2 2 2 2 4" xfId="3831"/>
    <cellStyle name="20% - Accent4 2 2 2 2 5" xfId="3824"/>
    <cellStyle name="20% - Accent4 2 2 2 3" xfId="3832"/>
    <cellStyle name="20% - Accent4 2 2 2 3 2" xfId="3833"/>
    <cellStyle name="20% - Accent4 2 2 2 3 2 2" xfId="3834"/>
    <cellStyle name="20% - Accent4 2 2 2 3 3" xfId="3835"/>
    <cellStyle name="20% - Accent4 2 2 2 4" xfId="3836"/>
    <cellStyle name="20% - Accent4 2 2 2 4 2" xfId="3837"/>
    <cellStyle name="20% - Accent4 2 2 2 5" xfId="3838"/>
    <cellStyle name="20% - Accent4 2 2 2 6" xfId="3823"/>
    <cellStyle name="20% - Accent4 2 2 3" xfId="1785"/>
    <cellStyle name="20% - Accent4 2 2 3 2" xfId="3840"/>
    <cellStyle name="20% - Accent4 2 2 3 2 2" xfId="3841"/>
    <cellStyle name="20% - Accent4 2 2 3 2 2 2" xfId="3842"/>
    <cellStyle name="20% - Accent4 2 2 3 2 3" xfId="3843"/>
    <cellStyle name="20% - Accent4 2 2 3 3" xfId="3844"/>
    <cellStyle name="20% - Accent4 2 2 3 3 2" xfId="3845"/>
    <cellStyle name="20% - Accent4 2 2 3 4" xfId="3846"/>
    <cellStyle name="20% - Accent4 2 2 3 5" xfId="3839"/>
    <cellStyle name="20% - Accent4 2 2 4" xfId="3847"/>
    <cellStyle name="20% - Accent4 2 2 4 2" xfId="3848"/>
    <cellStyle name="20% - Accent4 2 2 4 2 2" xfId="3849"/>
    <cellStyle name="20% - Accent4 2 2 4 3" xfId="3850"/>
    <cellStyle name="20% - Accent4 2 2 5" xfId="3851"/>
    <cellStyle name="20% - Accent4 2 2 5 2" xfId="3852"/>
    <cellStyle name="20% - Accent4 2 2 6" xfId="3853"/>
    <cellStyle name="20% - Accent4 2 2 7" xfId="3822"/>
    <cellStyle name="20% - Accent4 2 3" xfId="221"/>
    <cellStyle name="20% - Accent4 2 3 2" xfId="517"/>
    <cellStyle name="20% - Accent4 2 3 2 2" xfId="1943"/>
    <cellStyle name="20% - Accent4 2 3 2 2 2" xfId="3857"/>
    <cellStyle name="20% - Accent4 2 3 2 2 2 2" xfId="3858"/>
    <cellStyle name="20% - Accent4 2 3 2 2 3" xfId="3859"/>
    <cellStyle name="20% - Accent4 2 3 2 2 4" xfId="3856"/>
    <cellStyle name="20% - Accent4 2 3 2 3" xfId="3860"/>
    <cellStyle name="20% - Accent4 2 3 2 3 2" xfId="3861"/>
    <cellStyle name="20% - Accent4 2 3 2 4" xfId="3862"/>
    <cellStyle name="20% - Accent4 2 3 2 5" xfId="3855"/>
    <cellStyle name="20% - Accent4 2 3 3" xfId="1786"/>
    <cellStyle name="20% - Accent4 2 3 3 2" xfId="3864"/>
    <cellStyle name="20% - Accent4 2 3 3 2 2" xfId="3865"/>
    <cellStyle name="20% - Accent4 2 3 3 3" xfId="3866"/>
    <cellStyle name="20% - Accent4 2 3 3 4" xfId="3863"/>
    <cellStyle name="20% - Accent4 2 3 4" xfId="3867"/>
    <cellStyle name="20% - Accent4 2 3 4 2" xfId="3868"/>
    <cellStyle name="20% - Accent4 2 3 5" xfId="3869"/>
    <cellStyle name="20% - Accent4 2 3 6" xfId="3854"/>
    <cellStyle name="20% - Accent4 2 4" xfId="222"/>
    <cellStyle name="20% - Accent4 2 4 2" xfId="518"/>
    <cellStyle name="20% - Accent4 2 4 2 2" xfId="1944"/>
    <cellStyle name="20% - Accent4 2 4 2 2 2" xfId="3873"/>
    <cellStyle name="20% - Accent4 2 4 2 2 3" xfId="3872"/>
    <cellStyle name="20% - Accent4 2 4 2 3" xfId="3874"/>
    <cellStyle name="20% - Accent4 2 4 2 4" xfId="3871"/>
    <cellStyle name="20% - Accent4 2 4 3" xfId="1787"/>
    <cellStyle name="20% - Accent4 2 4 3 2" xfId="3876"/>
    <cellStyle name="20% - Accent4 2 4 3 3" xfId="3875"/>
    <cellStyle name="20% - Accent4 2 4 4" xfId="3877"/>
    <cellStyle name="20% - Accent4 2 4 5" xfId="3870"/>
    <cellStyle name="20% - Accent4 2 5" xfId="396"/>
    <cellStyle name="20% - Accent4 2 5 2" xfId="1936"/>
    <cellStyle name="20% - Accent4 2 5 2 2" xfId="3880"/>
    <cellStyle name="20% - Accent4 2 5 2 3" xfId="3879"/>
    <cellStyle name="20% - Accent4 2 5 3" xfId="3881"/>
    <cellStyle name="20% - Accent4 2 5 4" xfId="3878"/>
    <cellStyle name="20% - Accent4 2 6" xfId="1642"/>
    <cellStyle name="20% - Accent4 2 6 2" xfId="3883"/>
    <cellStyle name="20% - Accent4 2 6 3" xfId="3882"/>
    <cellStyle name="20% - Accent4 2 7" xfId="3884"/>
    <cellStyle name="20% - Accent4 2 8" xfId="3821"/>
    <cellStyle name="20% - Accent4 3" xfId="160"/>
    <cellStyle name="20% - Accent4 3 2" xfId="223"/>
    <cellStyle name="20% - Accent4 3 2 2" xfId="519"/>
    <cellStyle name="20% - Accent4 3 2 2 2" xfId="1945"/>
    <cellStyle name="20% - Accent4 3 2 2 2 2" xfId="3889"/>
    <cellStyle name="20% - Accent4 3 2 2 2 2 2" xfId="3890"/>
    <cellStyle name="20% - Accent4 3 2 2 2 2 2 2" xfId="3891"/>
    <cellStyle name="20% - Accent4 3 2 2 2 2 3" xfId="3892"/>
    <cellStyle name="20% - Accent4 3 2 2 2 3" xfId="3893"/>
    <cellStyle name="20% - Accent4 3 2 2 2 3 2" xfId="3894"/>
    <cellStyle name="20% - Accent4 3 2 2 2 4" xfId="3895"/>
    <cellStyle name="20% - Accent4 3 2 2 2 5" xfId="3888"/>
    <cellStyle name="20% - Accent4 3 2 2 3" xfId="3896"/>
    <cellStyle name="20% - Accent4 3 2 2 3 2" xfId="3897"/>
    <cellStyle name="20% - Accent4 3 2 2 3 2 2" xfId="3898"/>
    <cellStyle name="20% - Accent4 3 2 2 3 3" xfId="3899"/>
    <cellStyle name="20% - Accent4 3 2 2 4" xfId="3900"/>
    <cellStyle name="20% - Accent4 3 2 2 4 2" xfId="3901"/>
    <cellStyle name="20% - Accent4 3 2 2 5" xfId="3902"/>
    <cellStyle name="20% - Accent4 3 2 2 6" xfId="3887"/>
    <cellStyle name="20% - Accent4 3 2 3" xfId="1788"/>
    <cellStyle name="20% - Accent4 3 2 3 2" xfId="3904"/>
    <cellStyle name="20% - Accent4 3 2 3 2 2" xfId="3905"/>
    <cellStyle name="20% - Accent4 3 2 3 2 2 2" xfId="3906"/>
    <cellStyle name="20% - Accent4 3 2 3 2 3" xfId="3907"/>
    <cellStyle name="20% - Accent4 3 2 3 3" xfId="3908"/>
    <cellStyle name="20% - Accent4 3 2 3 3 2" xfId="3909"/>
    <cellStyle name="20% - Accent4 3 2 3 4" xfId="3910"/>
    <cellStyle name="20% - Accent4 3 2 3 5" xfId="3903"/>
    <cellStyle name="20% - Accent4 3 2 4" xfId="3911"/>
    <cellStyle name="20% - Accent4 3 2 4 2" xfId="3912"/>
    <cellStyle name="20% - Accent4 3 2 4 2 2" xfId="3913"/>
    <cellStyle name="20% - Accent4 3 2 4 3" xfId="3914"/>
    <cellStyle name="20% - Accent4 3 2 5" xfId="3915"/>
    <cellStyle name="20% - Accent4 3 2 5 2" xfId="3916"/>
    <cellStyle name="20% - Accent4 3 2 6" xfId="3917"/>
    <cellStyle name="20% - Accent4 3 2 7" xfId="3886"/>
    <cellStyle name="20% - Accent4 3 3" xfId="224"/>
    <cellStyle name="20% - Accent4 3 3 2" xfId="520"/>
    <cellStyle name="20% - Accent4 3 3 2 2" xfId="1946"/>
    <cellStyle name="20% - Accent4 3 3 2 2 2" xfId="3921"/>
    <cellStyle name="20% - Accent4 3 3 2 2 2 2" xfId="3922"/>
    <cellStyle name="20% - Accent4 3 3 2 2 3" xfId="3923"/>
    <cellStyle name="20% - Accent4 3 3 2 2 4" xfId="3920"/>
    <cellStyle name="20% - Accent4 3 3 2 3" xfId="3924"/>
    <cellStyle name="20% - Accent4 3 3 2 3 2" xfId="3925"/>
    <cellStyle name="20% - Accent4 3 3 2 4" xfId="3926"/>
    <cellStyle name="20% - Accent4 3 3 2 5" xfId="3919"/>
    <cellStyle name="20% - Accent4 3 3 3" xfId="1789"/>
    <cellStyle name="20% - Accent4 3 3 3 2" xfId="3928"/>
    <cellStyle name="20% - Accent4 3 3 3 2 2" xfId="3929"/>
    <cellStyle name="20% - Accent4 3 3 3 3" xfId="3930"/>
    <cellStyle name="20% - Accent4 3 3 3 4" xfId="3927"/>
    <cellStyle name="20% - Accent4 3 3 4" xfId="3931"/>
    <cellStyle name="20% - Accent4 3 3 4 2" xfId="3932"/>
    <cellStyle name="20% - Accent4 3 3 5" xfId="3933"/>
    <cellStyle name="20% - Accent4 3 3 6" xfId="3918"/>
    <cellStyle name="20% - Accent4 3 4" xfId="225"/>
    <cellStyle name="20% - Accent4 3 4 2" xfId="521"/>
    <cellStyle name="20% - Accent4 3 4 2 2" xfId="1947"/>
    <cellStyle name="20% - Accent4 3 4 2 2 2" xfId="3937"/>
    <cellStyle name="20% - Accent4 3 4 2 2 3" xfId="3936"/>
    <cellStyle name="20% - Accent4 3 4 2 3" xfId="3938"/>
    <cellStyle name="20% - Accent4 3 4 2 4" xfId="3935"/>
    <cellStyle name="20% - Accent4 3 4 3" xfId="1790"/>
    <cellStyle name="20% - Accent4 3 4 3 2" xfId="3940"/>
    <cellStyle name="20% - Accent4 3 4 3 3" xfId="3939"/>
    <cellStyle name="20% - Accent4 3 4 4" xfId="3941"/>
    <cellStyle name="20% - Accent4 3 4 5" xfId="3934"/>
    <cellStyle name="20% - Accent4 3 5" xfId="472"/>
    <cellStyle name="20% - Accent4 3 5 2" xfId="1938"/>
    <cellStyle name="20% - Accent4 3 5 2 2" xfId="3944"/>
    <cellStyle name="20% - Accent4 3 5 2 3" xfId="3943"/>
    <cellStyle name="20% - Accent4 3 5 3" xfId="3945"/>
    <cellStyle name="20% - Accent4 3 5 4" xfId="3942"/>
    <cellStyle name="20% - Accent4 3 6" xfId="1729"/>
    <cellStyle name="20% - Accent4 3 6 2" xfId="3947"/>
    <cellStyle name="20% - Accent4 3 6 3" xfId="3946"/>
    <cellStyle name="20% - Accent4 3 7" xfId="3948"/>
    <cellStyle name="20% - Accent4 3 8" xfId="3885"/>
    <cellStyle name="20% - Accent4 4" xfId="162"/>
    <cellStyle name="20% - Accent4 4 2" xfId="226"/>
    <cellStyle name="20% - Accent4 4 2 2" xfId="522"/>
    <cellStyle name="20% - Accent4 4 2 2 2" xfId="1948"/>
    <cellStyle name="20% - Accent4 4 2 2 2 2" xfId="3953"/>
    <cellStyle name="20% - Accent4 4 2 2 2 2 2" xfId="3954"/>
    <cellStyle name="20% - Accent4 4 2 2 2 2 2 2" xfId="3955"/>
    <cellStyle name="20% - Accent4 4 2 2 2 2 3" xfId="3956"/>
    <cellStyle name="20% - Accent4 4 2 2 2 3" xfId="3957"/>
    <cellStyle name="20% - Accent4 4 2 2 2 3 2" xfId="3958"/>
    <cellStyle name="20% - Accent4 4 2 2 2 4" xfId="3959"/>
    <cellStyle name="20% - Accent4 4 2 2 2 5" xfId="3952"/>
    <cellStyle name="20% - Accent4 4 2 2 3" xfId="3960"/>
    <cellStyle name="20% - Accent4 4 2 2 3 2" xfId="3961"/>
    <cellStyle name="20% - Accent4 4 2 2 3 2 2" xfId="3962"/>
    <cellStyle name="20% - Accent4 4 2 2 3 3" xfId="3963"/>
    <cellStyle name="20% - Accent4 4 2 2 4" xfId="3964"/>
    <cellStyle name="20% - Accent4 4 2 2 4 2" xfId="3965"/>
    <cellStyle name="20% - Accent4 4 2 2 5" xfId="3966"/>
    <cellStyle name="20% - Accent4 4 2 2 6" xfId="3951"/>
    <cellStyle name="20% - Accent4 4 2 3" xfId="1791"/>
    <cellStyle name="20% - Accent4 4 2 3 2" xfId="3968"/>
    <cellStyle name="20% - Accent4 4 2 3 2 2" xfId="3969"/>
    <cellStyle name="20% - Accent4 4 2 3 2 2 2" xfId="3970"/>
    <cellStyle name="20% - Accent4 4 2 3 2 3" xfId="3971"/>
    <cellStyle name="20% - Accent4 4 2 3 3" xfId="3972"/>
    <cellStyle name="20% - Accent4 4 2 3 3 2" xfId="3973"/>
    <cellStyle name="20% - Accent4 4 2 3 4" xfId="3974"/>
    <cellStyle name="20% - Accent4 4 2 3 5" xfId="3967"/>
    <cellStyle name="20% - Accent4 4 2 4" xfId="3975"/>
    <cellStyle name="20% - Accent4 4 2 4 2" xfId="3976"/>
    <cellStyle name="20% - Accent4 4 2 4 2 2" xfId="3977"/>
    <cellStyle name="20% - Accent4 4 2 4 3" xfId="3978"/>
    <cellStyle name="20% - Accent4 4 2 5" xfId="3979"/>
    <cellStyle name="20% - Accent4 4 2 5 2" xfId="3980"/>
    <cellStyle name="20% - Accent4 4 2 6" xfId="3981"/>
    <cellStyle name="20% - Accent4 4 2 7" xfId="3950"/>
    <cellStyle name="20% - Accent4 4 3" xfId="227"/>
    <cellStyle name="20% - Accent4 4 3 2" xfId="523"/>
    <cellStyle name="20% - Accent4 4 3 2 2" xfId="1949"/>
    <cellStyle name="20% - Accent4 4 3 2 2 2" xfId="3985"/>
    <cellStyle name="20% - Accent4 4 3 2 2 2 2" xfId="3986"/>
    <cellStyle name="20% - Accent4 4 3 2 2 3" xfId="3987"/>
    <cellStyle name="20% - Accent4 4 3 2 2 4" xfId="3984"/>
    <cellStyle name="20% - Accent4 4 3 2 3" xfId="3988"/>
    <cellStyle name="20% - Accent4 4 3 2 3 2" xfId="3989"/>
    <cellStyle name="20% - Accent4 4 3 2 4" xfId="3990"/>
    <cellStyle name="20% - Accent4 4 3 2 5" xfId="3983"/>
    <cellStyle name="20% - Accent4 4 3 3" xfId="1792"/>
    <cellStyle name="20% - Accent4 4 3 3 2" xfId="3992"/>
    <cellStyle name="20% - Accent4 4 3 3 2 2" xfId="3993"/>
    <cellStyle name="20% - Accent4 4 3 3 3" xfId="3994"/>
    <cellStyle name="20% - Accent4 4 3 3 4" xfId="3991"/>
    <cellStyle name="20% - Accent4 4 3 4" xfId="3995"/>
    <cellStyle name="20% - Accent4 4 3 4 2" xfId="3996"/>
    <cellStyle name="20% - Accent4 4 3 5" xfId="3997"/>
    <cellStyle name="20% - Accent4 4 3 6" xfId="3982"/>
    <cellStyle name="20% - Accent4 4 4" xfId="228"/>
    <cellStyle name="20% - Accent4 4 4 2" xfId="524"/>
    <cellStyle name="20% - Accent4 4 4 2 2" xfId="1950"/>
    <cellStyle name="20% - Accent4 4 4 2 2 2" xfId="4001"/>
    <cellStyle name="20% - Accent4 4 4 2 2 3" xfId="4000"/>
    <cellStyle name="20% - Accent4 4 4 2 3" xfId="4002"/>
    <cellStyle name="20% - Accent4 4 4 2 4" xfId="3999"/>
    <cellStyle name="20% - Accent4 4 4 3" xfId="1793"/>
    <cellStyle name="20% - Accent4 4 4 3 2" xfId="4004"/>
    <cellStyle name="20% - Accent4 4 4 3 3" xfId="4003"/>
    <cellStyle name="20% - Accent4 4 4 4" xfId="4005"/>
    <cellStyle name="20% - Accent4 4 4 5" xfId="3998"/>
    <cellStyle name="20% - Accent4 4 5" xfId="473"/>
    <cellStyle name="20% - Accent4 4 5 2" xfId="1939"/>
    <cellStyle name="20% - Accent4 4 5 2 2" xfId="4008"/>
    <cellStyle name="20% - Accent4 4 5 2 3" xfId="4007"/>
    <cellStyle name="20% - Accent4 4 5 3" xfId="4009"/>
    <cellStyle name="20% - Accent4 4 5 4" xfId="4006"/>
    <cellStyle name="20% - Accent4 4 6" xfId="1731"/>
    <cellStyle name="20% - Accent4 4 6 2" xfId="4011"/>
    <cellStyle name="20% - Accent4 4 6 3" xfId="4010"/>
    <cellStyle name="20% - Accent4 4 7" xfId="4012"/>
    <cellStyle name="20% - Accent4 4 8" xfId="3949"/>
    <cellStyle name="20% - Accent4 5" xfId="167"/>
    <cellStyle name="20% - Accent4 5 2" xfId="4014"/>
    <cellStyle name="20% - Accent4 5 2 2" xfId="4015"/>
    <cellStyle name="20% - Accent4 5 2 2 2" xfId="4016"/>
    <cellStyle name="20% - Accent4 5 2 2 2 2" xfId="4017"/>
    <cellStyle name="20% - Accent4 5 2 2 2 2 2" xfId="4018"/>
    <cellStyle name="20% - Accent4 5 2 2 2 3" xfId="4019"/>
    <cellStyle name="20% - Accent4 5 2 2 3" xfId="4020"/>
    <cellStyle name="20% - Accent4 5 2 2 3 2" xfId="4021"/>
    <cellStyle name="20% - Accent4 5 2 2 4" xfId="4022"/>
    <cellStyle name="20% - Accent4 5 2 3" xfId="4023"/>
    <cellStyle name="20% - Accent4 5 2 3 2" xfId="4024"/>
    <cellStyle name="20% - Accent4 5 2 3 2 2" xfId="4025"/>
    <cellStyle name="20% - Accent4 5 2 3 3" xfId="4026"/>
    <cellStyle name="20% - Accent4 5 2 4" xfId="4027"/>
    <cellStyle name="20% - Accent4 5 2 4 2" xfId="4028"/>
    <cellStyle name="20% - Accent4 5 2 5" xfId="4029"/>
    <cellStyle name="20% - Accent4 5 3" xfId="4030"/>
    <cellStyle name="20% - Accent4 5 3 2" xfId="4031"/>
    <cellStyle name="20% - Accent4 5 3 2 2" xfId="4032"/>
    <cellStyle name="20% - Accent4 5 3 2 2 2" xfId="4033"/>
    <cellStyle name="20% - Accent4 5 3 2 3" xfId="4034"/>
    <cellStyle name="20% - Accent4 5 3 3" xfId="4035"/>
    <cellStyle name="20% - Accent4 5 3 3 2" xfId="4036"/>
    <cellStyle name="20% - Accent4 5 3 4" xfId="4037"/>
    <cellStyle name="20% - Accent4 5 4" xfId="4038"/>
    <cellStyle name="20% - Accent4 5 4 2" xfId="4039"/>
    <cellStyle name="20% - Accent4 5 4 2 2" xfId="4040"/>
    <cellStyle name="20% - Accent4 5 4 3" xfId="4041"/>
    <cellStyle name="20% - Accent4 5 5" xfId="4042"/>
    <cellStyle name="20% - Accent4 5 5 2" xfId="4043"/>
    <cellStyle name="20% - Accent4 5 6" xfId="4044"/>
    <cellStyle name="20% - Accent4 5 7" xfId="4013"/>
    <cellStyle name="20% - Accent4 6" xfId="4045"/>
    <cellStyle name="20% - Accent4 6 2" xfId="4046"/>
    <cellStyle name="20% - Accent4 6 2 2" xfId="4047"/>
    <cellStyle name="20% - Accent4 6 2 2 2" xfId="4048"/>
    <cellStyle name="20% - Accent4 6 2 2 2 2" xfId="4049"/>
    <cellStyle name="20% - Accent4 6 2 2 3" xfId="4050"/>
    <cellStyle name="20% - Accent4 6 2 3" xfId="4051"/>
    <cellStyle name="20% - Accent4 6 2 3 2" xfId="4052"/>
    <cellStyle name="20% - Accent4 6 2 4" xfId="4053"/>
    <cellStyle name="20% - Accent4 6 3" xfId="4054"/>
    <cellStyle name="20% - Accent4 6 3 2" xfId="4055"/>
    <cellStyle name="20% - Accent4 6 3 2 2" xfId="4056"/>
    <cellStyle name="20% - Accent4 6 3 3" xfId="4057"/>
    <cellStyle name="20% - Accent4 6 4" xfId="4058"/>
    <cellStyle name="20% - Accent4 6 4 2" xfId="4059"/>
    <cellStyle name="20% - Accent4 6 5" xfId="4060"/>
    <cellStyle name="20% - Accent4 7" xfId="4061"/>
    <cellStyle name="20% - Accent4 7 2" xfId="4062"/>
    <cellStyle name="20% - Accent4 7 2 2" xfId="4063"/>
    <cellStyle name="20% - Accent4 7 2 2 2" xfId="4064"/>
    <cellStyle name="20% - Accent4 7 2 3" xfId="4065"/>
    <cellStyle name="20% - Accent4 7 3" xfId="4066"/>
    <cellStyle name="20% - Accent4 7 3 2" xfId="4067"/>
    <cellStyle name="20% - Accent4 7 4" xfId="4068"/>
    <cellStyle name="20% - Accent4 8" xfId="4069"/>
    <cellStyle name="20% - Accent4 8 2" xfId="4070"/>
    <cellStyle name="20% - Accent4 8 2 2" xfId="4071"/>
    <cellStyle name="20% - Accent4 8 2 2 2" xfId="4072"/>
    <cellStyle name="20% - Accent4 8 2 3" xfId="4073"/>
    <cellStyle name="20% - Accent4 8 3" xfId="4074"/>
    <cellStyle name="20% - Accent4 8 3 2" xfId="4075"/>
    <cellStyle name="20% - Accent4 8 4" xfId="4076"/>
    <cellStyle name="20% - Accent4 9" xfId="4077"/>
    <cellStyle name="20% - Accent4 9 2" xfId="4078"/>
    <cellStyle name="20% - Accent4 9 2 2" xfId="4079"/>
    <cellStyle name="20% - Accent4 9 2 2 2" xfId="4080"/>
    <cellStyle name="20% - Accent4 9 2 3" xfId="4081"/>
    <cellStyle name="20% - Accent4 9 3" xfId="4082"/>
    <cellStyle name="20% - Accent4 9 3 2" xfId="4083"/>
    <cellStyle name="20% - Accent4 9 4" xfId="4084"/>
    <cellStyle name="20% - Accent5" xfId="3103" builtinId="46" customBuiltin="1"/>
    <cellStyle name="20% - Accent5 10" xfId="4085"/>
    <cellStyle name="20% - Accent5 10 2" xfId="4086"/>
    <cellStyle name="20% - Accent5 10 2 2" xfId="4087"/>
    <cellStyle name="20% - Accent5 10 3" xfId="4088"/>
    <cellStyle name="20% - Accent5 11" xfId="4089"/>
    <cellStyle name="20% - Accent5 11 2" xfId="4090"/>
    <cellStyle name="20% - Accent5 11 2 2" xfId="4091"/>
    <cellStyle name="20% - Accent5 11 3" xfId="4092"/>
    <cellStyle name="20% - Accent5 12" xfId="4093"/>
    <cellStyle name="20% - Accent5 12 2" xfId="4094"/>
    <cellStyle name="20% - Accent5 13" xfId="4095"/>
    <cellStyle name="20% - Accent5 2" xfId="168"/>
    <cellStyle name="20% - Accent5 2 2" xfId="4097"/>
    <cellStyle name="20% - Accent5 2 2 2" xfId="4098"/>
    <cellStyle name="20% - Accent5 2 2 2 2" xfId="4099"/>
    <cellStyle name="20% - Accent5 2 2 2 2 2" xfId="4100"/>
    <cellStyle name="20% - Accent5 2 2 2 2 2 2" xfId="4101"/>
    <cellStyle name="20% - Accent5 2 2 2 2 2 2 2" xfId="4102"/>
    <cellStyle name="20% - Accent5 2 2 2 2 2 3" xfId="4103"/>
    <cellStyle name="20% - Accent5 2 2 2 2 3" xfId="4104"/>
    <cellStyle name="20% - Accent5 2 2 2 2 3 2" xfId="4105"/>
    <cellStyle name="20% - Accent5 2 2 2 2 4" xfId="4106"/>
    <cellStyle name="20% - Accent5 2 2 2 3" xfId="4107"/>
    <cellStyle name="20% - Accent5 2 2 2 3 2" xfId="4108"/>
    <cellStyle name="20% - Accent5 2 2 2 3 2 2" xfId="4109"/>
    <cellStyle name="20% - Accent5 2 2 2 3 3" xfId="4110"/>
    <cellStyle name="20% - Accent5 2 2 2 4" xfId="4111"/>
    <cellStyle name="20% - Accent5 2 2 2 4 2" xfId="4112"/>
    <cellStyle name="20% - Accent5 2 2 2 5" xfId="4113"/>
    <cellStyle name="20% - Accent5 2 2 3" xfId="4114"/>
    <cellStyle name="20% - Accent5 2 2 3 2" xfId="4115"/>
    <cellStyle name="20% - Accent5 2 2 3 2 2" xfId="4116"/>
    <cellStyle name="20% - Accent5 2 2 3 2 2 2" xfId="4117"/>
    <cellStyle name="20% - Accent5 2 2 3 2 3" xfId="4118"/>
    <cellStyle name="20% - Accent5 2 2 3 3" xfId="4119"/>
    <cellStyle name="20% - Accent5 2 2 3 3 2" xfId="4120"/>
    <cellStyle name="20% - Accent5 2 2 3 4" xfId="4121"/>
    <cellStyle name="20% - Accent5 2 2 4" xfId="4122"/>
    <cellStyle name="20% - Accent5 2 2 4 2" xfId="4123"/>
    <cellStyle name="20% - Accent5 2 2 4 2 2" xfId="4124"/>
    <cellStyle name="20% - Accent5 2 2 4 3" xfId="4125"/>
    <cellStyle name="20% - Accent5 2 2 5" xfId="4126"/>
    <cellStyle name="20% - Accent5 2 2 5 2" xfId="4127"/>
    <cellStyle name="20% - Accent5 2 2 6" xfId="4128"/>
    <cellStyle name="20% - Accent5 2 3" xfId="4129"/>
    <cellStyle name="20% - Accent5 2 3 2" xfId="4130"/>
    <cellStyle name="20% - Accent5 2 3 2 2" xfId="4131"/>
    <cellStyle name="20% - Accent5 2 3 2 2 2" xfId="4132"/>
    <cellStyle name="20% - Accent5 2 3 2 2 2 2" xfId="4133"/>
    <cellStyle name="20% - Accent5 2 3 2 2 3" xfId="4134"/>
    <cellStyle name="20% - Accent5 2 3 2 3" xfId="4135"/>
    <cellStyle name="20% - Accent5 2 3 2 3 2" xfId="4136"/>
    <cellStyle name="20% - Accent5 2 3 2 4" xfId="4137"/>
    <cellStyle name="20% - Accent5 2 3 3" xfId="4138"/>
    <cellStyle name="20% - Accent5 2 3 3 2" xfId="4139"/>
    <cellStyle name="20% - Accent5 2 3 3 2 2" xfId="4140"/>
    <cellStyle name="20% - Accent5 2 3 3 3" xfId="4141"/>
    <cellStyle name="20% - Accent5 2 3 4" xfId="4142"/>
    <cellStyle name="20% - Accent5 2 3 4 2" xfId="4143"/>
    <cellStyle name="20% - Accent5 2 3 5" xfId="4144"/>
    <cellStyle name="20% - Accent5 2 4" xfId="4145"/>
    <cellStyle name="20% - Accent5 2 4 2" xfId="4146"/>
    <cellStyle name="20% - Accent5 2 4 2 2" xfId="4147"/>
    <cellStyle name="20% - Accent5 2 4 2 2 2" xfId="4148"/>
    <cellStyle name="20% - Accent5 2 4 2 3" xfId="4149"/>
    <cellStyle name="20% - Accent5 2 4 3" xfId="4150"/>
    <cellStyle name="20% - Accent5 2 4 3 2" xfId="4151"/>
    <cellStyle name="20% - Accent5 2 4 4" xfId="4152"/>
    <cellStyle name="20% - Accent5 2 5" xfId="4153"/>
    <cellStyle name="20% - Accent5 2 5 2" xfId="4154"/>
    <cellStyle name="20% - Accent5 2 5 2 2" xfId="4155"/>
    <cellStyle name="20% - Accent5 2 5 3" xfId="4156"/>
    <cellStyle name="20% - Accent5 2 6" xfId="4157"/>
    <cellStyle name="20% - Accent5 2 6 2" xfId="4158"/>
    <cellStyle name="20% - Accent5 2 7" xfId="4159"/>
    <cellStyle name="20% - Accent5 2 8" xfId="4096"/>
    <cellStyle name="20% - Accent5 3" xfId="3125"/>
    <cellStyle name="20% - Accent5 3 2" xfId="4161"/>
    <cellStyle name="20% - Accent5 3 2 2" xfId="4162"/>
    <cellStyle name="20% - Accent5 3 2 2 2" xfId="4163"/>
    <cellStyle name="20% - Accent5 3 2 2 2 2" xfId="4164"/>
    <cellStyle name="20% - Accent5 3 2 2 2 2 2" xfId="4165"/>
    <cellStyle name="20% - Accent5 3 2 2 2 2 2 2" xfId="4166"/>
    <cellStyle name="20% - Accent5 3 2 2 2 2 3" xfId="4167"/>
    <cellStyle name="20% - Accent5 3 2 2 2 3" xfId="4168"/>
    <cellStyle name="20% - Accent5 3 2 2 2 3 2" xfId="4169"/>
    <cellStyle name="20% - Accent5 3 2 2 2 4" xfId="4170"/>
    <cellStyle name="20% - Accent5 3 2 2 3" xfId="4171"/>
    <cellStyle name="20% - Accent5 3 2 2 3 2" xfId="4172"/>
    <cellStyle name="20% - Accent5 3 2 2 3 2 2" xfId="4173"/>
    <cellStyle name="20% - Accent5 3 2 2 3 3" xfId="4174"/>
    <cellStyle name="20% - Accent5 3 2 2 4" xfId="4175"/>
    <cellStyle name="20% - Accent5 3 2 2 4 2" xfId="4176"/>
    <cellStyle name="20% - Accent5 3 2 2 5" xfId="4177"/>
    <cellStyle name="20% - Accent5 3 2 3" xfId="4178"/>
    <cellStyle name="20% - Accent5 3 2 3 2" xfId="4179"/>
    <cellStyle name="20% - Accent5 3 2 3 2 2" xfId="4180"/>
    <cellStyle name="20% - Accent5 3 2 3 2 2 2" xfId="4181"/>
    <cellStyle name="20% - Accent5 3 2 3 2 3" xfId="4182"/>
    <cellStyle name="20% - Accent5 3 2 3 3" xfId="4183"/>
    <cellStyle name="20% - Accent5 3 2 3 3 2" xfId="4184"/>
    <cellStyle name="20% - Accent5 3 2 3 4" xfId="4185"/>
    <cellStyle name="20% - Accent5 3 2 4" xfId="4186"/>
    <cellStyle name="20% - Accent5 3 2 4 2" xfId="4187"/>
    <cellStyle name="20% - Accent5 3 2 4 2 2" xfId="4188"/>
    <cellStyle name="20% - Accent5 3 2 4 3" xfId="4189"/>
    <cellStyle name="20% - Accent5 3 2 5" xfId="4190"/>
    <cellStyle name="20% - Accent5 3 2 5 2" xfId="4191"/>
    <cellStyle name="20% - Accent5 3 2 6" xfId="4192"/>
    <cellStyle name="20% - Accent5 3 3" xfId="4193"/>
    <cellStyle name="20% - Accent5 3 3 2" xfId="4194"/>
    <cellStyle name="20% - Accent5 3 3 2 2" xfId="4195"/>
    <cellStyle name="20% - Accent5 3 3 2 2 2" xfId="4196"/>
    <cellStyle name="20% - Accent5 3 3 2 2 2 2" xfId="4197"/>
    <cellStyle name="20% - Accent5 3 3 2 2 3" xfId="4198"/>
    <cellStyle name="20% - Accent5 3 3 2 3" xfId="4199"/>
    <cellStyle name="20% - Accent5 3 3 2 3 2" xfId="4200"/>
    <cellStyle name="20% - Accent5 3 3 2 4" xfId="4201"/>
    <cellStyle name="20% - Accent5 3 3 3" xfId="4202"/>
    <cellStyle name="20% - Accent5 3 3 3 2" xfId="4203"/>
    <cellStyle name="20% - Accent5 3 3 3 2 2" xfId="4204"/>
    <cellStyle name="20% - Accent5 3 3 3 3" xfId="4205"/>
    <cellStyle name="20% - Accent5 3 3 4" xfId="4206"/>
    <cellStyle name="20% - Accent5 3 3 4 2" xfId="4207"/>
    <cellStyle name="20% - Accent5 3 3 5" xfId="4208"/>
    <cellStyle name="20% - Accent5 3 4" xfId="4209"/>
    <cellStyle name="20% - Accent5 3 4 2" xfId="4210"/>
    <cellStyle name="20% - Accent5 3 4 2 2" xfId="4211"/>
    <cellStyle name="20% - Accent5 3 4 2 2 2" xfId="4212"/>
    <cellStyle name="20% - Accent5 3 4 2 3" xfId="4213"/>
    <cellStyle name="20% - Accent5 3 4 3" xfId="4214"/>
    <cellStyle name="20% - Accent5 3 4 3 2" xfId="4215"/>
    <cellStyle name="20% - Accent5 3 4 4" xfId="4216"/>
    <cellStyle name="20% - Accent5 3 5" xfId="4217"/>
    <cellStyle name="20% - Accent5 3 5 2" xfId="4218"/>
    <cellStyle name="20% - Accent5 3 5 2 2" xfId="4219"/>
    <cellStyle name="20% - Accent5 3 5 3" xfId="4220"/>
    <cellStyle name="20% - Accent5 3 6" xfId="4221"/>
    <cellStyle name="20% - Accent5 3 6 2" xfId="4222"/>
    <cellStyle name="20% - Accent5 3 7" xfId="4223"/>
    <cellStyle name="20% - Accent5 3 8" xfId="4160"/>
    <cellStyle name="20% - Accent5 4" xfId="4224"/>
    <cellStyle name="20% - Accent5 4 2" xfId="4225"/>
    <cellStyle name="20% - Accent5 4 2 2" xfId="4226"/>
    <cellStyle name="20% - Accent5 4 2 2 2" xfId="4227"/>
    <cellStyle name="20% - Accent5 4 2 2 2 2" xfId="4228"/>
    <cellStyle name="20% - Accent5 4 2 2 2 2 2" xfId="4229"/>
    <cellStyle name="20% - Accent5 4 2 2 2 3" xfId="4230"/>
    <cellStyle name="20% - Accent5 4 2 2 3" xfId="4231"/>
    <cellStyle name="20% - Accent5 4 2 2 3 2" xfId="4232"/>
    <cellStyle name="20% - Accent5 4 2 2 4" xfId="4233"/>
    <cellStyle name="20% - Accent5 4 2 3" xfId="4234"/>
    <cellStyle name="20% - Accent5 4 2 3 2" xfId="4235"/>
    <cellStyle name="20% - Accent5 4 2 3 2 2" xfId="4236"/>
    <cellStyle name="20% - Accent5 4 2 3 3" xfId="4237"/>
    <cellStyle name="20% - Accent5 4 2 4" xfId="4238"/>
    <cellStyle name="20% - Accent5 4 2 4 2" xfId="4239"/>
    <cellStyle name="20% - Accent5 4 2 5" xfId="4240"/>
    <cellStyle name="20% - Accent5 4 3" xfId="4241"/>
    <cellStyle name="20% - Accent5 4 3 2" xfId="4242"/>
    <cellStyle name="20% - Accent5 4 3 2 2" xfId="4243"/>
    <cellStyle name="20% - Accent5 4 3 2 2 2" xfId="4244"/>
    <cellStyle name="20% - Accent5 4 3 2 3" xfId="4245"/>
    <cellStyle name="20% - Accent5 4 3 3" xfId="4246"/>
    <cellStyle name="20% - Accent5 4 3 3 2" xfId="4247"/>
    <cellStyle name="20% - Accent5 4 3 4" xfId="4248"/>
    <cellStyle name="20% - Accent5 4 4" xfId="4249"/>
    <cellStyle name="20% - Accent5 4 4 2" xfId="4250"/>
    <cellStyle name="20% - Accent5 4 4 2 2" xfId="4251"/>
    <cellStyle name="20% - Accent5 4 4 3" xfId="4252"/>
    <cellStyle name="20% - Accent5 4 5" xfId="4253"/>
    <cellStyle name="20% - Accent5 4 5 2" xfId="4254"/>
    <cellStyle name="20% - Accent5 4 6" xfId="4255"/>
    <cellStyle name="20% - Accent5 5" xfId="4256"/>
    <cellStyle name="20% - Accent5 5 2" xfId="4257"/>
    <cellStyle name="20% - Accent5 5 2 2" xfId="4258"/>
    <cellStyle name="20% - Accent5 5 2 2 2" xfId="4259"/>
    <cellStyle name="20% - Accent5 5 2 2 2 2" xfId="4260"/>
    <cellStyle name="20% - Accent5 5 2 2 3" xfId="4261"/>
    <cellStyle name="20% - Accent5 5 2 3" xfId="4262"/>
    <cellStyle name="20% - Accent5 5 2 3 2" xfId="4263"/>
    <cellStyle name="20% - Accent5 5 2 4" xfId="4264"/>
    <cellStyle name="20% - Accent5 5 3" xfId="4265"/>
    <cellStyle name="20% - Accent5 5 3 2" xfId="4266"/>
    <cellStyle name="20% - Accent5 5 3 2 2" xfId="4267"/>
    <cellStyle name="20% - Accent5 5 3 3" xfId="4268"/>
    <cellStyle name="20% - Accent5 5 4" xfId="4269"/>
    <cellStyle name="20% - Accent5 5 4 2" xfId="4270"/>
    <cellStyle name="20% - Accent5 5 5" xfId="4271"/>
    <cellStyle name="20% - Accent5 6" xfId="4272"/>
    <cellStyle name="20% - Accent5 6 2" xfId="4273"/>
    <cellStyle name="20% - Accent5 6 2 2" xfId="4274"/>
    <cellStyle name="20% - Accent5 6 2 2 2" xfId="4275"/>
    <cellStyle name="20% - Accent5 6 2 3" xfId="4276"/>
    <cellStyle name="20% - Accent5 6 3" xfId="4277"/>
    <cellStyle name="20% - Accent5 6 3 2" xfId="4278"/>
    <cellStyle name="20% - Accent5 6 4" xfId="4279"/>
    <cellStyle name="20% - Accent5 7" xfId="4280"/>
    <cellStyle name="20% - Accent5 7 2" xfId="4281"/>
    <cellStyle name="20% - Accent5 7 2 2" xfId="4282"/>
    <cellStyle name="20% - Accent5 7 2 2 2" xfId="4283"/>
    <cellStyle name="20% - Accent5 7 2 3" xfId="4284"/>
    <cellStyle name="20% - Accent5 7 3" xfId="4285"/>
    <cellStyle name="20% - Accent5 7 3 2" xfId="4286"/>
    <cellStyle name="20% - Accent5 7 4" xfId="4287"/>
    <cellStyle name="20% - Accent5 8" xfId="4288"/>
    <cellStyle name="20% - Accent5 8 2" xfId="4289"/>
    <cellStyle name="20% - Accent5 8 2 2" xfId="4290"/>
    <cellStyle name="20% - Accent5 8 2 2 2" xfId="4291"/>
    <cellStyle name="20% - Accent5 8 2 3" xfId="4292"/>
    <cellStyle name="20% - Accent5 8 3" xfId="4293"/>
    <cellStyle name="20% - Accent5 8 3 2" xfId="4294"/>
    <cellStyle name="20% - Accent5 8 4" xfId="4295"/>
    <cellStyle name="20% - Accent5 9" xfId="4296"/>
    <cellStyle name="20% - Accent5 9 2" xfId="4297"/>
    <cellStyle name="20% - Accent5 9 2 2" xfId="4298"/>
    <cellStyle name="20% - Accent5 9 3" xfId="4299"/>
    <cellStyle name="20% - Accent6" xfId="3107" builtinId="50" customBuiltin="1"/>
    <cellStyle name="20% - Accent6 10" xfId="4300"/>
    <cellStyle name="20% - Accent6 10 2" xfId="4301"/>
    <cellStyle name="20% - Accent6 10 2 2" xfId="4302"/>
    <cellStyle name="20% - Accent6 10 3" xfId="4303"/>
    <cellStyle name="20% - Accent6 11" xfId="4304"/>
    <cellStyle name="20% - Accent6 11 2" xfId="4305"/>
    <cellStyle name="20% - Accent6 11 2 2" xfId="4306"/>
    <cellStyle name="20% - Accent6 11 3" xfId="4307"/>
    <cellStyle name="20% - Accent6 12" xfId="4308"/>
    <cellStyle name="20% - Accent6 12 2" xfId="4309"/>
    <cellStyle name="20% - Accent6 13" xfId="4310"/>
    <cellStyle name="20% - Accent6 2" xfId="169"/>
    <cellStyle name="20% - Accent6 2 2" xfId="4312"/>
    <cellStyle name="20% - Accent6 2 2 2" xfId="4313"/>
    <cellStyle name="20% - Accent6 2 2 2 2" xfId="4314"/>
    <cellStyle name="20% - Accent6 2 2 2 2 2" xfId="4315"/>
    <cellStyle name="20% - Accent6 2 2 2 2 2 2" xfId="4316"/>
    <cellStyle name="20% - Accent6 2 2 2 2 2 2 2" xfId="4317"/>
    <cellStyle name="20% - Accent6 2 2 2 2 2 3" xfId="4318"/>
    <cellStyle name="20% - Accent6 2 2 2 2 3" xfId="4319"/>
    <cellStyle name="20% - Accent6 2 2 2 2 3 2" xfId="4320"/>
    <cellStyle name="20% - Accent6 2 2 2 2 4" xfId="4321"/>
    <cellStyle name="20% - Accent6 2 2 2 3" xfId="4322"/>
    <cellStyle name="20% - Accent6 2 2 2 3 2" xfId="4323"/>
    <cellStyle name="20% - Accent6 2 2 2 3 2 2" xfId="4324"/>
    <cellStyle name="20% - Accent6 2 2 2 3 3" xfId="4325"/>
    <cellStyle name="20% - Accent6 2 2 2 4" xfId="4326"/>
    <cellStyle name="20% - Accent6 2 2 2 4 2" xfId="4327"/>
    <cellStyle name="20% - Accent6 2 2 2 5" xfId="4328"/>
    <cellStyle name="20% - Accent6 2 2 3" xfId="4329"/>
    <cellStyle name="20% - Accent6 2 2 3 2" xfId="4330"/>
    <cellStyle name="20% - Accent6 2 2 3 2 2" xfId="4331"/>
    <cellStyle name="20% - Accent6 2 2 3 2 2 2" xfId="4332"/>
    <cellStyle name="20% - Accent6 2 2 3 2 3" xfId="4333"/>
    <cellStyle name="20% - Accent6 2 2 3 3" xfId="4334"/>
    <cellStyle name="20% - Accent6 2 2 3 3 2" xfId="4335"/>
    <cellStyle name="20% - Accent6 2 2 3 4" xfId="4336"/>
    <cellStyle name="20% - Accent6 2 2 4" xfId="4337"/>
    <cellStyle name="20% - Accent6 2 2 4 2" xfId="4338"/>
    <cellStyle name="20% - Accent6 2 2 4 2 2" xfId="4339"/>
    <cellStyle name="20% - Accent6 2 2 4 3" xfId="4340"/>
    <cellStyle name="20% - Accent6 2 2 5" xfId="4341"/>
    <cellStyle name="20% - Accent6 2 2 5 2" xfId="4342"/>
    <cellStyle name="20% - Accent6 2 2 6" xfId="4343"/>
    <cellStyle name="20% - Accent6 2 3" xfId="4344"/>
    <cellStyle name="20% - Accent6 2 3 2" xfId="4345"/>
    <cellStyle name="20% - Accent6 2 3 2 2" xfId="4346"/>
    <cellStyle name="20% - Accent6 2 3 2 2 2" xfId="4347"/>
    <cellStyle name="20% - Accent6 2 3 2 2 2 2" xfId="4348"/>
    <cellStyle name="20% - Accent6 2 3 2 2 3" xfId="4349"/>
    <cellStyle name="20% - Accent6 2 3 2 3" xfId="4350"/>
    <cellStyle name="20% - Accent6 2 3 2 3 2" xfId="4351"/>
    <cellStyle name="20% - Accent6 2 3 2 4" xfId="4352"/>
    <cellStyle name="20% - Accent6 2 3 3" xfId="4353"/>
    <cellStyle name="20% - Accent6 2 3 3 2" xfId="4354"/>
    <cellStyle name="20% - Accent6 2 3 3 2 2" xfId="4355"/>
    <cellStyle name="20% - Accent6 2 3 3 3" xfId="4356"/>
    <cellStyle name="20% - Accent6 2 3 4" xfId="4357"/>
    <cellStyle name="20% - Accent6 2 3 4 2" xfId="4358"/>
    <cellStyle name="20% - Accent6 2 3 5" xfId="4359"/>
    <cellStyle name="20% - Accent6 2 4" xfId="4360"/>
    <cellStyle name="20% - Accent6 2 4 2" xfId="4361"/>
    <cellStyle name="20% - Accent6 2 4 2 2" xfId="4362"/>
    <cellStyle name="20% - Accent6 2 4 2 2 2" xfId="4363"/>
    <cellStyle name="20% - Accent6 2 4 2 3" xfId="4364"/>
    <cellStyle name="20% - Accent6 2 4 3" xfId="4365"/>
    <cellStyle name="20% - Accent6 2 4 3 2" xfId="4366"/>
    <cellStyle name="20% - Accent6 2 4 4" xfId="4367"/>
    <cellStyle name="20% - Accent6 2 5" xfId="4368"/>
    <cellStyle name="20% - Accent6 2 5 2" xfId="4369"/>
    <cellStyle name="20% - Accent6 2 5 2 2" xfId="4370"/>
    <cellStyle name="20% - Accent6 2 5 3" xfId="4371"/>
    <cellStyle name="20% - Accent6 2 6" xfId="4372"/>
    <cellStyle name="20% - Accent6 2 6 2" xfId="4373"/>
    <cellStyle name="20% - Accent6 2 7" xfId="4374"/>
    <cellStyle name="20% - Accent6 2 8" xfId="4311"/>
    <cellStyle name="20% - Accent6 3" xfId="3126"/>
    <cellStyle name="20% - Accent6 3 2" xfId="4376"/>
    <cellStyle name="20% - Accent6 3 2 2" xfId="4377"/>
    <cellStyle name="20% - Accent6 3 2 2 2" xfId="4378"/>
    <cellStyle name="20% - Accent6 3 2 2 2 2" xfId="4379"/>
    <cellStyle name="20% - Accent6 3 2 2 2 2 2" xfId="4380"/>
    <cellStyle name="20% - Accent6 3 2 2 2 2 2 2" xfId="4381"/>
    <cellStyle name="20% - Accent6 3 2 2 2 2 3" xfId="4382"/>
    <cellStyle name="20% - Accent6 3 2 2 2 3" xfId="4383"/>
    <cellStyle name="20% - Accent6 3 2 2 2 3 2" xfId="4384"/>
    <cellStyle name="20% - Accent6 3 2 2 2 4" xfId="4385"/>
    <cellStyle name="20% - Accent6 3 2 2 3" xfId="4386"/>
    <cellStyle name="20% - Accent6 3 2 2 3 2" xfId="4387"/>
    <cellStyle name="20% - Accent6 3 2 2 3 2 2" xfId="4388"/>
    <cellStyle name="20% - Accent6 3 2 2 3 3" xfId="4389"/>
    <cellStyle name="20% - Accent6 3 2 2 4" xfId="4390"/>
    <cellStyle name="20% - Accent6 3 2 2 4 2" xfId="4391"/>
    <cellStyle name="20% - Accent6 3 2 2 5" xfId="4392"/>
    <cellStyle name="20% - Accent6 3 2 3" xfId="4393"/>
    <cellStyle name="20% - Accent6 3 2 3 2" xfId="4394"/>
    <cellStyle name="20% - Accent6 3 2 3 2 2" xfId="4395"/>
    <cellStyle name="20% - Accent6 3 2 3 2 2 2" xfId="4396"/>
    <cellStyle name="20% - Accent6 3 2 3 2 3" xfId="4397"/>
    <cellStyle name="20% - Accent6 3 2 3 3" xfId="4398"/>
    <cellStyle name="20% - Accent6 3 2 3 3 2" xfId="4399"/>
    <cellStyle name="20% - Accent6 3 2 3 4" xfId="4400"/>
    <cellStyle name="20% - Accent6 3 2 4" xfId="4401"/>
    <cellStyle name="20% - Accent6 3 2 4 2" xfId="4402"/>
    <cellStyle name="20% - Accent6 3 2 4 2 2" xfId="4403"/>
    <cellStyle name="20% - Accent6 3 2 4 3" xfId="4404"/>
    <cellStyle name="20% - Accent6 3 2 5" xfId="4405"/>
    <cellStyle name="20% - Accent6 3 2 5 2" xfId="4406"/>
    <cellStyle name="20% - Accent6 3 2 6" xfId="4407"/>
    <cellStyle name="20% - Accent6 3 3" xfId="4408"/>
    <cellStyle name="20% - Accent6 3 3 2" xfId="4409"/>
    <cellStyle name="20% - Accent6 3 3 2 2" xfId="4410"/>
    <cellStyle name="20% - Accent6 3 3 2 2 2" xfId="4411"/>
    <cellStyle name="20% - Accent6 3 3 2 2 2 2" xfId="4412"/>
    <cellStyle name="20% - Accent6 3 3 2 2 3" xfId="4413"/>
    <cellStyle name="20% - Accent6 3 3 2 3" xfId="4414"/>
    <cellStyle name="20% - Accent6 3 3 2 3 2" xfId="4415"/>
    <cellStyle name="20% - Accent6 3 3 2 4" xfId="4416"/>
    <cellStyle name="20% - Accent6 3 3 3" xfId="4417"/>
    <cellStyle name="20% - Accent6 3 3 3 2" xfId="4418"/>
    <cellStyle name="20% - Accent6 3 3 3 2 2" xfId="4419"/>
    <cellStyle name="20% - Accent6 3 3 3 3" xfId="4420"/>
    <cellStyle name="20% - Accent6 3 3 4" xfId="4421"/>
    <cellStyle name="20% - Accent6 3 3 4 2" xfId="4422"/>
    <cellStyle name="20% - Accent6 3 3 5" xfId="4423"/>
    <cellStyle name="20% - Accent6 3 4" xfId="4424"/>
    <cellStyle name="20% - Accent6 3 4 2" xfId="4425"/>
    <cellStyle name="20% - Accent6 3 4 2 2" xfId="4426"/>
    <cellStyle name="20% - Accent6 3 4 2 2 2" xfId="4427"/>
    <cellStyle name="20% - Accent6 3 4 2 3" xfId="4428"/>
    <cellStyle name="20% - Accent6 3 4 3" xfId="4429"/>
    <cellStyle name="20% - Accent6 3 4 3 2" xfId="4430"/>
    <cellStyle name="20% - Accent6 3 4 4" xfId="4431"/>
    <cellStyle name="20% - Accent6 3 5" xfId="4432"/>
    <cellStyle name="20% - Accent6 3 5 2" xfId="4433"/>
    <cellStyle name="20% - Accent6 3 5 2 2" xfId="4434"/>
    <cellStyle name="20% - Accent6 3 5 3" xfId="4435"/>
    <cellStyle name="20% - Accent6 3 6" xfId="4436"/>
    <cellStyle name="20% - Accent6 3 6 2" xfId="4437"/>
    <cellStyle name="20% - Accent6 3 7" xfId="4438"/>
    <cellStyle name="20% - Accent6 3 8" xfId="4375"/>
    <cellStyle name="20% - Accent6 4" xfId="4439"/>
    <cellStyle name="20% - Accent6 4 2" xfId="4440"/>
    <cellStyle name="20% - Accent6 4 2 2" xfId="4441"/>
    <cellStyle name="20% - Accent6 4 2 2 2" xfId="4442"/>
    <cellStyle name="20% - Accent6 4 2 2 2 2" xfId="4443"/>
    <cellStyle name="20% - Accent6 4 2 2 2 2 2" xfId="4444"/>
    <cellStyle name="20% - Accent6 4 2 2 2 3" xfId="4445"/>
    <cellStyle name="20% - Accent6 4 2 2 3" xfId="4446"/>
    <cellStyle name="20% - Accent6 4 2 2 3 2" xfId="4447"/>
    <cellStyle name="20% - Accent6 4 2 2 4" xfId="4448"/>
    <cellStyle name="20% - Accent6 4 2 3" xfId="4449"/>
    <cellStyle name="20% - Accent6 4 2 3 2" xfId="4450"/>
    <cellStyle name="20% - Accent6 4 2 3 2 2" xfId="4451"/>
    <cellStyle name="20% - Accent6 4 2 3 3" xfId="4452"/>
    <cellStyle name="20% - Accent6 4 2 4" xfId="4453"/>
    <cellStyle name="20% - Accent6 4 2 4 2" xfId="4454"/>
    <cellStyle name="20% - Accent6 4 2 5" xfId="4455"/>
    <cellStyle name="20% - Accent6 4 3" xfId="4456"/>
    <cellStyle name="20% - Accent6 4 3 2" xfId="4457"/>
    <cellStyle name="20% - Accent6 4 3 2 2" xfId="4458"/>
    <cellStyle name="20% - Accent6 4 3 2 2 2" xfId="4459"/>
    <cellStyle name="20% - Accent6 4 3 2 3" xfId="4460"/>
    <cellStyle name="20% - Accent6 4 3 3" xfId="4461"/>
    <cellStyle name="20% - Accent6 4 3 3 2" xfId="4462"/>
    <cellStyle name="20% - Accent6 4 3 4" xfId="4463"/>
    <cellStyle name="20% - Accent6 4 4" xfId="4464"/>
    <cellStyle name="20% - Accent6 4 4 2" xfId="4465"/>
    <cellStyle name="20% - Accent6 4 4 2 2" xfId="4466"/>
    <cellStyle name="20% - Accent6 4 4 3" xfId="4467"/>
    <cellStyle name="20% - Accent6 4 5" xfId="4468"/>
    <cellStyle name="20% - Accent6 4 5 2" xfId="4469"/>
    <cellStyle name="20% - Accent6 4 6" xfId="4470"/>
    <cellStyle name="20% - Accent6 5" xfId="4471"/>
    <cellStyle name="20% - Accent6 5 2" xfId="4472"/>
    <cellStyle name="20% - Accent6 5 2 2" xfId="4473"/>
    <cellStyle name="20% - Accent6 5 2 2 2" xfId="4474"/>
    <cellStyle name="20% - Accent6 5 2 2 2 2" xfId="4475"/>
    <cellStyle name="20% - Accent6 5 2 2 3" xfId="4476"/>
    <cellStyle name="20% - Accent6 5 2 3" xfId="4477"/>
    <cellStyle name="20% - Accent6 5 2 3 2" xfId="4478"/>
    <cellStyle name="20% - Accent6 5 2 4" xfId="4479"/>
    <cellStyle name="20% - Accent6 5 3" xfId="4480"/>
    <cellStyle name="20% - Accent6 5 3 2" xfId="4481"/>
    <cellStyle name="20% - Accent6 5 3 2 2" xfId="4482"/>
    <cellStyle name="20% - Accent6 5 3 3" xfId="4483"/>
    <cellStyle name="20% - Accent6 5 4" xfId="4484"/>
    <cellStyle name="20% - Accent6 5 4 2" xfId="4485"/>
    <cellStyle name="20% - Accent6 5 5" xfId="4486"/>
    <cellStyle name="20% - Accent6 6" xfId="4487"/>
    <cellStyle name="20% - Accent6 6 2" xfId="4488"/>
    <cellStyle name="20% - Accent6 6 2 2" xfId="4489"/>
    <cellStyle name="20% - Accent6 6 2 2 2" xfId="4490"/>
    <cellStyle name="20% - Accent6 6 2 3" xfId="4491"/>
    <cellStyle name="20% - Accent6 6 3" xfId="4492"/>
    <cellStyle name="20% - Accent6 6 3 2" xfId="4493"/>
    <cellStyle name="20% - Accent6 6 4" xfId="4494"/>
    <cellStyle name="20% - Accent6 7" xfId="4495"/>
    <cellStyle name="20% - Accent6 7 2" xfId="4496"/>
    <cellStyle name="20% - Accent6 7 2 2" xfId="4497"/>
    <cellStyle name="20% - Accent6 7 2 2 2" xfId="4498"/>
    <cellStyle name="20% - Accent6 7 2 3" xfId="4499"/>
    <cellStyle name="20% - Accent6 7 3" xfId="4500"/>
    <cellStyle name="20% - Accent6 7 3 2" xfId="4501"/>
    <cellStyle name="20% - Accent6 7 4" xfId="4502"/>
    <cellStyle name="20% - Accent6 8" xfId="4503"/>
    <cellStyle name="20% - Accent6 8 2" xfId="4504"/>
    <cellStyle name="20% - Accent6 8 2 2" xfId="4505"/>
    <cellStyle name="20% - Accent6 8 2 2 2" xfId="4506"/>
    <cellStyle name="20% - Accent6 8 2 3" xfId="4507"/>
    <cellStyle name="20% - Accent6 8 3" xfId="4508"/>
    <cellStyle name="20% - Accent6 8 3 2" xfId="4509"/>
    <cellStyle name="20% - Accent6 8 4" xfId="4510"/>
    <cellStyle name="20% - Accent6 9" xfId="4511"/>
    <cellStyle name="20% - Accent6 9 2" xfId="4512"/>
    <cellStyle name="20% - Accent6 9 2 2" xfId="4513"/>
    <cellStyle name="20% - Accent6 9 3" xfId="4514"/>
    <cellStyle name="40% - Accent1" xfId="3088" builtinId="31" customBuiltin="1"/>
    <cellStyle name="40% - Accent1 10" xfId="4515"/>
    <cellStyle name="40% - Accent1 10 2" xfId="4516"/>
    <cellStyle name="40% - Accent1 10 2 2" xfId="4517"/>
    <cellStyle name="40% - Accent1 10 3" xfId="4518"/>
    <cellStyle name="40% - Accent1 11" xfId="4519"/>
    <cellStyle name="40% - Accent1 11 2" xfId="4520"/>
    <cellStyle name="40% - Accent1 11 2 2" xfId="4521"/>
    <cellStyle name="40% - Accent1 11 3" xfId="4522"/>
    <cellStyle name="40% - Accent1 12" xfId="4523"/>
    <cellStyle name="40% - Accent1 12 2" xfId="4524"/>
    <cellStyle name="40% - Accent1 13" xfId="4525"/>
    <cellStyle name="40% - Accent1 2" xfId="170"/>
    <cellStyle name="40% - Accent1 2 2" xfId="4527"/>
    <cellStyle name="40% - Accent1 2 2 2" xfId="4528"/>
    <cellStyle name="40% - Accent1 2 2 2 2" xfId="4529"/>
    <cellStyle name="40% - Accent1 2 2 2 2 2" xfId="4530"/>
    <cellStyle name="40% - Accent1 2 2 2 2 2 2" xfId="4531"/>
    <cellStyle name="40% - Accent1 2 2 2 2 2 2 2" xfId="4532"/>
    <cellStyle name="40% - Accent1 2 2 2 2 2 3" xfId="4533"/>
    <cellStyle name="40% - Accent1 2 2 2 2 3" xfId="4534"/>
    <cellStyle name="40% - Accent1 2 2 2 2 3 2" xfId="4535"/>
    <cellStyle name="40% - Accent1 2 2 2 2 4" xfId="4536"/>
    <cellStyle name="40% - Accent1 2 2 2 3" xfId="4537"/>
    <cellStyle name="40% - Accent1 2 2 2 3 2" xfId="4538"/>
    <cellStyle name="40% - Accent1 2 2 2 3 2 2" xfId="4539"/>
    <cellStyle name="40% - Accent1 2 2 2 3 3" xfId="4540"/>
    <cellStyle name="40% - Accent1 2 2 2 4" xfId="4541"/>
    <cellStyle name="40% - Accent1 2 2 2 4 2" xfId="4542"/>
    <cellStyle name="40% - Accent1 2 2 2 5" xfId="4543"/>
    <cellStyle name="40% - Accent1 2 2 3" xfId="4544"/>
    <cellStyle name="40% - Accent1 2 2 3 2" xfId="4545"/>
    <cellStyle name="40% - Accent1 2 2 3 2 2" xfId="4546"/>
    <cellStyle name="40% - Accent1 2 2 3 2 2 2" xfId="4547"/>
    <cellStyle name="40% - Accent1 2 2 3 2 3" xfId="4548"/>
    <cellStyle name="40% - Accent1 2 2 3 3" xfId="4549"/>
    <cellStyle name="40% - Accent1 2 2 3 3 2" xfId="4550"/>
    <cellStyle name="40% - Accent1 2 2 3 4" xfId="4551"/>
    <cellStyle name="40% - Accent1 2 2 4" xfId="4552"/>
    <cellStyle name="40% - Accent1 2 2 4 2" xfId="4553"/>
    <cellStyle name="40% - Accent1 2 2 4 2 2" xfId="4554"/>
    <cellStyle name="40% - Accent1 2 2 4 3" xfId="4555"/>
    <cellStyle name="40% - Accent1 2 2 5" xfId="4556"/>
    <cellStyle name="40% - Accent1 2 2 5 2" xfId="4557"/>
    <cellStyle name="40% - Accent1 2 2 6" xfId="4558"/>
    <cellStyle name="40% - Accent1 2 3" xfId="4559"/>
    <cellStyle name="40% - Accent1 2 3 2" xfId="4560"/>
    <cellStyle name="40% - Accent1 2 3 2 2" xfId="4561"/>
    <cellStyle name="40% - Accent1 2 3 2 2 2" xfId="4562"/>
    <cellStyle name="40% - Accent1 2 3 2 2 2 2" xfId="4563"/>
    <cellStyle name="40% - Accent1 2 3 2 2 3" xfId="4564"/>
    <cellStyle name="40% - Accent1 2 3 2 3" xfId="4565"/>
    <cellStyle name="40% - Accent1 2 3 2 3 2" xfId="4566"/>
    <cellStyle name="40% - Accent1 2 3 2 4" xfId="4567"/>
    <cellStyle name="40% - Accent1 2 3 3" xfId="4568"/>
    <cellStyle name="40% - Accent1 2 3 3 2" xfId="4569"/>
    <cellStyle name="40% - Accent1 2 3 3 2 2" xfId="4570"/>
    <cellStyle name="40% - Accent1 2 3 3 3" xfId="4571"/>
    <cellStyle name="40% - Accent1 2 3 4" xfId="4572"/>
    <cellStyle name="40% - Accent1 2 3 4 2" xfId="4573"/>
    <cellStyle name="40% - Accent1 2 3 5" xfId="4574"/>
    <cellStyle name="40% - Accent1 2 4" xfId="4575"/>
    <cellStyle name="40% - Accent1 2 4 2" xfId="4576"/>
    <cellStyle name="40% - Accent1 2 4 2 2" xfId="4577"/>
    <cellStyle name="40% - Accent1 2 4 2 2 2" xfId="4578"/>
    <cellStyle name="40% - Accent1 2 4 2 3" xfId="4579"/>
    <cellStyle name="40% - Accent1 2 4 3" xfId="4580"/>
    <cellStyle name="40% - Accent1 2 4 3 2" xfId="4581"/>
    <cellStyle name="40% - Accent1 2 4 4" xfId="4582"/>
    <cellStyle name="40% - Accent1 2 5" xfId="4583"/>
    <cellStyle name="40% - Accent1 2 5 2" xfId="4584"/>
    <cellStyle name="40% - Accent1 2 5 2 2" xfId="4585"/>
    <cellStyle name="40% - Accent1 2 5 3" xfId="4586"/>
    <cellStyle name="40% - Accent1 2 6" xfId="4587"/>
    <cellStyle name="40% - Accent1 2 6 2" xfId="4588"/>
    <cellStyle name="40% - Accent1 2 7" xfId="4589"/>
    <cellStyle name="40% - Accent1 2 8" xfId="4526"/>
    <cellStyle name="40% - Accent1 3" xfId="3127"/>
    <cellStyle name="40% - Accent1 3 2" xfId="4591"/>
    <cellStyle name="40% - Accent1 3 2 2" xfId="4592"/>
    <cellStyle name="40% - Accent1 3 2 2 2" xfId="4593"/>
    <cellStyle name="40% - Accent1 3 2 2 2 2" xfId="4594"/>
    <cellStyle name="40% - Accent1 3 2 2 2 2 2" xfId="4595"/>
    <cellStyle name="40% - Accent1 3 2 2 2 2 2 2" xfId="4596"/>
    <cellStyle name="40% - Accent1 3 2 2 2 2 3" xfId="4597"/>
    <cellStyle name="40% - Accent1 3 2 2 2 3" xfId="4598"/>
    <cellStyle name="40% - Accent1 3 2 2 2 3 2" xfId="4599"/>
    <cellStyle name="40% - Accent1 3 2 2 2 4" xfId="4600"/>
    <cellStyle name="40% - Accent1 3 2 2 3" xfId="4601"/>
    <cellStyle name="40% - Accent1 3 2 2 3 2" xfId="4602"/>
    <cellStyle name="40% - Accent1 3 2 2 3 2 2" xfId="4603"/>
    <cellStyle name="40% - Accent1 3 2 2 3 3" xfId="4604"/>
    <cellStyle name="40% - Accent1 3 2 2 4" xfId="4605"/>
    <cellStyle name="40% - Accent1 3 2 2 4 2" xfId="4606"/>
    <cellStyle name="40% - Accent1 3 2 2 5" xfId="4607"/>
    <cellStyle name="40% - Accent1 3 2 3" xfId="4608"/>
    <cellStyle name="40% - Accent1 3 2 3 2" xfId="4609"/>
    <cellStyle name="40% - Accent1 3 2 3 2 2" xfId="4610"/>
    <cellStyle name="40% - Accent1 3 2 3 2 2 2" xfId="4611"/>
    <cellStyle name="40% - Accent1 3 2 3 2 3" xfId="4612"/>
    <cellStyle name="40% - Accent1 3 2 3 3" xfId="4613"/>
    <cellStyle name="40% - Accent1 3 2 3 3 2" xfId="4614"/>
    <cellStyle name="40% - Accent1 3 2 3 4" xfId="4615"/>
    <cellStyle name="40% - Accent1 3 2 4" xfId="4616"/>
    <cellStyle name="40% - Accent1 3 2 4 2" xfId="4617"/>
    <cellStyle name="40% - Accent1 3 2 4 2 2" xfId="4618"/>
    <cellStyle name="40% - Accent1 3 2 4 3" xfId="4619"/>
    <cellStyle name="40% - Accent1 3 2 5" xfId="4620"/>
    <cellStyle name="40% - Accent1 3 2 5 2" xfId="4621"/>
    <cellStyle name="40% - Accent1 3 2 6" xfId="4622"/>
    <cellStyle name="40% - Accent1 3 3" xfId="4623"/>
    <cellStyle name="40% - Accent1 3 3 2" xfId="4624"/>
    <cellStyle name="40% - Accent1 3 3 2 2" xfId="4625"/>
    <cellStyle name="40% - Accent1 3 3 2 2 2" xfId="4626"/>
    <cellStyle name="40% - Accent1 3 3 2 2 2 2" xfId="4627"/>
    <cellStyle name="40% - Accent1 3 3 2 2 3" xfId="4628"/>
    <cellStyle name="40% - Accent1 3 3 2 3" xfId="4629"/>
    <cellStyle name="40% - Accent1 3 3 2 3 2" xfId="4630"/>
    <cellStyle name="40% - Accent1 3 3 2 4" xfId="4631"/>
    <cellStyle name="40% - Accent1 3 3 3" xfId="4632"/>
    <cellStyle name="40% - Accent1 3 3 3 2" xfId="4633"/>
    <cellStyle name="40% - Accent1 3 3 3 2 2" xfId="4634"/>
    <cellStyle name="40% - Accent1 3 3 3 3" xfId="4635"/>
    <cellStyle name="40% - Accent1 3 3 4" xfId="4636"/>
    <cellStyle name="40% - Accent1 3 3 4 2" xfId="4637"/>
    <cellStyle name="40% - Accent1 3 3 5" xfId="4638"/>
    <cellStyle name="40% - Accent1 3 4" xfId="4639"/>
    <cellStyle name="40% - Accent1 3 4 2" xfId="4640"/>
    <cellStyle name="40% - Accent1 3 4 2 2" xfId="4641"/>
    <cellStyle name="40% - Accent1 3 4 2 2 2" xfId="4642"/>
    <cellStyle name="40% - Accent1 3 4 2 3" xfId="4643"/>
    <cellStyle name="40% - Accent1 3 4 3" xfId="4644"/>
    <cellStyle name="40% - Accent1 3 4 3 2" xfId="4645"/>
    <cellStyle name="40% - Accent1 3 4 4" xfId="4646"/>
    <cellStyle name="40% - Accent1 3 5" xfId="4647"/>
    <cellStyle name="40% - Accent1 3 5 2" xfId="4648"/>
    <cellStyle name="40% - Accent1 3 5 2 2" xfId="4649"/>
    <cellStyle name="40% - Accent1 3 5 3" xfId="4650"/>
    <cellStyle name="40% - Accent1 3 6" xfId="4651"/>
    <cellStyle name="40% - Accent1 3 6 2" xfId="4652"/>
    <cellStyle name="40% - Accent1 3 7" xfId="4653"/>
    <cellStyle name="40% - Accent1 3 8" xfId="4590"/>
    <cellStyle name="40% - Accent1 4" xfId="4654"/>
    <cellStyle name="40% - Accent1 4 2" xfId="4655"/>
    <cellStyle name="40% - Accent1 4 2 2" xfId="4656"/>
    <cellStyle name="40% - Accent1 4 2 2 2" xfId="4657"/>
    <cellStyle name="40% - Accent1 4 2 2 2 2" xfId="4658"/>
    <cellStyle name="40% - Accent1 4 2 2 2 2 2" xfId="4659"/>
    <cellStyle name="40% - Accent1 4 2 2 2 3" xfId="4660"/>
    <cellStyle name="40% - Accent1 4 2 2 3" xfId="4661"/>
    <cellStyle name="40% - Accent1 4 2 2 3 2" xfId="4662"/>
    <cellStyle name="40% - Accent1 4 2 2 4" xfId="4663"/>
    <cellStyle name="40% - Accent1 4 2 3" xfId="4664"/>
    <cellStyle name="40% - Accent1 4 2 3 2" xfId="4665"/>
    <cellStyle name="40% - Accent1 4 2 3 2 2" xfId="4666"/>
    <cellStyle name="40% - Accent1 4 2 3 3" xfId="4667"/>
    <cellStyle name="40% - Accent1 4 2 4" xfId="4668"/>
    <cellStyle name="40% - Accent1 4 2 4 2" xfId="4669"/>
    <cellStyle name="40% - Accent1 4 2 5" xfId="4670"/>
    <cellStyle name="40% - Accent1 4 3" xfId="4671"/>
    <cellStyle name="40% - Accent1 4 3 2" xfId="4672"/>
    <cellStyle name="40% - Accent1 4 3 2 2" xfId="4673"/>
    <cellStyle name="40% - Accent1 4 3 2 2 2" xfId="4674"/>
    <cellStyle name="40% - Accent1 4 3 2 3" xfId="4675"/>
    <cellStyle name="40% - Accent1 4 3 3" xfId="4676"/>
    <cellStyle name="40% - Accent1 4 3 3 2" xfId="4677"/>
    <cellStyle name="40% - Accent1 4 3 4" xfId="4678"/>
    <cellStyle name="40% - Accent1 4 4" xfId="4679"/>
    <cellStyle name="40% - Accent1 4 4 2" xfId="4680"/>
    <cellStyle name="40% - Accent1 4 4 2 2" xfId="4681"/>
    <cellStyle name="40% - Accent1 4 4 3" xfId="4682"/>
    <cellStyle name="40% - Accent1 4 5" xfId="4683"/>
    <cellStyle name="40% - Accent1 4 5 2" xfId="4684"/>
    <cellStyle name="40% - Accent1 4 6" xfId="4685"/>
    <cellStyle name="40% - Accent1 5" xfId="4686"/>
    <cellStyle name="40% - Accent1 5 2" xfId="4687"/>
    <cellStyle name="40% - Accent1 5 2 2" xfId="4688"/>
    <cellStyle name="40% - Accent1 5 2 2 2" xfId="4689"/>
    <cellStyle name="40% - Accent1 5 2 2 2 2" xfId="4690"/>
    <cellStyle name="40% - Accent1 5 2 2 3" xfId="4691"/>
    <cellStyle name="40% - Accent1 5 2 3" xfId="4692"/>
    <cellStyle name="40% - Accent1 5 2 3 2" xfId="4693"/>
    <cellStyle name="40% - Accent1 5 2 4" xfId="4694"/>
    <cellStyle name="40% - Accent1 5 3" xfId="4695"/>
    <cellStyle name="40% - Accent1 5 3 2" xfId="4696"/>
    <cellStyle name="40% - Accent1 5 3 2 2" xfId="4697"/>
    <cellStyle name="40% - Accent1 5 3 3" xfId="4698"/>
    <cellStyle name="40% - Accent1 5 4" xfId="4699"/>
    <cellStyle name="40% - Accent1 5 4 2" xfId="4700"/>
    <cellStyle name="40% - Accent1 5 5" xfId="4701"/>
    <cellStyle name="40% - Accent1 6" xfId="4702"/>
    <cellStyle name="40% - Accent1 6 2" xfId="4703"/>
    <cellStyle name="40% - Accent1 6 2 2" xfId="4704"/>
    <cellStyle name="40% - Accent1 6 2 2 2" xfId="4705"/>
    <cellStyle name="40% - Accent1 6 2 3" xfId="4706"/>
    <cellStyle name="40% - Accent1 6 3" xfId="4707"/>
    <cellStyle name="40% - Accent1 6 3 2" xfId="4708"/>
    <cellStyle name="40% - Accent1 6 4" xfId="4709"/>
    <cellStyle name="40% - Accent1 7" xfId="4710"/>
    <cellStyle name="40% - Accent1 7 2" xfId="4711"/>
    <cellStyle name="40% - Accent1 7 2 2" xfId="4712"/>
    <cellStyle name="40% - Accent1 7 2 2 2" xfId="4713"/>
    <cellStyle name="40% - Accent1 7 2 3" xfId="4714"/>
    <cellStyle name="40% - Accent1 7 3" xfId="4715"/>
    <cellStyle name="40% - Accent1 7 3 2" xfId="4716"/>
    <cellStyle name="40% - Accent1 7 4" xfId="4717"/>
    <cellStyle name="40% - Accent1 8" xfId="4718"/>
    <cellStyle name="40% - Accent1 8 2" xfId="4719"/>
    <cellStyle name="40% - Accent1 8 2 2" xfId="4720"/>
    <cellStyle name="40% - Accent1 8 2 2 2" xfId="4721"/>
    <cellStyle name="40% - Accent1 8 2 3" xfId="4722"/>
    <cellStyle name="40% - Accent1 8 3" xfId="4723"/>
    <cellStyle name="40% - Accent1 8 3 2" xfId="4724"/>
    <cellStyle name="40% - Accent1 8 4" xfId="4725"/>
    <cellStyle name="40% - Accent1 9" xfId="4726"/>
    <cellStyle name="40% - Accent1 9 2" xfId="4727"/>
    <cellStyle name="40% - Accent1 9 2 2" xfId="4728"/>
    <cellStyle name="40% - Accent1 9 3" xfId="4729"/>
    <cellStyle name="40% - Accent2" xfId="3092" builtinId="35" customBuiltin="1"/>
    <cellStyle name="40% - Accent2 10" xfId="4730"/>
    <cellStyle name="40% - Accent2 10 2" xfId="4731"/>
    <cellStyle name="40% - Accent2 10 2 2" xfId="4732"/>
    <cellStyle name="40% - Accent2 10 3" xfId="4733"/>
    <cellStyle name="40% - Accent2 11" xfId="4734"/>
    <cellStyle name="40% - Accent2 11 2" xfId="4735"/>
    <cellStyle name="40% - Accent2 11 2 2" xfId="4736"/>
    <cellStyle name="40% - Accent2 11 3" xfId="4737"/>
    <cellStyle name="40% - Accent2 12" xfId="4738"/>
    <cellStyle name="40% - Accent2 12 2" xfId="4739"/>
    <cellStyle name="40% - Accent2 13" xfId="4740"/>
    <cellStyle name="40% - Accent2 2" xfId="171"/>
    <cellStyle name="40% - Accent2 2 2" xfId="4742"/>
    <cellStyle name="40% - Accent2 2 2 2" xfId="4743"/>
    <cellStyle name="40% - Accent2 2 2 2 2" xfId="4744"/>
    <cellStyle name="40% - Accent2 2 2 2 2 2" xfId="4745"/>
    <cellStyle name="40% - Accent2 2 2 2 2 2 2" xfId="4746"/>
    <cellStyle name="40% - Accent2 2 2 2 2 2 2 2" xfId="4747"/>
    <cellStyle name="40% - Accent2 2 2 2 2 2 3" xfId="4748"/>
    <cellStyle name="40% - Accent2 2 2 2 2 3" xfId="4749"/>
    <cellStyle name="40% - Accent2 2 2 2 2 3 2" xfId="4750"/>
    <cellStyle name="40% - Accent2 2 2 2 2 4" xfId="4751"/>
    <cellStyle name="40% - Accent2 2 2 2 3" xfId="4752"/>
    <cellStyle name="40% - Accent2 2 2 2 3 2" xfId="4753"/>
    <cellStyle name="40% - Accent2 2 2 2 3 2 2" xfId="4754"/>
    <cellStyle name="40% - Accent2 2 2 2 3 3" xfId="4755"/>
    <cellStyle name="40% - Accent2 2 2 2 4" xfId="4756"/>
    <cellStyle name="40% - Accent2 2 2 2 4 2" xfId="4757"/>
    <cellStyle name="40% - Accent2 2 2 2 5" xfId="4758"/>
    <cellStyle name="40% - Accent2 2 2 3" xfId="4759"/>
    <cellStyle name="40% - Accent2 2 2 3 2" xfId="4760"/>
    <cellStyle name="40% - Accent2 2 2 3 2 2" xfId="4761"/>
    <cellStyle name="40% - Accent2 2 2 3 2 2 2" xfId="4762"/>
    <cellStyle name="40% - Accent2 2 2 3 2 3" xfId="4763"/>
    <cellStyle name="40% - Accent2 2 2 3 3" xfId="4764"/>
    <cellStyle name="40% - Accent2 2 2 3 3 2" xfId="4765"/>
    <cellStyle name="40% - Accent2 2 2 3 4" xfId="4766"/>
    <cellStyle name="40% - Accent2 2 2 4" xfId="4767"/>
    <cellStyle name="40% - Accent2 2 2 4 2" xfId="4768"/>
    <cellStyle name="40% - Accent2 2 2 4 2 2" xfId="4769"/>
    <cellStyle name="40% - Accent2 2 2 4 3" xfId="4770"/>
    <cellStyle name="40% - Accent2 2 2 5" xfId="4771"/>
    <cellStyle name="40% - Accent2 2 2 5 2" xfId="4772"/>
    <cellStyle name="40% - Accent2 2 2 6" xfId="4773"/>
    <cellStyle name="40% - Accent2 2 3" xfId="4774"/>
    <cellStyle name="40% - Accent2 2 3 2" xfId="4775"/>
    <cellStyle name="40% - Accent2 2 3 2 2" xfId="4776"/>
    <cellStyle name="40% - Accent2 2 3 2 2 2" xfId="4777"/>
    <cellStyle name="40% - Accent2 2 3 2 2 2 2" xfId="4778"/>
    <cellStyle name="40% - Accent2 2 3 2 2 3" xfId="4779"/>
    <cellStyle name="40% - Accent2 2 3 2 3" xfId="4780"/>
    <cellStyle name="40% - Accent2 2 3 2 3 2" xfId="4781"/>
    <cellStyle name="40% - Accent2 2 3 2 4" xfId="4782"/>
    <cellStyle name="40% - Accent2 2 3 3" xfId="4783"/>
    <cellStyle name="40% - Accent2 2 3 3 2" xfId="4784"/>
    <cellStyle name="40% - Accent2 2 3 3 2 2" xfId="4785"/>
    <cellStyle name="40% - Accent2 2 3 3 3" xfId="4786"/>
    <cellStyle name="40% - Accent2 2 3 4" xfId="4787"/>
    <cellStyle name="40% - Accent2 2 3 4 2" xfId="4788"/>
    <cellStyle name="40% - Accent2 2 3 5" xfId="4789"/>
    <cellStyle name="40% - Accent2 2 4" xfId="4790"/>
    <cellStyle name="40% - Accent2 2 4 2" xfId="4791"/>
    <cellStyle name="40% - Accent2 2 4 2 2" xfId="4792"/>
    <cellStyle name="40% - Accent2 2 4 2 2 2" xfId="4793"/>
    <cellStyle name="40% - Accent2 2 4 2 3" xfId="4794"/>
    <cellStyle name="40% - Accent2 2 4 3" xfId="4795"/>
    <cellStyle name="40% - Accent2 2 4 3 2" xfId="4796"/>
    <cellStyle name="40% - Accent2 2 4 4" xfId="4797"/>
    <cellStyle name="40% - Accent2 2 5" xfId="4798"/>
    <cellStyle name="40% - Accent2 2 5 2" xfId="4799"/>
    <cellStyle name="40% - Accent2 2 5 2 2" xfId="4800"/>
    <cellStyle name="40% - Accent2 2 5 3" xfId="4801"/>
    <cellStyle name="40% - Accent2 2 6" xfId="4802"/>
    <cellStyle name="40% - Accent2 2 6 2" xfId="4803"/>
    <cellStyle name="40% - Accent2 2 7" xfId="4804"/>
    <cellStyle name="40% - Accent2 2 8" xfId="4741"/>
    <cellStyle name="40% - Accent2 3" xfId="3128"/>
    <cellStyle name="40% - Accent2 3 2" xfId="4806"/>
    <cellStyle name="40% - Accent2 3 2 2" xfId="4807"/>
    <cellStyle name="40% - Accent2 3 2 2 2" xfId="4808"/>
    <cellStyle name="40% - Accent2 3 2 2 2 2" xfId="4809"/>
    <cellStyle name="40% - Accent2 3 2 2 2 2 2" xfId="4810"/>
    <cellStyle name="40% - Accent2 3 2 2 2 2 2 2" xfId="4811"/>
    <cellStyle name="40% - Accent2 3 2 2 2 2 3" xfId="4812"/>
    <cellStyle name="40% - Accent2 3 2 2 2 3" xfId="4813"/>
    <cellStyle name="40% - Accent2 3 2 2 2 3 2" xfId="4814"/>
    <cellStyle name="40% - Accent2 3 2 2 2 4" xfId="4815"/>
    <cellStyle name="40% - Accent2 3 2 2 3" xfId="4816"/>
    <cellStyle name="40% - Accent2 3 2 2 3 2" xfId="4817"/>
    <cellStyle name="40% - Accent2 3 2 2 3 2 2" xfId="4818"/>
    <cellStyle name="40% - Accent2 3 2 2 3 3" xfId="4819"/>
    <cellStyle name="40% - Accent2 3 2 2 4" xfId="4820"/>
    <cellStyle name="40% - Accent2 3 2 2 4 2" xfId="4821"/>
    <cellStyle name="40% - Accent2 3 2 2 5" xfId="4822"/>
    <cellStyle name="40% - Accent2 3 2 3" xfId="4823"/>
    <cellStyle name="40% - Accent2 3 2 3 2" xfId="4824"/>
    <cellStyle name="40% - Accent2 3 2 3 2 2" xfId="4825"/>
    <cellStyle name="40% - Accent2 3 2 3 2 2 2" xfId="4826"/>
    <cellStyle name="40% - Accent2 3 2 3 2 3" xfId="4827"/>
    <cellStyle name="40% - Accent2 3 2 3 3" xfId="4828"/>
    <cellStyle name="40% - Accent2 3 2 3 3 2" xfId="4829"/>
    <cellStyle name="40% - Accent2 3 2 3 4" xfId="4830"/>
    <cellStyle name="40% - Accent2 3 2 4" xfId="4831"/>
    <cellStyle name="40% - Accent2 3 2 4 2" xfId="4832"/>
    <cellStyle name="40% - Accent2 3 2 4 2 2" xfId="4833"/>
    <cellStyle name="40% - Accent2 3 2 4 3" xfId="4834"/>
    <cellStyle name="40% - Accent2 3 2 5" xfId="4835"/>
    <cellStyle name="40% - Accent2 3 2 5 2" xfId="4836"/>
    <cellStyle name="40% - Accent2 3 2 6" xfId="4837"/>
    <cellStyle name="40% - Accent2 3 3" xfId="4838"/>
    <cellStyle name="40% - Accent2 3 3 2" xfId="4839"/>
    <cellStyle name="40% - Accent2 3 3 2 2" xfId="4840"/>
    <cellStyle name="40% - Accent2 3 3 2 2 2" xfId="4841"/>
    <cellStyle name="40% - Accent2 3 3 2 2 2 2" xfId="4842"/>
    <cellStyle name="40% - Accent2 3 3 2 2 3" xfId="4843"/>
    <cellStyle name="40% - Accent2 3 3 2 3" xfId="4844"/>
    <cellStyle name="40% - Accent2 3 3 2 3 2" xfId="4845"/>
    <cellStyle name="40% - Accent2 3 3 2 4" xfId="4846"/>
    <cellStyle name="40% - Accent2 3 3 3" xfId="4847"/>
    <cellStyle name="40% - Accent2 3 3 3 2" xfId="4848"/>
    <cellStyle name="40% - Accent2 3 3 3 2 2" xfId="4849"/>
    <cellStyle name="40% - Accent2 3 3 3 3" xfId="4850"/>
    <cellStyle name="40% - Accent2 3 3 4" xfId="4851"/>
    <cellStyle name="40% - Accent2 3 3 4 2" xfId="4852"/>
    <cellStyle name="40% - Accent2 3 3 5" xfId="4853"/>
    <cellStyle name="40% - Accent2 3 4" xfId="4854"/>
    <cellStyle name="40% - Accent2 3 4 2" xfId="4855"/>
    <cellStyle name="40% - Accent2 3 4 2 2" xfId="4856"/>
    <cellStyle name="40% - Accent2 3 4 2 2 2" xfId="4857"/>
    <cellStyle name="40% - Accent2 3 4 2 3" xfId="4858"/>
    <cellStyle name="40% - Accent2 3 4 3" xfId="4859"/>
    <cellStyle name="40% - Accent2 3 4 3 2" xfId="4860"/>
    <cellStyle name="40% - Accent2 3 4 4" xfId="4861"/>
    <cellStyle name="40% - Accent2 3 5" xfId="4862"/>
    <cellStyle name="40% - Accent2 3 5 2" xfId="4863"/>
    <cellStyle name="40% - Accent2 3 5 2 2" xfId="4864"/>
    <cellStyle name="40% - Accent2 3 5 3" xfId="4865"/>
    <cellStyle name="40% - Accent2 3 6" xfId="4866"/>
    <cellStyle name="40% - Accent2 3 6 2" xfId="4867"/>
    <cellStyle name="40% - Accent2 3 7" xfId="4868"/>
    <cellStyle name="40% - Accent2 3 8" xfId="4805"/>
    <cellStyle name="40% - Accent2 4" xfId="4869"/>
    <cellStyle name="40% - Accent2 4 2" xfId="4870"/>
    <cellStyle name="40% - Accent2 4 2 2" xfId="4871"/>
    <cellStyle name="40% - Accent2 4 2 2 2" xfId="4872"/>
    <cellStyle name="40% - Accent2 4 2 2 2 2" xfId="4873"/>
    <cellStyle name="40% - Accent2 4 2 2 2 2 2" xfId="4874"/>
    <cellStyle name="40% - Accent2 4 2 2 2 3" xfId="4875"/>
    <cellStyle name="40% - Accent2 4 2 2 3" xfId="4876"/>
    <cellStyle name="40% - Accent2 4 2 2 3 2" xfId="4877"/>
    <cellStyle name="40% - Accent2 4 2 2 4" xfId="4878"/>
    <cellStyle name="40% - Accent2 4 2 3" xfId="4879"/>
    <cellStyle name="40% - Accent2 4 2 3 2" xfId="4880"/>
    <cellStyle name="40% - Accent2 4 2 3 2 2" xfId="4881"/>
    <cellStyle name="40% - Accent2 4 2 3 3" xfId="4882"/>
    <cellStyle name="40% - Accent2 4 2 4" xfId="4883"/>
    <cellStyle name="40% - Accent2 4 2 4 2" xfId="4884"/>
    <cellStyle name="40% - Accent2 4 2 5" xfId="4885"/>
    <cellStyle name="40% - Accent2 4 3" xfId="4886"/>
    <cellStyle name="40% - Accent2 4 3 2" xfId="4887"/>
    <cellStyle name="40% - Accent2 4 3 2 2" xfId="4888"/>
    <cellStyle name="40% - Accent2 4 3 2 2 2" xfId="4889"/>
    <cellStyle name="40% - Accent2 4 3 2 3" xfId="4890"/>
    <cellStyle name="40% - Accent2 4 3 3" xfId="4891"/>
    <cellStyle name="40% - Accent2 4 3 3 2" xfId="4892"/>
    <cellStyle name="40% - Accent2 4 3 4" xfId="4893"/>
    <cellStyle name="40% - Accent2 4 4" xfId="4894"/>
    <cellStyle name="40% - Accent2 4 4 2" xfId="4895"/>
    <cellStyle name="40% - Accent2 4 4 2 2" xfId="4896"/>
    <cellStyle name="40% - Accent2 4 4 3" xfId="4897"/>
    <cellStyle name="40% - Accent2 4 5" xfId="4898"/>
    <cellStyle name="40% - Accent2 4 5 2" xfId="4899"/>
    <cellStyle name="40% - Accent2 4 6" xfId="4900"/>
    <cellStyle name="40% - Accent2 5" xfId="4901"/>
    <cellStyle name="40% - Accent2 5 2" xfId="4902"/>
    <cellStyle name="40% - Accent2 5 2 2" xfId="4903"/>
    <cellStyle name="40% - Accent2 5 2 2 2" xfId="4904"/>
    <cellStyle name="40% - Accent2 5 2 2 2 2" xfId="4905"/>
    <cellStyle name="40% - Accent2 5 2 2 3" xfId="4906"/>
    <cellStyle name="40% - Accent2 5 2 3" xfId="4907"/>
    <cellStyle name="40% - Accent2 5 2 3 2" xfId="4908"/>
    <cellStyle name="40% - Accent2 5 2 4" xfId="4909"/>
    <cellStyle name="40% - Accent2 5 3" xfId="4910"/>
    <cellStyle name="40% - Accent2 5 3 2" xfId="4911"/>
    <cellStyle name="40% - Accent2 5 3 2 2" xfId="4912"/>
    <cellStyle name="40% - Accent2 5 3 3" xfId="4913"/>
    <cellStyle name="40% - Accent2 5 4" xfId="4914"/>
    <cellStyle name="40% - Accent2 5 4 2" xfId="4915"/>
    <cellStyle name="40% - Accent2 5 5" xfId="4916"/>
    <cellStyle name="40% - Accent2 6" xfId="4917"/>
    <cellStyle name="40% - Accent2 6 2" xfId="4918"/>
    <cellStyle name="40% - Accent2 6 2 2" xfId="4919"/>
    <cellStyle name="40% - Accent2 6 2 2 2" xfId="4920"/>
    <cellStyle name="40% - Accent2 6 2 3" xfId="4921"/>
    <cellStyle name="40% - Accent2 6 3" xfId="4922"/>
    <cellStyle name="40% - Accent2 6 3 2" xfId="4923"/>
    <cellStyle name="40% - Accent2 6 4" xfId="4924"/>
    <cellStyle name="40% - Accent2 7" xfId="4925"/>
    <cellStyle name="40% - Accent2 7 2" xfId="4926"/>
    <cellStyle name="40% - Accent2 7 2 2" xfId="4927"/>
    <cellStyle name="40% - Accent2 7 2 2 2" xfId="4928"/>
    <cellStyle name="40% - Accent2 7 2 3" xfId="4929"/>
    <cellStyle name="40% - Accent2 7 3" xfId="4930"/>
    <cellStyle name="40% - Accent2 7 3 2" xfId="4931"/>
    <cellStyle name="40% - Accent2 7 4" xfId="4932"/>
    <cellStyle name="40% - Accent2 8" xfId="4933"/>
    <cellStyle name="40% - Accent2 8 2" xfId="4934"/>
    <cellStyle name="40% - Accent2 8 2 2" xfId="4935"/>
    <cellStyle name="40% - Accent2 8 2 2 2" xfId="4936"/>
    <cellStyle name="40% - Accent2 8 2 3" xfId="4937"/>
    <cellStyle name="40% - Accent2 8 3" xfId="4938"/>
    <cellStyle name="40% - Accent2 8 3 2" xfId="4939"/>
    <cellStyle name="40% - Accent2 8 4" xfId="4940"/>
    <cellStyle name="40% - Accent2 9" xfId="4941"/>
    <cellStyle name="40% - Accent2 9 2" xfId="4942"/>
    <cellStyle name="40% - Accent2 9 2 2" xfId="4943"/>
    <cellStyle name="40% - Accent2 9 3" xfId="4944"/>
    <cellStyle name="40% - Accent3" xfId="3096" builtinId="39" customBuiltin="1"/>
    <cellStyle name="40% - Accent3 10" xfId="4945"/>
    <cellStyle name="40% - Accent3 10 2" xfId="4946"/>
    <cellStyle name="40% - Accent3 10 2 2" xfId="4947"/>
    <cellStyle name="40% - Accent3 10 3" xfId="4948"/>
    <cellStyle name="40% - Accent3 11" xfId="4949"/>
    <cellStyle name="40% - Accent3 11 2" xfId="4950"/>
    <cellStyle name="40% - Accent3 11 2 2" xfId="4951"/>
    <cellStyle name="40% - Accent3 11 3" xfId="4952"/>
    <cellStyle name="40% - Accent3 12" xfId="4953"/>
    <cellStyle name="40% - Accent3 12 2" xfId="4954"/>
    <cellStyle name="40% - Accent3 13" xfId="4955"/>
    <cellStyle name="40% - Accent3 2" xfId="172"/>
    <cellStyle name="40% - Accent3 2 2" xfId="4957"/>
    <cellStyle name="40% - Accent3 2 2 2" xfId="4958"/>
    <cellStyle name="40% - Accent3 2 2 2 2" xfId="4959"/>
    <cellStyle name="40% - Accent3 2 2 2 2 2" xfId="4960"/>
    <cellStyle name="40% - Accent3 2 2 2 2 2 2" xfId="4961"/>
    <cellStyle name="40% - Accent3 2 2 2 2 2 2 2" xfId="4962"/>
    <cellStyle name="40% - Accent3 2 2 2 2 2 3" xfId="4963"/>
    <cellStyle name="40% - Accent3 2 2 2 2 3" xfId="4964"/>
    <cellStyle name="40% - Accent3 2 2 2 2 3 2" xfId="4965"/>
    <cellStyle name="40% - Accent3 2 2 2 2 4" xfId="4966"/>
    <cellStyle name="40% - Accent3 2 2 2 3" xfId="4967"/>
    <cellStyle name="40% - Accent3 2 2 2 3 2" xfId="4968"/>
    <cellStyle name="40% - Accent3 2 2 2 3 2 2" xfId="4969"/>
    <cellStyle name="40% - Accent3 2 2 2 3 3" xfId="4970"/>
    <cellStyle name="40% - Accent3 2 2 2 4" xfId="4971"/>
    <cellStyle name="40% - Accent3 2 2 2 4 2" xfId="4972"/>
    <cellStyle name="40% - Accent3 2 2 2 5" xfId="4973"/>
    <cellStyle name="40% - Accent3 2 2 3" xfId="4974"/>
    <cellStyle name="40% - Accent3 2 2 3 2" xfId="4975"/>
    <cellStyle name="40% - Accent3 2 2 3 2 2" xfId="4976"/>
    <cellStyle name="40% - Accent3 2 2 3 2 2 2" xfId="4977"/>
    <cellStyle name="40% - Accent3 2 2 3 2 3" xfId="4978"/>
    <cellStyle name="40% - Accent3 2 2 3 3" xfId="4979"/>
    <cellStyle name="40% - Accent3 2 2 3 3 2" xfId="4980"/>
    <cellStyle name="40% - Accent3 2 2 3 4" xfId="4981"/>
    <cellStyle name="40% - Accent3 2 2 4" xfId="4982"/>
    <cellStyle name="40% - Accent3 2 2 4 2" xfId="4983"/>
    <cellStyle name="40% - Accent3 2 2 4 2 2" xfId="4984"/>
    <cellStyle name="40% - Accent3 2 2 4 3" xfId="4985"/>
    <cellStyle name="40% - Accent3 2 2 5" xfId="4986"/>
    <cellStyle name="40% - Accent3 2 2 5 2" xfId="4987"/>
    <cellStyle name="40% - Accent3 2 2 6" xfId="4988"/>
    <cellStyle name="40% - Accent3 2 3" xfId="4989"/>
    <cellStyle name="40% - Accent3 2 3 2" xfId="4990"/>
    <cellStyle name="40% - Accent3 2 3 2 2" xfId="4991"/>
    <cellStyle name="40% - Accent3 2 3 2 2 2" xfId="4992"/>
    <cellStyle name="40% - Accent3 2 3 2 2 2 2" xfId="4993"/>
    <cellStyle name="40% - Accent3 2 3 2 2 3" xfId="4994"/>
    <cellStyle name="40% - Accent3 2 3 2 3" xfId="4995"/>
    <cellStyle name="40% - Accent3 2 3 2 3 2" xfId="4996"/>
    <cellStyle name="40% - Accent3 2 3 2 4" xfId="4997"/>
    <cellStyle name="40% - Accent3 2 3 3" xfId="4998"/>
    <cellStyle name="40% - Accent3 2 3 3 2" xfId="4999"/>
    <cellStyle name="40% - Accent3 2 3 3 2 2" xfId="5000"/>
    <cellStyle name="40% - Accent3 2 3 3 3" xfId="5001"/>
    <cellStyle name="40% - Accent3 2 3 4" xfId="5002"/>
    <cellStyle name="40% - Accent3 2 3 4 2" xfId="5003"/>
    <cellStyle name="40% - Accent3 2 3 5" xfId="5004"/>
    <cellStyle name="40% - Accent3 2 4" xfId="5005"/>
    <cellStyle name="40% - Accent3 2 4 2" xfId="5006"/>
    <cellStyle name="40% - Accent3 2 4 2 2" xfId="5007"/>
    <cellStyle name="40% - Accent3 2 4 2 2 2" xfId="5008"/>
    <cellStyle name="40% - Accent3 2 4 2 3" xfId="5009"/>
    <cellStyle name="40% - Accent3 2 4 3" xfId="5010"/>
    <cellStyle name="40% - Accent3 2 4 3 2" xfId="5011"/>
    <cellStyle name="40% - Accent3 2 4 4" xfId="5012"/>
    <cellStyle name="40% - Accent3 2 5" xfId="5013"/>
    <cellStyle name="40% - Accent3 2 5 2" xfId="5014"/>
    <cellStyle name="40% - Accent3 2 5 2 2" xfId="5015"/>
    <cellStyle name="40% - Accent3 2 5 3" xfId="5016"/>
    <cellStyle name="40% - Accent3 2 6" xfId="5017"/>
    <cellStyle name="40% - Accent3 2 6 2" xfId="5018"/>
    <cellStyle name="40% - Accent3 2 7" xfId="5019"/>
    <cellStyle name="40% - Accent3 2 8" xfId="4956"/>
    <cellStyle name="40% - Accent3 3" xfId="3129"/>
    <cellStyle name="40% - Accent3 3 2" xfId="5021"/>
    <cellStyle name="40% - Accent3 3 2 2" xfId="5022"/>
    <cellStyle name="40% - Accent3 3 2 2 2" xfId="5023"/>
    <cellStyle name="40% - Accent3 3 2 2 2 2" xfId="5024"/>
    <cellStyle name="40% - Accent3 3 2 2 2 2 2" xfId="5025"/>
    <cellStyle name="40% - Accent3 3 2 2 2 2 2 2" xfId="5026"/>
    <cellStyle name="40% - Accent3 3 2 2 2 2 3" xfId="5027"/>
    <cellStyle name="40% - Accent3 3 2 2 2 3" xfId="5028"/>
    <cellStyle name="40% - Accent3 3 2 2 2 3 2" xfId="5029"/>
    <cellStyle name="40% - Accent3 3 2 2 2 4" xfId="5030"/>
    <cellStyle name="40% - Accent3 3 2 2 3" xfId="5031"/>
    <cellStyle name="40% - Accent3 3 2 2 3 2" xfId="5032"/>
    <cellStyle name="40% - Accent3 3 2 2 3 2 2" xfId="5033"/>
    <cellStyle name="40% - Accent3 3 2 2 3 3" xfId="5034"/>
    <cellStyle name="40% - Accent3 3 2 2 4" xfId="5035"/>
    <cellStyle name="40% - Accent3 3 2 2 4 2" xfId="5036"/>
    <cellStyle name="40% - Accent3 3 2 2 5" xfId="5037"/>
    <cellStyle name="40% - Accent3 3 2 3" xfId="5038"/>
    <cellStyle name="40% - Accent3 3 2 3 2" xfId="5039"/>
    <cellStyle name="40% - Accent3 3 2 3 2 2" xfId="5040"/>
    <cellStyle name="40% - Accent3 3 2 3 2 2 2" xfId="5041"/>
    <cellStyle name="40% - Accent3 3 2 3 2 3" xfId="5042"/>
    <cellStyle name="40% - Accent3 3 2 3 3" xfId="5043"/>
    <cellStyle name="40% - Accent3 3 2 3 3 2" xfId="5044"/>
    <cellStyle name="40% - Accent3 3 2 3 4" xfId="5045"/>
    <cellStyle name="40% - Accent3 3 2 4" xfId="5046"/>
    <cellStyle name="40% - Accent3 3 2 4 2" xfId="5047"/>
    <cellStyle name="40% - Accent3 3 2 4 2 2" xfId="5048"/>
    <cellStyle name="40% - Accent3 3 2 4 3" xfId="5049"/>
    <cellStyle name="40% - Accent3 3 2 5" xfId="5050"/>
    <cellStyle name="40% - Accent3 3 2 5 2" xfId="5051"/>
    <cellStyle name="40% - Accent3 3 2 6" xfId="5052"/>
    <cellStyle name="40% - Accent3 3 3" xfId="5053"/>
    <cellStyle name="40% - Accent3 3 3 2" xfId="5054"/>
    <cellStyle name="40% - Accent3 3 3 2 2" xfId="5055"/>
    <cellStyle name="40% - Accent3 3 3 2 2 2" xfId="5056"/>
    <cellStyle name="40% - Accent3 3 3 2 2 2 2" xfId="5057"/>
    <cellStyle name="40% - Accent3 3 3 2 2 3" xfId="5058"/>
    <cellStyle name="40% - Accent3 3 3 2 3" xfId="5059"/>
    <cellStyle name="40% - Accent3 3 3 2 3 2" xfId="5060"/>
    <cellStyle name="40% - Accent3 3 3 2 4" xfId="5061"/>
    <cellStyle name="40% - Accent3 3 3 3" xfId="5062"/>
    <cellStyle name="40% - Accent3 3 3 3 2" xfId="5063"/>
    <cellStyle name="40% - Accent3 3 3 3 2 2" xfId="5064"/>
    <cellStyle name="40% - Accent3 3 3 3 3" xfId="5065"/>
    <cellStyle name="40% - Accent3 3 3 4" xfId="5066"/>
    <cellStyle name="40% - Accent3 3 3 4 2" xfId="5067"/>
    <cellStyle name="40% - Accent3 3 3 5" xfId="5068"/>
    <cellStyle name="40% - Accent3 3 4" xfId="5069"/>
    <cellStyle name="40% - Accent3 3 4 2" xfId="5070"/>
    <cellStyle name="40% - Accent3 3 4 2 2" xfId="5071"/>
    <cellStyle name="40% - Accent3 3 4 2 2 2" xfId="5072"/>
    <cellStyle name="40% - Accent3 3 4 2 3" xfId="5073"/>
    <cellStyle name="40% - Accent3 3 4 3" xfId="5074"/>
    <cellStyle name="40% - Accent3 3 4 3 2" xfId="5075"/>
    <cellStyle name="40% - Accent3 3 4 4" xfId="5076"/>
    <cellStyle name="40% - Accent3 3 5" xfId="5077"/>
    <cellStyle name="40% - Accent3 3 5 2" xfId="5078"/>
    <cellStyle name="40% - Accent3 3 5 2 2" xfId="5079"/>
    <cellStyle name="40% - Accent3 3 5 3" xfId="5080"/>
    <cellStyle name="40% - Accent3 3 6" xfId="5081"/>
    <cellStyle name="40% - Accent3 3 6 2" xfId="5082"/>
    <cellStyle name="40% - Accent3 3 7" xfId="5083"/>
    <cellStyle name="40% - Accent3 3 8" xfId="5020"/>
    <cellStyle name="40% - Accent3 4" xfId="5084"/>
    <cellStyle name="40% - Accent3 4 2" xfId="5085"/>
    <cellStyle name="40% - Accent3 4 2 2" xfId="5086"/>
    <cellStyle name="40% - Accent3 4 2 2 2" xfId="5087"/>
    <cellStyle name="40% - Accent3 4 2 2 2 2" xfId="5088"/>
    <cellStyle name="40% - Accent3 4 2 2 2 2 2" xfId="5089"/>
    <cellStyle name="40% - Accent3 4 2 2 2 3" xfId="5090"/>
    <cellStyle name="40% - Accent3 4 2 2 3" xfId="5091"/>
    <cellStyle name="40% - Accent3 4 2 2 3 2" xfId="5092"/>
    <cellStyle name="40% - Accent3 4 2 2 4" xfId="5093"/>
    <cellStyle name="40% - Accent3 4 2 3" xfId="5094"/>
    <cellStyle name="40% - Accent3 4 2 3 2" xfId="5095"/>
    <cellStyle name="40% - Accent3 4 2 3 2 2" xfId="5096"/>
    <cellStyle name="40% - Accent3 4 2 3 3" xfId="5097"/>
    <cellStyle name="40% - Accent3 4 2 4" xfId="5098"/>
    <cellStyle name="40% - Accent3 4 2 4 2" xfId="5099"/>
    <cellStyle name="40% - Accent3 4 2 5" xfId="5100"/>
    <cellStyle name="40% - Accent3 4 3" xfId="5101"/>
    <cellStyle name="40% - Accent3 4 3 2" xfId="5102"/>
    <cellStyle name="40% - Accent3 4 3 2 2" xfId="5103"/>
    <cellStyle name="40% - Accent3 4 3 2 2 2" xfId="5104"/>
    <cellStyle name="40% - Accent3 4 3 2 3" xfId="5105"/>
    <cellStyle name="40% - Accent3 4 3 3" xfId="5106"/>
    <cellStyle name="40% - Accent3 4 3 3 2" xfId="5107"/>
    <cellStyle name="40% - Accent3 4 3 4" xfId="5108"/>
    <cellStyle name="40% - Accent3 4 4" xfId="5109"/>
    <cellStyle name="40% - Accent3 4 4 2" xfId="5110"/>
    <cellStyle name="40% - Accent3 4 4 2 2" xfId="5111"/>
    <cellStyle name="40% - Accent3 4 4 3" xfId="5112"/>
    <cellStyle name="40% - Accent3 4 5" xfId="5113"/>
    <cellStyle name="40% - Accent3 4 5 2" xfId="5114"/>
    <cellStyle name="40% - Accent3 4 6" xfId="5115"/>
    <cellStyle name="40% - Accent3 5" xfId="5116"/>
    <cellStyle name="40% - Accent3 5 2" xfId="5117"/>
    <cellStyle name="40% - Accent3 5 2 2" xfId="5118"/>
    <cellStyle name="40% - Accent3 5 2 2 2" xfId="5119"/>
    <cellStyle name="40% - Accent3 5 2 2 2 2" xfId="5120"/>
    <cellStyle name="40% - Accent3 5 2 2 3" xfId="5121"/>
    <cellStyle name="40% - Accent3 5 2 3" xfId="5122"/>
    <cellStyle name="40% - Accent3 5 2 3 2" xfId="5123"/>
    <cellStyle name="40% - Accent3 5 2 4" xfId="5124"/>
    <cellStyle name="40% - Accent3 5 3" xfId="5125"/>
    <cellStyle name="40% - Accent3 5 3 2" xfId="5126"/>
    <cellStyle name="40% - Accent3 5 3 2 2" xfId="5127"/>
    <cellStyle name="40% - Accent3 5 3 3" xfId="5128"/>
    <cellStyle name="40% - Accent3 5 4" xfId="5129"/>
    <cellStyle name="40% - Accent3 5 4 2" xfId="5130"/>
    <cellStyle name="40% - Accent3 5 5" xfId="5131"/>
    <cellStyle name="40% - Accent3 6" xfId="5132"/>
    <cellStyle name="40% - Accent3 6 2" xfId="5133"/>
    <cellStyle name="40% - Accent3 6 2 2" xfId="5134"/>
    <cellStyle name="40% - Accent3 6 2 2 2" xfId="5135"/>
    <cellStyle name="40% - Accent3 6 2 3" xfId="5136"/>
    <cellStyle name="40% - Accent3 6 3" xfId="5137"/>
    <cellStyle name="40% - Accent3 6 3 2" xfId="5138"/>
    <cellStyle name="40% - Accent3 6 4" xfId="5139"/>
    <cellStyle name="40% - Accent3 7" xfId="5140"/>
    <cellStyle name="40% - Accent3 7 2" xfId="5141"/>
    <cellStyle name="40% - Accent3 7 2 2" xfId="5142"/>
    <cellStyle name="40% - Accent3 7 2 2 2" xfId="5143"/>
    <cellStyle name="40% - Accent3 7 2 3" xfId="5144"/>
    <cellStyle name="40% - Accent3 7 3" xfId="5145"/>
    <cellStyle name="40% - Accent3 7 3 2" xfId="5146"/>
    <cellStyle name="40% - Accent3 7 4" xfId="5147"/>
    <cellStyle name="40% - Accent3 8" xfId="5148"/>
    <cellStyle name="40% - Accent3 8 2" xfId="5149"/>
    <cellStyle name="40% - Accent3 8 2 2" xfId="5150"/>
    <cellStyle name="40% - Accent3 8 2 2 2" xfId="5151"/>
    <cellStyle name="40% - Accent3 8 2 3" xfId="5152"/>
    <cellStyle name="40% - Accent3 8 3" xfId="5153"/>
    <cellStyle name="40% - Accent3 8 3 2" xfId="5154"/>
    <cellStyle name="40% - Accent3 8 4" xfId="5155"/>
    <cellStyle name="40% - Accent3 9" xfId="5156"/>
    <cellStyle name="40% - Accent3 9 2" xfId="5157"/>
    <cellStyle name="40% - Accent3 9 2 2" xfId="5158"/>
    <cellStyle name="40% - Accent3 9 3" xfId="5159"/>
    <cellStyle name="40% - Accent4" xfId="3100" builtinId="43" customBuiltin="1"/>
    <cellStyle name="40% - Accent4 10" xfId="5160"/>
    <cellStyle name="40% - Accent4 10 2" xfId="5161"/>
    <cellStyle name="40% - Accent4 10 2 2" xfId="5162"/>
    <cellStyle name="40% - Accent4 10 3" xfId="5163"/>
    <cellStyle name="40% - Accent4 11" xfId="5164"/>
    <cellStyle name="40% - Accent4 11 2" xfId="5165"/>
    <cellStyle name="40% - Accent4 11 2 2" xfId="5166"/>
    <cellStyle name="40% - Accent4 11 3" xfId="5167"/>
    <cellStyle name="40% - Accent4 12" xfId="5168"/>
    <cellStyle name="40% - Accent4 12 2" xfId="5169"/>
    <cellStyle name="40% - Accent4 13" xfId="5170"/>
    <cellStyle name="40% - Accent4 2" xfId="173"/>
    <cellStyle name="40% - Accent4 2 2" xfId="5172"/>
    <cellStyle name="40% - Accent4 2 2 2" xfId="5173"/>
    <cellStyle name="40% - Accent4 2 2 2 2" xfId="5174"/>
    <cellStyle name="40% - Accent4 2 2 2 2 2" xfId="5175"/>
    <cellStyle name="40% - Accent4 2 2 2 2 2 2" xfId="5176"/>
    <cellStyle name="40% - Accent4 2 2 2 2 2 2 2" xfId="5177"/>
    <cellStyle name="40% - Accent4 2 2 2 2 2 3" xfId="5178"/>
    <cellStyle name="40% - Accent4 2 2 2 2 3" xfId="5179"/>
    <cellStyle name="40% - Accent4 2 2 2 2 3 2" xfId="5180"/>
    <cellStyle name="40% - Accent4 2 2 2 2 4" xfId="5181"/>
    <cellStyle name="40% - Accent4 2 2 2 3" xfId="5182"/>
    <cellStyle name="40% - Accent4 2 2 2 3 2" xfId="5183"/>
    <cellStyle name="40% - Accent4 2 2 2 3 2 2" xfId="5184"/>
    <cellStyle name="40% - Accent4 2 2 2 3 3" xfId="5185"/>
    <cellStyle name="40% - Accent4 2 2 2 4" xfId="5186"/>
    <cellStyle name="40% - Accent4 2 2 2 4 2" xfId="5187"/>
    <cellStyle name="40% - Accent4 2 2 2 5" xfId="5188"/>
    <cellStyle name="40% - Accent4 2 2 3" xfId="5189"/>
    <cellStyle name="40% - Accent4 2 2 3 2" xfId="5190"/>
    <cellStyle name="40% - Accent4 2 2 3 2 2" xfId="5191"/>
    <cellStyle name="40% - Accent4 2 2 3 2 2 2" xfId="5192"/>
    <cellStyle name="40% - Accent4 2 2 3 2 3" xfId="5193"/>
    <cellStyle name="40% - Accent4 2 2 3 3" xfId="5194"/>
    <cellStyle name="40% - Accent4 2 2 3 3 2" xfId="5195"/>
    <cellStyle name="40% - Accent4 2 2 3 4" xfId="5196"/>
    <cellStyle name="40% - Accent4 2 2 4" xfId="5197"/>
    <cellStyle name="40% - Accent4 2 2 4 2" xfId="5198"/>
    <cellStyle name="40% - Accent4 2 2 4 2 2" xfId="5199"/>
    <cellStyle name="40% - Accent4 2 2 4 3" xfId="5200"/>
    <cellStyle name="40% - Accent4 2 2 5" xfId="5201"/>
    <cellStyle name="40% - Accent4 2 2 5 2" xfId="5202"/>
    <cellStyle name="40% - Accent4 2 2 6" xfId="5203"/>
    <cellStyle name="40% - Accent4 2 3" xfId="5204"/>
    <cellStyle name="40% - Accent4 2 3 2" xfId="5205"/>
    <cellStyle name="40% - Accent4 2 3 2 2" xfId="5206"/>
    <cellStyle name="40% - Accent4 2 3 2 2 2" xfId="5207"/>
    <cellStyle name="40% - Accent4 2 3 2 2 2 2" xfId="5208"/>
    <cellStyle name="40% - Accent4 2 3 2 2 3" xfId="5209"/>
    <cellStyle name="40% - Accent4 2 3 2 3" xfId="5210"/>
    <cellStyle name="40% - Accent4 2 3 2 3 2" xfId="5211"/>
    <cellStyle name="40% - Accent4 2 3 2 4" xfId="5212"/>
    <cellStyle name="40% - Accent4 2 3 3" xfId="5213"/>
    <cellStyle name="40% - Accent4 2 3 3 2" xfId="5214"/>
    <cellStyle name="40% - Accent4 2 3 3 2 2" xfId="5215"/>
    <cellStyle name="40% - Accent4 2 3 3 3" xfId="5216"/>
    <cellStyle name="40% - Accent4 2 3 4" xfId="5217"/>
    <cellStyle name="40% - Accent4 2 3 4 2" xfId="5218"/>
    <cellStyle name="40% - Accent4 2 3 5" xfId="5219"/>
    <cellStyle name="40% - Accent4 2 4" xfId="5220"/>
    <cellStyle name="40% - Accent4 2 4 2" xfId="5221"/>
    <cellStyle name="40% - Accent4 2 4 2 2" xfId="5222"/>
    <cellStyle name="40% - Accent4 2 4 2 2 2" xfId="5223"/>
    <cellStyle name="40% - Accent4 2 4 2 3" xfId="5224"/>
    <cellStyle name="40% - Accent4 2 4 3" xfId="5225"/>
    <cellStyle name="40% - Accent4 2 4 3 2" xfId="5226"/>
    <cellStyle name="40% - Accent4 2 4 4" xfId="5227"/>
    <cellStyle name="40% - Accent4 2 5" xfId="5228"/>
    <cellStyle name="40% - Accent4 2 5 2" xfId="5229"/>
    <cellStyle name="40% - Accent4 2 5 2 2" xfId="5230"/>
    <cellStyle name="40% - Accent4 2 5 3" xfId="5231"/>
    <cellStyle name="40% - Accent4 2 6" xfId="5232"/>
    <cellStyle name="40% - Accent4 2 6 2" xfId="5233"/>
    <cellStyle name="40% - Accent4 2 7" xfId="5234"/>
    <cellStyle name="40% - Accent4 2 8" xfId="5171"/>
    <cellStyle name="40% - Accent4 3" xfId="3130"/>
    <cellStyle name="40% - Accent4 3 2" xfId="5236"/>
    <cellStyle name="40% - Accent4 3 2 2" xfId="5237"/>
    <cellStyle name="40% - Accent4 3 2 2 2" xfId="5238"/>
    <cellStyle name="40% - Accent4 3 2 2 2 2" xfId="5239"/>
    <cellStyle name="40% - Accent4 3 2 2 2 2 2" xfId="5240"/>
    <cellStyle name="40% - Accent4 3 2 2 2 2 2 2" xfId="5241"/>
    <cellStyle name="40% - Accent4 3 2 2 2 2 3" xfId="5242"/>
    <cellStyle name="40% - Accent4 3 2 2 2 3" xfId="5243"/>
    <cellStyle name="40% - Accent4 3 2 2 2 3 2" xfId="5244"/>
    <cellStyle name="40% - Accent4 3 2 2 2 4" xfId="5245"/>
    <cellStyle name="40% - Accent4 3 2 2 3" xfId="5246"/>
    <cellStyle name="40% - Accent4 3 2 2 3 2" xfId="5247"/>
    <cellStyle name="40% - Accent4 3 2 2 3 2 2" xfId="5248"/>
    <cellStyle name="40% - Accent4 3 2 2 3 3" xfId="5249"/>
    <cellStyle name="40% - Accent4 3 2 2 4" xfId="5250"/>
    <cellStyle name="40% - Accent4 3 2 2 4 2" xfId="5251"/>
    <cellStyle name="40% - Accent4 3 2 2 5" xfId="5252"/>
    <cellStyle name="40% - Accent4 3 2 3" xfId="5253"/>
    <cellStyle name="40% - Accent4 3 2 3 2" xfId="5254"/>
    <cellStyle name="40% - Accent4 3 2 3 2 2" xfId="5255"/>
    <cellStyle name="40% - Accent4 3 2 3 2 2 2" xfId="5256"/>
    <cellStyle name="40% - Accent4 3 2 3 2 3" xfId="5257"/>
    <cellStyle name="40% - Accent4 3 2 3 3" xfId="5258"/>
    <cellStyle name="40% - Accent4 3 2 3 3 2" xfId="5259"/>
    <cellStyle name="40% - Accent4 3 2 3 4" xfId="5260"/>
    <cellStyle name="40% - Accent4 3 2 4" xfId="5261"/>
    <cellStyle name="40% - Accent4 3 2 4 2" xfId="5262"/>
    <cellStyle name="40% - Accent4 3 2 4 2 2" xfId="5263"/>
    <cellStyle name="40% - Accent4 3 2 4 3" xfId="5264"/>
    <cellStyle name="40% - Accent4 3 2 5" xfId="5265"/>
    <cellStyle name="40% - Accent4 3 2 5 2" xfId="5266"/>
    <cellStyle name="40% - Accent4 3 2 6" xfId="5267"/>
    <cellStyle name="40% - Accent4 3 3" xfId="5268"/>
    <cellStyle name="40% - Accent4 3 3 2" xfId="5269"/>
    <cellStyle name="40% - Accent4 3 3 2 2" xfId="5270"/>
    <cellStyle name="40% - Accent4 3 3 2 2 2" xfId="5271"/>
    <cellStyle name="40% - Accent4 3 3 2 2 2 2" xfId="5272"/>
    <cellStyle name="40% - Accent4 3 3 2 2 3" xfId="5273"/>
    <cellStyle name="40% - Accent4 3 3 2 3" xfId="5274"/>
    <cellStyle name="40% - Accent4 3 3 2 3 2" xfId="5275"/>
    <cellStyle name="40% - Accent4 3 3 2 4" xfId="5276"/>
    <cellStyle name="40% - Accent4 3 3 3" xfId="5277"/>
    <cellStyle name="40% - Accent4 3 3 3 2" xfId="5278"/>
    <cellStyle name="40% - Accent4 3 3 3 2 2" xfId="5279"/>
    <cellStyle name="40% - Accent4 3 3 3 3" xfId="5280"/>
    <cellStyle name="40% - Accent4 3 3 4" xfId="5281"/>
    <cellStyle name="40% - Accent4 3 3 4 2" xfId="5282"/>
    <cellStyle name="40% - Accent4 3 3 5" xfId="5283"/>
    <cellStyle name="40% - Accent4 3 4" xfId="5284"/>
    <cellStyle name="40% - Accent4 3 4 2" xfId="5285"/>
    <cellStyle name="40% - Accent4 3 4 2 2" xfId="5286"/>
    <cellStyle name="40% - Accent4 3 4 2 2 2" xfId="5287"/>
    <cellStyle name="40% - Accent4 3 4 2 3" xfId="5288"/>
    <cellStyle name="40% - Accent4 3 4 3" xfId="5289"/>
    <cellStyle name="40% - Accent4 3 4 3 2" xfId="5290"/>
    <cellStyle name="40% - Accent4 3 4 4" xfId="5291"/>
    <cellStyle name="40% - Accent4 3 5" xfId="5292"/>
    <cellStyle name="40% - Accent4 3 5 2" xfId="5293"/>
    <cellStyle name="40% - Accent4 3 5 2 2" xfId="5294"/>
    <cellStyle name="40% - Accent4 3 5 3" xfId="5295"/>
    <cellStyle name="40% - Accent4 3 6" xfId="5296"/>
    <cellStyle name="40% - Accent4 3 6 2" xfId="5297"/>
    <cellStyle name="40% - Accent4 3 7" xfId="5298"/>
    <cellStyle name="40% - Accent4 3 8" xfId="5235"/>
    <cellStyle name="40% - Accent4 4" xfId="5299"/>
    <cellStyle name="40% - Accent4 4 2" xfId="5300"/>
    <cellStyle name="40% - Accent4 4 2 2" xfId="5301"/>
    <cellStyle name="40% - Accent4 4 2 2 2" xfId="5302"/>
    <cellStyle name="40% - Accent4 4 2 2 2 2" xfId="5303"/>
    <cellStyle name="40% - Accent4 4 2 2 2 2 2" xfId="5304"/>
    <cellStyle name="40% - Accent4 4 2 2 2 3" xfId="5305"/>
    <cellStyle name="40% - Accent4 4 2 2 3" xfId="5306"/>
    <cellStyle name="40% - Accent4 4 2 2 3 2" xfId="5307"/>
    <cellStyle name="40% - Accent4 4 2 2 4" xfId="5308"/>
    <cellStyle name="40% - Accent4 4 2 3" xfId="5309"/>
    <cellStyle name="40% - Accent4 4 2 3 2" xfId="5310"/>
    <cellStyle name="40% - Accent4 4 2 3 2 2" xfId="5311"/>
    <cellStyle name="40% - Accent4 4 2 3 3" xfId="5312"/>
    <cellStyle name="40% - Accent4 4 2 4" xfId="5313"/>
    <cellStyle name="40% - Accent4 4 2 4 2" xfId="5314"/>
    <cellStyle name="40% - Accent4 4 2 5" xfId="5315"/>
    <cellStyle name="40% - Accent4 4 3" xfId="5316"/>
    <cellStyle name="40% - Accent4 4 3 2" xfId="5317"/>
    <cellStyle name="40% - Accent4 4 3 2 2" xfId="5318"/>
    <cellStyle name="40% - Accent4 4 3 2 2 2" xfId="5319"/>
    <cellStyle name="40% - Accent4 4 3 2 3" xfId="5320"/>
    <cellStyle name="40% - Accent4 4 3 3" xfId="5321"/>
    <cellStyle name="40% - Accent4 4 3 3 2" xfId="5322"/>
    <cellStyle name="40% - Accent4 4 3 4" xfId="5323"/>
    <cellStyle name="40% - Accent4 4 4" xfId="5324"/>
    <cellStyle name="40% - Accent4 4 4 2" xfId="5325"/>
    <cellStyle name="40% - Accent4 4 4 2 2" xfId="5326"/>
    <cellStyle name="40% - Accent4 4 4 3" xfId="5327"/>
    <cellStyle name="40% - Accent4 4 5" xfId="5328"/>
    <cellStyle name="40% - Accent4 4 5 2" xfId="5329"/>
    <cellStyle name="40% - Accent4 4 6" xfId="5330"/>
    <cellStyle name="40% - Accent4 5" xfId="5331"/>
    <cellStyle name="40% - Accent4 5 2" xfId="5332"/>
    <cellStyle name="40% - Accent4 5 2 2" xfId="5333"/>
    <cellStyle name="40% - Accent4 5 2 2 2" xfId="5334"/>
    <cellStyle name="40% - Accent4 5 2 2 2 2" xfId="5335"/>
    <cellStyle name="40% - Accent4 5 2 2 3" xfId="5336"/>
    <cellStyle name="40% - Accent4 5 2 3" xfId="5337"/>
    <cellStyle name="40% - Accent4 5 2 3 2" xfId="5338"/>
    <cellStyle name="40% - Accent4 5 2 4" xfId="5339"/>
    <cellStyle name="40% - Accent4 5 3" xfId="5340"/>
    <cellStyle name="40% - Accent4 5 3 2" xfId="5341"/>
    <cellStyle name="40% - Accent4 5 3 2 2" xfId="5342"/>
    <cellStyle name="40% - Accent4 5 3 3" xfId="5343"/>
    <cellStyle name="40% - Accent4 5 4" xfId="5344"/>
    <cellStyle name="40% - Accent4 5 4 2" xfId="5345"/>
    <cellStyle name="40% - Accent4 5 5" xfId="5346"/>
    <cellStyle name="40% - Accent4 6" xfId="5347"/>
    <cellStyle name="40% - Accent4 6 2" xfId="5348"/>
    <cellStyle name="40% - Accent4 6 2 2" xfId="5349"/>
    <cellStyle name="40% - Accent4 6 2 2 2" xfId="5350"/>
    <cellStyle name="40% - Accent4 6 2 3" xfId="5351"/>
    <cellStyle name="40% - Accent4 6 3" xfId="5352"/>
    <cellStyle name="40% - Accent4 6 3 2" xfId="5353"/>
    <cellStyle name="40% - Accent4 6 4" xfId="5354"/>
    <cellStyle name="40% - Accent4 7" xfId="5355"/>
    <cellStyle name="40% - Accent4 7 2" xfId="5356"/>
    <cellStyle name="40% - Accent4 7 2 2" xfId="5357"/>
    <cellStyle name="40% - Accent4 7 2 2 2" xfId="5358"/>
    <cellStyle name="40% - Accent4 7 2 3" xfId="5359"/>
    <cellStyle name="40% - Accent4 7 3" xfId="5360"/>
    <cellStyle name="40% - Accent4 7 3 2" xfId="5361"/>
    <cellStyle name="40% - Accent4 7 4" xfId="5362"/>
    <cellStyle name="40% - Accent4 8" xfId="5363"/>
    <cellStyle name="40% - Accent4 8 2" xfId="5364"/>
    <cellStyle name="40% - Accent4 8 2 2" xfId="5365"/>
    <cellStyle name="40% - Accent4 8 2 2 2" xfId="5366"/>
    <cellStyle name="40% - Accent4 8 2 3" xfId="5367"/>
    <cellStyle name="40% - Accent4 8 3" xfId="5368"/>
    <cellStyle name="40% - Accent4 8 3 2" xfId="5369"/>
    <cellStyle name="40% - Accent4 8 4" xfId="5370"/>
    <cellStyle name="40% - Accent4 9" xfId="5371"/>
    <cellStyle name="40% - Accent4 9 2" xfId="5372"/>
    <cellStyle name="40% - Accent4 9 2 2" xfId="5373"/>
    <cellStyle name="40% - Accent4 9 3" xfId="5374"/>
    <cellStyle name="40% - Accent5" xfId="3104" builtinId="47" customBuiltin="1"/>
    <cellStyle name="40% - Accent5 10" xfId="5375"/>
    <cellStyle name="40% - Accent5 10 2" xfId="5376"/>
    <cellStyle name="40% - Accent5 10 2 2" xfId="5377"/>
    <cellStyle name="40% - Accent5 10 3" xfId="5378"/>
    <cellStyle name="40% - Accent5 11" xfId="5379"/>
    <cellStyle name="40% - Accent5 11 2" xfId="5380"/>
    <cellStyle name="40% - Accent5 11 2 2" xfId="5381"/>
    <cellStyle name="40% - Accent5 11 3" xfId="5382"/>
    <cellStyle name="40% - Accent5 12" xfId="5383"/>
    <cellStyle name="40% - Accent5 12 2" xfId="5384"/>
    <cellStyle name="40% - Accent5 13" xfId="5385"/>
    <cellStyle name="40% - Accent5 2" xfId="174"/>
    <cellStyle name="40% - Accent5 2 2" xfId="5387"/>
    <cellStyle name="40% - Accent5 2 2 2" xfId="5388"/>
    <cellStyle name="40% - Accent5 2 2 2 2" xfId="5389"/>
    <cellStyle name="40% - Accent5 2 2 2 2 2" xfId="5390"/>
    <cellStyle name="40% - Accent5 2 2 2 2 2 2" xfId="5391"/>
    <cellStyle name="40% - Accent5 2 2 2 2 2 2 2" xfId="5392"/>
    <cellStyle name="40% - Accent5 2 2 2 2 2 3" xfId="5393"/>
    <cellStyle name="40% - Accent5 2 2 2 2 3" xfId="5394"/>
    <cellStyle name="40% - Accent5 2 2 2 2 3 2" xfId="5395"/>
    <cellStyle name="40% - Accent5 2 2 2 2 4" xfId="5396"/>
    <cellStyle name="40% - Accent5 2 2 2 3" xfId="5397"/>
    <cellStyle name="40% - Accent5 2 2 2 3 2" xfId="5398"/>
    <cellStyle name="40% - Accent5 2 2 2 3 2 2" xfId="5399"/>
    <cellStyle name="40% - Accent5 2 2 2 3 3" xfId="5400"/>
    <cellStyle name="40% - Accent5 2 2 2 4" xfId="5401"/>
    <cellStyle name="40% - Accent5 2 2 2 4 2" xfId="5402"/>
    <cellStyle name="40% - Accent5 2 2 2 5" xfId="5403"/>
    <cellStyle name="40% - Accent5 2 2 3" xfId="5404"/>
    <cellStyle name="40% - Accent5 2 2 3 2" xfId="5405"/>
    <cellStyle name="40% - Accent5 2 2 3 2 2" xfId="5406"/>
    <cellStyle name="40% - Accent5 2 2 3 2 2 2" xfId="5407"/>
    <cellStyle name="40% - Accent5 2 2 3 2 3" xfId="5408"/>
    <cellStyle name="40% - Accent5 2 2 3 3" xfId="5409"/>
    <cellStyle name="40% - Accent5 2 2 3 3 2" xfId="5410"/>
    <cellStyle name="40% - Accent5 2 2 3 4" xfId="5411"/>
    <cellStyle name="40% - Accent5 2 2 4" xfId="5412"/>
    <cellStyle name="40% - Accent5 2 2 4 2" xfId="5413"/>
    <cellStyle name="40% - Accent5 2 2 4 2 2" xfId="5414"/>
    <cellStyle name="40% - Accent5 2 2 4 3" xfId="5415"/>
    <cellStyle name="40% - Accent5 2 2 5" xfId="5416"/>
    <cellStyle name="40% - Accent5 2 2 5 2" xfId="5417"/>
    <cellStyle name="40% - Accent5 2 2 6" xfId="5418"/>
    <cellStyle name="40% - Accent5 2 3" xfId="5419"/>
    <cellStyle name="40% - Accent5 2 3 2" xfId="5420"/>
    <cellStyle name="40% - Accent5 2 3 2 2" xfId="5421"/>
    <cellStyle name="40% - Accent5 2 3 2 2 2" xfId="5422"/>
    <cellStyle name="40% - Accent5 2 3 2 2 2 2" xfId="5423"/>
    <cellStyle name="40% - Accent5 2 3 2 2 3" xfId="5424"/>
    <cellStyle name="40% - Accent5 2 3 2 3" xfId="5425"/>
    <cellStyle name="40% - Accent5 2 3 2 3 2" xfId="5426"/>
    <cellStyle name="40% - Accent5 2 3 2 4" xfId="5427"/>
    <cellStyle name="40% - Accent5 2 3 3" xfId="5428"/>
    <cellStyle name="40% - Accent5 2 3 3 2" xfId="5429"/>
    <cellStyle name="40% - Accent5 2 3 3 2 2" xfId="5430"/>
    <cellStyle name="40% - Accent5 2 3 3 3" xfId="5431"/>
    <cellStyle name="40% - Accent5 2 3 4" xfId="5432"/>
    <cellStyle name="40% - Accent5 2 3 4 2" xfId="5433"/>
    <cellStyle name="40% - Accent5 2 3 5" xfId="5434"/>
    <cellStyle name="40% - Accent5 2 4" xfId="5435"/>
    <cellStyle name="40% - Accent5 2 4 2" xfId="5436"/>
    <cellStyle name="40% - Accent5 2 4 2 2" xfId="5437"/>
    <cellStyle name="40% - Accent5 2 4 2 2 2" xfId="5438"/>
    <cellStyle name="40% - Accent5 2 4 2 3" xfId="5439"/>
    <cellStyle name="40% - Accent5 2 4 3" xfId="5440"/>
    <cellStyle name="40% - Accent5 2 4 3 2" xfId="5441"/>
    <cellStyle name="40% - Accent5 2 4 4" xfId="5442"/>
    <cellStyle name="40% - Accent5 2 5" xfId="5443"/>
    <cellStyle name="40% - Accent5 2 5 2" xfId="5444"/>
    <cellStyle name="40% - Accent5 2 5 2 2" xfId="5445"/>
    <cellStyle name="40% - Accent5 2 5 3" xfId="5446"/>
    <cellStyle name="40% - Accent5 2 6" xfId="5447"/>
    <cellStyle name="40% - Accent5 2 6 2" xfId="5448"/>
    <cellStyle name="40% - Accent5 2 7" xfId="5449"/>
    <cellStyle name="40% - Accent5 2 8" xfId="5386"/>
    <cellStyle name="40% - Accent5 3" xfId="3131"/>
    <cellStyle name="40% - Accent5 3 2" xfId="5451"/>
    <cellStyle name="40% - Accent5 3 2 2" xfId="5452"/>
    <cellStyle name="40% - Accent5 3 2 2 2" xfId="5453"/>
    <cellStyle name="40% - Accent5 3 2 2 2 2" xfId="5454"/>
    <cellStyle name="40% - Accent5 3 2 2 2 2 2" xfId="5455"/>
    <cellStyle name="40% - Accent5 3 2 2 2 2 2 2" xfId="5456"/>
    <cellStyle name="40% - Accent5 3 2 2 2 2 3" xfId="5457"/>
    <cellStyle name="40% - Accent5 3 2 2 2 3" xfId="5458"/>
    <cellStyle name="40% - Accent5 3 2 2 2 3 2" xfId="5459"/>
    <cellStyle name="40% - Accent5 3 2 2 2 4" xfId="5460"/>
    <cellStyle name="40% - Accent5 3 2 2 3" xfId="5461"/>
    <cellStyle name="40% - Accent5 3 2 2 3 2" xfId="5462"/>
    <cellStyle name="40% - Accent5 3 2 2 3 2 2" xfId="5463"/>
    <cellStyle name="40% - Accent5 3 2 2 3 3" xfId="5464"/>
    <cellStyle name="40% - Accent5 3 2 2 4" xfId="5465"/>
    <cellStyle name="40% - Accent5 3 2 2 4 2" xfId="5466"/>
    <cellStyle name="40% - Accent5 3 2 2 5" xfId="5467"/>
    <cellStyle name="40% - Accent5 3 2 3" xfId="5468"/>
    <cellStyle name="40% - Accent5 3 2 3 2" xfId="5469"/>
    <cellStyle name="40% - Accent5 3 2 3 2 2" xfId="5470"/>
    <cellStyle name="40% - Accent5 3 2 3 2 2 2" xfId="5471"/>
    <cellStyle name="40% - Accent5 3 2 3 2 3" xfId="5472"/>
    <cellStyle name="40% - Accent5 3 2 3 3" xfId="5473"/>
    <cellStyle name="40% - Accent5 3 2 3 3 2" xfId="5474"/>
    <cellStyle name="40% - Accent5 3 2 3 4" xfId="5475"/>
    <cellStyle name="40% - Accent5 3 2 4" xfId="5476"/>
    <cellStyle name="40% - Accent5 3 2 4 2" xfId="5477"/>
    <cellStyle name="40% - Accent5 3 2 4 2 2" xfId="5478"/>
    <cellStyle name="40% - Accent5 3 2 4 3" xfId="5479"/>
    <cellStyle name="40% - Accent5 3 2 5" xfId="5480"/>
    <cellStyle name="40% - Accent5 3 2 5 2" xfId="5481"/>
    <cellStyle name="40% - Accent5 3 2 6" xfId="5482"/>
    <cellStyle name="40% - Accent5 3 3" xfId="5483"/>
    <cellStyle name="40% - Accent5 3 3 2" xfId="5484"/>
    <cellStyle name="40% - Accent5 3 3 2 2" xfId="5485"/>
    <cellStyle name="40% - Accent5 3 3 2 2 2" xfId="5486"/>
    <cellStyle name="40% - Accent5 3 3 2 2 2 2" xfId="5487"/>
    <cellStyle name="40% - Accent5 3 3 2 2 3" xfId="5488"/>
    <cellStyle name="40% - Accent5 3 3 2 3" xfId="5489"/>
    <cellStyle name="40% - Accent5 3 3 2 3 2" xfId="5490"/>
    <cellStyle name="40% - Accent5 3 3 2 4" xfId="5491"/>
    <cellStyle name="40% - Accent5 3 3 3" xfId="5492"/>
    <cellStyle name="40% - Accent5 3 3 3 2" xfId="5493"/>
    <cellStyle name="40% - Accent5 3 3 3 2 2" xfId="5494"/>
    <cellStyle name="40% - Accent5 3 3 3 3" xfId="5495"/>
    <cellStyle name="40% - Accent5 3 3 4" xfId="5496"/>
    <cellStyle name="40% - Accent5 3 3 4 2" xfId="5497"/>
    <cellStyle name="40% - Accent5 3 3 5" xfId="5498"/>
    <cellStyle name="40% - Accent5 3 4" xfId="5499"/>
    <cellStyle name="40% - Accent5 3 4 2" xfId="5500"/>
    <cellStyle name="40% - Accent5 3 4 2 2" xfId="5501"/>
    <cellStyle name="40% - Accent5 3 4 2 2 2" xfId="5502"/>
    <cellStyle name="40% - Accent5 3 4 2 3" xfId="5503"/>
    <cellStyle name="40% - Accent5 3 4 3" xfId="5504"/>
    <cellStyle name="40% - Accent5 3 4 3 2" xfId="5505"/>
    <cellStyle name="40% - Accent5 3 4 4" xfId="5506"/>
    <cellStyle name="40% - Accent5 3 5" xfId="5507"/>
    <cellStyle name="40% - Accent5 3 5 2" xfId="5508"/>
    <cellStyle name="40% - Accent5 3 5 2 2" xfId="5509"/>
    <cellStyle name="40% - Accent5 3 5 3" xfId="5510"/>
    <cellStyle name="40% - Accent5 3 6" xfId="5511"/>
    <cellStyle name="40% - Accent5 3 6 2" xfId="5512"/>
    <cellStyle name="40% - Accent5 3 7" xfId="5513"/>
    <cellStyle name="40% - Accent5 3 8" xfId="5450"/>
    <cellStyle name="40% - Accent5 4" xfId="5514"/>
    <cellStyle name="40% - Accent5 4 2" xfId="5515"/>
    <cellStyle name="40% - Accent5 4 2 2" xfId="5516"/>
    <cellStyle name="40% - Accent5 4 2 2 2" xfId="5517"/>
    <cellStyle name="40% - Accent5 4 2 2 2 2" xfId="5518"/>
    <cellStyle name="40% - Accent5 4 2 2 2 2 2" xfId="5519"/>
    <cellStyle name="40% - Accent5 4 2 2 2 3" xfId="5520"/>
    <cellStyle name="40% - Accent5 4 2 2 3" xfId="5521"/>
    <cellStyle name="40% - Accent5 4 2 2 3 2" xfId="5522"/>
    <cellStyle name="40% - Accent5 4 2 2 4" xfId="5523"/>
    <cellStyle name="40% - Accent5 4 2 3" xfId="5524"/>
    <cellStyle name="40% - Accent5 4 2 3 2" xfId="5525"/>
    <cellStyle name="40% - Accent5 4 2 3 2 2" xfId="5526"/>
    <cellStyle name="40% - Accent5 4 2 3 3" xfId="5527"/>
    <cellStyle name="40% - Accent5 4 2 4" xfId="5528"/>
    <cellStyle name="40% - Accent5 4 2 4 2" xfId="5529"/>
    <cellStyle name="40% - Accent5 4 2 5" xfId="5530"/>
    <cellStyle name="40% - Accent5 4 3" xfId="5531"/>
    <cellStyle name="40% - Accent5 4 3 2" xfId="5532"/>
    <cellStyle name="40% - Accent5 4 3 2 2" xfId="5533"/>
    <cellStyle name="40% - Accent5 4 3 2 2 2" xfId="5534"/>
    <cellStyle name="40% - Accent5 4 3 2 3" xfId="5535"/>
    <cellStyle name="40% - Accent5 4 3 3" xfId="5536"/>
    <cellStyle name="40% - Accent5 4 3 3 2" xfId="5537"/>
    <cellStyle name="40% - Accent5 4 3 4" xfId="5538"/>
    <cellStyle name="40% - Accent5 4 4" xfId="5539"/>
    <cellStyle name="40% - Accent5 4 4 2" xfId="5540"/>
    <cellStyle name="40% - Accent5 4 4 2 2" xfId="5541"/>
    <cellStyle name="40% - Accent5 4 4 3" xfId="5542"/>
    <cellStyle name="40% - Accent5 4 5" xfId="5543"/>
    <cellStyle name="40% - Accent5 4 5 2" xfId="5544"/>
    <cellStyle name="40% - Accent5 4 6" xfId="5545"/>
    <cellStyle name="40% - Accent5 5" xfId="5546"/>
    <cellStyle name="40% - Accent5 5 2" xfId="5547"/>
    <cellStyle name="40% - Accent5 5 2 2" xfId="5548"/>
    <cellStyle name="40% - Accent5 5 2 2 2" xfId="5549"/>
    <cellStyle name="40% - Accent5 5 2 2 2 2" xfId="5550"/>
    <cellStyle name="40% - Accent5 5 2 2 3" xfId="5551"/>
    <cellStyle name="40% - Accent5 5 2 3" xfId="5552"/>
    <cellStyle name="40% - Accent5 5 2 3 2" xfId="5553"/>
    <cellStyle name="40% - Accent5 5 2 4" xfId="5554"/>
    <cellStyle name="40% - Accent5 5 3" xfId="5555"/>
    <cellStyle name="40% - Accent5 5 3 2" xfId="5556"/>
    <cellStyle name="40% - Accent5 5 3 2 2" xfId="5557"/>
    <cellStyle name="40% - Accent5 5 3 3" xfId="5558"/>
    <cellStyle name="40% - Accent5 5 4" xfId="5559"/>
    <cellStyle name="40% - Accent5 5 4 2" xfId="5560"/>
    <cellStyle name="40% - Accent5 5 5" xfId="5561"/>
    <cellStyle name="40% - Accent5 6" xfId="5562"/>
    <cellStyle name="40% - Accent5 6 2" xfId="5563"/>
    <cellStyle name="40% - Accent5 6 2 2" xfId="5564"/>
    <cellStyle name="40% - Accent5 6 2 2 2" xfId="5565"/>
    <cellStyle name="40% - Accent5 6 2 3" xfId="5566"/>
    <cellStyle name="40% - Accent5 6 3" xfId="5567"/>
    <cellStyle name="40% - Accent5 6 3 2" xfId="5568"/>
    <cellStyle name="40% - Accent5 6 4" xfId="5569"/>
    <cellStyle name="40% - Accent5 7" xfId="5570"/>
    <cellStyle name="40% - Accent5 7 2" xfId="5571"/>
    <cellStyle name="40% - Accent5 7 2 2" xfId="5572"/>
    <cellStyle name="40% - Accent5 7 2 2 2" xfId="5573"/>
    <cellStyle name="40% - Accent5 7 2 3" xfId="5574"/>
    <cellStyle name="40% - Accent5 7 3" xfId="5575"/>
    <cellStyle name="40% - Accent5 7 3 2" xfId="5576"/>
    <cellStyle name="40% - Accent5 7 4" xfId="5577"/>
    <cellStyle name="40% - Accent5 8" xfId="5578"/>
    <cellStyle name="40% - Accent5 8 2" xfId="5579"/>
    <cellStyle name="40% - Accent5 8 2 2" xfId="5580"/>
    <cellStyle name="40% - Accent5 8 2 2 2" xfId="5581"/>
    <cellStyle name="40% - Accent5 8 2 3" xfId="5582"/>
    <cellStyle name="40% - Accent5 8 3" xfId="5583"/>
    <cellStyle name="40% - Accent5 8 3 2" xfId="5584"/>
    <cellStyle name="40% - Accent5 8 4" xfId="5585"/>
    <cellStyle name="40% - Accent5 9" xfId="5586"/>
    <cellStyle name="40% - Accent5 9 2" xfId="5587"/>
    <cellStyle name="40% - Accent5 9 2 2" xfId="5588"/>
    <cellStyle name="40% - Accent5 9 3" xfId="5589"/>
    <cellStyle name="40% - Accent6" xfId="3108" builtinId="51" customBuiltin="1"/>
    <cellStyle name="40% - Accent6 10" xfId="5590"/>
    <cellStyle name="40% - Accent6 10 2" xfId="5591"/>
    <cellStyle name="40% - Accent6 10 2 2" xfId="5592"/>
    <cellStyle name="40% - Accent6 10 3" xfId="5593"/>
    <cellStyle name="40% - Accent6 11" xfId="5594"/>
    <cellStyle name="40% - Accent6 11 2" xfId="5595"/>
    <cellStyle name="40% - Accent6 11 2 2" xfId="5596"/>
    <cellStyle name="40% - Accent6 11 3" xfId="5597"/>
    <cellStyle name="40% - Accent6 12" xfId="5598"/>
    <cellStyle name="40% - Accent6 12 2" xfId="5599"/>
    <cellStyle name="40% - Accent6 13" xfId="5600"/>
    <cellStyle name="40% - Accent6 2" xfId="175"/>
    <cellStyle name="40% - Accent6 2 2" xfId="5602"/>
    <cellStyle name="40% - Accent6 2 2 2" xfId="5603"/>
    <cellStyle name="40% - Accent6 2 2 2 2" xfId="5604"/>
    <cellStyle name="40% - Accent6 2 2 2 2 2" xfId="5605"/>
    <cellStyle name="40% - Accent6 2 2 2 2 2 2" xfId="5606"/>
    <cellStyle name="40% - Accent6 2 2 2 2 2 2 2" xfId="5607"/>
    <cellStyle name="40% - Accent6 2 2 2 2 2 3" xfId="5608"/>
    <cellStyle name="40% - Accent6 2 2 2 2 3" xfId="5609"/>
    <cellStyle name="40% - Accent6 2 2 2 2 3 2" xfId="5610"/>
    <cellStyle name="40% - Accent6 2 2 2 2 4" xfId="5611"/>
    <cellStyle name="40% - Accent6 2 2 2 3" xfId="5612"/>
    <cellStyle name="40% - Accent6 2 2 2 3 2" xfId="5613"/>
    <cellStyle name="40% - Accent6 2 2 2 3 2 2" xfId="5614"/>
    <cellStyle name="40% - Accent6 2 2 2 3 3" xfId="5615"/>
    <cellStyle name="40% - Accent6 2 2 2 4" xfId="5616"/>
    <cellStyle name="40% - Accent6 2 2 2 4 2" xfId="5617"/>
    <cellStyle name="40% - Accent6 2 2 2 5" xfId="5618"/>
    <cellStyle name="40% - Accent6 2 2 3" xfId="5619"/>
    <cellStyle name="40% - Accent6 2 2 3 2" xfId="5620"/>
    <cellStyle name="40% - Accent6 2 2 3 2 2" xfId="5621"/>
    <cellStyle name="40% - Accent6 2 2 3 2 2 2" xfId="5622"/>
    <cellStyle name="40% - Accent6 2 2 3 2 3" xfId="5623"/>
    <cellStyle name="40% - Accent6 2 2 3 3" xfId="5624"/>
    <cellStyle name="40% - Accent6 2 2 3 3 2" xfId="5625"/>
    <cellStyle name="40% - Accent6 2 2 3 4" xfId="5626"/>
    <cellStyle name="40% - Accent6 2 2 4" xfId="5627"/>
    <cellStyle name="40% - Accent6 2 2 4 2" xfId="5628"/>
    <cellStyle name="40% - Accent6 2 2 4 2 2" xfId="5629"/>
    <cellStyle name="40% - Accent6 2 2 4 3" xfId="5630"/>
    <cellStyle name="40% - Accent6 2 2 5" xfId="5631"/>
    <cellStyle name="40% - Accent6 2 2 5 2" xfId="5632"/>
    <cellStyle name="40% - Accent6 2 2 6" xfId="5633"/>
    <cellStyle name="40% - Accent6 2 3" xfId="5634"/>
    <cellStyle name="40% - Accent6 2 3 2" xfId="5635"/>
    <cellStyle name="40% - Accent6 2 3 2 2" xfId="5636"/>
    <cellStyle name="40% - Accent6 2 3 2 2 2" xfId="5637"/>
    <cellStyle name="40% - Accent6 2 3 2 2 2 2" xfId="5638"/>
    <cellStyle name="40% - Accent6 2 3 2 2 3" xfId="5639"/>
    <cellStyle name="40% - Accent6 2 3 2 3" xfId="5640"/>
    <cellStyle name="40% - Accent6 2 3 2 3 2" xfId="5641"/>
    <cellStyle name="40% - Accent6 2 3 2 4" xfId="5642"/>
    <cellStyle name="40% - Accent6 2 3 3" xfId="5643"/>
    <cellStyle name="40% - Accent6 2 3 3 2" xfId="5644"/>
    <cellStyle name="40% - Accent6 2 3 3 2 2" xfId="5645"/>
    <cellStyle name="40% - Accent6 2 3 3 3" xfId="5646"/>
    <cellStyle name="40% - Accent6 2 3 4" xfId="5647"/>
    <cellStyle name="40% - Accent6 2 3 4 2" xfId="5648"/>
    <cellStyle name="40% - Accent6 2 3 5" xfId="5649"/>
    <cellStyle name="40% - Accent6 2 4" xfId="5650"/>
    <cellStyle name="40% - Accent6 2 4 2" xfId="5651"/>
    <cellStyle name="40% - Accent6 2 4 2 2" xfId="5652"/>
    <cellStyle name="40% - Accent6 2 4 2 2 2" xfId="5653"/>
    <cellStyle name="40% - Accent6 2 4 2 3" xfId="5654"/>
    <cellStyle name="40% - Accent6 2 4 3" xfId="5655"/>
    <cellStyle name="40% - Accent6 2 4 3 2" xfId="5656"/>
    <cellStyle name="40% - Accent6 2 4 4" xfId="5657"/>
    <cellStyle name="40% - Accent6 2 5" xfId="5658"/>
    <cellStyle name="40% - Accent6 2 5 2" xfId="5659"/>
    <cellStyle name="40% - Accent6 2 5 2 2" xfId="5660"/>
    <cellStyle name="40% - Accent6 2 5 3" xfId="5661"/>
    <cellStyle name="40% - Accent6 2 6" xfId="5662"/>
    <cellStyle name="40% - Accent6 2 6 2" xfId="5663"/>
    <cellStyle name="40% - Accent6 2 7" xfId="5664"/>
    <cellStyle name="40% - Accent6 2 8" xfId="5601"/>
    <cellStyle name="40% - Accent6 3" xfId="3132"/>
    <cellStyle name="40% - Accent6 3 2" xfId="5666"/>
    <cellStyle name="40% - Accent6 3 2 2" xfId="5667"/>
    <cellStyle name="40% - Accent6 3 2 2 2" xfId="5668"/>
    <cellStyle name="40% - Accent6 3 2 2 2 2" xfId="5669"/>
    <cellStyle name="40% - Accent6 3 2 2 2 2 2" xfId="5670"/>
    <cellStyle name="40% - Accent6 3 2 2 2 2 2 2" xfId="5671"/>
    <cellStyle name="40% - Accent6 3 2 2 2 2 3" xfId="5672"/>
    <cellStyle name="40% - Accent6 3 2 2 2 3" xfId="5673"/>
    <cellStyle name="40% - Accent6 3 2 2 2 3 2" xfId="5674"/>
    <cellStyle name="40% - Accent6 3 2 2 2 4" xfId="5675"/>
    <cellStyle name="40% - Accent6 3 2 2 3" xfId="5676"/>
    <cellStyle name="40% - Accent6 3 2 2 3 2" xfId="5677"/>
    <cellStyle name="40% - Accent6 3 2 2 3 2 2" xfId="5678"/>
    <cellStyle name="40% - Accent6 3 2 2 3 3" xfId="5679"/>
    <cellStyle name="40% - Accent6 3 2 2 4" xfId="5680"/>
    <cellStyle name="40% - Accent6 3 2 2 4 2" xfId="5681"/>
    <cellStyle name="40% - Accent6 3 2 2 5" xfId="5682"/>
    <cellStyle name="40% - Accent6 3 2 3" xfId="5683"/>
    <cellStyle name="40% - Accent6 3 2 3 2" xfId="5684"/>
    <cellStyle name="40% - Accent6 3 2 3 2 2" xfId="5685"/>
    <cellStyle name="40% - Accent6 3 2 3 2 2 2" xfId="5686"/>
    <cellStyle name="40% - Accent6 3 2 3 2 3" xfId="5687"/>
    <cellStyle name="40% - Accent6 3 2 3 3" xfId="5688"/>
    <cellStyle name="40% - Accent6 3 2 3 3 2" xfId="5689"/>
    <cellStyle name="40% - Accent6 3 2 3 4" xfId="5690"/>
    <cellStyle name="40% - Accent6 3 2 4" xfId="5691"/>
    <cellStyle name="40% - Accent6 3 2 4 2" xfId="5692"/>
    <cellStyle name="40% - Accent6 3 2 4 2 2" xfId="5693"/>
    <cellStyle name="40% - Accent6 3 2 4 3" xfId="5694"/>
    <cellStyle name="40% - Accent6 3 2 5" xfId="5695"/>
    <cellStyle name="40% - Accent6 3 2 5 2" xfId="5696"/>
    <cellStyle name="40% - Accent6 3 2 6" xfId="5697"/>
    <cellStyle name="40% - Accent6 3 3" xfId="5698"/>
    <cellStyle name="40% - Accent6 3 3 2" xfId="5699"/>
    <cellStyle name="40% - Accent6 3 3 2 2" xfId="5700"/>
    <cellStyle name="40% - Accent6 3 3 2 2 2" xfId="5701"/>
    <cellStyle name="40% - Accent6 3 3 2 2 2 2" xfId="5702"/>
    <cellStyle name="40% - Accent6 3 3 2 2 3" xfId="5703"/>
    <cellStyle name="40% - Accent6 3 3 2 3" xfId="5704"/>
    <cellStyle name="40% - Accent6 3 3 2 3 2" xfId="5705"/>
    <cellStyle name="40% - Accent6 3 3 2 4" xfId="5706"/>
    <cellStyle name="40% - Accent6 3 3 3" xfId="5707"/>
    <cellStyle name="40% - Accent6 3 3 3 2" xfId="5708"/>
    <cellStyle name="40% - Accent6 3 3 3 2 2" xfId="5709"/>
    <cellStyle name="40% - Accent6 3 3 3 3" xfId="5710"/>
    <cellStyle name="40% - Accent6 3 3 4" xfId="5711"/>
    <cellStyle name="40% - Accent6 3 3 4 2" xfId="5712"/>
    <cellStyle name="40% - Accent6 3 3 5" xfId="5713"/>
    <cellStyle name="40% - Accent6 3 4" xfId="5714"/>
    <cellStyle name="40% - Accent6 3 4 2" xfId="5715"/>
    <cellStyle name="40% - Accent6 3 4 2 2" xfId="5716"/>
    <cellStyle name="40% - Accent6 3 4 2 2 2" xfId="5717"/>
    <cellStyle name="40% - Accent6 3 4 2 3" xfId="5718"/>
    <cellStyle name="40% - Accent6 3 4 3" xfId="5719"/>
    <cellStyle name="40% - Accent6 3 4 3 2" xfId="5720"/>
    <cellStyle name="40% - Accent6 3 4 4" xfId="5721"/>
    <cellStyle name="40% - Accent6 3 5" xfId="5722"/>
    <cellStyle name="40% - Accent6 3 5 2" xfId="5723"/>
    <cellStyle name="40% - Accent6 3 5 2 2" xfId="5724"/>
    <cellStyle name="40% - Accent6 3 5 3" xfId="5725"/>
    <cellStyle name="40% - Accent6 3 6" xfId="5726"/>
    <cellStyle name="40% - Accent6 3 6 2" xfId="5727"/>
    <cellStyle name="40% - Accent6 3 7" xfId="5728"/>
    <cellStyle name="40% - Accent6 3 8" xfId="5665"/>
    <cellStyle name="40% - Accent6 4" xfId="5729"/>
    <cellStyle name="40% - Accent6 4 2" xfId="5730"/>
    <cellStyle name="40% - Accent6 4 2 2" xfId="5731"/>
    <cellStyle name="40% - Accent6 4 2 2 2" xfId="5732"/>
    <cellStyle name="40% - Accent6 4 2 2 2 2" xfId="5733"/>
    <cellStyle name="40% - Accent6 4 2 2 2 2 2" xfId="5734"/>
    <cellStyle name="40% - Accent6 4 2 2 2 3" xfId="5735"/>
    <cellStyle name="40% - Accent6 4 2 2 3" xfId="5736"/>
    <cellStyle name="40% - Accent6 4 2 2 3 2" xfId="5737"/>
    <cellStyle name="40% - Accent6 4 2 2 4" xfId="5738"/>
    <cellStyle name="40% - Accent6 4 2 3" xfId="5739"/>
    <cellStyle name="40% - Accent6 4 2 3 2" xfId="5740"/>
    <cellStyle name="40% - Accent6 4 2 3 2 2" xfId="5741"/>
    <cellStyle name="40% - Accent6 4 2 3 3" xfId="5742"/>
    <cellStyle name="40% - Accent6 4 2 4" xfId="5743"/>
    <cellStyle name="40% - Accent6 4 2 4 2" xfId="5744"/>
    <cellStyle name="40% - Accent6 4 2 5" xfId="5745"/>
    <cellStyle name="40% - Accent6 4 3" xfId="5746"/>
    <cellStyle name="40% - Accent6 4 3 2" xfId="5747"/>
    <cellStyle name="40% - Accent6 4 3 2 2" xfId="5748"/>
    <cellStyle name="40% - Accent6 4 3 2 2 2" xfId="5749"/>
    <cellStyle name="40% - Accent6 4 3 2 3" xfId="5750"/>
    <cellStyle name="40% - Accent6 4 3 3" xfId="5751"/>
    <cellStyle name="40% - Accent6 4 3 3 2" xfId="5752"/>
    <cellStyle name="40% - Accent6 4 3 4" xfId="5753"/>
    <cellStyle name="40% - Accent6 4 4" xfId="5754"/>
    <cellStyle name="40% - Accent6 4 4 2" xfId="5755"/>
    <cellStyle name="40% - Accent6 4 4 2 2" xfId="5756"/>
    <cellStyle name="40% - Accent6 4 4 3" xfId="5757"/>
    <cellStyle name="40% - Accent6 4 5" xfId="5758"/>
    <cellStyle name="40% - Accent6 4 5 2" xfId="5759"/>
    <cellStyle name="40% - Accent6 4 6" xfId="5760"/>
    <cellStyle name="40% - Accent6 5" xfId="5761"/>
    <cellStyle name="40% - Accent6 5 2" xfId="5762"/>
    <cellStyle name="40% - Accent6 5 2 2" xfId="5763"/>
    <cellStyle name="40% - Accent6 5 2 2 2" xfId="5764"/>
    <cellStyle name="40% - Accent6 5 2 2 2 2" xfId="5765"/>
    <cellStyle name="40% - Accent6 5 2 2 3" xfId="5766"/>
    <cellStyle name="40% - Accent6 5 2 3" xfId="5767"/>
    <cellStyle name="40% - Accent6 5 2 3 2" xfId="5768"/>
    <cellStyle name="40% - Accent6 5 2 4" xfId="5769"/>
    <cellStyle name="40% - Accent6 5 3" xfId="5770"/>
    <cellStyle name="40% - Accent6 5 3 2" xfId="5771"/>
    <cellStyle name="40% - Accent6 5 3 2 2" xfId="5772"/>
    <cellStyle name="40% - Accent6 5 3 3" xfId="5773"/>
    <cellStyle name="40% - Accent6 5 4" xfId="5774"/>
    <cellStyle name="40% - Accent6 5 4 2" xfId="5775"/>
    <cellStyle name="40% - Accent6 5 5" xfId="5776"/>
    <cellStyle name="40% - Accent6 6" xfId="5777"/>
    <cellStyle name="40% - Accent6 6 2" xfId="5778"/>
    <cellStyle name="40% - Accent6 6 2 2" xfId="5779"/>
    <cellStyle name="40% - Accent6 6 2 2 2" xfId="5780"/>
    <cellStyle name="40% - Accent6 6 2 3" xfId="5781"/>
    <cellStyle name="40% - Accent6 6 3" xfId="5782"/>
    <cellStyle name="40% - Accent6 6 3 2" xfId="5783"/>
    <cellStyle name="40% - Accent6 6 4" xfId="5784"/>
    <cellStyle name="40% - Accent6 7" xfId="5785"/>
    <cellStyle name="40% - Accent6 7 2" xfId="5786"/>
    <cellStyle name="40% - Accent6 7 2 2" xfId="5787"/>
    <cellStyle name="40% - Accent6 7 2 2 2" xfId="5788"/>
    <cellStyle name="40% - Accent6 7 2 3" xfId="5789"/>
    <cellStyle name="40% - Accent6 7 3" xfId="5790"/>
    <cellStyle name="40% - Accent6 7 3 2" xfId="5791"/>
    <cellStyle name="40% - Accent6 7 4" xfId="5792"/>
    <cellStyle name="40% - Accent6 8" xfId="5793"/>
    <cellStyle name="40% - Accent6 8 2" xfId="5794"/>
    <cellStyle name="40% - Accent6 8 2 2" xfId="5795"/>
    <cellStyle name="40% - Accent6 8 2 2 2" xfId="5796"/>
    <cellStyle name="40% - Accent6 8 2 3" xfId="5797"/>
    <cellStyle name="40% - Accent6 8 3" xfId="5798"/>
    <cellStyle name="40% - Accent6 8 3 2" xfId="5799"/>
    <cellStyle name="40% - Accent6 8 4" xfId="5800"/>
    <cellStyle name="40% - Accent6 9" xfId="5801"/>
    <cellStyle name="40% - Accent6 9 2" xfId="5802"/>
    <cellStyle name="40% - Accent6 9 2 2" xfId="5803"/>
    <cellStyle name="40% - Accent6 9 3" xfId="5804"/>
    <cellStyle name="60% - Accent1" xfId="3089" builtinId="32" customBuiltin="1"/>
    <cellStyle name="60% - Accent1 2" xfId="176"/>
    <cellStyle name="60% - Accent1 2 2" xfId="5805"/>
    <cellStyle name="60% - Accent1 3" xfId="5806"/>
    <cellStyle name="60% - Accent1 4" xfId="5807"/>
    <cellStyle name="60% - Accent2" xfId="3093" builtinId="36" customBuiltin="1"/>
    <cellStyle name="60% - Accent2 2" xfId="177"/>
    <cellStyle name="60% - Accent2 2 2" xfId="5808"/>
    <cellStyle name="60% - Accent2 3" xfId="5809"/>
    <cellStyle name="60% - Accent2 4" xfId="5810"/>
    <cellStyle name="60% - Accent3" xfId="3097" builtinId="40" customBuiltin="1"/>
    <cellStyle name="60% - Accent3 2" xfId="178"/>
    <cellStyle name="60% - Accent3 2 2" xfId="5811"/>
    <cellStyle name="60% - Accent3 3" xfId="5812"/>
    <cellStyle name="60% - Accent3 4" xfId="5813"/>
    <cellStyle name="60% - Accent4" xfId="3101" builtinId="44" customBuiltin="1"/>
    <cellStyle name="60% - Accent4 2" xfId="179"/>
    <cellStyle name="60% - Accent4 2 2" xfId="5814"/>
    <cellStyle name="60% - Accent4 3" xfId="5815"/>
    <cellStyle name="60% - Accent4 4" xfId="5816"/>
    <cellStyle name="60% - Accent5" xfId="3105" builtinId="48" customBuiltin="1"/>
    <cellStyle name="60% - Accent5 2" xfId="180"/>
    <cellStyle name="60% - Accent5 2 2" xfId="5817"/>
    <cellStyle name="60% - Accent5 3" xfId="5818"/>
    <cellStyle name="60% - Accent5 4" xfId="5819"/>
    <cellStyle name="60% - Accent6" xfId="3109" builtinId="52" customBuiltin="1"/>
    <cellStyle name="60% - Accent6 2" xfId="181"/>
    <cellStyle name="60% - Accent6 2 2" xfId="5820"/>
    <cellStyle name="60% - Accent6 3" xfId="5821"/>
    <cellStyle name="60% - Accent6 4" xfId="5822"/>
    <cellStyle name="Accent1" xfId="3086" builtinId="29" customBuiltin="1"/>
    <cellStyle name="Accent1 2" xfId="182"/>
    <cellStyle name="Accent1 2 2" xfId="5823"/>
    <cellStyle name="Accent1 3" xfId="5824"/>
    <cellStyle name="Accent1 4" xfId="5825"/>
    <cellStyle name="Accent2" xfId="3090" builtinId="33" customBuiltin="1"/>
    <cellStyle name="Accent2 2" xfId="183"/>
    <cellStyle name="Accent2 2 2" xfId="5826"/>
    <cellStyle name="Accent2 3" xfId="5827"/>
    <cellStyle name="Accent2 4" xfId="5828"/>
    <cellStyle name="Accent3" xfId="3094" builtinId="37" customBuiltin="1"/>
    <cellStyle name="Accent3 2" xfId="184"/>
    <cellStyle name="Accent3 2 2" xfId="5829"/>
    <cellStyle name="Accent3 3" xfId="5830"/>
    <cellStyle name="Accent3 4" xfId="5831"/>
    <cellStyle name="Accent4" xfId="3098" builtinId="41" customBuiltin="1"/>
    <cellStyle name="Accent4 2" xfId="185"/>
    <cellStyle name="Accent4 2 2" xfId="5832"/>
    <cellStyle name="Accent4 3" xfId="5833"/>
    <cellStyle name="Accent4 4" xfId="5834"/>
    <cellStyle name="Accent5" xfId="3102" builtinId="45" customBuiltin="1"/>
    <cellStyle name="Accent5 2" xfId="186"/>
    <cellStyle name="Accent5 2 2" xfId="5835"/>
    <cellStyle name="Accent5 3" xfId="5836"/>
    <cellStyle name="Accent5 4" xfId="5837"/>
    <cellStyle name="Accent6" xfId="3106" builtinId="49" customBuiltin="1"/>
    <cellStyle name="Accent6 2" xfId="187"/>
    <cellStyle name="Accent6 2 2" xfId="5838"/>
    <cellStyle name="Accent6 3" xfId="5839"/>
    <cellStyle name="Accent6 4" xfId="5840"/>
    <cellStyle name="Bad" xfId="3077" builtinId="27" customBuiltin="1"/>
    <cellStyle name="Bad 2" xfId="188"/>
    <cellStyle name="Bad 2 2" xfId="5841"/>
    <cellStyle name="Bad 3" xfId="5842"/>
    <cellStyle name="Calculation" xfId="3081" builtinId="22" customBuiltin="1"/>
    <cellStyle name="Calculation 10" xfId="312"/>
    <cellStyle name="Calculation 10 10" xfId="2859"/>
    <cellStyle name="Calculation 10 2" xfId="868"/>
    <cellStyle name="Calculation 10 2 2" xfId="586"/>
    <cellStyle name="Calculation 10 2 3" xfId="1251"/>
    <cellStyle name="Calculation 10 2 4" xfId="1220"/>
    <cellStyle name="Calculation 10 2 5" xfId="1570"/>
    <cellStyle name="Calculation 10 2 6" xfId="2358"/>
    <cellStyle name="Calculation 10 2 7" xfId="2681"/>
    <cellStyle name="Calculation 10 2 8" xfId="2085"/>
    <cellStyle name="Calculation 10 2 9" xfId="2993"/>
    <cellStyle name="Calculation 10 3" xfId="679"/>
    <cellStyle name="Calculation 10 4" xfId="1127"/>
    <cellStyle name="Calculation 10 5" xfId="422"/>
    <cellStyle name="Calculation 10 6" xfId="1436"/>
    <cellStyle name="Calculation 10 7" xfId="1725"/>
    <cellStyle name="Calculation 10 8" xfId="2215"/>
    <cellStyle name="Calculation 10 9" xfId="2872"/>
    <cellStyle name="Calculation 11" xfId="334"/>
    <cellStyle name="Calculation 11 10" xfId="2922"/>
    <cellStyle name="Calculation 11 2" xfId="890"/>
    <cellStyle name="Calculation 11 2 2" xfId="1068"/>
    <cellStyle name="Calculation 11 2 3" xfId="1273"/>
    <cellStyle name="Calculation 11 2 4" xfId="1015"/>
    <cellStyle name="Calculation 11 2 5" xfId="1592"/>
    <cellStyle name="Calculation 11 2 6" xfId="2380"/>
    <cellStyle name="Calculation 11 2 7" xfId="2703"/>
    <cellStyle name="Calculation 11 2 8" xfId="2125"/>
    <cellStyle name="Calculation 11 2 9" xfId="3014"/>
    <cellStyle name="Calculation 11 3" xfId="802"/>
    <cellStyle name="Calculation 11 4" xfId="1149"/>
    <cellStyle name="Calculation 11 5" xfId="1057"/>
    <cellStyle name="Calculation 11 6" xfId="530"/>
    <cellStyle name="Calculation 11 7" xfId="2165"/>
    <cellStyle name="Calculation 11 8" xfId="2476"/>
    <cellStyle name="Calculation 11 9" xfId="2861"/>
    <cellStyle name="Calculation 12" xfId="316"/>
    <cellStyle name="Calculation 12 10" xfId="1991"/>
    <cellStyle name="Calculation 12 2" xfId="872"/>
    <cellStyle name="Calculation 12 2 2" xfId="687"/>
    <cellStyle name="Calculation 12 2 3" xfId="1255"/>
    <cellStyle name="Calculation 12 2 4" xfId="1366"/>
    <cellStyle name="Calculation 12 2 5" xfId="1574"/>
    <cellStyle name="Calculation 12 2 6" xfId="2362"/>
    <cellStyle name="Calculation 12 2 7" xfId="2685"/>
    <cellStyle name="Calculation 12 2 8" xfId="2557"/>
    <cellStyle name="Calculation 12 2 9" xfId="2966"/>
    <cellStyle name="Calculation 12 3" xfId="538"/>
    <cellStyle name="Calculation 12 4" xfId="1131"/>
    <cellStyle name="Calculation 12 5" xfId="423"/>
    <cellStyle name="Calculation 12 6" xfId="1437"/>
    <cellStyle name="Calculation 12 7" xfId="2280"/>
    <cellStyle name="Calculation 12 8" xfId="2435"/>
    <cellStyle name="Calculation 12 9" xfId="2800"/>
    <cellStyle name="Calculation 13" xfId="330"/>
    <cellStyle name="Calculation 13 10" xfId="2936"/>
    <cellStyle name="Calculation 13 2" xfId="886"/>
    <cellStyle name="Calculation 13 2 2" xfId="729"/>
    <cellStyle name="Calculation 13 2 3" xfId="1269"/>
    <cellStyle name="Calculation 13 2 4" xfId="753"/>
    <cellStyle name="Calculation 13 2 5" xfId="1588"/>
    <cellStyle name="Calculation 13 2 6" xfId="2376"/>
    <cellStyle name="Calculation 13 2 7" xfId="2699"/>
    <cellStyle name="Calculation 13 2 8" xfId="2473"/>
    <cellStyle name="Calculation 13 2 9" xfId="2916"/>
    <cellStyle name="Calculation 13 3" xfId="534"/>
    <cellStyle name="Calculation 13 4" xfId="1145"/>
    <cellStyle name="Calculation 13 5" xfId="572"/>
    <cellStyle name="Calculation 13 6" xfId="1402"/>
    <cellStyle name="Calculation 13 7" xfId="2169"/>
    <cellStyle name="Calculation 13 8" xfId="2493"/>
    <cellStyle name="Calculation 13 9" xfId="2810"/>
    <cellStyle name="Calculation 14" xfId="317"/>
    <cellStyle name="Calculation 14 10" xfId="2320"/>
    <cellStyle name="Calculation 14 2" xfId="873"/>
    <cellStyle name="Calculation 14 2 2" xfId="1056"/>
    <cellStyle name="Calculation 14 2 3" xfId="1256"/>
    <cellStyle name="Calculation 14 2 4" xfId="1377"/>
    <cellStyle name="Calculation 14 2 5" xfId="1575"/>
    <cellStyle name="Calculation 14 2 6" xfId="2363"/>
    <cellStyle name="Calculation 14 2 7" xfId="2686"/>
    <cellStyle name="Calculation 14 2 8" xfId="2784"/>
    <cellStyle name="Calculation 14 2 9" xfId="2310"/>
    <cellStyle name="Calculation 14 3" xfId="651"/>
    <cellStyle name="Calculation 14 4" xfId="1132"/>
    <cellStyle name="Calculation 14 5" xfId="1413"/>
    <cellStyle name="Calculation 14 6" xfId="971"/>
    <cellStyle name="Calculation 14 7" xfId="2153"/>
    <cellStyle name="Calculation 14 8" xfId="2329"/>
    <cellStyle name="Calculation 14 9" xfId="2282"/>
    <cellStyle name="Calculation 15" xfId="328"/>
    <cellStyle name="Calculation 15 10" xfId="2951"/>
    <cellStyle name="Calculation 15 2" xfId="884"/>
    <cellStyle name="Calculation 15 2 2" xfId="587"/>
    <cellStyle name="Calculation 15 2 3" xfId="1267"/>
    <cellStyle name="Calculation 15 2 4" xfId="487"/>
    <cellStyle name="Calculation 15 2 5" xfId="1586"/>
    <cellStyle name="Calculation 15 2 6" xfId="2374"/>
    <cellStyle name="Calculation 15 2 7" xfId="2697"/>
    <cellStyle name="Calculation 15 2 8" xfId="1985"/>
    <cellStyle name="Calculation 15 2 9" xfId="1718"/>
    <cellStyle name="Calculation 15 3" xfId="660"/>
    <cellStyle name="Calculation 15 4" xfId="1143"/>
    <cellStyle name="Calculation 15 5" xfId="554"/>
    <cellStyle name="Calculation 15 6" xfId="798"/>
    <cellStyle name="Calculation 15 7" xfId="2267"/>
    <cellStyle name="Calculation 15 8" xfId="2582"/>
    <cellStyle name="Calculation 15 9" xfId="2812"/>
    <cellStyle name="Calculation 16" xfId="354"/>
    <cellStyle name="Calculation 16 10" xfId="3024"/>
    <cellStyle name="Calculation 16 2" xfId="908"/>
    <cellStyle name="Calculation 16 2 2" xfId="474"/>
    <cellStyle name="Calculation 16 2 3" xfId="1290"/>
    <cellStyle name="Calculation 16 2 4" xfId="1461"/>
    <cellStyle name="Calculation 16 2 5" xfId="1608"/>
    <cellStyle name="Calculation 16 2 6" xfId="2397"/>
    <cellStyle name="Calculation 16 2 7" xfId="2719"/>
    <cellStyle name="Calculation 16 2 8" xfId="2284"/>
    <cellStyle name="Calculation 16 2 9" xfId="3040"/>
    <cellStyle name="Calculation 16 3" xfId="589"/>
    <cellStyle name="Calculation 16 4" xfId="1169"/>
    <cellStyle name="Calculation 16 5" xfId="433"/>
    <cellStyle name="Calculation 16 6" xfId="1508"/>
    <cellStyle name="Calculation 16 7" xfId="2131"/>
    <cellStyle name="Calculation 16 8" xfId="2316"/>
    <cellStyle name="Calculation 16 9" xfId="2790"/>
    <cellStyle name="Calculation 17" xfId="367"/>
    <cellStyle name="Calculation 17 10" xfId="2519"/>
    <cellStyle name="Calculation 17 2" xfId="919"/>
    <cellStyle name="Calculation 17 2 2" xfId="591"/>
    <cellStyle name="Calculation 17 2 3" xfId="1301"/>
    <cellStyle name="Calculation 17 2 4" xfId="1471"/>
    <cellStyle name="Calculation 17 2 5" xfId="1618"/>
    <cellStyle name="Calculation 17 2 6" xfId="2409"/>
    <cellStyle name="Calculation 17 2 7" xfId="2730"/>
    <cellStyle name="Calculation 17 2 8" xfId="2753"/>
    <cellStyle name="Calculation 17 2 9" xfId="3050"/>
    <cellStyle name="Calculation 17 3" xfId="704"/>
    <cellStyle name="Calculation 17 4" xfId="1181"/>
    <cellStyle name="Calculation 17 5" xfId="1384"/>
    <cellStyle name="Calculation 17 6" xfId="1518"/>
    <cellStyle name="Calculation 17 7" xfId="1840"/>
    <cellStyle name="Calculation 17 8" xfId="1717"/>
    <cellStyle name="Calculation 17 9" xfId="2507"/>
    <cellStyle name="Calculation 18" xfId="369"/>
    <cellStyle name="Calculation 18 10" xfId="2115"/>
    <cellStyle name="Calculation 18 2" xfId="921"/>
    <cellStyle name="Calculation 18 2 2" xfId="972"/>
    <cellStyle name="Calculation 18 2 3" xfId="1303"/>
    <cellStyle name="Calculation 18 2 4" xfId="1473"/>
    <cellStyle name="Calculation 18 2 5" xfId="1620"/>
    <cellStyle name="Calculation 18 2 6" xfId="2411"/>
    <cellStyle name="Calculation 18 2 7" xfId="2732"/>
    <cellStyle name="Calculation 18 2 8" xfId="2646"/>
    <cellStyle name="Calculation 18 2 9" xfId="3052"/>
    <cellStyle name="Calculation 18 3" xfId="483"/>
    <cellStyle name="Calculation 18 4" xfId="1183"/>
    <cellStyle name="Calculation 18 5" xfId="1381"/>
    <cellStyle name="Calculation 18 6" xfId="1520"/>
    <cellStyle name="Calculation 18 7" xfId="1843"/>
    <cellStyle name="Calculation 18 8" xfId="1716"/>
    <cellStyle name="Calculation 18 9" xfId="2763"/>
    <cellStyle name="Calculation 19" xfId="371"/>
    <cellStyle name="Calculation 19 10" xfId="1839"/>
    <cellStyle name="Calculation 19 2" xfId="923"/>
    <cellStyle name="Calculation 19 2 2" xfId="723"/>
    <cellStyle name="Calculation 19 2 3" xfId="1305"/>
    <cellStyle name="Calculation 19 2 4" xfId="1475"/>
    <cellStyle name="Calculation 19 2 5" xfId="1622"/>
    <cellStyle name="Calculation 19 2 6" xfId="2413"/>
    <cellStyle name="Calculation 19 2 7" xfId="2734"/>
    <cellStyle name="Calculation 19 2 8" xfId="2643"/>
    <cellStyle name="Calculation 19 2 9" xfId="3054"/>
    <cellStyle name="Calculation 19 3" xfId="1025"/>
    <cellStyle name="Calculation 19 4" xfId="1185"/>
    <cellStyle name="Calculation 19 5" xfId="994"/>
    <cellStyle name="Calculation 19 6" xfId="1522"/>
    <cellStyle name="Calculation 19 7" xfId="1935"/>
    <cellStyle name="Calculation 19 8" xfId="1714"/>
    <cellStyle name="Calculation 19 9" xfId="2545"/>
    <cellStyle name="Calculation 2" xfId="189"/>
    <cellStyle name="Calculation 2 2" xfId="825"/>
    <cellStyle name="Calculation 2 2 10" xfId="5844"/>
    <cellStyle name="Calculation 2 2 2" xfId="1067"/>
    <cellStyle name="Calculation 2 2 3" xfId="1207"/>
    <cellStyle name="Calculation 2 2 4" xfId="1392"/>
    <cellStyle name="Calculation 2 2 5" xfId="1543"/>
    <cellStyle name="Calculation 2 2 6" xfId="1726"/>
    <cellStyle name="Calculation 2 2 7" xfId="1906"/>
    <cellStyle name="Calculation 2 2 8" xfId="2783"/>
    <cellStyle name="Calculation 2 2 9" xfId="2921"/>
    <cellStyle name="Calculation 2 3" xfId="409"/>
    <cellStyle name="Calculation 2 4" xfId="672"/>
    <cellStyle name="Calculation 2 5" xfId="781"/>
    <cellStyle name="Calculation 2 6" xfId="2216"/>
    <cellStyle name="Calculation 2 7" xfId="2540"/>
    <cellStyle name="Calculation 2 8" xfId="2406"/>
    <cellStyle name="Calculation 2 9" xfId="5843"/>
    <cellStyle name="Calculation 20" xfId="373"/>
    <cellStyle name="Calculation 20 10" xfId="2931"/>
    <cellStyle name="Calculation 20 2" xfId="925"/>
    <cellStyle name="Calculation 20 2 2" xfId="727"/>
    <cellStyle name="Calculation 20 2 3" xfId="1307"/>
    <cellStyle name="Calculation 20 2 4" xfId="1477"/>
    <cellStyle name="Calculation 20 2 5" xfId="1624"/>
    <cellStyle name="Calculation 20 2 6" xfId="2415"/>
    <cellStyle name="Calculation 20 2 7" xfId="2736"/>
    <cellStyle name="Calculation 20 2 8" xfId="2604"/>
    <cellStyle name="Calculation 20 2 9" xfId="3056"/>
    <cellStyle name="Calculation 20 3" xfId="430"/>
    <cellStyle name="Calculation 20 4" xfId="1187"/>
    <cellStyle name="Calculation 20 5" xfId="1364"/>
    <cellStyle name="Calculation 20 6" xfId="1524"/>
    <cellStyle name="Calculation 20 7" xfId="1651"/>
    <cellStyle name="Calculation 20 8" xfId="1713"/>
    <cellStyle name="Calculation 20 9" xfId="2632"/>
    <cellStyle name="Calculation 21" xfId="375"/>
    <cellStyle name="Calculation 21 10" xfId="2933"/>
    <cellStyle name="Calculation 21 2" xfId="927"/>
    <cellStyle name="Calculation 21 2 2" xfId="708"/>
    <cellStyle name="Calculation 21 2 3" xfId="1309"/>
    <cellStyle name="Calculation 21 2 4" xfId="1479"/>
    <cellStyle name="Calculation 21 2 5" xfId="1626"/>
    <cellStyle name="Calculation 21 2 6" xfId="2417"/>
    <cellStyle name="Calculation 21 2 7" xfId="2738"/>
    <cellStyle name="Calculation 21 2 8" xfId="2091"/>
    <cellStyle name="Calculation 21 2 9" xfId="3058"/>
    <cellStyle name="Calculation 21 3" xfId="750"/>
    <cellStyle name="Calculation 21 4" xfId="1189"/>
    <cellStyle name="Calculation 21 5" xfId="1380"/>
    <cellStyle name="Calculation 21 6" xfId="1526"/>
    <cellStyle name="Calculation 21 7" xfId="1800"/>
    <cellStyle name="Calculation 21 8" xfId="1712"/>
    <cellStyle name="Calculation 21 9" xfId="2616"/>
    <cellStyle name="Calculation 22" xfId="377"/>
    <cellStyle name="Calculation 22 2" xfId="1075"/>
    <cellStyle name="Calculation 22 3" xfId="1191"/>
    <cellStyle name="Calculation 22 4" xfId="1379"/>
    <cellStyle name="Calculation 22 5" xfId="1528"/>
    <cellStyle name="Calculation 22 6" xfId="1652"/>
    <cellStyle name="Calculation 22 7" xfId="1711"/>
    <cellStyle name="Calculation 22 8" xfId="2587"/>
    <cellStyle name="Calculation 22 9" xfId="2986"/>
    <cellStyle name="Calculation 3" xfId="342"/>
    <cellStyle name="Calculation 3 10" xfId="5845"/>
    <cellStyle name="Calculation 3 2" xfId="897"/>
    <cellStyle name="Calculation 3 2 10" xfId="5846"/>
    <cellStyle name="Calculation 3 2 2" xfId="590"/>
    <cellStyle name="Calculation 3 2 3" xfId="1280"/>
    <cellStyle name="Calculation 3 2 4" xfId="496"/>
    <cellStyle name="Calculation 3 2 5" xfId="1599"/>
    <cellStyle name="Calculation 3 2 6" xfId="2387"/>
    <cellStyle name="Calculation 3 2 7" xfId="2710"/>
    <cellStyle name="Calculation 3 2 8" xfId="2767"/>
    <cellStyle name="Calculation 3 2 9" xfId="1674"/>
    <cellStyle name="Calculation 3 3" xfId="1013"/>
    <cellStyle name="Calculation 3 4" xfId="1157"/>
    <cellStyle name="Calculation 3 5" xfId="751"/>
    <cellStyle name="Calculation 3 6" xfId="1498"/>
    <cellStyle name="Calculation 3 7" xfId="2159"/>
    <cellStyle name="Calculation 3 8" xfId="2454"/>
    <cellStyle name="Calculation 3 9" xfId="2129"/>
    <cellStyle name="Calculation 4" xfId="309"/>
    <cellStyle name="Calculation 4 10" xfId="2939"/>
    <cellStyle name="Calculation 4 2" xfId="866"/>
    <cellStyle name="Calculation 4 2 2" xfId="955"/>
    <cellStyle name="Calculation 4 2 3" xfId="1249"/>
    <cellStyle name="Calculation 4 2 4" xfId="1064"/>
    <cellStyle name="Calculation 4 2 5" xfId="1568"/>
    <cellStyle name="Calculation 4 2 6" xfId="2356"/>
    <cellStyle name="Calculation 4 2 7" xfId="2679"/>
    <cellStyle name="Calculation 4 2 8" xfId="2650"/>
    <cellStyle name="Calculation 4 2 9" xfId="2924"/>
    <cellStyle name="Calculation 4 3" xfId="1055"/>
    <cellStyle name="Calculation 4 4" xfId="1124"/>
    <cellStyle name="Calculation 4 5" xfId="1417"/>
    <cellStyle name="Calculation 4 6" xfId="1342"/>
    <cellStyle name="Calculation 4 7" xfId="1997"/>
    <cellStyle name="Calculation 4 8" xfId="2583"/>
    <cellStyle name="Calculation 4 9" xfId="2766"/>
    <cellStyle name="Calculation 5" xfId="335"/>
    <cellStyle name="Calculation 5 10" xfId="3007"/>
    <cellStyle name="Calculation 5 2" xfId="891"/>
    <cellStyle name="Calculation 5 2 2" xfId="818"/>
    <cellStyle name="Calculation 5 2 3" xfId="1274"/>
    <cellStyle name="Calculation 5 2 4" xfId="1370"/>
    <cellStyle name="Calculation 5 2 5" xfId="1593"/>
    <cellStyle name="Calculation 5 2 6" xfId="2381"/>
    <cellStyle name="Calculation 5 2 7" xfId="2704"/>
    <cellStyle name="Calculation 5 2 8" xfId="2103"/>
    <cellStyle name="Calculation 5 2 9" xfId="1872"/>
    <cellStyle name="Calculation 5 3" xfId="1061"/>
    <cellStyle name="Calculation 5 4" xfId="1150"/>
    <cellStyle name="Calculation 5 5" xfId="618"/>
    <cellStyle name="Calculation 5 6" xfId="454"/>
    <cellStyle name="Calculation 5 7" xfId="2193"/>
    <cellStyle name="Calculation 5 8" xfId="2523"/>
    <cellStyle name="Calculation 5 9" xfId="2118"/>
    <cellStyle name="Calculation 6" xfId="292"/>
    <cellStyle name="Calculation 6 10" xfId="3017"/>
    <cellStyle name="Calculation 6 2" xfId="849"/>
    <cellStyle name="Calculation 6 2 2" xfId="418"/>
    <cellStyle name="Calculation 6 2 3" xfId="1232"/>
    <cellStyle name="Calculation 6 2 4" xfId="1215"/>
    <cellStyle name="Calculation 6 2 5" xfId="1551"/>
    <cellStyle name="Calculation 6 2 6" xfId="2339"/>
    <cellStyle name="Calculation 6 2 7" xfId="2662"/>
    <cellStyle name="Calculation 6 2 8" xfId="2554"/>
    <cellStyle name="Calculation 6 2 9" xfId="2758"/>
    <cellStyle name="Calculation 6 3" xfId="461"/>
    <cellStyle name="Calculation 6 4" xfId="1107"/>
    <cellStyle name="Calculation 6 5" xfId="1420"/>
    <cellStyle name="Calculation 6 6" xfId="584"/>
    <cellStyle name="Calculation 6 7" xfId="1752"/>
    <cellStyle name="Calculation 6 8" xfId="1886"/>
    <cellStyle name="Calculation 6 9" xfId="2769"/>
    <cellStyle name="Calculation 7" xfId="362"/>
    <cellStyle name="Calculation 7 10" xfId="2984"/>
    <cellStyle name="Calculation 7 2" xfId="915"/>
    <cellStyle name="Calculation 7 2 2" xfId="954"/>
    <cellStyle name="Calculation 7 2 3" xfId="1297"/>
    <cellStyle name="Calculation 7 2 4" xfId="1468"/>
    <cellStyle name="Calculation 7 2 5" xfId="1615"/>
    <cellStyle name="Calculation 7 2 6" xfId="2404"/>
    <cellStyle name="Calculation 7 2 7" xfId="2726"/>
    <cellStyle name="Calculation 7 2 8" xfId="1861"/>
    <cellStyle name="Calculation 7 2 9" xfId="3047"/>
    <cellStyle name="Calculation 7 3" xfId="743"/>
    <cellStyle name="Calculation 7 4" xfId="1176"/>
    <cellStyle name="Calculation 7 5" xfId="1448"/>
    <cellStyle name="Calculation 7 6" xfId="1515"/>
    <cellStyle name="Calculation 7 7" xfId="1648"/>
    <cellStyle name="Calculation 7 8" xfId="1834"/>
    <cellStyle name="Calculation 7 9" xfId="2911"/>
    <cellStyle name="Calculation 8" xfId="303"/>
    <cellStyle name="Calculation 8 10" xfId="2977"/>
    <cellStyle name="Calculation 8 2" xfId="860"/>
    <cellStyle name="Calculation 8 2 2" xfId="701"/>
    <cellStyle name="Calculation 8 2 3" xfId="1243"/>
    <cellStyle name="Calculation 8 2 4" xfId="1027"/>
    <cellStyle name="Calculation 8 2 5" xfId="1562"/>
    <cellStyle name="Calculation 8 2 6" xfId="2350"/>
    <cellStyle name="Calculation 8 2 7" xfId="2673"/>
    <cellStyle name="Calculation 8 2 8" xfId="2001"/>
    <cellStyle name="Calculation 8 2 9" xfId="1803"/>
    <cellStyle name="Calculation 8 3" xfId="485"/>
    <cellStyle name="Calculation 8 4" xfId="1118"/>
    <cellStyle name="Calculation 8 5" xfId="1368"/>
    <cellStyle name="Calculation 8 6" xfId="1051"/>
    <cellStyle name="Calculation 8 7" xfId="2148"/>
    <cellStyle name="Calculation 8 8" xfId="2460"/>
    <cellStyle name="Calculation 8 9" xfId="2775"/>
    <cellStyle name="Calculation 9" xfId="359"/>
    <cellStyle name="Calculation 9 10" xfId="2498"/>
    <cellStyle name="Calculation 9 2" xfId="912"/>
    <cellStyle name="Calculation 9 2 2" xfId="959"/>
    <cellStyle name="Calculation 9 2 3" xfId="1294"/>
    <cellStyle name="Calculation 9 2 4" xfId="1465"/>
    <cellStyle name="Calculation 9 2 5" xfId="1612"/>
    <cellStyle name="Calculation 9 2 6" xfId="2401"/>
    <cellStyle name="Calculation 9 2 7" xfId="2723"/>
    <cellStyle name="Calculation 9 2 8" xfId="2312"/>
    <cellStyle name="Calculation 9 2 9" xfId="3044"/>
    <cellStyle name="Calculation 9 3" xfId="505"/>
    <cellStyle name="Calculation 9 4" xfId="1173"/>
    <cellStyle name="Calculation 9 5" xfId="1452"/>
    <cellStyle name="Calculation 9 6" xfId="1512"/>
    <cellStyle name="Calculation 9 7" xfId="1645"/>
    <cellStyle name="Calculation 9 8" xfId="1721"/>
    <cellStyle name="Calculation 9 9" xfId="2907"/>
    <cellStyle name="Check Cell" xfId="3083" builtinId="23" customBuiltin="1"/>
    <cellStyle name="Check Cell 2" xfId="190"/>
    <cellStyle name="Check Cell 2 2" xfId="5847"/>
    <cellStyle name="Check Cell 3" xfId="5848"/>
    <cellStyle name="CodeEingabe" xfId="59"/>
    <cellStyle name="ColumnAttributeAbovePrompt" xfId="1"/>
    <cellStyle name="ColumnAttributeAbovePrompt 2" xfId="60"/>
    <cellStyle name="ColumnAttributeAbovePrompt 3" xfId="5849"/>
    <cellStyle name="ColumnAttributePrompt" xfId="2"/>
    <cellStyle name="ColumnAttributePrompt 2" xfId="61"/>
    <cellStyle name="ColumnAttributePrompt 3" xfId="5850"/>
    <cellStyle name="ColumnAttributeValue" xfId="3"/>
    <cellStyle name="ColumnAttributeValue 2" xfId="62"/>
    <cellStyle name="ColumnAttributeValue 3" xfId="5851"/>
    <cellStyle name="ColumnHeadingPrompt" xfId="4"/>
    <cellStyle name="ColumnHeadingPrompt 2" xfId="63"/>
    <cellStyle name="ColumnHeadingPrompt 3" xfId="5852"/>
    <cellStyle name="ColumnHeadingValue" xfId="5"/>
    <cellStyle name="ColumnHeadingValue 2" xfId="64"/>
    <cellStyle name="ColumnHeadingValue 3" xfId="5853"/>
    <cellStyle name="Comma" xfId="6" builtinId="3"/>
    <cellStyle name="Comma [0] 2" xfId="5854"/>
    <cellStyle name="Comma [0] 2 2" xfId="5855"/>
    <cellStyle name="Comma [0] 3" xfId="5856"/>
    <cellStyle name="Comma [0] 3 2" xfId="5857"/>
    <cellStyle name="Comma [0] 4" xfId="5858"/>
    <cellStyle name="Comma [0] 4 2" xfId="5859"/>
    <cellStyle name="Comma [0] 5" xfId="5860"/>
    <cellStyle name="Comma [0] 5 2" xfId="5861"/>
    <cellStyle name="Comma 10" xfId="3116"/>
    <cellStyle name="Comma 10 2" xfId="5863"/>
    <cellStyle name="Comma 10 2 2" xfId="5864"/>
    <cellStyle name="Comma 10 2 2 2" xfId="5865"/>
    <cellStyle name="Comma 10 2 2 2 2" xfId="5866"/>
    <cellStyle name="Comma 10 2 2 2 2 2" xfId="5867"/>
    <cellStyle name="Comma 10 2 2 2 2 2 2" xfId="5868"/>
    <cellStyle name="Comma 10 2 2 2 2 3" xfId="5869"/>
    <cellStyle name="Comma 10 2 2 2 3" xfId="5870"/>
    <cellStyle name="Comma 10 2 2 2 3 2" xfId="5871"/>
    <cellStyle name="Comma 10 2 2 2 4" xfId="5872"/>
    <cellStyle name="Comma 10 2 2 3" xfId="5873"/>
    <cellStyle name="Comma 10 2 2 3 2" xfId="5874"/>
    <cellStyle name="Comma 10 2 2 3 2 2" xfId="5875"/>
    <cellStyle name="Comma 10 2 2 3 3" xfId="5876"/>
    <cellStyle name="Comma 10 2 2 4" xfId="5877"/>
    <cellStyle name="Comma 10 2 2 4 2" xfId="5878"/>
    <cellStyle name="Comma 10 2 2 5" xfId="5879"/>
    <cellStyle name="Comma 10 2 3" xfId="5880"/>
    <cellStyle name="Comma 10 2 3 2" xfId="5881"/>
    <cellStyle name="Comma 10 2 3 2 2" xfId="5882"/>
    <cellStyle name="Comma 10 2 3 2 2 2" xfId="5883"/>
    <cellStyle name="Comma 10 2 3 2 3" xfId="5884"/>
    <cellStyle name="Comma 10 2 3 3" xfId="5885"/>
    <cellStyle name="Comma 10 2 3 3 2" xfId="5886"/>
    <cellStyle name="Comma 10 2 3 4" xfId="5887"/>
    <cellStyle name="Comma 10 2 4" xfId="5888"/>
    <cellStyle name="Comma 10 2 4 2" xfId="5889"/>
    <cellStyle name="Comma 10 2 4 2 2" xfId="5890"/>
    <cellStyle name="Comma 10 2 4 3" xfId="5891"/>
    <cellStyle name="Comma 10 2 5" xfId="5892"/>
    <cellStyle name="Comma 10 2 5 2" xfId="5893"/>
    <cellStyle name="Comma 10 2 6" xfId="5894"/>
    <cellStyle name="Comma 10 3" xfId="5895"/>
    <cellStyle name="Comma 10 3 2" xfId="5896"/>
    <cellStyle name="Comma 10 3 2 2" xfId="5897"/>
    <cellStyle name="Comma 10 3 2 2 2" xfId="5898"/>
    <cellStyle name="Comma 10 3 2 2 2 2" xfId="5899"/>
    <cellStyle name="Comma 10 3 2 2 3" xfId="5900"/>
    <cellStyle name="Comma 10 3 2 3" xfId="5901"/>
    <cellStyle name="Comma 10 3 2 3 2" xfId="5902"/>
    <cellStyle name="Comma 10 3 2 4" xfId="5903"/>
    <cellStyle name="Comma 10 3 3" xfId="5904"/>
    <cellStyle name="Comma 10 3 3 2" xfId="5905"/>
    <cellStyle name="Comma 10 3 3 2 2" xfId="5906"/>
    <cellStyle name="Comma 10 3 3 3" xfId="5907"/>
    <cellStyle name="Comma 10 3 4" xfId="5908"/>
    <cellStyle name="Comma 10 3 4 2" xfId="5909"/>
    <cellStyle name="Comma 10 3 5" xfId="5910"/>
    <cellStyle name="Comma 10 4" xfId="5911"/>
    <cellStyle name="Comma 10 4 2" xfId="5912"/>
    <cellStyle name="Comma 10 4 2 2" xfId="5913"/>
    <cellStyle name="Comma 10 4 2 2 2" xfId="5914"/>
    <cellStyle name="Comma 10 4 2 3" xfId="5915"/>
    <cellStyle name="Comma 10 4 3" xfId="5916"/>
    <cellStyle name="Comma 10 4 3 2" xfId="5917"/>
    <cellStyle name="Comma 10 4 4" xfId="5918"/>
    <cellStyle name="Comma 10 5" xfId="5919"/>
    <cellStyle name="Comma 10 5 2" xfId="5920"/>
    <cellStyle name="Comma 10 5 2 2" xfId="5921"/>
    <cellStyle name="Comma 10 5 3" xfId="5922"/>
    <cellStyle name="Comma 10 6" xfId="5923"/>
    <cellStyle name="Comma 10 6 2" xfId="5924"/>
    <cellStyle name="Comma 10 7" xfId="5925"/>
    <cellStyle name="Comma 10 8" xfId="5862"/>
    <cellStyle name="Comma 10 9" xfId="8252"/>
    <cellStyle name="Comma 11" xfId="5926"/>
    <cellStyle name="Comma 12" xfId="5927"/>
    <cellStyle name="Comma 12 2" xfId="8253"/>
    <cellStyle name="Comma 13" xfId="5928"/>
    <cellStyle name="Comma 14" xfId="5929"/>
    <cellStyle name="Comma 14 2" xfId="8286"/>
    <cellStyle name="Comma 15" xfId="5930"/>
    <cellStyle name="Comma 16" xfId="5931"/>
    <cellStyle name="Comma 16 2" xfId="5932"/>
    <cellStyle name="Comma 17" xfId="5933"/>
    <cellStyle name="Comma 17 2" xfId="5934"/>
    <cellStyle name="Comma 18" xfId="5935"/>
    <cellStyle name="Comma 18 2" xfId="5936"/>
    <cellStyle name="Comma 19" xfId="5937"/>
    <cellStyle name="Comma 19 2" xfId="5938"/>
    <cellStyle name="Comma 2" xfId="7"/>
    <cellStyle name="Comma 2 10" xfId="5940"/>
    <cellStyle name="Comma 2 10 2" xfId="5941"/>
    <cellStyle name="Comma 2 10 2 2" xfId="5942"/>
    <cellStyle name="Comma 2 10 3" xfId="5943"/>
    <cellStyle name="Comma 2 11" xfId="5944"/>
    <cellStyle name="Comma 2 11 2" xfId="5945"/>
    <cellStyle name="Comma 2 12" xfId="5946"/>
    <cellStyle name="Comma 2 12 2" xfId="5947"/>
    <cellStyle name="Comma 2 13" xfId="5948"/>
    <cellStyle name="Comma 2 14" xfId="5939"/>
    <cellStyle name="Comma 2 15" xfId="8254"/>
    <cellStyle name="Comma 2 2" xfId="229"/>
    <cellStyle name="Comma 2 2 2" xfId="365"/>
    <cellStyle name="Comma 2 2 2 2" xfId="621"/>
    <cellStyle name="Comma 2 2 2 2 2" xfId="2022"/>
    <cellStyle name="Comma 2 2 2 3" xfId="1904"/>
    <cellStyle name="Comma 2 2 2 4" xfId="5949"/>
    <cellStyle name="Comma 2 2 3" xfId="5950"/>
    <cellStyle name="Comma 2 3" xfId="66"/>
    <cellStyle name="Comma 2 3 2" xfId="353"/>
    <cellStyle name="Comma 2 3 2 2" xfId="907"/>
    <cellStyle name="Comma 2 3 2 2 2" xfId="5954"/>
    <cellStyle name="Comma 2 3 2 2 2 2" xfId="5955"/>
    <cellStyle name="Comma 2 3 2 2 2 2 2" xfId="5956"/>
    <cellStyle name="Comma 2 3 2 2 2 3" xfId="5957"/>
    <cellStyle name="Comma 2 3 2 2 3" xfId="5958"/>
    <cellStyle name="Comma 2 3 2 2 3 2" xfId="5959"/>
    <cellStyle name="Comma 2 3 2 2 4" xfId="5960"/>
    <cellStyle name="Comma 2 3 2 2 5" xfId="5953"/>
    <cellStyle name="Comma 2 3 2 3" xfId="2014"/>
    <cellStyle name="Comma 2 3 2 3 2" xfId="5962"/>
    <cellStyle name="Comma 2 3 2 3 2 2" xfId="5963"/>
    <cellStyle name="Comma 2 3 2 3 3" xfId="5964"/>
    <cellStyle name="Comma 2 3 2 3 4" xfId="5961"/>
    <cellStyle name="Comma 2 3 2 4" xfId="5965"/>
    <cellStyle name="Comma 2 3 2 4 2" xfId="5966"/>
    <cellStyle name="Comma 2 3 2 5" xfId="5967"/>
    <cellStyle name="Comma 2 3 2 6" xfId="5952"/>
    <cellStyle name="Comma 2 3 3" xfId="613"/>
    <cellStyle name="Comma 2 3 3 2" xfId="5969"/>
    <cellStyle name="Comma 2 3 3 2 2" xfId="5970"/>
    <cellStyle name="Comma 2 3 3 2 2 2" xfId="5971"/>
    <cellStyle name="Comma 2 3 3 2 3" xfId="5972"/>
    <cellStyle name="Comma 2 3 3 3" xfId="5973"/>
    <cellStyle name="Comma 2 3 3 3 2" xfId="5974"/>
    <cellStyle name="Comma 2 3 3 4" xfId="5975"/>
    <cellStyle name="Comma 2 3 3 5" xfId="5968"/>
    <cellStyle name="Comma 2 3 4" xfId="1894"/>
    <cellStyle name="Comma 2 3 4 2" xfId="5977"/>
    <cellStyle name="Comma 2 3 4 2 2" xfId="5978"/>
    <cellStyle name="Comma 2 3 4 3" xfId="5979"/>
    <cellStyle name="Comma 2 3 4 4" xfId="5976"/>
    <cellStyle name="Comma 2 3 5" xfId="5980"/>
    <cellStyle name="Comma 2 3 5 2" xfId="5981"/>
    <cellStyle name="Comma 2 3 6" xfId="5982"/>
    <cellStyle name="Comma 2 3 7" xfId="5951"/>
    <cellStyle name="Comma 2 4" xfId="5983"/>
    <cellStyle name="Comma 2 4 2" xfId="5984"/>
    <cellStyle name="Comma 2 4 2 2" xfId="5985"/>
    <cellStyle name="Comma 2 4 2 2 2" xfId="5986"/>
    <cellStyle name="Comma 2 4 2 2 2 2" xfId="5987"/>
    <cellStyle name="Comma 2 4 2 2 2 2 2" xfId="5988"/>
    <cellStyle name="Comma 2 4 2 2 2 3" xfId="5989"/>
    <cellStyle name="Comma 2 4 2 2 3" xfId="5990"/>
    <cellStyle name="Comma 2 4 2 2 3 2" xfId="5991"/>
    <cellStyle name="Comma 2 4 2 2 4" xfId="5992"/>
    <cellStyle name="Comma 2 4 2 3" xfId="5993"/>
    <cellStyle name="Comma 2 4 2 3 2" xfId="5994"/>
    <cellStyle name="Comma 2 4 2 3 2 2" xfId="5995"/>
    <cellStyle name="Comma 2 4 2 3 3" xfId="5996"/>
    <cellStyle name="Comma 2 4 2 4" xfId="5997"/>
    <cellStyle name="Comma 2 4 2 4 2" xfId="5998"/>
    <cellStyle name="Comma 2 4 2 5" xfId="5999"/>
    <cellStyle name="Comma 2 4 3" xfId="6000"/>
    <cellStyle name="Comma 2 4 3 2" xfId="6001"/>
    <cellStyle name="Comma 2 4 3 2 2" xfId="6002"/>
    <cellStyle name="Comma 2 4 3 2 2 2" xfId="6003"/>
    <cellStyle name="Comma 2 4 3 2 3" xfId="6004"/>
    <cellStyle name="Comma 2 4 3 3" xfId="6005"/>
    <cellStyle name="Comma 2 4 3 3 2" xfId="6006"/>
    <cellStyle name="Comma 2 4 3 4" xfId="6007"/>
    <cellStyle name="Comma 2 4 4" xfId="6008"/>
    <cellStyle name="Comma 2 4 4 2" xfId="6009"/>
    <cellStyle name="Comma 2 4 4 2 2" xfId="6010"/>
    <cellStyle name="Comma 2 4 4 3" xfId="6011"/>
    <cellStyle name="Comma 2 4 5" xfId="6012"/>
    <cellStyle name="Comma 2 4 5 2" xfId="6013"/>
    <cellStyle name="Comma 2 4 6" xfId="6014"/>
    <cellStyle name="Comma 2 5" xfId="6015"/>
    <cellStyle name="Comma 2 5 2" xfId="6016"/>
    <cellStyle name="Comma 2 5 2 2" xfId="6017"/>
    <cellStyle name="Comma 2 5 2 2 2" xfId="6018"/>
    <cellStyle name="Comma 2 5 2 2 2 2" xfId="6019"/>
    <cellStyle name="Comma 2 5 2 2 3" xfId="6020"/>
    <cellStyle name="Comma 2 5 2 3" xfId="6021"/>
    <cellStyle name="Comma 2 5 2 3 2" xfId="6022"/>
    <cellStyle name="Comma 2 5 2 4" xfId="6023"/>
    <cellStyle name="Comma 2 5 3" xfId="6024"/>
    <cellStyle name="Comma 2 5 3 2" xfId="6025"/>
    <cellStyle name="Comma 2 5 3 2 2" xfId="6026"/>
    <cellStyle name="Comma 2 5 3 3" xfId="6027"/>
    <cellStyle name="Comma 2 5 4" xfId="6028"/>
    <cellStyle name="Comma 2 5 4 2" xfId="6029"/>
    <cellStyle name="Comma 2 5 5" xfId="6030"/>
    <cellStyle name="Comma 2 6" xfId="6031"/>
    <cellStyle name="Comma 2 6 2" xfId="6032"/>
    <cellStyle name="Comma 2 6 2 2" xfId="6033"/>
    <cellStyle name="Comma 2 6 2 2 2" xfId="6034"/>
    <cellStyle name="Comma 2 6 2 3" xfId="6035"/>
    <cellStyle name="Comma 2 6 3" xfId="6036"/>
    <cellStyle name="Comma 2 6 3 2" xfId="6037"/>
    <cellStyle name="Comma 2 6 4" xfId="6038"/>
    <cellStyle name="Comma 2 7" xfId="6039"/>
    <cellStyle name="Comma 2 7 2" xfId="6040"/>
    <cellStyle name="Comma 2 7 2 2" xfId="6041"/>
    <cellStyle name="Comma 2 7 2 2 2" xfId="6042"/>
    <cellStyle name="Comma 2 7 2 3" xfId="6043"/>
    <cellStyle name="Comma 2 7 3" xfId="6044"/>
    <cellStyle name="Comma 2 7 3 2" xfId="6045"/>
    <cellStyle name="Comma 2 7 4" xfId="6046"/>
    <cellStyle name="Comma 2 8" xfId="6047"/>
    <cellStyle name="Comma 2 8 2" xfId="6048"/>
    <cellStyle name="Comma 2 8 2 2" xfId="6049"/>
    <cellStyle name="Comma 2 8 2 2 2" xfId="6050"/>
    <cellStyle name="Comma 2 8 2 3" xfId="6051"/>
    <cellStyle name="Comma 2 8 3" xfId="6052"/>
    <cellStyle name="Comma 2 8 3 2" xfId="6053"/>
    <cellStyle name="Comma 2 8 4" xfId="6054"/>
    <cellStyle name="Comma 2 9" xfId="6055"/>
    <cellStyle name="Comma 2 9 2" xfId="6056"/>
    <cellStyle name="Comma 2 9 2 2" xfId="6057"/>
    <cellStyle name="Comma 2 9 3" xfId="6058"/>
    <cellStyle name="Comma 20" xfId="6059"/>
    <cellStyle name="Comma 21" xfId="6060"/>
    <cellStyle name="Comma 22" xfId="6061"/>
    <cellStyle name="Comma 23" xfId="6062"/>
    <cellStyle name="Comma 24" xfId="6063"/>
    <cellStyle name="Comma 25" xfId="6064"/>
    <cellStyle name="Comma 26" xfId="6065"/>
    <cellStyle name="Comma 27" xfId="6066"/>
    <cellStyle name="Comma 28" xfId="6067"/>
    <cellStyle name="Comma 29" xfId="6068"/>
    <cellStyle name="Comma 3" xfId="53"/>
    <cellStyle name="Comma 3 10" xfId="6070"/>
    <cellStyle name="Comma 3 11" xfId="6069"/>
    <cellStyle name="Comma 3 2" xfId="230"/>
    <cellStyle name="Comma 3 2 2" xfId="525"/>
    <cellStyle name="Comma 3 2 2 2" xfId="1951"/>
    <cellStyle name="Comma 3 2 2 2 2" xfId="6074"/>
    <cellStyle name="Comma 3 2 2 2 2 2" xfId="6075"/>
    <cellStyle name="Comma 3 2 2 2 2 2 2" xfId="6076"/>
    <cellStyle name="Comma 3 2 2 2 2 2 2 2" xfId="6077"/>
    <cellStyle name="Comma 3 2 2 2 2 2 3" xfId="6078"/>
    <cellStyle name="Comma 3 2 2 2 2 3" xfId="6079"/>
    <cellStyle name="Comma 3 2 2 2 2 3 2" xfId="6080"/>
    <cellStyle name="Comma 3 2 2 2 2 4" xfId="6081"/>
    <cellStyle name="Comma 3 2 2 2 3" xfId="6082"/>
    <cellStyle name="Comma 3 2 2 2 3 2" xfId="6083"/>
    <cellStyle name="Comma 3 2 2 2 3 2 2" xfId="6084"/>
    <cellStyle name="Comma 3 2 2 2 3 3" xfId="6085"/>
    <cellStyle name="Comma 3 2 2 2 4" xfId="6086"/>
    <cellStyle name="Comma 3 2 2 2 4 2" xfId="6087"/>
    <cellStyle name="Comma 3 2 2 2 5" xfId="6088"/>
    <cellStyle name="Comma 3 2 2 2 6" xfId="6073"/>
    <cellStyle name="Comma 3 2 2 3" xfId="6089"/>
    <cellStyle name="Comma 3 2 2 3 2" xfId="6090"/>
    <cellStyle name="Comma 3 2 2 3 2 2" xfId="6091"/>
    <cellStyle name="Comma 3 2 2 3 2 2 2" xfId="6092"/>
    <cellStyle name="Comma 3 2 2 3 2 3" xfId="6093"/>
    <cellStyle name="Comma 3 2 2 3 3" xfId="6094"/>
    <cellStyle name="Comma 3 2 2 3 3 2" xfId="6095"/>
    <cellStyle name="Comma 3 2 2 3 4" xfId="6096"/>
    <cellStyle name="Comma 3 2 2 4" xfId="6097"/>
    <cellStyle name="Comma 3 2 2 4 2" xfId="6098"/>
    <cellStyle name="Comma 3 2 2 4 2 2" xfId="6099"/>
    <cellStyle name="Comma 3 2 2 4 3" xfId="6100"/>
    <cellStyle name="Comma 3 2 2 5" xfId="6101"/>
    <cellStyle name="Comma 3 2 2 5 2" xfId="6102"/>
    <cellStyle name="Comma 3 2 2 6" xfId="6103"/>
    <cellStyle name="Comma 3 2 2 7" xfId="6072"/>
    <cellStyle name="Comma 3 2 3" xfId="1795"/>
    <cellStyle name="Comma 3 2 3 2" xfId="6105"/>
    <cellStyle name="Comma 3 2 3 2 2" xfId="6106"/>
    <cellStyle name="Comma 3 2 3 2 2 2" xfId="6107"/>
    <cellStyle name="Comma 3 2 3 2 2 2 2" xfId="6108"/>
    <cellStyle name="Comma 3 2 3 2 2 3" xfId="6109"/>
    <cellStyle name="Comma 3 2 3 2 3" xfId="6110"/>
    <cellStyle name="Comma 3 2 3 2 3 2" xfId="6111"/>
    <cellStyle name="Comma 3 2 3 2 4" xfId="6112"/>
    <cellStyle name="Comma 3 2 3 3" xfId="6113"/>
    <cellStyle name="Comma 3 2 3 3 2" xfId="6114"/>
    <cellStyle name="Comma 3 2 3 3 2 2" xfId="6115"/>
    <cellStyle name="Comma 3 2 3 3 3" xfId="6116"/>
    <cellStyle name="Comma 3 2 3 4" xfId="6117"/>
    <cellStyle name="Comma 3 2 3 4 2" xfId="6118"/>
    <cellStyle name="Comma 3 2 3 5" xfId="6119"/>
    <cellStyle name="Comma 3 2 3 6" xfId="6104"/>
    <cellStyle name="Comma 3 2 4" xfId="6120"/>
    <cellStyle name="Comma 3 2 4 2" xfId="6121"/>
    <cellStyle name="Comma 3 2 4 2 2" xfId="6122"/>
    <cellStyle name="Comma 3 2 4 2 2 2" xfId="6123"/>
    <cellStyle name="Comma 3 2 4 2 2 2 2" xfId="6124"/>
    <cellStyle name="Comma 3 2 4 2 2 3" xfId="6125"/>
    <cellStyle name="Comma 3 2 4 2 3" xfId="6126"/>
    <cellStyle name="Comma 3 2 4 2 3 2" xfId="6127"/>
    <cellStyle name="Comma 3 2 4 2 4" xfId="6128"/>
    <cellStyle name="Comma 3 2 4 3" xfId="6129"/>
    <cellStyle name="Comma 3 2 4 3 2" xfId="6130"/>
    <cellStyle name="Comma 3 2 4 3 2 2" xfId="6131"/>
    <cellStyle name="Comma 3 2 4 3 3" xfId="6132"/>
    <cellStyle name="Comma 3 2 4 4" xfId="6133"/>
    <cellStyle name="Comma 3 2 4 4 2" xfId="6134"/>
    <cellStyle name="Comma 3 2 4 5" xfId="6135"/>
    <cellStyle name="Comma 3 2 5" xfId="6136"/>
    <cellStyle name="Comma 3 2 5 2" xfId="6137"/>
    <cellStyle name="Comma 3 2 5 2 2" xfId="6138"/>
    <cellStyle name="Comma 3 2 5 2 2 2" xfId="6139"/>
    <cellStyle name="Comma 3 2 5 2 3" xfId="6140"/>
    <cellStyle name="Comma 3 2 5 3" xfId="6141"/>
    <cellStyle name="Comma 3 2 5 3 2" xfId="6142"/>
    <cellStyle name="Comma 3 2 5 4" xfId="6143"/>
    <cellStyle name="Comma 3 2 6" xfId="6144"/>
    <cellStyle name="Comma 3 2 6 2" xfId="6145"/>
    <cellStyle name="Comma 3 2 6 2 2" xfId="6146"/>
    <cellStyle name="Comma 3 2 6 3" xfId="6147"/>
    <cellStyle name="Comma 3 2 7" xfId="6148"/>
    <cellStyle name="Comma 3 2 7 2" xfId="6149"/>
    <cellStyle name="Comma 3 2 8" xfId="6071"/>
    <cellStyle name="Comma 3 2 9" xfId="8263"/>
    <cellStyle name="Comma 3 3" xfId="231"/>
    <cellStyle name="Comma 3 3 2" xfId="526"/>
    <cellStyle name="Comma 3 3 2 2" xfId="1952"/>
    <cellStyle name="Comma 3 3 2 2 2" xfId="6153"/>
    <cellStyle name="Comma 3 3 2 2 2 2" xfId="6154"/>
    <cellStyle name="Comma 3 3 2 2 2 2 2" xfId="6155"/>
    <cellStyle name="Comma 3 3 2 2 2 3" xfId="6156"/>
    <cellStyle name="Comma 3 3 2 2 3" xfId="6157"/>
    <cellStyle name="Comma 3 3 2 2 3 2" xfId="6158"/>
    <cellStyle name="Comma 3 3 2 2 4" xfId="6159"/>
    <cellStyle name="Comma 3 3 2 2 5" xfId="6152"/>
    <cellStyle name="Comma 3 3 2 3" xfId="6160"/>
    <cellStyle name="Comma 3 3 2 3 2" xfId="6161"/>
    <cellStyle name="Comma 3 3 2 3 2 2" xfId="6162"/>
    <cellStyle name="Comma 3 3 2 3 3" xfId="6163"/>
    <cellStyle name="Comma 3 3 2 4" xfId="6164"/>
    <cellStyle name="Comma 3 3 2 4 2" xfId="6165"/>
    <cellStyle name="Comma 3 3 2 5" xfId="6166"/>
    <cellStyle name="Comma 3 3 2 6" xfId="6151"/>
    <cellStyle name="Comma 3 3 3" xfId="1796"/>
    <cellStyle name="Comma 3 3 3 2" xfId="6168"/>
    <cellStyle name="Comma 3 3 3 2 2" xfId="6169"/>
    <cellStyle name="Comma 3 3 3 2 2 2" xfId="6170"/>
    <cellStyle name="Comma 3 3 3 2 3" xfId="6171"/>
    <cellStyle name="Comma 3 3 3 3" xfId="6172"/>
    <cellStyle name="Comma 3 3 3 3 2" xfId="6173"/>
    <cellStyle name="Comma 3 3 3 4" xfId="6174"/>
    <cellStyle name="Comma 3 3 3 5" xfId="6167"/>
    <cellStyle name="Comma 3 3 4" xfId="6175"/>
    <cellStyle name="Comma 3 3 4 2" xfId="6176"/>
    <cellStyle name="Comma 3 3 4 2 2" xfId="6177"/>
    <cellStyle name="Comma 3 3 4 3" xfId="6178"/>
    <cellStyle name="Comma 3 3 5" xfId="6179"/>
    <cellStyle name="Comma 3 3 5 2" xfId="6180"/>
    <cellStyle name="Comma 3 3 6" xfId="6181"/>
    <cellStyle name="Comma 3 3 7" xfId="6150"/>
    <cellStyle name="Comma 3 3 8" xfId="8262"/>
    <cellStyle name="Comma 3 4" xfId="232"/>
    <cellStyle name="Comma 3 4 2" xfId="527"/>
    <cellStyle name="Comma 3 4 2 2" xfId="1953"/>
    <cellStyle name="Comma 3 4 2 2 2" xfId="6185"/>
    <cellStyle name="Comma 3 4 2 2 2 2" xfId="6186"/>
    <cellStyle name="Comma 3 4 2 2 3" xfId="6187"/>
    <cellStyle name="Comma 3 4 2 2 4" xfId="6184"/>
    <cellStyle name="Comma 3 4 2 3" xfId="6188"/>
    <cellStyle name="Comma 3 4 2 3 2" xfId="6189"/>
    <cellStyle name="Comma 3 4 2 4" xfId="6190"/>
    <cellStyle name="Comma 3 4 2 5" xfId="6183"/>
    <cellStyle name="Comma 3 4 3" xfId="1797"/>
    <cellStyle name="Comma 3 4 3 2" xfId="6192"/>
    <cellStyle name="Comma 3 4 3 2 2" xfId="6193"/>
    <cellStyle name="Comma 3 4 3 3" xfId="6194"/>
    <cellStyle name="Comma 3 4 3 4" xfId="6191"/>
    <cellStyle name="Comma 3 4 4" xfId="6195"/>
    <cellStyle name="Comma 3 4 4 2" xfId="6196"/>
    <cellStyle name="Comma 3 4 5" xfId="6197"/>
    <cellStyle name="Comma 3 4 6" xfId="6182"/>
    <cellStyle name="Comma 3 5" xfId="159"/>
    <cellStyle name="Comma 3 5 2" xfId="394"/>
    <cellStyle name="Comma 3 5 2 2" xfId="6200"/>
    <cellStyle name="Comma 3 5 2 2 2" xfId="6201"/>
    <cellStyle name="Comma 3 5 2 2 2 2" xfId="6202"/>
    <cellStyle name="Comma 3 5 2 2 3" xfId="6203"/>
    <cellStyle name="Comma 3 5 2 3" xfId="6204"/>
    <cellStyle name="Comma 3 5 2 3 2" xfId="6205"/>
    <cellStyle name="Comma 3 5 2 4" xfId="6206"/>
    <cellStyle name="Comma 3 5 2 5" xfId="6199"/>
    <cellStyle name="Comma 3 5 3" xfId="6207"/>
    <cellStyle name="Comma 3 5 3 2" xfId="6208"/>
    <cellStyle name="Comma 3 5 3 2 2" xfId="6209"/>
    <cellStyle name="Comma 3 5 3 3" xfId="6210"/>
    <cellStyle name="Comma 3 5 4" xfId="6211"/>
    <cellStyle name="Comma 3 5 4 2" xfId="6212"/>
    <cellStyle name="Comma 3 5 5" xfId="6213"/>
    <cellStyle name="Comma 3 5 6" xfId="6198"/>
    <cellStyle name="Comma 3 6" xfId="471"/>
    <cellStyle name="Comma 3 6 2" xfId="1937"/>
    <cellStyle name="Comma 3 6 2 2" xfId="6216"/>
    <cellStyle name="Comma 3 6 2 2 2" xfId="6217"/>
    <cellStyle name="Comma 3 6 2 3" xfId="6218"/>
    <cellStyle name="Comma 3 6 2 4" xfId="6215"/>
    <cellStyle name="Comma 3 6 3" xfId="6219"/>
    <cellStyle name="Comma 3 6 3 2" xfId="6220"/>
    <cellStyle name="Comma 3 6 4" xfId="6221"/>
    <cellStyle name="Comma 3 6 5" xfId="6214"/>
    <cellStyle name="Comma 3 7" xfId="1728"/>
    <cellStyle name="Comma 3 7 2" xfId="6223"/>
    <cellStyle name="Comma 3 7 2 2" xfId="6224"/>
    <cellStyle name="Comma 3 7 3" xfId="6225"/>
    <cellStyle name="Comma 3 7 4" xfId="6222"/>
    <cellStyle name="Comma 3 8" xfId="6226"/>
    <cellStyle name="Comma 3 8 2" xfId="6227"/>
    <cellStyle name="Comma 3 8 2 2" xfId="6228"/>
    <cellStyle name="Comma 3 8 3" xfId="6229"/>
    <cellStyle name="Comma 3 9" xfId="6230"/>
    <cellStyle name="Comma 3 9 2" xfId="6231"/>
    <cellStyle name="Comma 30" xfId="6232"/>
    <cellStyle name="Comma 30 2" xfId="6233"/>
    <cellStyle name="Comma 30 2 2" xfId="6234"/>
    <cellStyle name="Comma 30 2 2 2" xfId="6235"/>
    <cellStyle name="Comma 30 2 3" xfId="6236"/>
    <cellStyle name="Comma 30 3" xfId="6237"/>
    <cellStyle name="Comma 30 3 2" xfId="6238"/>
    <cellStyle name="Comma 30 4" xfId="6239"/>
    <cellStyle name="Comma 31" xfId="6240"/>
    <cellStyle name="Comma 32" xfId="6241"/>
    <cellStyle name="Comma 33" xfId="6242"/>
    <cellStyle name="Comma 34" xfId="6243"/>
    <cellStyle name="Comma 35" xfId="6244"/>
    <cellStyle name="Comma 36" xfId="6245"/>
    <cellStyle name="Comma 37" xfId="6246"/>
    <cellStyle name="Comma 38" xfId="6247"/>
    <cellStyle name="Comma 39" xfId="6248"/>
    <cellStyle name="Comma 4" xfId="233"/>
    <cellStyle name="Comma 4 2" xfId="234"/>
    <cellStyle name="Comma 4 2 2" xfId="529"/>
    <cellStyle name="Comma 4 2 2 2" xfId="1955"/>
    <cellStyle name="Comma 4 2 3" xfId="1799"/>
    <cellStyle name="Comma 4 2 4" xfId="6250"/>
    <cellStyle name="Comma 4 3" xfId="528"/>
    <cellStyle name="Comma 4 3 2" xfId="1954"/>
    <cellStyle name="Comma 4 3 2 2" xfId="6253"/>
    <cellStyle name="Comma 4 3 2 2 2" xfId="6254"/>
    <cellStyle name="Comma 4 3 2 2 2 2" xfId="6255"/>
    <cellStyle name="Comma 4 3 2 2 2 2 2" xfId="6256"/>
    <cellStyle name="Comma 4 3 2 2 2 3" xfId="6257"/>
    <cellStyle name="Comma 4 3 2 2 3" xfId="6258"/>
    <cellStyle name="Comma 4 3 2 2 3 2" xfId="6259"/>
    <cellStyle name="Comma 4 3 2 2 4" xfId="6260"/>
    <cellStyle name="Comma 4 3 2 3" xfId="6261"/>
    <cellStyle name="Comma 4 3 2 3 2" xfId="6262"/>
    <cellStyle name="Comma 4 3 2 3 2 2" xfId="6263"/>
    <cellStyle name="Comma 4 3 2 3 3" xfId="6264"/>
    <cellStyle name="Comma 4 3 2 4" xfId="6265"/>
    <cellStyle name="Comma 4 3 2 4 2" xfId="6266"/>
    <cellStyle name="Comma 4 3 2 5" xfId="6267"/>
    <cellStyle name="Comma 4 3 2 6" xfId="6252"/>
    <cellStyle name="Comma 4 3 3" xfId="6268"/>
    <cellStyle name="Comma 4 3 3 2" xfId="6269"/>
    <cellStyle name="Comma 4 3 3 2 2" xfId="6270"/>
    <cellStyle name="Comma 4 3 3 2 2 2" xfId="6271"/>
    <cellStyle name="Comma 4 3 3 2 3" xfId="6272"/>
    <cellStyle name="Comma 4 3 3 3" xfId="6273"/>
    <cellStyle name="Comma 4 3 3 3 2" xfId="6274"/>
    <cellStyle name="Comma 4 3 3 4" xfId="6275"/>
    <cellStyle name="Comma 4 3 4" xfId="6276"/>
    <cellStyle name="Comma 4 3 4 2" xfId="6277"/>
    <cellStyle name="Comma 4 3 4 2 2" xfId="6278"/>
    <cellStyle name="Comma 4 3 4 3" xfId="6279"/>
    <cellStyle name="Comma 4 3 5" xfId="6280"/>
    <cellStyle name="Comma 4 3 5 2" xfId="6281"/>
    <cellStyle name="Comma 4 3 6" xfId="6282"/>
    <cellStyle name="Comma 4 3 7" xfId="6251"/>
    <cellStyle name="Comma 4 4" xfId="1798"/>
    <cellStyle name="Comma 4 4 2" xfId="6284"/>
    <cellStyle name="Comma 4 4 2 2" xfId="6285"/>
    <cellStyle name="Comma 4 4 2 2 2" xfId="6286"/>
    <cellStyle name="Comma 4 4 2 2 2 2" xfId="6287"/>
    <cellStyle name="Comma 4 4 2 2 3" xfId="6288"/>
    <cellStyle name="Comma 4 4 2 3" xfId="6289"/>
    <cellStyle name="Comma 4 4 2 3 2" xfId="6290"/>
    <cellStyle name="Comma 4 4 2 4" xfId="6291"/>
    <cellStyle name="Comma 4 4 3" xfId="6292"/>
    <cellStyle name="Comma 4 4 3 2" xfId="6293"/>
    <cellStyle name="Comma 4 4 3 2 2" xfId="6294"/>
    <cellStyle name="Comma 4 4 3 3" xfId="6295"/>
    <cellStyle name="Comma 4 4 4" xfId="6296"/>
    <cellStyle name="Comma 4 4 4 2" xfId="6297"/>
    <cellStyle name="Comma 4 4 5" xfId="6298"/>
    <cellStyle name="Comma 4 4 6" xfId="6283"/>
    <cellStyle name="Comma 4 5" xfId="6299"/>
    <cellStyle name="Comma 4 5 2" xfId="6300"/>
    <cellStyle name="Comma 4 5 2 2" xfId="6301"/>
    <cellStyle name="Comma 4 5 2 2 2" xfId="6302"/>
    <cellStyle name="Comma 4 5 2 3" xfId="6303"/>
    <cellStyle name="Comma 4 5 3" xfId="6304"/>
    <cellStyle name="Comma 4 5 3 2" xfId="6305"/>
    <cellStyle name="Comma 4 5 4" xfId="6306"/>
    <cellStyle name="Comma 4 6" xfId="6307"/>
    <cellStyle name="Comma 4 6 2" xfId="6308"/>
    <cellStyle name="Comma 4 6 2 2" xfId="6309"/>
    <cellStyle name="Comma 4 6 3" xfId="6310"/>
    <cellStyle name="Comma 4 7" xfId="6311"/>
    <cellStyle name="Comma 4 7 2" xfId="6312"/>
    <cellStyle name="Comma 4 8" xfId="6313"/>
    <cellStyle name="Comma 4 9" xfId="6249"/>
    <cellStyle name="Comma 40" xfId="6314"/>
    <cellStyle name="Comma 41" xfId="6315"/>
    <cellStyle name="Comma 42" xfId="6316"/>
    <cellStyle name="Comma 43" xfId="6317"/>
    <cellStyle name="Comma 44" xfId="6318"/>
    <cellStyle name="Comma 45" xfId="6319"/>
    <cellStyle name="Comma 46" xfId="6320"/>
    <cellStyle name="Comma 47" xfId="6321"/>
    <cellStyle name="Comma 48" xfId="6322"/>
    <cellStyle name="Comma 49" xfId="6323"/>
    <cellStyle name="Comma 5" xfId="278"/>
    <cellStyle name="Comma 5 2" xfId="838"/>
    <cellStyle name="Comma 5 2 2" xfId="6325"/>
    <cellStyle name="Comma 5 2 3" xfId="6324"/>
    <cellStyle name="Comma 50" xfId="6326"/>
    <cellStyle name="Comma 51" xfId="6327"/>
    <cellStyle name="Comma 52" xfId="6328"/>
    <cellStyle name="Comma 53" xfId="6329"/>
    <cellStyle name="Comma 54" xfId="6330"/>
    <cellStyle name="Comma 55" xfId="6331"/>
    <cellStyle name="Comma 56" xfId="6332"/>
    <cellStyle name="Comma 57" xfId="6333"/>
    <cellStyle name="Comma 58" xfId="6334"/>
    <cellStyle name="Comma 59" xfId="6335"/>
    <cellStyle name="Comma 6" xfId="283"/>
    <cellStyle name="Comma 6 2" xfId="842"/>
    <cellStyle name="Comma 60" xfId="6336"/>
    <cellStyle name="Comma 61" xfId="6337"/>
    <cellStyle name="Comma 62" xfId="6338"/>
    <cellStyle name="Comma 62 2" xfId="6339"/>
    <cellStyle name="Comma 62 2 2" xfId="6340"/>
    <cellStyle name="Comma 62 3" xfId="6341"/>
    <cellStyle name="Comma 63" xfId="6342"/>
    <cellStyle name="Comma 63 2" xfId="6343"/>
    <cellStyle name="Comma 63 2 2" xfId="6344"/>
    <cellStyle name="Comma 63 3" xfId="6345"/>
    <cellStyle name="Comma 64" xfId="6346"/>
    <cellStyle name="Comma 64 2" xfId="6347"/>
    <cellStyle name="Comma 64 2 2" xfId="6348"/>
    <cellStyle name="Comma 64 3" xfId="6349"/>
    <cellStyle name="Comma 65" xfId="6350"/>
    <cellStyle name="Comma 65 2" xfId="6351"/>
    <cellStyle name="Comma 66" xfId="6352"/>
    <cellStyle name="Comma 66 2" xfId="6353"/>
    <cellStyle name="Comma 67" xfId="6354"/>
    <cellStyle name="Comma 68" xfId="6355"/>
    <cellStyle name="Comma 69" xfId="6356"/>
    <cellStyle name="Comma 7" xfId="8"/>
    <cellStyle name="Comma 7 2" xfId="279"/>
    <cellStyle name="Comma 7 2 2" xfId="641"/>
    <cellStyle name="Comma 7 2 2 2" xfId="2049"/>
    <cellStyle name="Comma 7 2 3" xfId="1932"/>
    <cellStyle name="Comma 7 3" xfId="556"/>
    <cellStyle name="Comma 7 3 2" xfId="1959"/>
    <cellStyle name="Comma 7 4" xfId="946"/>
    <cellStyle name="Comma 7 4 2" xfId="2052"/>
    <cellStyle name="Comma 7 5" xfId="1092"/>
    <cellStyle name="Comma 7 5 2" xfId="2055"/>
    <cellStyle name="Comma 7 6" xfId="1096"/>
    <cellStyle name="Comma 7 6 2" xfId="2059"/>
    <cellStyle name="Comma 7 7" xfId="1841"/>
    <cellStyle name="Comma 7 8" xfId="6357"/>
    <cellStyle name="Comma 70" xfId="6358"/>
    <cellStyle name="Comma 71" xfId="6359"/>
    <cellStyle name="Comma 71 2" xfId="6360"/>
    <cellStyle name="Comma 72" xfId="6361"/>
    <cellStyle name="Comma 73" xfId="6362"/>
    <cellStyle name="Comma 73 2" xfId="6363"/>
    <cellStyle name="Comma 73 3" xfId="6364"/>
    <cellStyle name="Comma 74" xfId="6365"/>
    <cellStyle name="Comma 74 2" xfId="6366"/>
    <cellStyle name="Comma 74 3" xfId="6367"/>
    <cellStyle name="Comma 75" xfId="6368"/>
    <cellStyle name="Comma 76" xfId="6369"/>
    <cellStyle name="Comma 77" xfId="6370"/>
    <cellStyle name="Comma 78" xfId="6371"/>
    <cellStyle name="Comma 79" xfId="6372"/>
    <cellStyle name="Comma 8" xfId="285"/>
    <cellStyle name="Comma 8 2" xfId="561"/>
    <cellStyle name="Comma 8 2 2" xfId="1962"/>
    <cellStyle name="Comma 8 3" xfId="1845"/>
    <cellStyle name="Comma 8 4" xfId="6373"/>
    <cellStyle name="Comma 8 5" xfId="8255"/>
    <cellStyle name="Comma 80" xfId="6374"/>
    <cellStyle name="Comma 81" xfId="6375"/>
    <cellStyle name="Comma 82" xfId="6376"/>
    <cellStyle name="Comma 83" xfId="6377"/>
    <cellStyle name="Comma 84" xfId="6378"/>
    <cellStyle name="Comma 85" xfId="8250"/>
    <cellStyle name="Comma 86" xfId="8261"/>
    <cellStyle name="Comma 87" xfId="8270"/>
    <cellStyle name="Comma 88" xfId="8273"/>
    <cellStyle name="Comma 89" xfId="8285"/>
    <cellStyle name="Comma 9" xfId="65"/>
    <cellStyle name="Comma 9 2" xfId="821"/>
    <cellStyle name="Comma 9 2 2" xfId="6381"/>
    <cellStyle name="Comma 9 2 2 2" xfId="6382"/>
    <cellStyle name="Comma 9 2 2 2 2" xfId="6383"/>
    <cellStyle name="Comma 9 2 2 2 2 2" xfId="6384"/>
    <cellStyle name="Comma 9 2 2 2 2 2 2" xfId="6385"/>
    <cellStyle name="Comma 9 2 2 2 2 3" xfId="6386"/>
    <cellStyle name="Comma 9 2 2 2 3" xfId="6387"/>
    <cellStyle name="Comma 9 2 2 2 3 2" xfId="6388"/>
    <cellStyle name="Comma 9 2 2 2 4" xfId="6389"/>
    <cellStyle name="Comma 9 2 2 3" xfId="6390"/>
    <cellStyle name="Comma 9 2 2 3 2" xfId="6391"/>
    <cellStyle name="Comma 9 2 2 3 2 2" xfId="6392"/>
    <cellStyle name="Comma 9 2 2 3 3" xfId="6393"/>
    <cellStyle name="Comma 9 2 2 4" xfId="6394"/>
    <cellStyle name="Comma 9 2 2 4 2" xfId="6395"/>
    <cellStyle name="Comma 9 2 2 5" xfId="6396"/>
    <cellStyle name="Comma 9 2 3" xfId="6397"/>
    <cellStyle name="Comma 9 2 3 2" xfId="6398"/>
    <cellStyle name="Comma 9 2 3 2 2" xfId="6399"/>
    <cellStyle name="Comma 9 2 3 2 2 2" xfId="6400"/>
    <cellStyle name="Comma 9 2 3 2 3" xfId="6401"/>
    <cellStyle name="Comma 9 2 3 3" xfId="6402"/>
    <cellStyle name="Comma 9 2 3 3 2" xfId="6403"/>
    <cellStyle name="Comma 9 2 3 4" xfId="6404"/>
    <cellStyle name="Comma 9 2 4" xfId="6405"/>
    <cellStyle name="Comma 9 2 4 2" xfId="6406"/>
    <cellStyle name="Comma 9 2 4 2 2" xfId="6407"/>
    <cellStyle name="Comma 9 2 4 3" xfId="6408"/>
    <cellStyle name="Comma 9 2 5" xfId="6409"/>
    <cellStyle name="Comma 9 2 5 2" xfId="6410"/>
    <cellStyle name="Comma 9 2 6" xfId="6411"/>
    <cellStyle name="Comma 9 2 7" xfId="6380"/>
    <cellStyle name="Comma 9 3" xfId="6412"/>
    <cellStyle name="Comma 9 3 2" xfId="6413"/>
    <cellStyle name="Comma 9 3 2 2" xfId="6414"/>
    <cellStyle name="Comma 9 3 2 2 2" xfId="6415"/>
    <cellStyle name="Comma 9 3 2 2 2 2" xfId="6416"/>
    <cellStyle name="Comma 9 3 2 2 3" xfId="6417"/>
    <cellStyle name="Comma 9 3 2 3" xfId="6418"/>
    <cellStyle name="Comma 9 3 2 3 2" xfId="6419"/>
    <cellStyle name="Comma 9 3 2 4" xfId="6420"/>
    <cellStyle name="Comma 9 3 3" xfId="6421"/>
    <cellStyle name="Comma 9 3 3 2" xfId="6422"/>
    <cellStyle name="Comma 9 3 3 2 2" xfId="6423"/>
    <cellStyle name="Comma 9 3 3 3" xfId="6424"/>
    <cellStyle name="Comma 9 3 4" xfId="6425"/>
    <cellStyle name="Comma 9 3 4 2" xfId="6426"/>
    <cellStyle name="Comma 9 3 5" xfId="6427"/>
    <cellStyle name="Comma 9 4" xfId="6428"/>
    <cellStyle name="Comma 9 4 2" xfId="6429"/>
    <cellStyle name="Comma 9 4 2 2" xfId="6430"/>
    <cellStyle name="Comma 9 4 2 2 2" xfId="6431"/>
    <cellStyle name="Comma 9 4 2 3" xfId="6432"/>
    <cellStyle name="Comma 9 4 3" xfId="6433"/>
    <cellStyle name="Comma 9 4 3 2" xfId="6434"/>
    <cellStyle name="Comma 9 4 4" xfId="6435"/>
    <cellStyle name="Comma 9 5" xfId="6436"/>
    <cellStyle name="Comma 9 5 2" xfId="6437"/>
    <cellStyle name="Comma 9 5 2 2" xfId="6438"/>
    <cellStyle name="Comma 9 5 3" xfId="6439"/>
    <cellStyle name="Comma 9 6" xfId="6440"/>
    <cellStyle name="Comma 9 6 2" xfId="6441"/>
    <cellStyle name="Comma 9 7" xfId="6442"/>
    <cellStyle name="Comma 9 8" xfId="6379"/>
    <cellStyle name="Comma 9 9" xfId="8251"/>
    <cellStyle name="Comma 90" xfId="8288"/>
    <cellStyle name="Comma_KU COS Print File 2003q3" xfId="9"/>
    <cellStyle name="Comma0" xfId="10"/>
    <cellStyle name="Comma0 2" xfId="67"/>
    <cellStyle name="Comma0 2 2" xfId="6444"/>
    <cellStyle name="Comma0 3" xfId="6443"/>
    <cellStyle name="Currency" xfId="11" builtinId="4"/>
    <cellStyle name="Currency [0]" xfId="12" builtinId="7"/>
    <cellStyle name="Currency [0] 2" xfId="3133"/>
    <cellStyle name="Currency [0] 2 2" xfId="3134"/>
    <cellStyle name="Currency [0] 2 3" xfId="6445"/>
    <cellStyle name="Currency [0] 3" xfId="3118"/>
    <cellStyle name="Currency [0] 3 2" xfId="6447"/>
    <cellStyle name="Currency [0] 3 3" xfId="6446"/>
    <cellStyle name="Currency [0] 4" xfId="6448"/>
    <cellStyle name="Currency [0] 4 2" xfId="6449"/>
    <cellStyle name="Currency [0] 5" xfId="6450"/>
    <cellStyle name="Currency [0] 5 2" xfId="6451"/>
    <cellStyle name="Currency 10" xfId="3135"/>
    <cellStyle name="Currency 10 2" xfId="6452"/>
    <cellStyle name="Currency 11" xfId="3136"/>
    <cellStyle name="Currency 11 2" xfId="6454"/>
    <cellStyle name="Currency 11 3" xfId="6453"/>
    <cellStyle name="Currency 12" xfId="3137"/>
    <cellStyle name="Currency 12 2" xfId="6456"/>
    <cellStyle name="Currency 12 3" xfId="6455"/>
    <cellStyle name="Currency 13" xfId="3138"/>
    <cellStyle name="Currency 13 2" xfId="6458"/>
    <cellStyle name="Currency 13 3" xfId="6457"/>
    <cellStyle name="Currency 14" xfId="3139"/>
    <cellStyle name="Currency 14 2" xfId="6460"/>
    <cellStyle name="Currency 14 3" xfId="6459"/>
    <cellStyle name="Currency 15" xfId="3140"/>
    <cellStyle name="Currency 15 2" xfId="6461"/>
    <cellStyle name="Currency 16" xfId="3141"/>
    <cellStyle name="Currency 16 2" xfId="6462"/>
    <cellStyle name="Currency 164" xfId="8268"/>
    <cellStyle name="Currency 17" xfId="3142"/>
    <cellStyle name="Currency 17 2" xfId="6463"/>
    <cellStyle name="Currency 18" xfId="3143"/>
    <cellStyle name="Currency 18 2" xfId="6464"/>
    <cellStyle name="Currency 19" xfId="3144"/>
    <cellStyle name="Currency 19 2" xfId="6465"/>
    <cellStyle name="Currency 2" xfId="54"/>
    <cellStyle name="Currency 2 2" xfId="235"/>
    <cellStyle name="Currency 2 3" xfId="236"/>
    <cellStyle name="Currency 20" xfId="3145"/>
    <cellStyle name="Currency 20 2" xfId="6466"/>
    <cellStyle name="Currency 21" xfId="3146"/>
    <cellStyle name="Currency 21 2" xfId="6467"/>
    <cellStyle name="Currency 22" xfId="3147"/>
    <cellStyle name="Currency 22 2" xfId="6468"/>
    <cellStyle name="Currency 23" xfId="3148"/>
    <cellStyle name="Currency 23 2" xfId="6469"/>
    <cellStyle name="Currency 24" xfId="3149"/>
    <cellStyle name="Currency 24 2" xfId="6470"/>
    <cellStyle name="Currency 25" xfId="3150"/>
    <cellStyle name="Currency 25 2" xfId="6471"/>
    <cellStyle name="Currency 26" xfId="3151"/>
    <cellStyle name="Currency 26 2" xfId="6472"/>
    <cellStyle name="Currency 27" xfId="3152"/>
    <cellStyle name="Currency 27 2" xfId="3153"/>
    <cellStyle name="Currency 27 3" xfId="6473"/>
    <cellStyle name="Currency 28" xfId="3154"/>
    <cellStyle name="Currency 28 2" xfId="6474"/>
    <cellStyle name="Currency 29" xfId="3155"/>
    <cellStyle name="Currency 29 2" xfId="6475"/>
    <cellStyle name="Currency 3" xfId="284"/>
    <cellStyle name="Currency 3 2" xfId="560"/>
    <cellStyle name="Currency 3 2 2" xfId="1961"/>
    <cellStyle name="Currency 3 3" xfId="1844"/>
    <cellStyle name="Currency 3 4" xfId="6476"/>
    <cellStyle name="Currency 3 5" xfId="8281"/>
    <cellStyle name="Currency 30" xfId="3156"/>
    <cellStyle name="Currency 30 2" xfId="6477"/>
    <cellStyle name="Currency 31" xfId="3119"/>
    <cellStyle name="Currency 31 2" xfId="6478"/>
    <cellStyle name="Currency 32" xfId="3120"/>
    <cellStyle name="Currency 32 2" xfId="6479"/>
    <cellStyle name="Currency 33" xfId="6480"/>
    <cellStyle name="Currency 34" xfId="6481"/>
    <cellStyle name="Currency 35" xfId="6482"/>
    <cellStyle name="Currency 36" xfId="6483"/>
    <cellStyle name="Currency 37" xfId="6484"/>
    <cellStyle name="Currency 38" xfId="6485"/>
    <cellStyle name="Currency 39" xfId="6486"/>
    <cellStyle name="Currency 4" xfId="68"/>
    <cellStyle name="Currency 4 2" xfId="393"/>
    <cellStyle name="Currency 4 2 2" xfId="943"/>
    <cellStyle name="Currency 4 2 3" xfId="2048"/>
    <cellStyle name="Currency 4 3" xfId="640"/>
    <cellStyle name="Currency 4 4" xfId="1931"/>
    <cellStyle name="Currency 4 5" xfId="6487"/>
    <cellStyle name="Currency 40" xfId="6488"/>
    <cellStyle name="Currency 41" xfId="6489"/>
    <cellStyle name="Currency 42" xfId="6490"/>
    <cellStyle name="Currency 43" xfId="6491"/>
    <cellStyle name="Currency 44" xfId="6492"/>
    <cellStyle name="Currency 45" xfId="6493"/>
    <cellStyle name="Currency 46" xfId="6494"/>
    <cellStyle name="Currency 47" xfId="6495"/>
    <cellStyle name="Currency 48" xfId="6496"/>
    <cellStyle name="Currency 49" xfId="6497"/>
    <cellStyle name="Currency 5" xfId="945"/>
    <cellStyle name="Currency 5 2" xfId="2051"/>
    <cellStyle name="Currency 5 3" xfId="6498"/>
    <cellStyle name="Currency 50" xfId="6499"/>
    <cellStyle name="Currency 51" xfId="6500"/>
    <cellStyle name="Currency 52" xfId="6501"/>
    <cellStyle name="Currency 53" xfId="6502"/>
    <cellStyle name="Currency 54" xfId="6503"/>
    <cellStyle name="Currency 55" xfId="6504"/>
    <cellStyle name="Currency 56" xfId="6505"/>
    <cellStyle name="Currency 56 2" xfId="6506"/>
    <cellStyle name="Currency 57" xfId="6507"/>
    <cellStyle name="Currency 57 2" xfId="6508"/>
    <cellStyle name="Currency 58" xfId="6509"/>
    <cellStyle name="Currency 59" xfId="6510"/>
    <cellStyle name="Currency 6" xfId="1091"/>
    <cellStyle name="Currency 6 2" xfId="2054"/>
    <cellStyle name="Currency 6 3" xfId="6511"/>
    <cellStyle name="Currency 60" xfId="6512"/>
    <cellStyle name="Currency 61" xfId="6513"/>
    <cellStyle name="Currency 62" xfId="6514"/>
    <cellStyle name="Currency 62 2" xfId="6515"/>
    <cellStyle name="Currency 63" xfId="6516"/>
    <cellStyle name="Currency 64" xfId="6517"/>
    <cellStyle name="Currency 65" xfId="6518"/>
    <cellStyle name="Currency 66" xfId="6519"/>
    <cellStyle name="Currency 67" xfId="6520"/>
    <cellStyle name="Currency 68" xfId="6521"/>
    <cellStyle name="Currency 69" xfId="6522"/>
    <cellStyle name="Currency 7" xfId="1095"/>
    <cellStyle name="Currency 7 2" xfId="2058"/>
    <cellStyle name="Currency 7 3" xfId="6523"/>
    <cellStyle name="Currency 70" xfId="6524"/>
    <cellStyle name="Currency 71" xfId="6525"/>
    <cellStyle name="Currency 72" xfId="6526"/>
    <cellStyle name="Currency 73" xfId="6527"/>
    <cellStyle name="Currency 74" xfId="6528"/>
    <cellStyle name="Currency 75" xfId="6529"/>
    <cellStyle name="Currency 76" xfId="8259"/>
    <cellStyle name="Currency 8" xfId="3157"/>
    <cellStyle name="Currency 8 2" xfId="6530"/>
    <cellStyle name="Currency 9" xfId="3158"/>
    <cellStyle name="Currency 9 2" xfId="6531"/>
    <cellStyle name="Currency0" xfId="13"/>
    <cellStyle name="Currency0 2" xfId="6533"/>
    <cellStyle name="Currency0 3" xfId="6532"/>
    <cellStyle name="Date" xfId="14"/>
    <cellStyle name="Date 2" xfId="6535"/>
    <cellStyle name="Date 3" xfId="6534"/>
    <cellStyle name="Eingabe" xfId="69"/>
    <cellStyle name="Eingabe 2" xfId="191"/>
    <cellStyle name="Euro" xfId="70"/>
    <cellStyle name="Euro 2" xfId="237"/>
    <cellStyle name="Euro 2 2" xfId="6537"/>
    <cellStyle name="Euro 3" xfId="6536"/>
    <cellStyle name="Explanatory Text" xfId="3085" builtinId="53" customBuiltin="1"/>
    <cellStyle name="Explanatory Text 2" xfId="192"/>
    <cellStyle name="Explanatory Text 2 2" xfId="6538"/>
    <cellStyle name="Explanatory Text 3" xfId="6539"/>
    <cellStyle name="F2" xfId="71"/>
    <cellStyle name="F2 2" xfId="6540"/>
    <cellStyle name="F3" xfId="72"/>
    <cellStyle name="F3 2" xfId="6541"/>
    <cellStyle name="F4" xfId="73"/>
    <cellStyle name="F4 2" xfId="6542"/>
    <cellStyle name="F5" xfId="74"/>
    <cellStyle name="F5 2" xfId="6544"/>
    <cellStyle name="F5 3" xfId="6543"/>
    <cellStyle name="F6" xfId="75"/>
    <cellStyle name="F6 2" xfId="280"/>
    <cellStyle name="F6 2 2" xfId="6546"/>
    <cellStyle name="F6 3" xfId="6545"/>
    <cellStyle name="F7" xfId="76"/>
    <cellStyle name="F7 2" xfId="6547"/>
    <cellStyle name="F8" xfId="77"/>
    <cellStyle name="F8 2" xfId="6548"/>
    <cellStyle name="Fixed" xfId="15"/>
    <cellStyle name="Fixed 2" xfId="6550"/>
    <cellStyle name="Fixed 3" xfId="6549"/>
    <cellStyle name="Good" xfId="3076" builtinId="26" customBuiltin="1"/>
    <cellStyle name="Good 2" xfId="193"/>
    <cellStyle name="Good 2 2" xfId="6551"/>
    <cellStyle name="Good 3" xfId="6552"/>
    <cellStyle name="Heading 1" xfId="16" builtinId="16" customBuiltin="1"/>
    <cellStyle name="Heading 1 2" xfId="194"/>
    <cellStyle name="Heading 1 2 2" xfId="6553"/>
    <cellStyle name="Heading 1 3" xfId="3111"/>
    <cellStyle name="Heading 1 3 2" xfId="6554"/>
    <cellStyle name="Heading 2" xfId="17" builtinId="17" customBuiltin="1"/>
    <cellStyle name="Heading 2 2" xfId="195"/>
    <cellStyle name="Heading 2 2 2" xfId="6555"/>
    <cellStyle name="Heading 2 3" xfId="3112"/>
    <cellStyle name="Heading 2 3 2" xfId="6556"/>
    <cellStyle name="Heading 3" xfId="3074" builtinId="18" customBuiltin="1"/>
    <cellStyle name="Heading 3 2" xfId="196"/>
    <cellStyle name="Heading 3 2 2" xfId="6558"/>
    <cellStyle name="Heading 3 2 3" xfId="6557"/>
    <cellStyle name="Heading 3 3" xfId="6559"/>
    <cellStyle name="Heading 3 4" xfId="6560"/>
    <cellStyle name="Heading 3 5" xfId="6561"/>
    <cellStyle name="Heading 4" xfId="3075" builtinId="19" customBuiltin="1"/>
    <cellStyle name="Heading 4 2" xfId="197"/>
    <cellStyle name="Heading 4 2 2" xfId="6562"/>
    <cellStyle name="Heading 4 3" xfId="6563"/>
    <cellStyle name="Hyperlink 2" xfId="6564"/>
    <cellStyle name="Input" xfId="3079" builtinId="20" customBuiltin="1"/>
    <cellStyle name="Input 10" xfId="308"/>
    <cellStyle name="Input 10 10" xfId="2618"/>
    <cellStyle name="Input 10 2" xfId="865"/>
    <cellStyle name="Input 10 2 2" xfId="1007"/>
    <cellStyle name="Input 10 2 3" xfId="1248"/>
    <cellStyle name="Input 10 2 4" xfId="407"/>
    <cellStyle name="Input 10 2 5" xfId="1567"/>
    <cellStyle name="Input 10 2 6" xfId="2355"/>
    <cellStyle name="Input 10 2 7" xfId="2678"/>
    <cellStyle name="Input 10 2 8" xfId="2782"/>
    <cellStyle name="Input 10 2 9" xfId="1814"/>
    <cellStyle name="Input 10 3" xfId="634"/>
    <cellStyle name="Input 10 4" xfId="1123"/>
    <cellStyle name="Input 10 5" xfId="996"/>
    <cellStyle name="Input 10 6" xfId="1396"/>
    <cellStyle name="Input 10 7" xfId="1877"/>
    <cellStyle name="Input 10 8" xfId="2475"/>
    <cellStyle name="Input 10 9" xfId="2841"/>
    <cellStyle name="Input 11" xfId="357"/>
    <cellStyle name="Input 11 10" xfId="2551"/>
    <cellStyle name="Input 11 2" xfId="910"/>
    <cellStyle name="Input 11 2 2" xfId="448"/>
    <cellStyle name="Input 11 2 3" xfId="1292"/>
    <cellStyle name="Input 11 2 4" xfId="1463"/>
    <cellStyle name="Input 11 2 5" xfId="1610"/>
    <cellStyle name="Input 11 2 6" xfId="2399"/>
    <cellStyle name="Input 11 2 7" xfId="2721"/>
    <cellStyle name="Input 11 2 8" xfId="1982"/>
    <cellStyle name="Input 11 2 9" xfId="3042"/>
    <cellStyle name="Input 11 3" xfId="540"/>
    <cellStyle name="Input 11 4" xfId="1171"/>
    <cellStyle name="Input 11 5" xfId="574"/>
    <cellStyle name="Input 11 6" xfId="1510"/>
    <cellStyle name="Input 11 7" xfId="1643"/>
    <cellStyle name="Input 11 8" xfId="1722"/>
    <cellStyle name="Input 11 9" xfId="1658"/>
    <cellStyle name="Input 12" xfId="314"/>
    <cellStyle name="Input 12 10" xfId="2003"/>
    <cellStyle name="Input 12 2" xfId="870"/>
    <cellStyle name="Input 12 2 2" xfId="1074"/>
    <cellStyle name="Input 12 2 3" xfId="1253"/>
    <cellStyle name="Input 12 2 4" xfId="401"/>
    <cellStyle name="Input 12 2 5" xfId="1572"/>
    <cellStyle name="Input 12 2 6" xfId="2360"/>
    <cellStyle name="Input 12 2 7" xfId="2683"/>
    <cellStyle name="Input 12 2 8" xfId="2241"/>
    <cellStyle name="Input 12 2 9" xfId="2853"/>
    <cellStyle name="Input 12 3" xfId="1029"/>
    <cellStyle name="Input 12 4" xfId="1129"/>
    <cellStyle name="Input 12 5" xfId="1343"/>
    <cellStyle name="Input 12 6" xfId="1349"/>
    <cellStyle name="Input 12 7" xfId="1780"/>
    <cellStyle name="Input 12 8" xfId="2232"/>
    <cellStyle name="Input 12 9" xfId="2864"/>
    <cellStyle name="Input 13" xfId="332"/>
    <cellStyle name="Input 13 10" xfId="1900"/>
    <cellStyle name="Input 13 2" xfId="888"/>
    <cellStyle name="Input 13 2 2" xfId="1038"/>
    <cellStyle name="Input 13 2 3" xfId="1271"/>
    <cellStyle name="Input 13 2 4" xfId="1363"/>
    <cellStyle name="Input 13 2 5" xfId="1590"/>
    <cellStyle name="Input 13 2 6" xfId="2378"/>
    <cellStyle name="Input 13 2 7" xfId="2701"/>
    <cellStyle name="Input 13 2 8" xfId="2808"/>
    <cellStyle name="Input 13 2 9" xfId="2955"/>
    <cellStyle name="Input 13 3" xfId="1085"/>
    <cellStyle name="Input 13 4" xfId="1147"/>
    <cellStyle name="Input 13 5" xfId="733"/>
    <cellStyle name="Input 13 6" xfId="681"/>
    <cellStyle name="Input 13 7" xfId="2167"/>
    <cellStyle name="Input 13 8" xfId="2463"/>
    <cellStyle name="Input 13 9" xfId="2819"/>
    <cellStyle name="Input 14" xfId="294"/>
    <cellStyle name="Input 14 10" xfId="2985"/>
    <cellStyle name="Input 14 2" xfId="851"/>
    <cellStyle name="Input 14 2 2" xfId="965"/>
    <cellStyle name="Input 14 2 3" xfId="1234"/>
    <cellStyle name="Input 14 2 4" xfId="1289"/>
    <cellStyle name="Input 14 2 5" xfId="1553"/>
    <cellStyle name="Input 14 2 6" xfId="2341"/>
    <cellStyle name="Input 14 2 7" xfId="2664"/>
    <cellStyle name="Input 14 2 8" xfId="2893"/>
    <cellStyle name="Input 14 2 9" xfId="1671"/>
    <cellStyle name="Input 14 3" xfId="508"/>
    <cellStyle name="Input 14 4" xfId="1109"/>
    <cellStyle name="Input 14 5" xfId="1395"/>
    <cellStyle name="Input 14 6" xfId="783"/>
    <cellStyle name="Input 14 7" xfId="2187"/>
    <cellStyle name="Input 14 8" xfId="1896"/>
    <cellStyle name="Input 14 9" xfId="2801"/>
    <cellStyle name="Input 15" xfId="361"/>
    <cellStyle name="Input 15 10" xfId="2010"/>
    <cellStyle name="Input 15 2" xfId="914"/>
    <cellStyle name="Input 15 2 2" xfId="790"/>
    <cellStyle name="Input 15 2 3" xfId="1296"/>
    <cellStyle name="Input 15 2 4" xfId="1467"/>
    <cellStyle name="Input 15 2 5" xfId="1614"/>
    <cellStyle name="Input 15 2 6" xfId="2403"/>
    <cellStyle name="Input 15 2 7" xfId="2725"/>
    <cellStyle name="Input 15 2 8" xfId="2145"/>
    <cellStyle name="Input 15 2 9" xfId="3046"/>
    <cellStyle name="Input 15 3" xfId="1088"/>
    <cellStyle name="Input 15 4" xfId="1175"/>
    <cellStyle name="Input 15 5" xfId="1385"/>
    <cellStyle name="Input 15 6" xfId="1514"/>
    <cellStyle name="Input 15 7" xfId="1647"/>
    <cellStyle name="Input 15 8" xfId="1720"/>
    <cellStyle name="Input 15 9" xfId="2839"/>
    <cellStyle name="Input 16" xfId="304"/>
    <cellStyle name="Input 16 10" xfId="1704"/>
    <cellStyle name="Input 16 2" xfId="861"/>
    <cellStyle name="Input 16 2 2" xfId="541"/>
    <cellStyle name="Input 16 2 3" xfId="1244"/>
    <cellStyle name="Input 16 2 4" xfId="502"/>
    <cellStyle name="Input 16 2 5" xfId="1563"/>
    <cellStyle name="Input 16 2 6" xfId="2351"/>
    <cellStyle name="Input 16 2 7" xfId="2674"/>
    <cellStyle name="Input 16 2 8" xfId="2882"/>
    <cellStyle name="Input 16 2 9" xfId="1672"/>
    <cellStyle name="Input 16 3" xfId="1030"/>
    <cellStyle name="Input 16 4" xfId="1119"/>
    <cellStyle name="Input 16 5" xfId="1328"/>
    <cellStyle name="Input 16 6" xfId="1410"/>
    <cellStyle name="Input 16 7" xfId="2285"/>
    <cellStyle name="Input 16 8" xfId="2084"/>
    <cellStyle name="Input 16 9" xfId="2852"/>
    <cellStyle name="Input 17" xfId="338"/>
    <cellStyle name="Input 17 10" xfId="2960"/>
    <cellStyle name="Input 17 2" xfId="893"/>
    <cellStyle name="Input 17 2 2" xfId="593"/>
    <cellStyle name="Input 17 2 3" xfId="1276"/>
    <cellStyle name="Input 17 2 4" xfId="1369"/>
    <cellStyle name="Input 17 2 5" xfId="1595"/>
    <cellStyle name="Input 17 2 6" xfId="2383"/>
    <cellStyle name="Input 17 2 7" xfId="2706"/>
    <cellStyle name="Input 17 2 8" xfId="2087"/>
    <cellStyle name="Input 17 2 9" xfId="2850"/>
    <cellStyle name="Input 17 3" xfId="823"/>
    <cellStyle name="Input 17 4" xfId="1153"/>
    <cellStyle name="Input 17 5" xfId="1178"/>
    <cellStyle name="Input 17 6" xfId="1416"/>
    <cellStyle name="Input 17 7" xfId="2163"/>
    <cellStyle name="Input 17 8" xfId="2445"/>
    <cellStyle name="Input 17 9" xfId="2885"/>
    <cellStyle name="Input 18" xfId="290"/>
    <cellStyle name="Input 18 10" xfId="2954"/>
    <cellStyle name="Input 18 2" xfId="847"/>
    <cellStyle name="Input 18 2 2" xfId="628"/>
    <cellStyle name="Input 18 2 3" xfId="1230"/>
    <cellStyle name="Input 18 2 4" xfId="579"/>
    <cellStyle name="Input 18 2 5" xfId="1549"/>
    <cellStyle name="Input 18 2 6" xfId="2337"/>
    <cellStyle name="Input 18 2 7" xfId="2660"/>
    <cellStyle name="Input 18 2 8" xfId="1898"/>
    <cellStyle name="Input 18 2 9" xfId="2967"/>
    <cellStyle name="Input 18 3" xfId="592"/>
    <cellStyle name="Input 18 4" xfId="1105"/>
    <cellStyle name="Input 18 5" xfId="1389"/>
    <cellStyle name="Input 18 6" xfId="709"/>
    <cellStyle name="Input 18 7" xfId="2207"/>
    <cellStyle name="Input 18 8" xfId="2524"/>
    <cellStyle name="Input 18 9" xfId="1924"/>
    <cellStyle name="Input 19" xfId="363"/>
    <cellStyle name="Input 19 10" xfId="2958"/>
    <cellStyle name="Input 19 2" xfId="916"/>
    <cellStyle name="Input 19 2 2" xfId="947"/>
    <cellStyle name="Input 19 2 3" xfId="1298"/>
    <cellStyle name="Input 19 2 4" xfId="1469"/>
    <cellStyle name="Input 19 2 5" xfId="1616"/>
    <cellStyle name="Input 19 2 6" xfId="2405"/>
    <cellStyle name="Input 19 2 7" xfId="2727"/>
    <cellStyle name="Input 19 2 8" xfId="2547"/>
    <cellStyle name="Input 19 2 9" xfId="3048"/>
    <cellStyle name="Input 19 3" xfId="961"/>
    <cellStyle name="Input 19 4" xfId="1177"/>
    <cellStyle name="Input 19 5" xfId="1361"/>
    <cellStyle name="Input 19 6" xfId="1516"/>
    <cellStyle name="Input 19 7" xfId="1649"/>
    <cellStyle name="Input 19 8" xfId="1719"/>
    <cellStyle name="Input 19 9" xfId="2846"/>
    <cellStyle name="Input 2" xfId="198"/>
    <cellStyle name="Input 2 2" xfId="826"/>
    <cellStyle name="Input 2 2 10" xfId="6566"/>
    <cellStyle name="Input 2 2 2" xfId="1039"/>
    <cellStyle name="Input 2 2 3" xfId="1208"/>
    <cellStyle name="Input 2 2 4" xfId="982"/>
    <cellStyle name="Input 2 2 5" xfId="1544"/>
    <cellStyle name="Input 2 2 6" xfId="1653"/>
    <cellStyle name="Input 2 2 7" xfId="1710"/>
    <cellStyle name="Input 2 2 8" xfId="2910"/>
    <cellStyle name="Input 2 2 9" xfId="1739"/>
    <cellStyle name="Input 2 3" xfId="419"/>
    <cellStyle name="Input 2 4" xfId="1062"/>
    <cellStyle name="Input 2 5" xfId="571"/>
    <cellStyle name="Input 2 6" xfId="2079"/>
    <cellStyle name="Input 2 7" xfId="2121"/>
    <cellStyle name="Input 2 8" xfId="2829"/>
    <cellStyle name="Input 2 9" xfId="6565"/>
    <cellStyle name="Input 20" xfId="301"/>
    <cellStyle name="Input 20 10" xfId="2948"/>
    <cellStyle name="Input 20 2" xfId="858"/>
    <cellStyle name="Input 20 2 2" xfId="738"/>
    <cellStyle name="Input 20 2 3" xfId="1241"/>
    <cellStyle name="Input 20 2 4" xfId="503"/>
    <cellStyle name="Input 20 2 5" xfId="1560"/>
    <cellStyle name="Input 20 2 6" xfId="2348"/>
    <cellStyle name="Input 20 2 7" xfId="2671"/>
    <cellStyle name="Input 20 2 8" xfId="2645"/>
    <cellStyle name="Input 20 2 9" xfId="1783"/>
    <cellStyle name="Input 20 3" xfId="950"/>
    <cellStyle name="Input 20 4" xfId="1116"/>
    <cellStyle name="Input 20 5" xfId="1397"/>
    <cellStyle name="Input 20 6" xfId="1018"/>
    <cellStyle name="Input 20 7" xfId="1842"/>
    <cellStyle name="Input 20 8" xfId="1707"/>
    <cellStyle name="Input 20 9" xfId="2797"/>
    <cellStyle name="Input 21" xfId="340"/>
    <cellStyle name="Input 21 10" xfId="2973"/>
    <cellStyle name="Input 21 2" xfId="895"/>
    <cellStyle name="Input 21 2 2" xfId="1060"/>
    <cellStyle name="Input 21 2 3" xfId="1278"/>
    <cellStyle name="Input 21 2 4" xfId="1044"/>
    <cellStyle name="Input 21 2 5" xfId="1597"/>
    <cellStyle name="Input 21 2 6" xfId="2385"/>
    <cellStyle name="Input 21 2 7" xfId="2708"/>
    <cellStyle name="Input 21 2 8" xfId="2754"/>
    <cellStyle name="Input 21 2 9" xfId="2844"/>
    <cellStyle name="Input 21 3" xfId="600"/>
    <cellStyle name="Input 21 4" xfId="1155"/>
    <cellStyle name="Input 21 5" xfId="703"/>
    <cellStyle name="Input 21 6" xfId="1496"/>
    <cellStyle name="Input 21 7" xfId="2161"/>
    <cellStyle name="Input 21 8" xfId="2496"/>
    <cellStyle name="Input 21 9" xfId="2779"/>
    <cellStyle name="Input 22" xfId="311"/>
    <cellStyle name="Input 22 2" xfId="573"/>
    <cellStyle name="Input 22 3" xfId="1126"/>
    <cellStyle name="Input 22 4" xfId="1399"/>
    <cellStyle name="Input 22 5" xfId="1344"/>
    <cellStyle name="Input 22 6" xfId="1969"/>
    <cellStyle name="Input 22 7" xfId="2556"/>
    <cellStyle name="Input 22 8" xfId="2333"/>
    <cellStyle name="Input 22 9" xfId="2989"/>
    <cellStyle name="Input 3" xfId="329"/>
    <cellStyle name="Input 3 10" xfId="6567"/>
    <cellStyle name="Input 3 2" xfId="885"/>
    <cellStyle name="Input 3 2 10" xfId="6568"/>
    <cellStyle name="Input 3 2 2" xfId="839"/>
    <cellStyle name="Input 3 2 3" xfId="1268"/>
    <cellStyle name="Input 3 2 4" xfId="1372"/>
    <cellStyle name="Input 3 2 5" xfId="1587"/>
    <cellStyle name="Input 3 2 6" xfId="2375"/>
    <cellStyle name="Input 3 2 7" xfId="2698"/>
    <cellStyle name="Input 3 2 8" xfId="2189"/>
    <cellStyle name="Input 3 2 9" xfId="3008"/>
    <cellStyle name="Input 3 3" xfId="631"/>
    <cellStyle name="Input 3 4" xfId="1144"/>
    <cellStyle name="Input 3 5" xfId="481"/>
    <cellStyle name="Input 3 6" xfId="1016"/>
    <cellStyle name="Input 3 7" xfId="2138"/>
    <cellStyle name="Input 3 8" xfId="2450"/>
    <cellStyle name="Input 3 9" xfId="1706"/>
    <cellStyle name="Input 4" xfId="296"/>
    <cellStyle name="Input 4 10" xfId="2964"/>
    <cellStyle name="Input 4 2" xfId="853"/>
    <cellStyle name="Input 4 2 2" xfId="834"/>
    <cellStyle name="Input 4 2 3" xfId="1236"/>
    <cellStyle name="Input 4 2 4" xfId="690"/>
    <cellStyle name="Input 4 2 5" xfId="1555"/>
    <cellStyle name="Input 4 2 6" xfId="2343"/>
    <cellStyle name="Input 4 2 7" xfId="2666"/>
    <cellStyle name="Input 4 2 8" xfId="2550"/>
    <cellStyle name="Input 4 2 9" xfId="2044"/>
    <cellStyle name="Input 4 3" xfId="1024"/>
    <cellStyle name="Input 4 4" xfId="1111"/>
    <cellStyle name="Input 4 5" xfId="1412"/>
    <cellStyle name="Input 4 6" xfId="507"/>
    <cellStyle name="Input 4 7" xfId="1753"/>
    <cellStyle name="Input 4 8" xfId="1724"/>
    <cellStyle name="Input 4 9" xfId="2848"/>
    <cellStyle name="Input 5" xfId="345"/>
    <cellStyle name="Input 5 10" xfId="2953"/>
    <cellStyle name="Input 5 2" xfId="900"/>
    <cellStyle name="Input 5 2 2" xfId="702"/>
    <cellStyle name="Input 5 2 3" xfId="1283"/>
    <cellStyle name="Input 5 2 4" xfId="578"/>
    <cellStyle name="Input 5 2 5" xfId="1602"/>
    <cellStyle name="Input 5 2 6" xfId="2390"/>
    <cellStyle name="Input 5 2 7" xfId="2713"/>
    <cellStyle name="Input 5 2 8" xfId="2795"/>
    <cellStyle name="Input 5 2 9" xfId="3034"/>
    <cellStyle name="Input 5 3" xfId="465"/>
    <cellStyle name="Input 5 4" xfId="1160"/>
    <cellStyle name="Input 5 5" xfId="1449"/>
    <cellStyle name="Input 5 6" xfId="1501"/>
    <cellStyle name="Input 5 7" xfId="2254"/>
    <cellStyle name="Input 5 8" xfId="2112"/>
    <cellStyle name="Input 5 9" xfId="2908"/>
    <cellStyle name="Input 6" xfId="288"/>
    <cellStyle name="Input 6 10" xfId="2477"/>
    <cellStyle name="Input 6 2" xfId="845"/>
    <cellStyle name="Input 6 2 2" xfId="539"/>
    <cellStyle name="Input 6 2 3" xfId="1228"/>
    <cellStyle name="Input 6 2 4" xfId="1213"/>
    <cellStyle name="Input 6 2 5" xfId="1547"/>
    <cellStyle name="Input 6 2 6" xfId="2335"/>
    <cellStyle name="Input 6 2 7" xfId="2658"/>
    <cellStyle name="Input 6 2 8" xfId="2828"/>
    <cellStyle name="Input 6 2 9" xfId="1992"/>
    <cellStyle name="Input 6 3" xfId="447"/>
    <cellStyle name="Input 6 4" xfId="1103"/>
    <cellStyle name="Input 6 5" xfId="1423"/>
    <cellStyle name="Input 6 6" xfId="477"/>
    <cellStyle name="Input 6 7" xfId="2080"/>
    <cellStyle name="Input 6 8" xfId="2009"/>
    <cellStyle name="Input 6 9" xfId="2860"/>
    <cellStyle name="Input 7" xfId="350"/>
    <cellStyle name="Input 7 10" xfId="2923"/>
    <cellStyle name="Input 7 2" xfId="904"/>
    <cellStyle name="Input 7 2 2" xfId="985"/>
    <cellStyle name="Input 7 2 3" xfId="1287"/>
    <cellStyle name="Input 7 2 4" xfId="1458"/>
    <cellStyle name="Input 7 2 5" xfId="1606"/>
    <cellStyle name="Input 7 2 6" xfId="2394"/>
    <cellStyle name="Input 7 2 7" xfId="2717"/>
    <cellStyle name="Input 7 2 8" xfId="2877"/>
    <cellStyle name="Input 7 2 9" xfId="3038"/>
    <cellStyle name="Input 7 3" xfId="1001"/>
    <cellStyle name="Input 7 4" xfId="1165"/>
    <cellStyle name="Input 7 5" xfId="1332"/>
    <cellStyle name="Input 7 6" xfId="1506"/>
    <cellStyle name="Input 7 7" xfId="2127"/>
    <cellStyle name="Input 7 8" xfId="1659"/>
    <cellStyle name="Input 7 9" xfId="2529"/>
    <cellStyle name="Input 8" xfId="299"/>
    <cellStyle name="Input 8 10" xfId="3021"/>
    <cellStyle name="Input 8 2" xfId="856"/>
    <cellStyle name="Input 8 2 2" xfId="1021"/>
    <cellStyle name="Input 8 2 3" xfId="1239"/>
    <cellStyle name="Input 8 2 4" xfId="1026"/>
    <cellStyle name="Input 8 2 5" xfId="1558"/>
    <cellStyle name="Input 8 2 6" xfId="2346"/>
    <cellStyle name="Input 8 2 7" xfId="2669"/>
    <cellStyle name="Input 8 2 8" xfId="2840"/>
    <cellStyle name="Input 8 2 9" xfId="1660"/>
    <cellStyle name="Input 8 3" xfId="963"/>
    <cellStyle name="Input 8 4" xfId="1114"/>
    <cellStyle name="Input 8 5" xfId="1418"/>
    <cellStyle name="Input 8 6" xfId="469"/>
    <cellStyle name="Input 8 7" xfId="2203"/>
    <cellStyle name="Input 8 8" xfId="2640"/>
    <cellStyle name="Input 8 9" xfId="2136"/>
    <cellStyle name="Input 9" xfId="343"/>
    <cellStyle name="Input 9 10" xfId="3033"/>
    <cellStyle name="Input 9 2" xfId="898"/>
    <cellStyle name="Input 9 2 2" xfId="792"/>
    <cellStyle name="Input 9 2 3" xfId="1281"/>
    <cellStyle name="Input 9 2 4" xfId="532"/>
    <cellStyle name="Input 9 2 5" xfId="1600"/>
    <cellStyle name="Input 9 2 6" xfId="2388"/>
    <cellStyle name="Input 9 2 7" xfId="2711"/>
    <cellStyle name="Input 9 2 8" xfId="2488"/>
    <cellStyle name="Input 9 2 9" xfId="2945"/>
    <cellStyle name="Input 9 3" xfId="771"/>
    <cellStyle name="Input 9 4" xfId="1158"/>
    <cellStyle name="Input 9 5" xfId="1453"/>
    <cellStyle name="Input 9 6" xfId="1499"/>
    <cellStyle name="Input 9 7" xfId="2277"/>
    <cellStyle name="Input 9 8" xfId="2331"/>
    <cellStyle name="Input 9 9" xfId="2809"/>
    <cellStyle name="LineItemPrompt" xfId="18"/>
    <cellStyle name="LineItemPrompt 2" xfId="78"/>
    <cellStyle name="LineItemPrompt 3" xfId="6569"/>
    <cellStyle name="LineItemValue" xfId="19"/>
    <cellStyle name="LineItemValue 2" xfId="199"/>
    <cellStyle name="LineItemValue 3" xfId="79"/>
    <cellStyle name="LineItemValue 4" xfId="6570"/>
    <cellStyle name="Linked Cell" xfId="3082" builtinId="24" customBuiltin="1"/>
    <cellStyle name="Linked Cell 2" xfId="200"/>
    <cellStyle name="Linked Cell 2 2" xfId="6571"/>
    <cellStyle name="Linked Cell 3" xfId="6572"/>
    <cellStyle name="Neutral" xfId="3078" builtinId="28" customBuiltin="1"/>
    <cellStyle name="Neutral 2" xfId="201"/>
    <cellStyle name="Neutral 2 2" xfId="6573"/>
    <cellStyle name="Neutral 3" xfId="6574"/>
    <cellStyle name="Normal" xfId="0" builtinId="0"/>
    <cellStyle name="Normal 10" xfId="20"/>
    <cellStyle name="Normal 10 2" xfId="276"/>
    <cellStyle name="Normal 10 3" xfId="6575"/>
    <cellStyle name="Normal 11" xfId="21"/>
    <cellStyle name="Normal 11 2" xfId="277"/>
    <cellStyle name="Normal 12" xfId="281"/>
    <cellStyle name="Normal 12 2" xfId="840"/>
    <cellStyle name="Normal 12 2 2" xfId="6578"/>
    <cellStyle name="Normal 12 2 2 2" xfId="6579"/>
    <cellStyle name="Normal 12 2 2 2 2" xfId="6580"/>
    <cellStyle name="Normal 12 2 2 2 2 2" xfId="6581"/>
    <cellStyle name="Normal 12 2 2 2 2 2 2" xfId="6582"/>
    <cellStyle name="Normal 12 2 2 2 2 3" xfId="6583"/>
    <cellStyle name="Normal 12 2 2 2 3" xfId="6584"/>
    <cellStyle name="Normal 12 2 2 2 3 2" xfId="6585"/>
    <cellStyle name="Normal 12 2 2 2 4" xfId="6586"/>
    <cellStyle name="Normal 12 2 2 3" xfId="6587"/>
    <cellStyle name="Normal 12 2 2 3 2" xfId="6588"/>
    <cellStyle name="Normal 12 2 2 3 2 2" xfId="6589"/>
    <cellStyle name="Normal 12 2 2 3 3" xfId="6590"/>
    <cellStyle name="Normal 12 2 2 4" xfId="6591"/>
    <cellStyle name="Normal 12 2 2 4 2" xfId="6592"/>
    <cellStyle name="Normal 12 2 2 5" xfId="6593"/>
    <cellStyle name="Normal 12 2 3" xfId="6594"/>
    <cellStyle name="Normal 12 2 3 2" xfId="6595"/>
    <cellStyle name="Normal 12 2 3 2 2" xfId="6596"/>
    <cellStyle name="Normal 12 2 3 2 2 2" xfId="6597"/>
    <cellStyle name="Normal 12 2 3 2 3" xfId="6598"/>
    <cellStyle name="Normal 12 2 3 3" xfId="6599"/>
    <cellStyle name="Normal 12 2 3 3 2" xfId="6600"/>
    <cellStyle name="Normal 12 2 3 4" xfId="6601"/>
    <cellStyle name="Normal 12 2 4" xfId="6602"/>
    <cellStyle name="Normal 12 2 4 2" xfId="6603"/>
    <cellStyle name="Normal 12 2 4 2 2" xfId="6604"/>
    <cellStyle name="Normal 12 2 4 3" xfId="6605"/>
    <cellStyle name="Normal 12 2 5" xfId="6606"/>
    <cellStyle name="Normal 12 2 5 2" xfId="6607"/>
    <cellStyle name="Normal 12 2 6" xfId="6608"/>
    <cellStyle name="Normal 12 2 7" xfId="6577"/>
    <cellStyle name="Normal 12 3" xfId="6609"/>
    <cellStyle name="Normal 12 3 2" xfId="6610"/>
    <cellStyle name="Normal 12 3 2 2" xfId="6611"/>
    <cellStyle name="Normal 12 3 2 2 2" xfId="6612"/>
    <cellStyle name="Normal 12 3 2 2 2 2" xfId="6613"/>
    <cellStyle name="Normal 12 3 2 2 3" xfId="6614"/>
    <cellStyle name="Normal 12 3 2 3" xfId="6615"/>
    <cellStyle name="Normal 12 3 2 3 2" xfId="6616"/>
    <cellStyle name="Normal 12 3 2 4" xfId="6617"/>
    <cellStyle name="Normal 12 3 3" xfId="6618"/>
    <cellStyle name="Normal 12 3 3 2" xfId="6619"/>
    <cellStyle name="Normal 12 3 3 2 2" xfId="6620"/>
    <cellStyle name="Normal 12 3 3 3" xfId="6621"/>
    <cellStyle name="Normal 12 3 4" xfId="6622"/>
    <cellStyle name="Normal 12 3 4 2" xfId="6623"/>
    <cellStyle name="Normal 12 3 5" xfId="6624"/>
    <cellStyle name="Normal 12 4" xfId="6625"/>
    <cellStyle name="Normal 12 4 2" xfId="6626"/>
    <cellStyle name="Normal 12 4 2 2" xfId="6627"/>
    <cellStyle name="Normal 12 4 2 2 2" xfId="6628"/>
    <cellStyle name="Normal 12 4 2 3" xfId="6629"/>
    <cellStyle name="Normal 12 4 3" xfId="6630"/>
    <cellStyle name="Normal 12 4 3 2" xfId="6631"/>
    <cellStyle name="Normal 12 4 4" xfId="6632"/>
    <cellStyle name="Normal 12 5" xfId="6633"/>
    <cellStyle name="Normal 12 5 2" xfId="6634"/>
    <cellStyle name="Normal 12 5 2 2" xfId="6635"/>
    <cellStyle name="Normal 12 5 3" xfId="6636"/>
    <cellStyle name="Normal 12 6" xfId="6637"/>
    <cellStyle name="Normal 12 6 2" xfId="6638"/>
    <cellStyle name="Normal 12 7" xfId="6639"/>
    <cellStyle name="Normal 12 8" xfId="6576"/>
    <cellStyle name="Normal 13" xfId="282"/>
    <cellStyle name="Normal 13 2" xfId="841"/>
    <cellStyle name="Normal 14" xfId="286"/>
    <cellStyle name="Normal 14 2" xfId="562"/>
    <cellStyle name="Normal 14 2 2" xfId="1963"/>
    <cellStyle name="Normal 14 2 3" xfId="6641"/>
    <cellStyle name="Normal 14 3" xfId="1846"/>
    <cellStyle name="Normal 14 4" xfId="6640"/>
    <cellStyle name="Normal 15" xfId="56"/>
    <cellStyle name="Normal 15 2" xfId="392"/>
    <cellStyle name="Normal 15 2 2" xfId="942"/>
    <cellStyle name="Normal 15 2 3" xfId="2047"/>
    <cellStyle name="Normal 15 2 4" xfId="6643"/>
    <cellStyle name="Normal 15 3" xfId="639"/>
    <cellStyle name="Normal 15 4" xfId="1930"/>
    <cellStyle name="Normal 15 5" xfId="6642"/>
    <cellStyle name="Normal 16" xfId="820"/>
    <cellStyle name="Normal 16 2" xfId="6644"/>
    <cellStyle name="Normal 17" xfId="944"/>
    <cellStyle name="Normal 17 2" xfId="2050"/>
    <cellStyle name="Normal 17 2 2" xfId="6646"/>
    <cellStyle name="Normal 17 3" xfId="6645"/>
    <cellStyle name="Normal 18" xfId="1090"/>
    <cellStyle name="Normal 18 2" xfId="2053"/>
    <cellStyle name="Normal 18 2 2" xfId="6648"/>
    <cellStyle name="Normal 18 3" xfId="6647"/>
    <cellStyle name="Normal 19" xfId="1093"/>
    <cellStyle name="Normal 19 2" xfId="6649"/>
    <cellStyle name="Normal 2" xfId="22"/>
    <cellStyle name="Normal 2 18 3" xfId="8257"/>
    <cellStyle name="Normal 2 2" xfId="218"/>
    <cellStyle name="Normal 2 2 2" xfId="238"/>
    <cellStyle name="Normal 2 2 2 2" xfId="6651"/>
    <cellStyle name="Normal 2 2 3" xfId="239"/>
    <cellStyle name="Normal 2 2 4" xfId="364"/>
    <cellStyle name="Normal 2 2 4 2" xfId="620"/>
    <cellStyle name="Normal 2 2 4 2 2" xfId="2021"/>
    <cellStyle name="Normal 2 2 4 3" xfId="1903"/>
    <cellStyle name="Normal 2 2 5" xfId="3121"/>
    <cellStyle name="Normal 2 3" xfId="240"/>
    <cellStyle name="Normal 2 3 2" xfId="6652"/>
    <cellStyle name="Normal 2 4" xfId="241"/>
    <cellStyle name="Normal 2 5" xfId="80"/>
    <cellStyle name="Normal 2 5 2" xfId="352"/>
    <cellStyle name="Normal 2 5 2 2" xfId="906"/>
    <cellStyle name="Normal 2 5 2 3" xfId="2013"/>
    <cellStyle name="Normal 2 5 3" xfId="612"/>
    <cellStyle name="Normal 2 5 4" xfId="1893"/>
    <cellStyle name="Normal 2 6" xfId="6650"/>
    <cellStyle name="Normal 2 7" xfId="8272"/>
    <cellStyle name="Normal 2 7 2" xfId="8279"/>
    <cellStyle name="Normal 20" xfId="1094"/>
    <cellStyle name="Normal 20 2" xfId="2057"/>
    <cellStyle name="Normal 20 2 2" xfId="6654"/>
    <cellStyle name="Normal 20 3" xfId="6653"/>
    <cellStyle name="Normal 21" xfId="2914"/>
    <cellStyle name="Normal 21 2" xfId="6655"/>
    <cellStyle name="Normal 22" xfId="3110"/>
    <cellStyle name="Normal 22 2" xfId="6657"/>
    <cellStyle name="Normal 22 3" xfId="6656"/>
    <cellStyle name="Normal 23" xfId="3115"/>
    <cellStyle name="Normal 23 2" xfId="6659"/>
    <cellStyle name="Normal 23 3" xfId="6658"/>
    <cellStyle name="Normal 23 4" xfId="8280"/>
    <cellStyle name="Normal 24" xfId="3117"/>
    <cellStyle name="Normal 24 2" xfId="6661"/>
    <cellStyle name="Normal 24 3" xfId="6660"/>
    <cellStyle name="Normal 25" xfId="6662"/>
    <cellStyle name="Normal 25 2" xfId="6663"/>
    <cellStyle name="Normal 26" xfId="6664"/>
    <cellStyle name="Normal 26 2" xfId="6665"/>
    <cellStyle name="Normal 27" xfId="6666"/>
    <cellStyle name="Normal 27 2" xfId="6667"/>
    <cellStyle name="Normal 27 2 2" xfId="6668"/>
    <cellStyle name="Normal 27 2 2 2" xfId="6669"/>
    <cellStyle name="Normal 27 2 3" xfId="6670"/>
    <cellStyle name="Normal 27 3" xfId="6671"/>
    <cellStyle name="Normal 27 3 2" xfId="6672"/>
    <cellStyle name="Normal 27 4" xfId="6673"/>
    <cellStyle name="Normal 28" xfId="6674"/>
    <cellStyle name="Normal 28 2" xfId="6675"/>
    <cellStyle name="Normal 28 2 2" xfId="6676"/>
    <cellStyle name="Normal 28 2 2 2" xfId="6677"/>
    <cellStyle name="Normal 28 2 3" xfId="6678"/>
    <cellStyle name="Normal 28 3" xfId="6679"/>
    <cellStyle name="Normal 28 3 2" xfId="6680"/>
    <cellStyle name="Normal 28 4" xfId="6681"/>
    <cellStyle name="Normal 29" xfId="6682"/>
    <cellStyle name="Normal 29 2" xfId="6683"/>
    <cellStyle name="Normal 29 2 2" xfId="6684"/>
    <cellStyle name="Normal 29 3" xfId="6685"/>
    <cellStyle name="Normal 3" xfId="52"/>
    <cellStyle name="Normal 3 2" xfId="242"/>
    <cellStyle name="Normal 3 2 2" xfId="6687"/>
    <cellStyle name="Normal 3 2 5" xfId="8267"/>
    <cellStyle name="Normal 3 3" xfId="3159"/>
    <cellStyle name="Normal 3 4" xfId="6686"/>
    <cellStyle name="Normal 3 5" xfId="8256"/>
    <cellStyle name="Normal 30" xfId="6688"/>
    <cellStyle name="Normal 30 2" xfId="6689"/>
    <cellStyle name="Normal 31" xfId="6690"/>
    <cellStyle name="Normal 31 2" xfId="6691"/>
    <cellStyle name="Normal 31 2 2" xfId="6692"/>
    <cellStyle name="Normal 31 3" xfId="6693"/>
    <cellStyle name="Normal 32" xfId="6694"/>
    <cellStyle name="Normal 32 2" xfId="6695"/>
    <cellStyle name="Normal 33" xfId="6696"/>
    <cellStyle name="Normal 33 2" xfId="6697"/>
    <cellStyle name="Normal 34" xfId="6698"/>
    <cellStyle name="Normal 34 2" xfId="6699"/>
    <cellStyle name="Normal 35" xfId="6700"/>
    <cellStyle name="Normal 35 2" xfId="6701"/>
    <cellStyle name="Normal 36" xfId="6702"/>
    <cellStyle name="Normal 36 2" xfId="6703"/>
    <cellStyle name="Normal 37" xfId="6704"/>
    <cellStyle name="Normal 37 2" xfId="6705"/>
    <cellStyle name="Normal 38" xfId="6706"/>
    <cellStyle name="Normal 38 2" xfId="6707"/>
    <cellStyle name="Normal 38 2 2" xfId="6708"/>
    <cellStyle name="Normal 38 3" xfId="6709"/>
    <cellStyle name="Normal 39" xfId="6710"/>
    <cellStyle name="Normal 39 2" xfId="6711"/>
    <cellStyle name="Normal 39 3" xfId="6712"/>
    <cellStyle name="Normal 4" xfId="81"/>
    <cellStyle name="Normal 4 2" xfId="6714"/>
    <cellStyle name="Normal 4 2 2" xfId="6715"/>
    <cellStyle name="Normal 4 2 2 2" xfId="6716"/>
    <cellStyle name="Normal 4 2 2 2 2" xfId="6717"/>
    <cellStyle name="Normal 4 2 2 2 2 2" xfId="6718"/>
    <cellStyle name="Normal 4 2 2 2 2 2 2" xfId="6719"/>
    <cellStyle name="Normal 4 2 2 2 2 3" xfId="6720"/>
    <cellStyle name="Normal 4 2 2 2 3" xfId="6721"/>
    <cellStyle name="Normal 4 2 2 2 3 2" xfId="6722"/>
    <cellStyle name="Normal 4 2 2 2 4" xfId="6723"/>
    <cellStyle name="Normal 4 2 2 3" xfId="6724"/>
    <cellStyle name="Normal 4 2 2 3 2" xfId="6725"/>
    <cellStyle name="Normal 4 2 2 3 2 2" xfId="6726"/>
    <cellStyle name="Normal 4 2 2 3 3" xfId="6727"/>
    <cellStyle name="Normal 4 2 2 4" xfId="6728"/>
    <cellStyle name="Normal 4 2 2 4 2" xfId="6729"/>
    <cellStyle name="Normal 4 2 2 5" xfId="6730"/>
    <cellStyle name="Normal 4 2 3" xfId="6731"/>
    <cellStyle name="Normal 4 2 3 2" xfId="6732"/>
    <cellStyle name="Normal 4 2 3 2 2" xfId="6733"/>
    <cellStyle name="Normal 4 2 3 2 2 2" xfId="6734"/>
    <cellStyle name="Normal 4 2 3 2 3" xfId="6735"/>
    <cellStyle name="Normal 4 2 3 3" xfId="6736"/>
    <cellStyle name="Normal 4 2 3 3 2" xfId="6737"/>
    <cellStyle name="Normal 4 2 3 4" xfId="6738"/>
    <cellStyle name="Normal 4 2 4" xfId="6739"/>
    <cellStyle name="Normal 4 2 4 2" xfId="6740"/>
    <cellStyle name="Normal 4 2 4 2 2" xfId="6741"/>
    <cellStyle name="Normal 4 2 4 3" xfId="6742"/>
    <cellStyle name="Normal 4 2 5" xfId="6743"/>
    <cellStyle name="Normal 4 2 5 2" xfId="6744"/>
    <cellStyle name="Normal 4 2 6" xfId="6745"/>
    <cellStyle name="Normal 4 3" xfId="6746"/>
    <cellStyle name="Normal 4 3 2" xfId="6747"/>
    <cellStyle name="Normal 4 3 2 2" xfId="6748"/>
    <cellStyle name="Normal 4 3 2 2 2" xfId="6749"/>
    <cellStyle name="Normal 4 3 2 2 2 2" xfId="6750"/>
    <cellStyle name="Normal 4 3 2 2 3" xfId="6751"/>
    <cellStyle name="Normal 4 3 2 3" xfId="6752"/>
    <cellStyle name="Normal 4 3 2 3 2" xfId="6753"/>
    <cellStyle name="Normal 4 3 2 4" xfId="6754"/>
    <cellStyle name="Normal 4 3 3" xfId="6755"/>
    <cellStyle name="Normal 4 3 3 2" xfId="6756"/>
    <cellStyle name="Normal 4 3 3 2 2" xfId="6757"/>
    <cellStyle name="Normal 4 3 3 3" xfId="6758"/>
    <cellStyle name="Normal 4 3 4" xfId="6759"/>
    <cellStyle name="Normal 4 3 4 2" xfId="6760"/>
    <cellStyle name="Normal 4 3 5" xfId="6761"/>
    <cellStyle name="Normal 4 4" xfId="6762"/>
    <cellStyle name="Normal 4 4 2" xfId="6763"/>
    <cellStyle name="Normal 4 4 2 2" xfId="6764"/>
    <cellStyle name="Normal 4 4 2 2 2" xfId="6765"/>
    <cellStyle name="Normal 4 4 2 3" xfId="6766"/>
    <cellStyle name="Normal 4 4 3" xfId="6767"/>
    <cellStyle name="Normal 4 4 3 2" xfId="6768"/>
    <cellStyle name="Normal 4 4 4" xfId="6769"/>
    <cellStyle name="Normal 4 5" xfId="6770"/>
    <cellStyle name="Normal 4 5 2" xfId="6771"/>
    <cellStyle name="Normal 4 5 2 2" xfId="6772"/>
    <cellStyle name="Normal 4 5 3" xfId="6773"/>
    <cellStyle name="Normal 4 6" xfId="6774"/>
    <cellStyle name="Normal 4 6 2" xfId="6775"/>
    <cellStyle name="Normal 4 7" xfId="6776"/>
    <cellStyle name="Normal 4 8" xfId="6713"/>
    <cellStyle name="Normal 40" xfId="6777"/>
    <cellStyle name="Normal 40 2" xfId="6778"/>
    <cellStyle name="Normal 41" xfId="6779"/>
    <cellStyle name="Normal 41 2" xfId="6780"/>
    <cellStyle name="Normal 42" xfId="6781"/>
    <cellStyle name="Normal 43" xfId="6782"/>
    <cellStyle name="Normal 44" xfId="3160"/>
    <cellStyle name="Normal 45" xfId="8249"/>
    <cellStyle name="Normal 46" xfId="8258"/>
    <cellStyle name="Normal 46 2" xfId="8275"/>
    <cellStyle name="Normal 46 3" xfId="8278"/>
    <cellStyle name="Normal 47" xfId="8260"/>
    <cellStyle name="Normal 48" xfId="8264"/>
    <cellStyle name="Normal 48 2" xfId="8276"/>
    <cellStyle name="Normal 48 3" xfId="8282"/>
    <cellStyle name="Normal 49" xfId="8265"/>
    <cellStyle name="Normal 49 2" xfId="8277"/>
    <cellStyle name="Normal 49 3" xfId="8284"/>
    <cellStyle name="Normal 5" xfId="23"/>
    <cellStyle name="Normal 5 10" xfId="6783"/>
    <cellStyle name="Normal 5 10 2" xfId="6784"/>
    <cellStyle name="Normal 5 10 2 2" xfId="6785"/>
    <cellStyle name="Normal 5 10 2 2 2" xfId="6786"/>
    <cellStyle name="Normal 5 10 2 3" xfId="6787"/>
    <cellStyle name="Normal 5 10 3" xfId="6788"/>
    <cellStyle name="Normal 5 10 3 2" xfId="6789"/>
    <cellStyle name="Normal 5 10 4" xfId="6790"/>
    <cellStyle name="Normal 5 11" xfId="6791"/>
    <cellStyle name="Normal 5 11 2" xfId="6792"/>
    <cellStyle name="Normal 5 11 2 2" xfId="6793"/>
    <cellStyle name="Normal 5 11 3" xfId="6794"/>
    <cellStyle name="Normal 5 12" xfId="6795"/>
    <cellStyle name="Normal 5 12 2" xfId="6796"/>
    <cellStyle name="Normal 5 2" xfId="243"/>
    <cellStyle name="Normal 5 2 10" xfId="6797"/>
    <cellStyle name="Normal 5 2 2" xfId="6798"/>
    <cellStyle name="Normal 5 2 2 2" xfId="6799"/>
    <cellStyle name="Normal 5 2 2 2 2" xfId="6800"/>
    <cellStyle name="Normal 5 2 2 2 2 2" xfId="6801"/>
    <cellStyle name="Normal 5 2 2 2 2 2 2" xfId="6802"/>
    <cellStyle name="Normal 5 2 2 2 2 2 2 2" xfId="6803"/>
    <cellStyle name="Normal 5 2 2 2 2 2 2 2 2" xfId="6804"/>
    <cellStyle name="Normal 5 2 2 2 2 2 2 3" xfId="6805"/>
    <cellStyle name="Normal 5 2 2 2 2 2 3" xfId="6806"/>
    <cellStyle name="Normal 5 2 2 2 2 2 3 2" xfId="6807"/>
    <cellStyle name="Normal 5 2 2 2 2 2 4" xfId="6808"/>
    <cellStyle name="Normal 5 2 2 2 2 3" xfId="6809"/>
    <cellStyle name="Normal 5 2 2 2 2 3 2" xfId="6810"/>
    <cellStyle name="Normal 5 2 2 2 2 3 2 2" xfId="6811"/>
    <cellStyle name="Normal 5 2 2 2 2 3 3" xfId="6812"/>
    <cellStyle name="Normal 5 2 2 2 2 4" xfId="6813"/>
    <cellStyle name="Normal 5 2 2 2 2 4 2" xfId="6814"/>
    <cellStyle name="Normal 5 2 2 2 2 5" xfId="6815"/>
    <cellStyle name="Normal 5 2 2 2 3" xfId="6816"/>
    <cellStyle name="Normal 5 2 2 2 3 2" xfId="6817"/>
    <cellStyle name="Normal 5 2 2 2 3 2 2" xfId="6818"/>
    <cellStyle name="Normal 5 2 2 2 3 2 2 2" xfId="6819"/>
    <cellStyle name="Normal 5 2 2 2 3 2 3" xfId="6820"/>
    <cellStyle name="Normal 5 2 2 2 3 3" xfId="6821"/>
    <cellStyle name="Normal 5 2 2 2 3 3 2" xfId="6822"/>
    <cellStyle name="Normal 5 2 2 2 3 4" xfId="6823"/>
    <cellStyle name="Normal 5 2 2 2 4" xfId="6824"/>
    <cellStyle name="Normal 5 2 2 2 4 2" xfId="6825"/>
    <cellStyle name="Normal 5 2 2 2 4 2 2" xfId="6826"/>
    <cellStyle name="Normal 5 2 2 2 4 3" xfId="6827"/>
    <cellStyle name="Normal 5 2 2 2 5" xfId="6828"/>
    <cellStyle name="Normal 5 2 2 2 5 2" xfId="6829"/>
    <cellStyle name="Normal 5 2 2 2 6" xfId="6830"/>
    <cellStyle name="Normal 5 2 2 3" xfId="6831"/>
    <cellStyle name="Normal 5 2 2 3 2" xfId="6832"/>
    <cellStyle name="Normal 5 2 2 3 2 2" xfId="6833"/>
    <cellStyle name="Normal 5 2 2 3 2 2 2" xfId="6834"/>
    <cellStyle name="Normal 5 2 2 3 2 2 2 2" xfId="6835"/>
    <cellStyle name="Normal 5 2 2 3 2 2 3" xfId="6836"/>
    <cellStyle name="Normal 5 2 2 3 2 3" xfId="6837"/>
    <cellStyle name="Normal 5 2 2 3 2 3 2" xfId="6838"/>
    <cellStyle name="Normal 5 2 2 3 2 4" xfId="6839"/>
    <cellStyle name="Normal 5 2 2 3 3" xfId="6840"/>
    <cellStyle name="Normal 5 2 2 3 3 2" xfId="6841"/>
    <cellStyle name="Normal 5 2 2 3 3 2 2" xfId="6842"/>
    <cellStyle name="Normal 5 2 2 3 3 3" xfId="6843"/>
    <cellStyle name="Normal 5 2 2 3 4" xfId="6844"/>
    <cellStyle name="Normal 5 2 2 3 4 2" xfId="6845"/>
    <cellStyle name="Normal 5 2 2 3 5" xfId="6846"/>
    <cellStyle name="Normal 5 2 2 4" xfId="6847"/>
    <cellStyle name="Normal 5 2 2 4 2" xfId="6848"/>
    <cellStyle name="Normal 5 2 2 4 2 2" xfId="6849"/>
    <cellStyle name="Normal 5 2 2 4 2 2 2" xfId="6850"/>
    <cellStyle name="Normal 5 2 2 4 2 2 2 2" xfId="6851"/>
    <cellStyle name="Normal 5 2 2 4 2 2 3" xfId="6852"/>
    <cellStyle name="Normal 5 2 2 4 2 3" xfId="6853"/>
    <cellStyle name="Normal 5 2 2 4 2 3 2" xfId="6854"/>
    <cellStyle name="Normal 5 2 2 4 2 4" xfId="6855"/>
    <cellStyle name="Normal 5 2 2 4 3" xfId="6856"/>
    <cellStyle name="Normal 5 2 2 4 3 2" xfId="6857"/>
    <cellStyle name="Normal 5 2 2 4 3 2 2" xfId="6858"/>
    <cellStyle name="Normal 5 2 2 4 3 3" xfId="6859"/>
    <cellStyle name="Normal 5 2 2 4 4" xfId="6860"/>
    <cellStyle name="Normal 5 2 2 4 4 2" xfId="6861"/>
    <cellStyle name="Normal 5 2 2 4 5" xfId="6862"/>
    <cellStyle name="Normal 5 2 2 5" xfId="6863"/>
    <cellStyle name="Normal 5 2 2 5 2" xfId="6864"/>
    <cellStyle name="Normal 5 2 2 5 2 2" xfId="6865"/>
    <cellStyle name="Normal 5 2 2 5 2 2 2" xfId="6866"/>
    <cellStyle name="Normal 5 2 2 5 2 3" xfId="6867"/>
    <cellStyle name="Normal 5 2 2 5 3" xfId="6868"/>
    <cellStyle name="Normal 5 2 2 5 3 2" xfId="6869"/>
    <cellStyle name="Normal 5 2 2 5 4" xfId="6870"/>
    <cellStyle name="Normal 5 2 2 6" xfId="6871"/>
    <cellStyle name="Normal 5 2 2 6 2" xfId="6872"/>
    <cellStyle name="Normal 5 2 2 6 2 2" xfId="6873"/>
    <cellStyle name="Normal 5 2 2 6 3" xfId="6874"/>
    <cellStyle name="Normal 5 2 2 7" xfId="6875"/>
    <cellStyle name="Normal 5 2 2 7 2" xfId="6876"/>
    <cellStyle name="Normal 5 2 2 8" xfId="6877"/>
    <cellStyle name="Normal 5 2 3" xfId="6878"/>
    <cellStyle name="Normal 5 2 3 2" xfId="6879"/>
    <cellStyle name="Normal 5 2 3 2 2" xfId="6880"/>
    <cellStyle name="Normal 5 2 3 2 2 2" xfId="6881"/>
    <cellStyle name="Normal 5 2 3 2 2 2 2" xfId="6882"/>
    <cellStyle name="Normal 5 2 3 2 2 2 2 2" xfId="6883"/>
    <cellStyle name="Normal 5 2 3 2 2 2 3" xfId="6884"/>
    <cellStyle name="Normal 5 2 3 2 2 3" xfId="6885"/>
    <cellStyle name="Normal 5 2 3 2 2 3 2" xfId="6886"/>
    <cellStyle name="Normal 5 2 3 2 2 4" xfId="6887"/>
    <cellStyle name="Normal 5 2 3 2 3" xfId="6888"/>
    <cellStyle name="Normal 5 2 3 2 3 2" xfId="6889"/>
    <cellStyle name="Normal 5 2 3 2 3 2 2" xfId="6890"/>
    <cellStyle name="Normal 5 2 3 2 3 3" xfId="6891"/>
    <cellStyle name="Normal 5 2 3 2 4" xfId="6892"/>
    <cellStyle name="Normal 5 2 3 2 4 2" xfId="6893"/>
    <cellStyle name="Normal 5 2 3 2 5" xfId="6894"/>
    <cellStyle name="Normal 5 2 3 3" xfId="6895"/>
    <cellStyle name="Normal 5 2 3 3 2" xfId="6896"/>
    <cellStyle name="Normal 5 2 3 3 2 2" xfId="6897"/>
    <cellStyle name="Normal 5 2 3 3 2 2 2" xfId="6898"/>
    <cellStyle name="Normal 5 2 3 3 2 3" xfId="6899"/>
    <cellStyle name="Normal 5 2 3 3 3" xfId="6900"/>
    <cellStyle name="Normal 5 2 3 3 3 2" xfId="6901"/>
    <cellStyle name="Normal 5 2 3 3 4" xfId="6902"/>
    <cellStyle name="Normal 5 2 3 4" xfId="6903"/>
    <cellStyle name="Normal 5 2 3 4 2" xfId="6904"/>
    <cellStyle name="Normal 5 2 3 4 2 2" xfId="6905"/>
    <cellStyle name="Normal 5 2 3 4 3" xfId="6906"/>
    <cellStyle name="Normal 5 2 3 5" xfId="6907"/>
    <cellStyle name="Normal 5 2 3 5 2" xfId="6908"/>
    <cellStyle name="Normal 5 2 3 6" xfId="6909"/>
    <cellStyle name="Normal 5 2 4" xfId="6910"/>
    <cellStyle name="Normal 5 2 4 2" xfId="6911"/>
    <cellStyle name="Normal 5 2 4 2 2" xfId="6912"/>
    <cellStyle name="Normal 5 2 4 2 2 2" xfId="6913"/>
    <cellStyle name="Normal 5 2 4 2 2 2 2" xfId="6914"/>
    <cellStyle name="Normal 5 2 4 2 2 3" xfId="6915"/>
    <cellStyle name="Normal 5 2 4 2 3" xfId="6916"/>
    <cellStyle name="Normal 5 2 4 2 3 2" xfId="6917"/>
    <cellStyle name="Normal 5 2 4 2 4" xfId="6918"/>
    <cellStyle name="Normal 5 2 4 3" xfId="6919"/>
    <cellStyle name="Normal 5 2 4 3 2" xfId="6920"/>
    <cellStyle name="Normal 5 2 4 3 2 2" xfId="6921"/>
    <cellStyle name="Normal 5 2 4 3 3" xfId="6922"/>
    <cellStyle name="Normal 5 2 4 4" xfId="6923"/>
    <cellStyle name="Normal 5 2 4 4 2" xfId="6924"/>
    <cellStyle name="Normal 5 2 4 5" xfId="6925"/>
    <cellStyle name="Normal 5 2 5" xfId="6926"/>
    <cellStyle name="Normal 5 2 5 2" xfId="6927"/>
    <cellStyle name="Normal 5 2 5 2 2" xfId="6928"/>
    <cellStyle name="Normal 5 2 5 2 2 2" xfId="6929"/>
    <cellStyle name="Normal 5 2 5 2 2 2 2" xfId="6930"/>
    <cellStyle name="Normal 5 2 5 2 2 3" xfId="6931"/>
    <cellStyle name="Normal 5 2 5 2 3" xfId="6932"/>
    <cellStyle name="Normal 5 2 5 2 3 2" xfId="6933"/>
    <cellStyle name="Normal 5 2 5 2 4" xfId="6934"/>
    <cellStyle name="Normal 5 2 5 3" xfId="6935"/>
    <cellStyle name="Normal 5 2 5 3 2" xfId="6936"/>
    <cellStyle name="Normal 5 2 5 3 2 2" xfId="6937"/>
    <cellStyle name="Normal 5 2 5 3 3" xfId="6938"/>
    <cellStyle name="Normal 5 2 5 4" xfId="6939"/>
    <cellStyle name="Normal 5 2 5 4 2" xfId="6940"/>
    <cellStyle name="Normal 5 2 5 5" xfId="6941"/>
    <cellStyle name="Normal 5 2 6" xfId="6942"/>
    <cellStyle name="Normal 5 2 6 2" xfId="6943"/>
    <cellStyle name="Normal 5 2 6 2 2" xfId="6944"/>
    <cellStyle name="Normal 5 2 6 2 2 2" xfId="6945"/>
    <cellStyle name="Normal 5 2 6 2 3" xfId="6946"/>
    <cellStyle name="Normal 5 2 6 3" xfId="6947"/>
    <cellStyle name="Normal 5 2 6 3 2" xfId="6948"/>
    <cellStyle name="Normal 5 2 6 4" xfId="6949"/>
    <cellStyle name="Normal 5 2 7" xfId="6950"/>
    <cellStyle name="Normal 5 2 7 2" xfId="6951"/>
    <cellStyle name="Normal 5 2 7 2 2" xfId="6952"/>
    <cellStyle name="Normal 5 2 7 3" xfId="6953"/>
    <cellStyle name="Normal 5 2 8" xfId="6954"/>
    <cellStyle name="Normal 5 2 8 2" xfId="6955"/>
    <cellStyle name="Normal 5 2 9" xfId="6956"/>
    <cellStyle name="Normal 5 3" xfId="244"/>
    <cellStyle name="Normal 5 3 10" xfId="6957"/>
    <cellStyle name="Normal 5 3 2" xfId="6958"/>
    <cellStyle name="Normal 5 3 2 2" xfId="6959"/>
    <cellStyle name="Normal 5 3 2 2 2" xfId="6960"/>
    <cellStyle name="Normal 5 3 2 2 2 2" xfId="6961"/>
    <cellStyle name="Normal 5 3 2 2 2 2 2" xfId="6962"/>
    <cellStyle name="Normal 5 3 2 2 2 2 2 2" xfId="6963"/>
    <cellStyle name="Normal 5 3 2 2 2 2 2 2 2" xfId="6964"/>
    <cellStyle name="Normal 5 3 2 2 2 2 2 3" xfId="6965"/>
    <cellStyle name="Normal 5 3 2 2 2 2 3" xfId="6966"/>
    <cellStyle name="Normal 5 3 2 2 2 2 3 2" xfId="6967"/>
    <cellStyle name="Normal 5 3 2 2 2 2 4" xfId="6968"/>
    <cellStyle name="Normal 5 3 2 2 2 3" xfId="6969"/>
    <cellStyle name="Normal 5 3 2 2 2 3 2" xfId="6970"/>
    <cellStyle name="Normal 5 3 2 2 2 3 2 2" xfId="6971"/>
    <cellStyle name="Normal 5 3 2 2 2 3 3" xfId="6972"/>
    <cellStyle name="Normal 5 3 2 2 2 4" xfId="6973"/>
    <cellStyle name="Normal 5 3 2 2 2 4 2" xfId="6974"/>
    <cellStyle name="Normal 5 3 2 2 2 5" xfId="6975"/>
    <cellStyle name="Normal 5 3 2 2 3" xfId="6976"/>
    <cellStyle name="Normal 5 3 2 2 3 2" xfId="6977"/>
    <cellStyle name="Normal 5 3 2 2 3 2 2" xfId="6978"/>
    <cellStyle name="Normal 5 3 2 2 3 2 2 2" xfId="6979"/>
    <cellStyle name="Normal 5 3 2 2 3 2 3" xfId="6980"/>
    <cellStyle name="Normal 5 3 2 2 3 3" xfId="6981"/>
    <cellStyle name="Normal 5 3 2 2 3 3 2" xfId="6982"/>
    <cellStyle name="Normal 5 3 2 2 3 4" xfId="6983"/>
    <cellStyle name="Normal 5 3 2 2 4" xfId="6984"/>
    <cellStyle name="Normal 5 3 2 2 4 2" xfId="6985"/>
    <cellStyle name="Normal 5 3 2 2 4 2 2" xfId="6986"/>
    <cellStyle name="Normal 5 3 2 2 4 3" xfId="6987"/>
    <cellStyle name="Normal 5 3 2 2 5" xfId="6988"/>
    <cellStyle name="Normal 5 3 2 2 5 2" xfId="6989"/>
    <cellStyle name="Normal 5 3 2 2 6" xfId="6990"/>
    <cellStyle name="Normal 5 3 2 3" xfId="6991"/>
    <cellStyle name="Normal 5 3 2 3 2" xfId="6992"/>
    <cellStyle name="Normal 5 3 2 3 2 2" xfId="6993"/>
    <cellStyle name="Normal 5 3 2 3 2 2 2" xfId="6994"/>
    <cellStyle name="Normal 5 3 2 3 2 2 2 2" xfId="6995"/>
    <cellStyle name="Normal 5 3 2 3 2 2 3" xfId="6996"/>
    <cellStyle name="Normal 5 3 2 3 2 3" xfId="6997"/>
    <cellStyle name="Normal 5 3 2 3 2 3 2" xfId="6998"/>
    <cellStyle name="Normal 5 3 2 3 2 4" xfId="6999"/>
    <cellStyle name="Normal 5 3 2 3 3" xfId="7000"/>
    <cellStyle name="Normal 5 3 2 3 3 2" xfId="7001"/>
    <cellStyle name="Normal 5 3 2 3 3 2 2" xfId="7002"/>
    <cellStyle name="Normal 5 3 2 3 3 3" xfId="7003"/>
    <cellStyle name="Normal 5 3 2 3 4" xfId="7004"/>
    <cellStyle name="Normal 5 3 2 3 4 2" xfId="7005"/>
    <cellStyle name="Normal 5 3 2 3 5" xfId="7006"/>
    <cellStyle name="Normal 5 3 2 4" xfId="7007"/>
    <cellStyle name="Normal 5 3 2 4 2" xfId="7008"/>
    <cellStyle name="Normal 5 3 2 4 2 2" xfId="7009"/>
    <cellStyle name="Normal 5 3 2 4 2 2 2" xfId="7010"/>
    <cellStyle name="Normal 5 3 2 4 2 2 2 2" xfId="7011"/>
    <cellStyle name="Normal 5 3 2 4 2 2 3" xfId="7012"/>
    <cellStyle name="Normal 5 3 2 4 2 3" xfId="7013"/>
    <cellStyle name="Normal 5 3 2 4 2 3 2" xfId="7014"/>
    <cellStyle name="Normal 5 3 2 4 2 4" xfId="7015"/>
    <cellStyle name="Normal 5 3 2 4 3" xfId="7016"/>
    <cellStyle name="Normal 5 3 2 4 3 2" xfId="7017"/>
    <cellStyle name="Normal 5 3 2 4 3 2 2" xfId="7018"/>
    <cellStyle name="Normal 5 3 2 4 3 3" xfId="7019"/>
    <cellStyle name="Normal 5 3 2 4 4" xfId="7020"/>
    <cellStyle name="Normal 5 3 2 4 4 2" xfId="7021"/>
    <cellStyle name="Normal 5 3 2 4 5" xfId="7022"/>
    <cellStyle name="Normal 5 3 2 5" xfId="7023"/>
    <cellStyle name="Normal 5 3 2 5 2" xfId="7024"/>
    <cellStyle name="Normal 5 3 2 5 2 2" xfId="7025"/>
    <cellStyle name="Normal 5 3 2 5 2 2 2" xfId="7026"/>
    <cellStyle name="Normal 5 3 2 5 2 3" xfId="7027"/>
    <cellStyle name="Normal 5 3 2 5 3" xfId="7028"/>
    <cellStyle name="Normal 5 3 2 5 3 2" xfId="7029"/>
    <cellStyle name="Normal 5 3 2 5 4" xfId="7030"/>
    <cellStyle name="Normal 5 3 2 6" xfId="7031"/>
    <cellStyle name="Normal 5 3 2 6 2" xfId="7032"/>
    <cellStyle name="Normal 5 3 2 6 2 2" xfId="7033"/>
    <cellStyle name="Normal 5 3 2 6 3" xfId="7034"/>
    <cellStyle name="Normal 5 3 2 7" xfId="7035"/>
    <cellStyle name="Normal 5 3 2 7 2" xfId="7036"/>
    <cellStyle name="Normal 5 3 2 8" xfId="7037"/>
    <cellStyle name="Normal 5 3 3" xfId="7038"/>
    <cellStyle name="Normal 5 3 3 2" xfId="7039"/>
    <cellStyle name="Normal 5 3 3 2 2" xfId="7040"/>
    <cellStyle name="Normal 5 3 3 2 2 2" xfId="7041"/>
    <cellStyle name="Normal 5 3 3 2 2 2 2" xfId="7042"/>
    <cellStyle name="Normal 5 3 3 2 2 2 2 2" xfId="7043"/>
    <cellStyle name="Normal 5 3 3 2 2 2 3" xfId="7044"/>
    <cellStyle name="Normal 5 3 3 2 2 3" xfId="7045"/>
    <cellStyle name="Normal 5 3 3 2 2 3 2" xfId="7046"/>
    <cellStyle name="Normal 5 3 3 2 2 4" xfId="7047"/>
    <cellStyle name="Normal 5 3 3 2 3" xfId="7048"/>
    <cellStyle name="Normal 5 3 3 2 3 2" xfId="7049"/>
    <cellStyle name="Normal 5 3 3 2 3 2 2" xfId="7050"/>
    <cellStyle name="Normal 5 3 3 2 3 3" xfId="7051"/>
    <cellStyle name="Normal 5 3 3 2 4" xfId="7052"/>
    <cellStyle name="Normal 5 3 3 2 4 2" xfId="7053"/>
    <cellStyle name="Normal 5 3 3 2 5" xfId="7054"/>
    <cellStyle name="Normal 5 3 3 3" xfId="7055"/>
    <cellStyle name="Normal 5 3 3 3 2" xfId="7056"/>
    <cellStyle name="Normal 5 3 3 3 2 2" xfId="7057"/>
    <cellStyle name="Normal 5 3 3 3 2 2 2" xfId="7058"/>
    <cellStyle name="Normal 5 3 3 3 2 3" xfId="7059"/>
    <cellStyle name="Normal 5 3 3 3 3" xfId="7060"/>
    <cellStyle name="Normal 5 3 3 3 3 2" xfId="7061"/>
    <cellStyle name="Normal 5 3 3 3 4" xfId="7062"/>
    <cellStyle name="Normal 5 3 3 4" xfId="7063"/>
    <cellStyle name="Normal 5 3 3 4 2" xfId="7064"/>
    <cellStyle name="Normal 5 3 3 4 2 2" xfId="7065"/>
    <cellStyle name="Normal 5 3 3 4 3" xfId="7066"/>
    <cellStyle name="Normal 5 3 3 5" xfId="7067"/>
    <cellStyle name="Normal 5 3 3 5 2" xfId="7068"/>
    <cellStyle name="Normal 5 3 3 6" xfId="7069"/>
    <cellStyle name="Normal 5 3 4" xfId="7070"/>
    <cellStyle name="Normal 5 3 4 2" xfId="7071"/>
    <cellStyle name="Normal 5 3 4 2 2" xfId="7072"/>
    <cellStyle name="Normal 5 3 4 2 2 2" xfId="7073"/>
    <cellStyle name="Normal 5 3 4 2 2 2 2" xfId="7074"/>
    <cellStyle name="Normal 5 3 4 2 2 3" xfId="7075"/>
    <cellStyle name="Normal 5 3 4 2 3" xfId="7076"/>
    <cellStyle name="Normal 5 3 4 2 3 2" xfId="7077"/>
    <cellStyle name="Normal 5 3 4 2 4" xfId="7078"/>
    <cellStyle name="Normal 5 3 4 3" xfId="7079"/>
    <cellStyle name="Normal 5 3 4 3 2" xfId="7080"/>
    <cellStyle name="Normal 5 3 4 3 2 2" xfId="7081"/>
    <cellStyle name="Normal 5 3 4 3 3" xfId="7082"/>
    <cellStyle name="Normal 5 3 4 4" xfId="7083"/>
    <cellStyle name="Normal 5 3 4 4 2" xfId="7084"/>
    <cellStyle name="Normal 5 3 4 5" xfId="7085"/>
    <cellStyle name="Normal 5 3 5" xfId="7086"/>
    <cellStyle name="Normal 5 3 5 2" xfId="7087"/>
    <cellStyle name="Normal 5 3 5 2 2" xfId="7088"/>
    <cellStyle name="Normal 5 3 5 2 2 2" xfId="7089"/>
    <cellStyle name="Normal 5 3 5 2 2 2 2" xfId="7090"/>
    <cellStyle name="Normal 5 3 5 2 2 3" xfId="7091"/>
    <cellStyle name="Normal 5 3 5 2 3" xfId="7092"/>
    <cellStyle name="Normal 5 3 5 2 3 2" xfId="7093"/>
    <cellStyle name="Normal 5 3 5 2 4" xfId="7094"/>
    <cellStyle name="Normal 5 3 5 3" xfId="7095"/>
    <cellStyle name="Normal 5 3 5 3 2" xfId="7096"/>
    <cellStyle name="Normal 5 3 5 3 2 2" xfId="7097"/>
    <cellStyle name="Normal 5 3 5 3 3" xfId="7098"/>
    <cellStyle name="Normal 5 3 5 4" xfId="7099"/>
    <cellStyle name="Normal 5 3 5 4 2" xfId="7100"/>
    <cellStyle name="Normal 5 3 5 5" xfId="7101"/>
    <cellStyle name="Normal 5 3 6" xfId="7102"/>
    <cellStyle name="Normal 5 3 6 2" xfId="7103"/>
    <cellStyle name="Normal 5 3 6 2 2" xfId="7104"/>
    <cellStyle name="Normal 5 3 6 2 2 2" xfId="7105"/>
    <cellStyle name="Normal 5 3 6 2 3" xfId="7106"/>
    <cellStyle name="Normal 5 3 6 3" xfId="7107"/>
    <cellStyle name="Normal 5 3 6 3 2" xfId="7108"/>
    <cellStyle name="Normal 5 3 6 4" xfId="7109"/>
    <cellStyle name="Normal 5 3 7" xfId="7110"/>
    <cellStyle name="Normal 5 3 7 2" xfId="7111"/>
    <cellStyle name="Normal 5 3 7 2 2" xfId="7112"/>
    <cellStyle name="Normal 5 3 7 3" xfId="7113"/>
    <cellStyle name="Normal 5 3 8" xfId="7114"/>
    <cellStyle name="Normal 5 3 8 2" xfId="7115"/>
    <cellStyle name="Normal 5 3 9" xfId="7116"/>
    <cellStyle name="Normal 5 4" xfId="82"/>
    <cellStyle name="Normal 5 4 10" xfId="7117"/>
    <cellStyle name="Normal 5 4 2" xfId="7118"/>
    <cellStyle name="Normal 5 4 2 2" xfId="7119"/>
    <cellStyle name="Normal 5 4 2 2 2" xfId="7120"/>
    <cellStyle name="Normal 5 4 2 2 2 2" xfId="7121"/>
    <cellStyle name="Normal 5 4 2 2 2 2 2" xfId="7122"/>
    <cellStyle name="Normal 5 4 2 2 2 2 2 2" xfId="7123"/>
    <cellStyle name="Normal 5 4 2 2 2 2 3" xfId="7124"/>
    <cellStyle name="Normal 5 4 2 2 2 3" xfId="7125"/>
    <cellStyle name="Normal 5 4 2 2 2 3 2" xfId="7126"/>
    <cellStyle name="Normal 5 4 2 2 2 4" xfId="7127"/>
    <cellStyle name="Normal 5 4 2 2 3" xfId="7128"/>
    <cellStyle name="Normal 5 4 2 2 3 2" xfId="7129"/>
    <cellStyle name="Normal 5 4 2 2 3 2 2" xfId="7130"/>
    <cellStyle name="Normal 5 4 2 2 3 3" xfId="7131"/>
    <cellStyle name="Normal 5 4 2 2 4" xfId="7132"/>
    <cellStyle name="Normal 5 4 2 2 4 2" xfId="7133"/>
    <cellStyle name="Normal 5 4 2 2 5" xfId="7134"/>
    <cellStyle name="Normal 5 4 2 3" xfId="7135"/>
    <cellStyle name="Normal 5 4 2 3 2" xfId="7136"/>
    <cellStyle name="Normal 5 4 2 3 2 2" xfId="7137"/>
    <cellStyle name="Normal 5 4 2 3 2 2 2" xfId="7138"/>
    <cellStyle name="Normal 5 4 2 3 2 2 2 2" xfId="7139"/>
    <cellStyle name="Normal 5 4 2 3 2 2 3" xfId="7140"/>
    <cellStyle name="Normal 5 4 2 3 2 3" xfId="7141"/>
    <cellStyle name="Normal 5 4 2 3 2 3 2" xfId="7142"/>
    <cellStyle name="Normal 5 4 2 3 2 4" xfId="7143"/>
    <cellStyle name="Normal 5 4 2 3 3" xfId="7144"/>
    <cellStyle name="Normal 5 4 2 3 3 2" xfId="7145"/>
    <cellStyle name="Normal 5 4 2 3 3 2 2" xfId="7146"/>
    <cellStyle name="Normal 5 4 2 3 3 3" xfId="7147"/>
    <cellStyle name="Normal 5 4 2 3 4" xfId="7148"/>
    <cellStyle name="Normal 5 4 2 3 4 2" xfId="7149"/>
    <cellStyle name="Normal 5 4 2 3 5" xfId="7150"/>
    <cellStyle name="Normal 5 4 2 4" xfId="7151"/>
    <cellStyle name="Normal 5 4 2 4 2" xfId="7152"/>
    <cellStyle name="Normal 5 4 2 4 2 2" xfId="7153"/>
    <cellStyle name="Normal 5 4 2 4 2 2 2" xfId="7154"/>
    <cellStyle name="Normal 5 4 2 4 2 3" xfId="7155"/>
    <cellStyle name="Normal 5 4 2 4 3" xfId="7156"/>
    <cellStyle name="Normal 5 4 2 4 3 2" xfId="7157"/>
    <cellStyle name="Normal 5 4 2 4 4" xfId="7158"/>
    <cellStyle name="Normal 5 4 2 5" xfId="7159"/>
    <cellStyle name="Normal 5 4 2 5 2" xfId="7160"/>
    <cellStyle name="Normal 5 4 2 5 2 2" xfId="7161"/>
    <cellStyle name="Normal 5 4 2 5 3" xfId="7162"/>
    <cellStyle name="Normal 5 4 2 6" xfId="7163"/>
    <cellStyle name="Normal 5 4 2 6 2" xfId="7164"/>
    <cellStyle name="Normal 5 4 2 7" xfId="7165"/>
    <cellStyle name="Normal 5 4 3" xfId="7166"/>
    <cellStyle name="Normal 5 4 3 2" xfId="7167"/>
    <cellStyle name="Normal 5 4 3 2 2" xfId="7168"/>
    <cellStyle name="Normal 5 4 3 2 2 2" xfId="7169"/>
    <cellStyle name="Normal 5 4 3 2 2 2 2" xfId="7170"/>
    <cellStyle name="Normal 5 4 3 2 2 2 2 2" xfId="7171"/>
    <cellStyle name="Normal 5 4 3 2 2 2 3" xfId="7172"/>
    <cellStyle name="Normal 5 4 3 2 2 3" xfId="7173"/>
    <cellStyle name="Normal 5 4 3 2 2 3 2" xfId="7174"/>
    <cellStyle name="Normal 5 4 3 2 2 4" xfId="7175"/>
    <cellStyle name="Normal 5 4 3 2 3" xfId="7176"/>
    <cellStyle name="Normal 5 4 3 2 3 2" xfId="7177"/>
    <cellStyle name="Normal 5 4 3 2 3 2 2" xfId="7178"/>
    <cellStyle name="Normal 5 4 3 2 3 3" xfId="7179"/>
    <cellStyle name="Normal 5 4 3 2 4" xfId="7180"/>
    <cellStyle name="Normal 5 4 3 2 4 2" xfId="7181"/>
    <cellStyle name="Normal 5 4 3 2 5" xfId="7182"/>
    <cellStyle name="Normal 5 4 3 3" xfId="7183"/>
    <cellStyle name="Normal 5 4 3 3 2" xfId="7184"/>
    <cellStyle name="Normal 5 4 3 3 2 2" xfId="7185"/>
    <cellStyle name="Normal 5 4 3 3 2 2 2" xfId="7186"/>
    <cellStyle name="Normal 5 4 3 3 2 3" xfId="7187"/>
    <cellStyle name="Normal 5 4 3 3 3" xfId="7188"/>
    <cellStyle name="Normal 5 4 3 3 3 2" xfId="7189"/>
    <cellStyle name="Normal 5 4 3 3 4" xfId="7190"/>
    <cellStyle name="Normal 5 4 3 4" xfId="7191"/>
    <cellStyle name="Normal 5 4 3 4 2" xfId="7192"/>
    <cellStyle name="Normal 5 4 3 4 2 2" xfId="7193"/>
    <cellStyle name="Normal 5 4 3 4 3" xfId="7194"/>
    <cellStyle name="Normal 5 4 3 5" xfId="7195"/>
    <cellStyle name="Normal 5 4 3 5 2" xfId="7196"/>
    <cellStyle name="Normal 5 4 3 6" xfId="7197"/>
    <cellStyle name="Normal 5 4 4" xfId="7198"/>
    <cellStyle name="Normal 5 4 4 2" xfId="7199"/>
    <cellStyle name="Normal 5 4 4 2 2" xfId="7200"/>
    <cellStyle name="Normal 5 4 4 2 2 2" xfId="7201"/>
    <cellStyle name="Normal 5 4 4 2 2 2 2" xfId="7202"/>
    <cellStyle name="Normal 5 4 4 2 2 3" xfId="7203"/>
    <cellStyle name="Normal 5 4 4 2 3" xfId="7204"/>
    <cellStyle name="Normal 5 4 4 2 3 2" xfId="7205"/>
    <cellStyle name="Normal 5 4 4 2 4" xfId="7206"/>
    <cellStyle name="Normal 5 4 4 3" xfId="7207"/>
    <cellStyle name="Normal 5 4 4 3 2" xfId="7208"/>
    <cellStyle name="Normal 5 4 4 3 2 2" xfId="7209"/>
    <cellStyle name="Normal 5 4 4 3 3" xfId="7210"/>
    <cellStyle name="Normal 5 4 4 4" xfId="7211"/>
    <cellStyle name="Normal 5 4 4 4 2" xfId="7212"/>
    <cellStyle name="Normal 5 4 4 5" xfId="7213"/>
    <cellStyle name="Normal 5 4 5" xfId="7214"/>
    <cellStyle name="Normal 5 4 5 2" xfId="7215"/>
    <cellStyle name="Normal 5 4 5 2 2" xfId="7216"/>
    <cellStyle name="Normal 5 4 5 2 2 2" xfId="7217"/>
    <cellStyle name="Normal 5 4 5 2 2 2 2" xfId="7218"/>
    <cellStyle name="Normal 5 4 5 2 2 3" xfId="7219"/>
    <cellStyle name="Normal 5 4 5 2 3" xfId="7220"/>
    <cellStyle name="Normal 5 4 5 2 3 2" xfId="7221"/>
    <cellStyle name="Normal 5 4 5 2 4" xfId="7222"/>
    <cellStyle name="Normal 5 4 5 3" xfId="7223"/>
    <cellStyle name="Normal 5 4 5 3 2" xfId="7224"/>
    <cellStyle name="Normal 5 4 5 3 2 2" xfId="7225"/>
    <cellStyle name="Normal 5 4 5 3 3" xfId="7226"/>
    <cellStyle name="Normal 5 4 5 4" xfId="7227"/>
    <cellStyle name="Normal 5 4 5 4 2" xfId="7228"/>
    <cellStyle name="Normal 5 4 5 5" xfId="7229"/>
    <cellStyle name="Normal 5 4 6" xfId="7230"/>
    <cellStyle name="Normal 5 4 6 2" xfId="7231"/>
    <cellStyle name="Normal 5 4 6 2 2" xfId="7232"/>
    <cellStyle name="Normal 5 4 6 2 2 2" xfId="7233"/>
    <cellStyle name="Normal 5 4 6 2 3" xfId="7234"/>
    <cellStyle name="Normal 5 4 6 3" xfId="7235"/>
    <cellStyle name="Normal 5 4 6 3 2" xfId="7236"/>
    <cellStyle name="Normal 5 4 6 4" xfId="7237"/>
    <cellStyle name="Normal 5 4 7" xfId="7238"/>
    <cellStyle name="Normal 5 4 7 2" xfId="7239"/>
    <cellStyle name="Normal 5 4 7 2 2" xfId="7240"/>
    <cellStyle name="Normal 5 4 7 3" xfId="7241"/>
    <cellStyle name="Normal 5 4 8" xfId="7242"/>
    <cellStyle name="Normal 5 4 8 2" xfId="7243"/>
    <cellStyle name="Normal 5 4 9" xfId="7244"/>
    <cellStyle name="Normal 5 5" xfId="7245"/>
    <cellStyle name="Normal 5 5 2" xfId="7246"/>
    <cellStyle name="Normal 5 5 2 2" xfId="7247"/>
    <cellStyle name="Normal 5 5 2 2 2" xfId="7248"/>
    <cellStyle name="Normal 5 5 2 2 2 2" xfId="7249"/>
    <cellStyle name="Normal 5 5 2 2 2 2 2" xfId="7250"/>
    <cellStyle name="Normal 5 5 2 2 2 3" xfId="7251"/>
    <cellStyle name="Normal 5 5 2 2 3" xfId="7252"/>
    <cellStyle name="Normal 5 5 2 2 3 2" xfId="7253"/>
    <cellStyle name="Normal 5 5 2 2 4" xfId="7254"/>
    <cellStyle name="Normal 5 5 2 3" xfId="7255"/>
    <cellStyle name="Normal 5 5 2 3 2" xfId="7256"/>
    <cellStyle name="Normal 5 5 2 3 2 2" xfId="7257"/>
    <cellStyle name="Normal 5 5 2 3 3" xfId="7258"/>
    <cellStyle name="Normal 5 5 2 4" xfId="7259"/>
    <cellStyle name="Normal 5 5 2 4 2" xfId="7260"/>
    <cellStyle name="Normal 5 5 2 5" xfId="7261"/>
    <cellStyle name="Normal 5 5 3" xfId="7262"/>
    <cellStyle name="Normal 5 5 3 2" xfId="7263"/>
    <cellStyle name="Normal 5 5 3 2 2" xfId="7264"/>
    <cellStyle name="Normal 5 5 3 2 2 2" xfId="7265"/>
    <cellStyle name="Normal 5 5 3 2 2 2 2" xfId="7266"/>
    <cellStyle name="Normal 5 5 3 2 2 3" xfId="7267"/>
    <cellStyle name="Normal 5 5 3 2 3" xfId="7268"/>
    <cellStyle name="Normal 5 5 3 2 3 2" xfId="7269"/>
    <cellStyle name="Normal 5 5 3 2 4" xfId="7270"/>
    <cellStyle name="Normal 5 5 3 3" xfId="7271"/>
    <cellStyle name="Normal 5 5 3 3 2" xfId="7272"/>
    <cellStyle name="Normal 5 5 3 3 2 2" xfId="7273"/>
    <cellStyle name="Normal 5 5 3 3 3" xfId="7274"/>
    <cellStyle name="Normal 5 5 3 4" xfId="7275"/>
    <cellStyle name="Normal 5 5 3 4 2" xfId="7276"/>
    <cellStyle name="Normal 5 5 3 5" xfId="7277"/>
    <cellStyle name="Normal 5 5 4" xfId="7278"/>
    <cellStyle name="Normal 5 5 4 2" xfId="7279"/>
    <cellStyle name="Normal 5 5 4 2 2" xfId="7280"/>
    <cellStyle name="Normal 5 5 4 2 2 2" xfId="7281"/>
    <cellStyle name="Normal 5 5 4 2 3" xfId="7282"/>
    <cellStyle name="Normal 5 5 4 3" xfId="7283"/>
    <cellStyle name="Normal 5 5 4 3 2" xfId="7284"/>
    <cellStyle name="Normal 5 5 4 4" xfId="7285"/>
    <cellStyle name="Normal 5 5 5" xfId="7286"/>
    <cellStyle name="Normal 5 5 5 2" xfId="7287"/>
    <cellStyle name="Normal 5 5 5 2 2" xfId="7288"/>
    <cellStyle name="Normal 5 5 5 3" xfId="7289"/>
    <cellStyle name="Normal 5 5 6" xfId="7290"/>
    <cellStyle name="Normal 5 5 6 2" xfId="7291"/>
    <cellStyle name="Normal 5 5 7" xfId="7292"/>
    <cellStyle name="Normal 5 6" xfId="7293"/>
    <cellStyle name="Normal 5 6 2" xfId="7294"/>
    <cellStyle name="Normal 5 6 2 2" xfId="7295"/>
    <cellStyle name="Normal 5 6 2 2 2" xfId="7296"/>
    <cellStyle name="Normal 5 6 2 2 2 2" xfId="7297"/>
    <cellStyle name="Normal 5 6 2 2 2 2 2" xfId="7298"/>
    <cellStyle name="Normal 5 6 2 2 2 3" xfId="7299"/>
    <cellStyle name="Normal 5 6 2 2 3" xfId="7300"/>
    <cellStyle name="Normal 5 6 2 2 3 2" xfId="7301"/>
    <cellStyle name="Normal 5 6 2 2 4" xfId="7302"/>
    <cellStyle name="Normal 5 6 2 3" xfId="7303"/>
    <cellStyle name="Normal 5 6 2 3 2" xfId="7304"/>
    <cellStyle name="Normal 5 6 2 3 2 2" xfId="7305"/>
    <cellStyle name="Normal 5 6 2 3 3" xfId="7306"/>
    <cellStyle name="Normal 5 6 2 4" xfId="7307"/>
    <cellStyle name="Normal 5 6 2 4 2" xfId="7308"/>
    <cellStyle name="Normal 5 6 2 5" xfId="7309"/>
    <cellStyle name="Normal 5 6 3" xfId="7310"/>
    <cellStyle name="Normal 5 6 3 2" xfId="7311"/>
    <cellStyle name="Normal 5 6 3 2 2" xfId="7312"/>
    <cellStyle name="Normal 5 6 3 2 2 2" xfId="7313"/>
    <cellStyle name="Normal 5 6 3 2 3" xfId="7314"/>
    <cellStyle name="Normal 5 6 3 3" xfId="7315"/>
    <cellStyle name="Normal 5 6 3 3 2" xfId="7316"/>
    <cellStyle name="Normal 5 6 3 4" xfId="7317"/>
    <cellStyle name="Normal 5 6 4" xfId="7318"/>
    <cellStyle name="Normal 5 6 4 2" xfId="7319"/>
    <cellStyle name="Normal 5 6 4 2 2" xfId="7320"/>
    <cellStyle name="Normal 5 6 4 3" xfId="7321"/>
    <cellStyle name="Normal 5 6 5" xfId="7322"/>
    <cellStyle name="Normal 5 6 5 2" xfId="7323"/>
    <cellStyle name="Normal 5 6 6" xfId="7324"/>
    <cellStyle name="Normal 5 7" xfId="7325"/>
    <cellStyle name="Normal 5 7 2" xfId="7326"/>
    <cellStyle name="Normal 5 7 2 2" xfId="7327"/>
    <cellStyle name="Normal 5 7 2 2 2" xfId="7328"/>
    <cellStyle name="Normal 5 7 2 2 2 2" xfId="7329"/>
    <cellStyle name="Normal 5 7 2 2 3" xfId="7330"/>
    <cellStyle name="Normal 5 7 2 3" xfId="7331"/>
    <cellStyle name="Normal 5 7 2 3 2" xfId="7332"/>
    <cellStyle name="Normal 5 7 2 4" xfId="7333"/>
    <cellStyle name="Normal 5 7 3" xfId="7334"/>
    <cellStyle name="Normal 5 7 3 2" xfId="7335"/>
    <cellStyle name="Normal 5 7 3 2 2" xfId="7336"/>
    <cellStyle name="Normal 5 7 3 3" xfId="7337"/>
    <cellStyle name="Normal 5 7 4" xfId="7338"/>
    <cellStyle name="Normal 5 7 4 2" xfId="7339"/>
    <cellStyle name="Normal 5 7 5" xfId="7340"/>
    <cellStyle name="Normal 5 8" xfId="7341"/>
    <cellStyle name="Normal 5 8 2" xfId="7342"/>
    <cellStyle name="Normal 5 8 2 2" xfId="7343"/>
    <cellStyle name="Normal 5 8 2 2 2" xfId="7344"/>
    <cellStyle name="Normal 5 8 2 2 2 2" xfId="7345"/>
    <cellStyle name="Normal 5 8 2 2 3" xfId="7346"/>
    <cellStyle name="Normal 5 8 2 3" xfId="7347"/>
    <cellStyle name="Normal 5 8 2 3 2" xfId="7348"/>
    <cellStyle name="Normal 5 8 2 4" xfId="7349"/>
    <cellStyle name="Normal 5 8 3" xfId="7350"/>
    <cellStyle name="Normal 5 8 3 2" xfId="7351"/>
    <cellStyle name="Normal 5 8 3 2 2" xfId="7352"/>
    <cellStyle name="Normal 5 8 3 3" xfId="7353"/>
    <cellStyle name="Normal 5 8 4" xfId="7354"/>
    <cellStyle name="Normal 5 8 4 2" xfId="7355"/>
    <cellStyle name="Normal 5 8 5" xfId="7356"/>
    <cellStyle name="Normal 5 9" xfId="7357"/>
    <cellStyle name="Normal 5 9 2" xfId="7358"/>
    <cellStyle name="Normal 5 9 2 2" xfId="7359"/>
    <cellStyle name="Normal 5 9 2 2 2" xfId="7360"/>
    <cellStyle name="Normal 5 9 2 3" xfId="7361"/>
    <cellStyle name="Normal 5 9 3" xfId="7362"/>
    <cellStyle name="Normal 5 9 3 2" xfId="7363"/>
    <cellStyle name="Normal 5 9 4" xfId="7364"/>
    <cellStyle name="Normal 50" xfId="8271"/>
    <cellStyle name="Normal 51" xfId="8283"/>
    <cellStyle name="Normal 52" xfId="8287"/>
    <cellStyle name="Normal 6" xfId="161"/>
    <cellStyle name="Normal 6 2" xfId="219"/>
    <cellStyle name="Normal 6 2 2" xfId="7367"/>
    <cellStyle name="Normal 6 2 2 2" xfId="7368"/>
    <cellStyle name="Normal 6 2 2 2 2" xfId="7369"/>
    <cellStyle name="Normal 6 2 2 2 2 2" xfId="7370"/>
    <cellStyle name="Normal 6 2 2 2 2 2 2" xfId="7371"/>
    <cellStyle name="Normal 6 2 2 2 2 3" xfId="7372"/>
    <cellStyle name="Normal 6 2 2 2 3" xfId="7373"/>
    <cellStyle name="Normal 6 2 2 2 3 2" xfId="7374"/>
    <cellStyle name="Normal 6 2 2 2 4" xfId="7375"/>
    <cellStyle name="Normal 6 2 2 3" xfId="7376"/>
    <cellStyle name="Normal 6 2 2 3 2" xfId="7377"/>
    <cellStyle name="Normal 6 2 2 3 2 2" xfId="7378"/>
    <cellStyle name="Normal 6 2 2 3 3" xfId="7379"/>
    <cellStyle name="Normal 6 2 2 4" xfId="7380"/>
    <cellStyle name="Normal 6 2 2 4 2" xfId="7381"/>
    <cellStyle name="Normal 6 2 2 5" xfId="7382"/>
    <cellStyle name="Normal 6 2 3" xfId="7383"/>
    <cellStyle name="Normal 6 2 3 2" xfId="7384"/>
    <cellStyle name="Normal 6 2 3 2 2" xfId="7385"/>
    <cellStyle name="Normal 6 2 3 2 2 2" xfId="7386"/>
    <cellStyle name="Normal 6 2 3 2 3" xfId="7387"/>
    <cellStyle name="Normal 6 2 3 3" xfId="7388"/>
    <cellStyle name="Normal 6 2 3 3 2" xfId="7389"/>
    <cellStyle name="Normal 6 2 3 4" xfId="7390"/>
    <cellStyle name="Normal 6 2 4" xfId="7391"/>
    <cellStyle name="Normal 6 2 4 2" xfId="7392"/>
    <cellStyle name="Normal 6 2 4 2 2" xfId="7393"/>
    <cellStyle name="Normal 6 2 4 3" xfId="7394"/>
    <cellStyle name="Normal 6 2 5" xfId="7395"/>
    <cellStyle name="Normal 6 2 5 2" xfId="7396"/>
    <cellStyle name="Normal 6 2 6" xfId="7397"/>
    <cellStyle name="Normal 6 2 7" xfId="7366"/>
    <cellStyle name="Normal 6 3" xfId="245"/>
    <cellStyle name="Normal 6 3 2" xfId="7399"/>
    <cellStyle name="Normal 6 3 2 2" xfId="7400"/>
    <cellStyle name="Normal 6 3 2 2 2" xfId="7401"/>
    <cellStyle name="Normal 6 3 2 2 2 2" xfId="7402"/>
    <cellStyle name="Normal 6 3 2 2 3" xfId="7403"/>
    <cellStyle name="Normal 6 3 2 3" xfId="7404"/>
    <cellStyle name="Normal 6 3 2 3 2" xfId="7405"/>
    <cellStyle name="Normal 6 3 2 4" xfId="7406"/>
    <cellStyle name="Normal 6 3 3" xfId="7407"/>
    <cellStyle name="Normal 6 3 3 2" xfId="7408"/>
    <cellStyle name="Normal 6 3 3 2 2" xfId="7409"/>
    <cellStyle name="Normal 6 3 3 3" xfId="7410"/>
    <cellStyle name="Normal 6 3 4" xfId="7411"/>
    <cellStyle name="Normal 6 3 4 2" xfId="7412"/>
    <cellStyle name="Normal 6 3 5" xfId="7413"/>
    <cellStyle name="Normal 6 3 6" xfId="7398"/>
    <cellStyle name="Normal 6 4" xfId="246"/>
    <cellStyle name="Normal 6 4 2" xfId="7415"/>
    <cellStyle name="Normal 6 4 2 2" xfId="7416"/>
    <cellStyle name="Normal 6 4 2 2 2" xfId="7417"/>
    <cellStyle name="Normal 6 4 2 3" xfId="7418"/>
    <cellStyle name="Normal 6 4 3" xfId="7419"/>
    <cellStyle name="Normal 6 4 3 2" xfId="7420"/>
    <cellStyle name="Normal 6 4 4" xfId="7421"/>
    <cellStyle name="Normal 6 4 5" xfId="7414"/>
    <cellStyle name="Normal 6 5" xfId="7422"/>
    <cellStyle name="Normal 6 5 2" xfId="7423"/>
    <cellStyle name="Normal 6 5 2 2" xfId="7424"/>
    <cellStyle name="Normal 6 5 3" xfId="7425"/>
    <cellStyle name="Normal 6 6" xfId="7426"/>
    <cellStyle name="Normal 6 6 2" xfId="7427"/>
    <cellStyle name="Normal 6 7" xfId="7428"/>
    <cellStyle name="Normal 6 8" xfId="7365"/>
    <cellStyle name="Normal 7" xfId="217"/>
    <cellStyle name="Normal 7 10" xfId="7430"/>
    <cellStyle name="Normal 7 11" xfId="7429"/>
    <cellStyle name="Normal 7 2" xfId="7431"/>
    <cellStyle name="Normal 7 2 2" xfId="7432"/>
    <cellStyle name="Normal 7 2 2 2" xfId="7433"/>
    <cellStyle name="Normal 7 2 2 2 2" xfId="7434"/>
    <cellStyle name="Normal 7 2 2 2 2 2" xfId="7435"/>
    <cellStyle name="Normal 7 2 2 2 2 2 2" xfId="7436"/>
    <cellStyle name="Normal 7 2 2 2 2 2 2 2" xfId="7437"/>
    <cellStyle name="Normal 7 2 2 2 2 2 3" xfId="7438"/>
    <cellStyle name="Normal 7 2 2 2 2 3" xfId="7439"/>
    <cellStyle name="Normal 7 2 2 2 2 3 2" xfId="7440"/>
    <cellStyle name="Normal 7 2 2 2 2 4" xfId="7441"/>
    <cellStyle name="Normal 7 2 2 2 3" xfId="7442"/>
    <cellStyle name="Normal 7 2 2 2 3 2" xfId="7443"/>
    <cellStyle name="Normal 7 2 2 2 3 2 2" xfId="7444"/>
    <cellStyle name="Normal 7 2 2 2 3 3" xfId="7445"/>
    <cellStyle name="Normal 7 2 2 2 4" xfId="7446"/>
    <cellStyle name="Normal 7 2 2 2 4 2" xfId="7447"/>
    <cellStyle name="Normal 7 2 2 2 5" xfId="7448"/>
    <cellStyle name="Normal 7 2 2 3" xfId="7449"/>
    <cellStyle name="Normal 7 2 2 3 2" xfId="7450"/>
    <cellStyle name="Normal 7 2 2 3 2 2" xfId="7451"/>
    <cellStyle name="Normal 7 2 2 3 2 2 2" xfId="7452"/>
    <cellStyle name="Normal 7 2 2 3 2 3" xfId="7453"/>
    <cellStyle name="Normal 7 2 2 3 3" xfId="7454"/>
    <cellStyle name="Normal 7 2 2 3 3 2" xfId="7455"/>
    <cellStyle name="Normal 7 2 2 3 4" xfId="7456"/>
    <cellStyle name="Normal 7 2 2 4" xfId="7457"/>
    <cellStyle name="Normal 7 2 2 4 2" xfId="7458"/>
    <cellStyle name="Normal 7 2 2 4 2 2" xfId="7459"/>
    <cellStyle name="Normal 7 2 2 4 3" xfId="7460"/>
    <cellStyle name="Normal 7 2 2 5" xfId="7461"/>
    <cellStyle name="Normal 7 2 2 5 2" xfId="7462"/>
    <cellStyle name="Normal 7 2 2 6" xfId="7463"/>
    <cellStyle name="Normal 7 2 3" xfId="7464"/>
    <cellStyle name="Normal 7 2 3 2" xfId="7465"/>
    <cellStyle name="Normal 7 2 3 2 2" xfId="7466"/>
    <cellStyle name="Normal 7 2 3 2 2 2" xfId="7467"/>
    <cellStyle name="Normal 7 2 3 2 2 2 2" xfId="7468"/>
    <cellStyle name="Normal 7 2 3 2 2 3" xfId="7469"/>
    <cellStyle name="Normal 7 2 3 2 3" xfId="7470"/>
    <cellStyle name="Normal 7 2 3 2 3 2" xfId="7471"/>
    <cellStyle name="Normal 7 2 3 2 4" xfId="7472"/>
    <cellStyle name="Normal 7 2 3 3" xfId="7473"/>
    <cellStyle name="Normal 7 2 3 3 2" xfId="7474"/>
    <cellStyle name="Normal 7 2 3 3 2 2" xfId="7475"/>
    <cellStyle name="Normal 7 2 3 3 3" xfId="7476"/>
    <cellStyle name="Normal 7 2 3 4" xfId="7477"/>
    <cellStyle name="Normal 7 2 3 4 2" xfId="7478"/>
    <cellStyle name="Normal 7 2 3 5" xfId="7479"/>
    <cellStyle name="Normal 7 2 4" xfId="7480"/>
    <cellStyle name="Normal 7 2 4 2" xfId="7481"/>
    <cellStyle name="Normal 7 2 4 2 2" xfId="7482"/>
    <cellStyle name="Normal 7 2 4 2 2 2" xfId="7483"/>
    <cellStyle name="Normal 7 2 4 2 2 2 2" xfId="7484"/>
    <cellStyle name="Normal 7 2 4 2 2 3" xfId="7485"/>
    <cellStyle name="Normal 7 2 4 2 3" xfId="7486"/>
    <cellStyle name="Normal 7 2 4 2 3 2" xfId="7487"/>
    <cellStyle name="Normal 7 2 4 2 4" xfId="7488"/>
    <cellStyle name="Normal 7 2 4 3" xfId="7489"/>
    <cellStyle name="Normal 7 2 4 3 2" xfId="7490"/>
    <cellStyle name="Normal 7 2 4 3 2 2" xfId="7491"/>
    <cellStyle name="Normal 7 2 4 3 3" xfId="7492"/>
    <cellStyle name="Normal 7 2 4 4" xfId="7493"/>
    <cellStyle name="Normal 7 2 4 4 2" xfId="7494"/>
    <cellStyle name="Normal 7 2 4 5" xfId="7495"/>
    <cellStyle name="Normal 7 2 5" xfId="7496"/>
    <cellStyle name="Normal 7 2 5 2" xfId="7497"/>
    <cellStyle name="Normal 7 2 5 2 2" xfId="7498"/>
    <cellStyle name="Normal 7 2 5 2 2 2" xfId="7499"/>
    <cellStyle name="Normal 7 2 5 2 3" xfId="7500"/>
    <cellStyle name="Normal 7 2 5 3" xfId="7501"/>
    <cellStyle name="Normal 7 2 5 3 2" xfId="7502"/>
    <cellStyle name="Normal 7 2 5 4" xfId="7503"/>
    <cellStyle name="Normal 7 2 6" xfId="7504"/>
    <cellStyle name="Normal 7 2 6 2" xfId="7505"/>
    <cellStyle name="Normal 7 2 6 2 2" xfId="7506"/>
    <cellStyle name="Normal 7 2 6 3" xfId="7507"/>
    <cellStyle name="Normal 7 2 7" xfId="7508"/>
    <cellStyle name="Normal 7 2 7 2" xfId="7509"/>
    <cellStyle name="Normal 7 2 8" xfId="7510"/>
    <cellStyle name="Normal 7 3" xfId="7511"/>
    <cellStyle name="Normal 7 3 2" xfId="7512"/>
    <cellStyle name="Normal 7 3 2 2" xfId="7513"/>
    <cellStyle name="Normal 7 3 2 2 2" xfId="7514"/>
    <cellStyle name="Normal 7 3 2 2 2 2" xfId="7515"/>
    <cellStyle name="Normal 7 3 2 2 2 2 2" xfId="7516"/>
    <cellStyle name="Normal 7 3 2 2 2 3" xfId="7517"/>
    <cellStyle name="Normal 7 3 2 2 3" xfId="7518"/>
    <cellStyle name="Normal 7 3 2 2 3 2" xfId="7519"/>
    <cellStyle name="Normal 7 3 2 2 4" xfId="7520"/>
    <cellStyle name="Normal 7 3 2 3" xfId="7521"/>
    <cellStyle name="Normal 7 3 2 3 2" xfId="7522"/>
    <cellStyle name="Normal 7 3 2 3 2 2" xfId="7523"/>
    <cellStyle name="Normal 7 3 2 3 3" xfId="7524"/>
    <cellStyle name="Normal 7 3 2 4" xfId="7525"/>
    <cellStyle name="Normal 7 3 2 4 2" xfId="7526"/>
    <cellStyle name="Normal 7 3 2 5" xfId="7527"/>
    <cellStyle name="Normal 7 3 3" xfId="7528"/>
    <cellStyle name="Normal 7 3 3 2" xfId="7529"/>
    <cellStyle name="Normal 7 3 3 2 2" xfId="7530"/>
    <cellStyle name="Normal 7 3 3 2 2 2" xfId="7531"/>
    <cellStyle name="Normal 7 3 3 2 3" xfId="7532"/>
    <cellStyle name="Normal 7 3 3 3" xfId="7533"/>
    <cellStyle name="Normal 7 3 3 3 2" xfId="7534"/>
    <cellStyle name="Normal 7 3 3 4" xfId="7535"/>
    <cellStyle name="Normal 7 3 4" xfId="7536"/>
    <cellStyle name="Normal 7 3 4 2" xfId="7537"/>
    <cellStyle name="Normal 7 3 4 2 2" xfId="7538"/>
    <cellStyle name="Normal 7 3 4 3" xfId="7539"/>
    <cellStyle name="Normal 7 3 5" xfId="7540"/>
    <cellStyle name="Normal 7 3 5 2" xfId="7541"/>
    <cellStyle name="Normal 7 3 6" xfId="7542"/>
    <cellStyle name="Normal 7 4" xfId="7543"/>
    <cellStyle name="Normal 7 4 2" xfId="7544"/>
    <cellStyle name="Normal 7 4 2 2" xfId="7545"/>
    <cellStyle name="Normal 7 4 2 2 2" xfId="7546"/>
    <cellStyle name="Normal 7 4 2 2 2 2" xfId="7547"/>
    <cellStyle name="Normal 7 4 2 2 3" xfId="7548"/>
    <cellStyle name="Normal 7 4 2 3" xfId="7549"/>
    <cellStyle name="Normal 7 4 2 3 2" xfId="7550"/>
    <cellStyle name="Normal 7 4 2 4" xfId="7551"/>
    <cellStyle name="Normal 7 4 3" xfId="7552"/>
    <cellStyle name="Normal 7 4 3 2" xfId="7553"/>
    <cellStyle name="Normal 7 4 3 2 2" xfId="7554"/>
    <cellStyle name="Normal 7 4 3 3" xfId="7555"/>
    <cellStyle name="Normal 7 4 4" xfId="7556"/>
    <cellStyle name="Normal 7 4 4 2" xfId="7557"/>
    <cellStyle name="Normal 7 4 5" xfId="7558"/>
    <cellStyle name="Normal 7 5" xfId="7559"/>
    <cellStyle name="Normal 7 5 2" xfId="7560"/>
    <cellStyle name="Normal 7 5 2 2" xfId="7561"/>
    <cellStyle name="Normal 7 5 2 2 2" xfId="7562"/>
    <cellStyle name="Normal 7 5 2 2 2 2" xfId="7563"/>
    <cellStyle name="Normal 7 5 2 2 3" xfId="7564"/>
    <cellStyle name="Normal 7 5 2 3" xfId="7565"/>
    <cellStyle name="Normal 7 5 2 3 2" xfId="7566"/>
    <cellStyle name="Normal 7 5 2 4" xfId="7567"/>
    <cellStyle name="Normal 7 5 3" xfId="7568"/>
    <cellStyle name="Normal 7 5 3 2" xfId="7569"/>
    <cellStyle name="Normal 7 5 3 2 2" xfId="7570"/>
    <cellStyle name="Normal 7 5 3 3" xfId="7571"/>
    <cellStyle name="Normal 7 5 4" xfId="7572"/>
    <cellStyle name="Normal 7 5 4 2" xfId="7573"/>
    <cellStyle name="Normal 7 5 5" xfId="7574"/>
    <cellStyle name="Normal 7 6" xfId="7575"/>
    <cellStyle name="Normal 7 6 2" xfId="7576"/>
    <cellStyle name="Normal 7 6 2 2" xfId="7577"/>
    <cellStyle name="Normal 7 6 2 2 2" xfId="7578"/>
    <cellStyle name="Normal 7 6 2 3" xfId="7579"/>
    <cellStyle name="Normal 7 6 3" xfId="7580"/>
    <cellStyle name="Normal 7 6 3 2" xfId="7581"/>
    <cellStyle name="Normal 7 6 4" xfId="7582"/>
    <cellStyle name="Normal 7 7" xfId="7583"/>
    <cellStyle name="Normal 7 7 2" xfId="7584"/>
    <cellStyle name="Normal 7 7 2 2" xfId="7585"/>
    <cellStyle name="Normal 7 7 3" xfId="7586"/>
    <cellStyle name="Normal 7 8" xfId="7587"/>
    <cellStyle name="Normal 7 8 2" xfId="7588"/>
    <cellStyle name="Normal 7 8 2 2" xfId="7589"/>
    <cellStyle name="Normal 7 8 3" xfId="7590"/>
    <cellStyle name="Normal 7 9" xfId="7591"/>
    <cellStyle name="Normal 7 9 2" xfId="7592"/>
    <cellStyle name="Normal 74" xfId="8266"/>
    <cellStyle name="Normal 8" xfId="247"/>
    <cellStyle name="Normal 8 2" xfId="248"/>
    <cellStyle name="Normal 8 2 2" xfId="7595"/>
    <cellStyle name="Normal 8 2 2 2" xfId="7596"/>
    <cellStyle name="Normal 8 2 2 2 2" xfId="7597"/>
    <cellStyle name="Normal 8 2 2 2 2 2" xfId="7598"/>
    <cellStyle name="Normal 8 2 2 2 2 2 2" xfId="7599"/>
    <cellStyle name="Normal 8 2 2 2 2 3" xfId="7600"/>
    <cellStyle name="Normal 8 2 2 2 3" xfId="7601"/>
    <cellStyle name="Normal 8 2 2 2 3 2" xfId="7602"/>
    <cellStyle name="Normal 8 2 2 2 4" xfId="7603"/>
    <cellStyle name="Normal 8 2 2 3" xfId="7604"/>
    <cellStyle name="Normal 8 2 2 3 2" xfId="7605"/>
    <cellStyle name="Normal 8 2 2 3 2 2" xfId="7606"/>
    <cellStyle name="Normal 8 2 2 3 3" xfId="7607"/>
    <cellStyle name="Normal 8 2 2 4" xfId="7608"/>
    <cellStyle name="Normal 8 2 2 4 2" xfId="7609"/>
    <cellStyle name="Normal 8 2 2 5" xfId="7610"/>
    <cellStyle name="Normal 8 2 3" xfId="7611"/>
    <cellStyle name="Normal 8 2 3 2" xfId="7612"/>
    <cellStyle name="Normal 8 2 3 2 2" xfId="7613"/>
    <cellStyle name="Normal 8 2 3 2 2 2" xfId="7614"/>
    <cellStyle name="Normal 8 2 3 2 3" xfId="7615"/>
    <cellStyle name="Normal 8 2 3 3" xfId="7616"/>
    <cellStyle name="Normal 8 2 3 3 2" xfId="7617"/>
    <cellStyle name="Normal 8 2 3 4" xfId="7618"/>
    <cellStyle name="Normal 8 2 4" xfId="7619"/>
    <cellStyle name="Normal 8 2 4 2" xfId="7620"/>
    <cellStyle name="Normal 8 2 4 2 2" xfId="7621"/>
    <cellStyle name="Normal 8 2 4 3" xfId="7622"/>
    <cellStyle name="Normal 8 2 5" xfId="7623"/>
    <cellStyle name="Normal 8 2 5 2" xfId="7624"/>
    <cellStyle name="Normal 8 2 6" xfId="7625"/>
    <cellStyle name="Normal 8 2 7" xfId="7594"/>
    <cellStyle name="Normal 8 3" xfId="7626"/>
    <cellStyle name="Normal 8 3 2" xfId="7627"/>
    <cellStyle name="Normal 8 3 2 2" xfId="7628"/>
    <cellStyle name="Normal 8 3 2 2 2" xfId="7629"/>
    <cellStyle name="Normal 8 3 2 2 2 2" xfId="7630"/>
    <cellStyle name="Normal 8 3 2 2 3" xfId="7631"/>
    <cellStyle name="Normal 8 3 2 3" xfId="7632"/>
    <cellStyle name="Normal 8 3 2 3 2" xfId="7633"/>
    <cellStyle name="Normal 8 3 2 4" xfId="7634"/>
    <cellStyle name="Normal 8 3 3" xfId="7635"/>
    <cellStyle name="Normal 8 3 3 2" xfId="7636"/>
    <cellStyle name="Normal 8 3 3 2 2" xfId="7637"/>
    <cellStyle name="Normal 8 3 3 3" xfId="7638"/>
    <cellStyle name="Normal 8 3 4" xfId="7639"/>
    <cellStyle name="Normal 8 3 4 2" xfId="7640"/>
    <cellStyle name="Normal 8 3 5" xfId="7641"/>
    <cellStyle name="Normal 8 4" xfId="7642"/>
    <cellStyle name="Normal 8 4 2" xfId="7643"/>
    <cellStyle name="Normal 8 4 2 2" xfId="7644"/>
    <cellStyle name="Normal 8 4 2 2 2" xfId="7645"/>
    <cellStyle name="Normal 8 4 2 3" xfId="7646"/>
    <cellStyle name="Normal 8 4 3" xfId="7647"/>
    <cellStyle name="Normal 8 4 3 2" xfId="7648"/>
    <cellStyle name="Normal 8 4 4" xfId="7649"/>
    <cellStyle name="Normal 8 5" xfId="7650"/>
    <cellStyle name="Normal 8 5 2" xfId="7651"/>
    <cellStyle name="Normal 8 5 2 2" xfId="7652"/>
    <cellStyle name="Normal 8 5 3" xfId="7653"/>
    <cellStyle name="Normal 8 6" xfId="7654"/>
    <cellStyle name="Normal 8 6 2" xfId="7655"/>
    <cellStyle name="Normal 8 7" xfId="7656"/>
    <cellStyle name="Normal 8 8" xfId="7593"/>
    <cellStyle name="Normal 9" xfId="249"/>
    <cellStyle name="Normal 9 2" xfId="250"/>
    <cellStyle name="Normal 9 2 2" xfId="543"/>
    <cellStyle name="Normal 9 2 2 2" xfId="1957"/>
    <cellStyle name="Normal 9 2 2 2 2" xfId="7661"/>
    <cellStyle name="Normal 9 2 2 2 2 2" xfId="7662"/>
    <cellStyle name="Normal 9 2 2 2 2 2 2" xfId="7663"/>
    <cellStyle name="Normal 9 2 2 2 2 3" xfId="7664"/>
    <cellStyle name="Normal 9 2 2 2 3" xfId="7665"/>
    <cellStyle name="Normal 9 2 2 2 3 2" xfId="7666"/>
    <cellStyle name="Normal 9 2 2 2 4" xfId="7667"/>
    <cellStyle name="Normal 9 2 2 2 5" xfId="7660"/>
    <cellStyle name="Normal 9 2 2 3" xfId="7668"/>
    <cellStyle name="Normal 9 2 2 3 2" xfId="7669"/>
    <cellStyle name="Normal 9 2 2 3 2 2" xfId="7670"/>
    <cellStyle name="Normal 9 2 2 3 3" xfId="7671"/>
    <cellStyle name="Normal 9 2 2 4" xfId="7672"/>
    <cellStyle name="Normal 9 2 2 4 2" xfId="7673"/>
    <cellStyle name="Normal 9 2 2 5" xfId="7674"/>
    <cellStyle name="Normal 9 2 2 6" xfId="7659"/>
    <cellStyle name="Normal 9 2 3" xfId="1813"/>
    <cellStyle name="Normal 9 2 3 2" xfId="7676"/>
    <cellStyle name="Normal 9 2 3 2 2" xfId="7677"/>
    <cellStyle name="Normal 9 2 3 2 2 2" xfId="7678"/>
    <cellStyle name="Normal 9 2 3 2 3" xfId="7679"/>
    <cellStyle name="Normal 9 2 3 3" xfId="7680"/>
    <cellStyle name="Normal 9 2 3 3 2" xfId="7681"/>
    <cellStyle name="Normal 9 2 3 4" xfId="7682"/>
    <cellStyle name="Normal 9 2 3 5" xfId="7675"/>
    <cellStyle name="Normal 9 2 4" xfId="7683"/>
    <cellStyle name="Normal 9 2 4 2" xfId="7684"/>
    <cellStyle name="Normal 9 2 4 2 2" xfId="7685"/>
    <cellStyle name="Normal 9 2 4 3" xfId="7686"/>
    <cellStyle name="Normal 9 2 5" xfId="7687"/>
    <cellStyle name="Normal 9 2 5 2" xfId="7688"/>
    <cellStyle name="Normal 9 2 6" xfId="7689"/>
    <cellStyle name="Normal 9 2 7" xfId="7658"/>
    <cellStyle name="Normal 9 3" xfId="542"/>
    <cellStyle name="Normal 9 3 2" xfId="1956"/>
    <cellStyle name="Normal 9 3 2 2" xfId="7692"/>
    <cellStyle name="Normal 9 3 2 2 2" xfId="7693"/>
    <cellStyle name="Normal 9 3 2 2 2 2" xfId="7694"/>
    <cellStyle name="Normal 9 3 2 2 3" xfId="7695"/>
    <cellStyle name="Normal 9 3 2 3" xfId="7696"/>
    <cellStyle name="Normal 9 3 2 3 2" xfId="7697"/>
    <cellStyle name="Normal 9 3 2 4" xfId="7698"/>
    <cellStyle name="Normal 9 3 2 5" xfId="7691"/>
    <cellStyle name="Normal 9 3 3" xfId="7699"/>
    <cellStyle name="Normal 9 3 3 2" xfId="7700"/>
    <cellStyle name="Normal 9 3 3 2 2" xfId="7701"/>
    <cellStyle name="Normal 9 3 3 3" xfId="7702"/>
    <cellStyle name="Normal 9 3 4" xfId="7703"/>
    <cellStyle name="Normal 9 3 4 2" xfId="7704"/>
    <cellStyle name="Normal 9 3 5" xfId="7705"/>
    <cellStyle name="Normal 9 3 6" xfId="7690"/>
    <cellStyle name="Normal 9 4" xfId="1812"/>
    <cellStyle name="Normal 9 4 2" xfId="7707"/>
    <cellStyle name="Normal 9 4 2 2" xfId="7708"/>
    <cellStyle name="Normal 9 4 2 2 2" xfId="7709"/>
    <cellStyle name="Normal 9 4 2 3" xfId="7710"/>
    <cellStyle name="Normal 9 4 3" xfId="7711"/>
    <cellStyle name="Normal 9 4 3 2" xfId="7712"/>
    <cellStyle name="Normal 9 4 4" xfId="7713"/>
    <cellStyle name="Normal 9 4 5" xfId="7706"/>
    <cellStyle name="Normal 9 5" xfId="7714"/>
    <cellStyle name="Normal 9 5 2" xfId="7715"/>
    <cellStyle name="Normal 9 5 2 2" xfId="7716"/>
    <cellStyle name="Normal 9 5 3" xfId="7717"/>
    <cellStyle name="Normal 9 6" xfId="7718"/>
    <cellStyle name="Normal 9 6 2" xfId="7719"/>
    <cellStyle name="Normal 9 7" xfId="7720"/>
    <cellStyle name="Normal 9 8" xfId="7657"/>
    <cellStyle name="Normal_ACCMDEPRforAFUDC" xfId="24"/>
    <cellStyle name="Normal_AFUDC Dec 2008 Balance by Acct Rev" xfId="25"/>
    <cellStyle name="Normal_afudc in cwip" xfId="26"/>
    <cellStyle name="Normal_KU COS Print File 2003q3" xfId="27"/>
    <cellStyle name="Normal_RWIP allocation 2005-06" xfId="28"/>
    <cellStyle name="Normal_VA 500 KV Line T201" xfId="29"/>
    <cellStyle name="Note 10" xfId="321"/>
    <cellStyle name="Note 10 10" xfId="2912"/>
    <cellStyle name="Note 10 11" xfId="3004"/>
    <cellStyle name="Note 10 2" xfId="877"/>
    <cellStyle name="Note 10 2 10" xfId="2602"/>
    <cellStyle name="Note 10 2 2" xfId="1002"/>
    <cellStyle name="Note 10 2 3" xfId="1076"/>
    <cellStyle name="Note 10 2 4" xfId="1260"/>
    <cellStyle name="Note 10 2 5" xfId="1375"/>
    <cellStyle name="Note 10 2 6" xfId="1579"/>
    <cellStyle name="Note 10 2 7" xfId="2367"/>
    <cellStyle name="Note 10 2 8" xfId="2690"/>
    <cellStyle name="Note 10 2 9" xfId="2324"/>
    <cellStyle name="Note 10 3" xfId="1008"/>
    <cellStyle name="Note 10 4" xfId="1083"/>
    <cellStyle name="Note 10 5" xfId="1136"/>
    <cellStyle name="Note 10 6" xfId="1427"/>
    <cellStyle name="Note 10 7" xfId="1082"/>
    <cellStyle name="Note 10 8" xfId="2155"/>
    <cellStyle name="Note 10 9" xfId="2553"/>
    <cellStyle name="Note 11" xfId="323"/>
    <cellStyle name="Note 11 10" xfId="2843"/>
    <cellStyle name="Note 11 11" xfId="1883"/>
    <cellStyle name="Note 11 2" xfId="879"/>
    <cellStyle name="Note 11 2 10" xfId="2927"/>
    <cellStyle name="Note 11 2 2" xfId="451"/>
    <cellStyle name="Note 11 2 3" xfId="722"/>
    <cellStyle name="Note 11 2 4" xfId="1262"/>
    <cellStyle name="Note 11 2 5" xfId="495"/>
    <cellStyle name="Note 11 2 6" xfId="1581"/>
    <cellStyle name="Note 11 2 7" xfId="2369"/>
    <cellStyle name="Note 11 2 8" xfId="2692"/>
    <cellStyle name="Note 11 2 9" xfId="2913"/>
    <cellStyle name="Note 11 3" xfId="1005"/>
    <cellStyle name="Note 11 4" xfId="1079"/>
    <cellStyle name="Note 11 5" xfId="1138"/>
    <cellStyle name="Note 11 6" xfId="1401"/>
    <cellStyle name="Note 11 7" xfId="1017"/>
    <cellStyle name="Note 11 8" xfId="2094"/>
    <cellStyle name="Note 11 9" xfId="2035"/>
    <cellStyle name="Note 12" xfId="322"/>
    <cellStyle name="Note 12 10" xfId="2777"/>
    <cellStyle name="Note 12 11" xfId="1994"/>
    <cellStyle name="Note 12 2" xfId="878"/>
    <cellStyle name="Note 12 2 10" xfId="3009"/>
    <cellStyle name="Note 12 2 2" xfId="973"/>
    <cellStyle name="Note 12 2 3" xfId="1047"/>
    <cellStyle name="Note 12 2 4" xfId="1261"/>
    <cellStyle name="Note 12 2 5" xfId="580"/>
    <cellStyle name="Note 12 2 6" xfId="1580"/>
    <cellStyle name="Note 12 2 7" xfId="2368"/>
    <cellStyle name="Note 12 2 8" xfId="2691"/>
    <cellStyle name="Note 12 2 9" xfId="2771"/>
    <cellStyle name="Note 12 3" xfId="428"/>
    <cellStyle name="Note 12 4" xfId="565"/>
    <cellStyle name="Note 12 5" xfId="1137"/>
    <cellStyle name="Note 12 6" xfId="1341"/>
    <cellStyle name="Note 12 7" xfId="1334"/>
    <cellStyle name="Note 12 8" xfId="2220"/>
    <cellStyle name="Note 12 9" xfId="1863"/>
    <cellStyle name="Note 13" xfId="297"/>
    <cellStyle name="Note 13 10" xfId="2762"/>
    <cellStyle name="Note 13 11" xfId="3006"/>
    <cellStyle name="Note 13 2" xfId="854"/>
    <cellStyle name="Note 13 2 10" xfId="2056"/>
    <cellStyle name="Note 13 2 2" xfId="952"/>
    <cellStyle name="Note 13 2 3" xfId="725"/>
    <cellStyle name="Note 13 2 4" xfId="1237"/>
    <cellStyle name="Note 13 2 5" xfId="504"/>
    <cellStyle name="Note 13 2 6" xfId="1556"/>
    <cellStyle name="Note 13 2 7" xfId="2344"/>
    <cellStyle name="Note 13 2 8" xfId="2667"/>
    <cellStyle name="Note 13 2 9" xfId="2793"/>
    <cellStyle name="Note 13 3" xfId="435"/>
    <cellStyle name="Note 13 4" xfId="463"/>
    <cellStyle name="Note 13 5" xfId="1112"/>
    <cellStyle name="Note 13 6" xfId="1049"/>
    <cellStyle name="Note 13 7" xfId="608"/>
    <cellStyle name="Note 13 8" xfId="2204"/>
    <cellStyle name="Note 13 9" xfId="2637"/>
    <cellStyle name="Note 14" xfId="360"/>
    <cellStyle name="Note 14 10" xfId="2194"/>
    <cellStyle name="Note 14 11" xfId="3019"/>
    <cellStyle name="Note 14 2" xfId="913"/>
    <cellStyle name="Note 14 2 10" xfId="3045"/>
    <cellStyle name="Note 14 2 2" xfId="746"/>
    <cellStyle name="Note 14 2 3" xfId="552"/>
    <cellStyle name="Note 14 2 4" xfId="1295"/>
    <cellStyle name="Note 14 2 5" xfId="1466"/>
    <cellStyle name="Note 14 2 6" xfId="1613"/>
    <cellStyle name="Note 14 2 7" xfId="2402"/>
    <cellStyle name="Note 14 2 8" xfId="2724"/>
    <cellStyle name="Note 14 2 9" xfId="2655"/>
    <cellStyle name="Note 14 3" xfId="837"/>
    <cellStyle name="Note 14 4" xfId="427"/>
    <cellStyle name="Note 14 5" xfId="1174"/>
    <cellStyle name="Note 14 6" xfId="1450"/>
    <cellStyle name="Note 14 7" xfId="1513"/>
    <cellStyle name="Note 14 8" xfId="1646"/>
    <cellStyle name="Note 14 9" xfId="1835"/>
    <cellStyle name="Note 15" xfId="306"/>
    <cellStyle name="Note 15 10" xfId="1887"/>
    <cellStyle name="Note 15 11" xfId="2947"/>
    <cellStyle name="Note 15 2" xfId="863"/>
    <cellStyle name="Note 15 2 10" xfId="2264"/>
    <cellStyle name="Note 15 2 2" xfId="835"/>
    <cellStyle name="Note 15 2 3" xfId="705"/>
    <cellStyle name="Note 15 2 4" xfId="1246"/>
    <cellStyle name="Note 15 2 5" xfId="1009"/>
    <cellStyle name="Note 15 2 6" xfId="1565"/>
    <cellStyle name="Note 15 2 7" xfId="2353"/>
    <cellStyle name="Note 15 2 8" xfId="2676"/>
    <cellStyle name="Note 15 2 9" xfId="2871"/>
    <cellStyle name="Note 15 3" xfId="756"/>
    <cellStyle name="Note 15 4" xfId="616"/>
    <cellStyle name="Note 15 5" xfId="1121"/>
    <cellStyle name="Note 15 6" xfId="1345"/>
    <cellStyle name="Note 15 7" xfId="1409"/>
    <cellStyle name="Note 15 8" xfId="1866"/>
    <cellStyle name="Note 15 9" xfId="2575"/>
    <cellStyle name="Note 16" xfId="337"/>
    <cellStyle name="Note 16 10" xfId="2865"/>
    <cellStyle name="Note 16 11" xfId="2971"/>
    <cellStyle name="Note 16 2" xfId="892"/>
    <cellStyle name="Note 16 2 10" xfId="3023"/>
    <cellStyle name="Note 16 2 2" xfId="833"/>
    <cellStyle name="Note 16 2 3" xfId="548"/>
    <cellStyle name="Note 16 2 4" xfId="1275"/>
    <cellStyle name="Note 16 2 5" xfId="779"/>
    <cellStyle name="Note 16 2 6" xfId="1594"/>
    <cellStyle name="Note 16 2 7" xfId="2382"/>
    <cellStyle name="Note 16 2 8" xfId="2705"/>
    <cellStyle name="Note 16 2 9" xfId="2866"/>
    <cellStyle name="Note 16 3" xfId="724"/>
    <cellStyle name="Note 16 4" xfId="417"/>
    <cellStyle name="Note 16 5" xfId="1152"/>
    <cellStyle name="Note 16 6" xfId="492"/>
    <cellStyle name="Note 16 7" xfId="1054"/>
    <cellStyle name="Note 16 8" xfId="2291"/>
    <cellStyle name="Note 16 9" xfId="2314"/>
    <cellStyle name="Note 17" xfId="291"/>
    <cellStyle name="Note 17 10" xfId="2856"/>
    <cellStyle name="Note 17 11" xfId="2437"/>
    <cellStyle name="Note 17 2" xfId="848"/>
    <cellStyle name="Note 17 2 10" xfId="1873"/>
    <cellStyle name="Note 17 2 2" xfId="432"/>
    <cellStyle name="Note 17 2 3" xfId="458"/>
    <cellStyle name="Note 17 2 4" xfId="1231"/>
    <cellStyle name="Note 17 2 5" xfId="1403"/>
    <cellStyle name="Note 17 2 6" xfId="1550"/>
    <cellStyle name="Note 17 2 7" xfId="2338"/>
    <cellStyle name="Note 17 2 8" xfId="2661"/>
    <cellStyle name="Note 17 2 9" xfId="2906"/>
    <cellStyle name="Note 17 3" xfId="957"/>
    <cellStyle name="Note 17 4" xfId="1033"/>
    <cellStyle name="Note 17 5" xfId="1106"/>
    <cellStyle name="Note 17 6" xfId="720"/>
    <cellStyle name="Note 17 7" xfId="1058"/>
    <cellStyle name="Note 17 8" xfId="1751"/>
    <cellStyle name="Note 17 9" xfId="2251"/>
    <cellStyle name="Note 18" xfId="348"/>
    <cellStyle name="Note 18 10" xfId="2837"/>
    <cellStyle name="Note 18 11" xfId="2873"/>
    <cellStyle name="Note 18 2" xfId="903"/>
    <cellStyle name="Note 18 2 10" xfId="3037"/>
    <cellStyle name="Note 18 2 2" xfId="647"/>
    <cellStyle name="Note 18 2 3" xfId="766"/>
    <cellStyle name="Note 18 2 4" xfId="1286"/>
    <cellStyle name="Note 18 2 5" xfId="1457"/>
    <cellStyle name="Note 18 2 6" xfId="1605"/>
    <cellStyle name="Note 18 2 7" xfId="2393"/>
    <cellStyle name="Note 18 2 8" xfId="2716"/>
    <cellStyle name="Note 18 2 9" xfId="1819"/>
    <cellStyle name="Note 18 3" xfId="804"/>
    <cellStyle name="Note 18 4" xfId="769"/>
    <cellStyle name="Note 18 5" xfId="1163"/>
    <cellStyle name="Note 18 6" xfId="1386"/>
    <cellStyle name="Note 18 7" xfId="1504"/>
    <cellStyle name="Note 18 8" xfId="2117"/>
    <cellStyle name="Note 18 9" xfId="2641"/>
    <cellStyle name="Note 19" xfId="302"/>
    <cellStyle name="Note 19 10" xfId="2835"/>
    <cellStyle name="Note 19 11" xfId="2929"/>
    <cellStyle name="Note 19 2" xfId="859"/>
    <cellStyle name="Note 19 2 10" xfId="2512"/>
    <cellStyle name="Note 19 2 2" xfId="674"/>
    <cellStyle name="Note 19 2 3" xfId="482"/>
    <cellStyle name="Note 19 2 4" xfId="1242"/>
    <cellStyle name="Note 19 2 5" xfId="951"/>
    <cellStyle name="Note 19 2 6" xfId="1561"/>
    <cellStyle name="Note 19 2 7" xfId="2349"/>
    <cellStyle name="Note 19 2 8" xfId="2672"/>
    <cellStyle name="Note 19 2 9" xfId="2894"/>
    <cellStyle name="Note 19 3" xfId="811"/>
    <cellStyle name="Note 19 4" xfId="828"/>
    <cellStyle name="Note 19 5" xfId="1117"/>
    <cellStyle name="Note 19 6" xfId="609"/>
    <cellStyle name="Note 19 7" xfId="1408"/>
    <cellStyle name="Note 19 8" xfId="2276"/>
    <cellStyle name="Note 19 9" xfId="2081"/>
    <cellStyle name="Note 2" xfId="55"/>
    <cellStyle name="Note 2 10" xfId="2502"/>
    <cellStyle name="Note 2 11" xfId="3001"/>
    <cellStyle name="Note 2 12" xfId="7721"/>
    <cellStyle name="Note 2 2" xfId="202"/>
    <cellStyle name="Note 2 2 10" xfId="2942"/>
    <cellStyle name="Note 2 2 11" xfId="7722"/>
    <cellStyle name="Note 2 2 2" xfId="666"/>
    <cellStyle name="Note 2 2 2 2" xfId="7724"/>
    <cellStyle name="Note 2 2 2 2 2" xfId="7725"/>
    <cellStyle name="Note 2 2 2 2 2 2" xfId="7726"/>
    <cellStyle name="Note 2 2 2 2 2 2 2" xfId="7727"/>
    <cellStyle name="Note 2 2 2 2 2 3" xfId="7728"/>
    <cellStyle name="Note 2 2 2 2 3" xfId="7729"/>
    <cellStyle name="Note 2 2 2 2 3 2" xfId="7730"/>
    <cellStyle name="Note 2 2 2 2 4" xfId="7731"/>
    <cellStyle name="Note 2 2 2 3" xfId="7732"/>
    <cellStyle name="Note 2 2 2 3 2" xfId="7733"/>
    <cellStyle name="Note 2 2 2 3 2 2" xfId="7734"/>
    <cellStyle name="Note 2 2 2 3 3" xfId="7735"/>
    <cellStyle name="Note 2 2 2 4" xfId="7736"/>
    <cellStyle name="Note 2 2 2 4 2" xfId="7737"/>
    <cellStyle name="Note 2 2 2 5" xfId="7738"/>
    <cellStyle name="Note 2 2 2 6" xfId="7723"/>
    <cellStyle name="Note 2 2 3" xfId="637"/>
    <cellStyle name="Note 2 2 3 2" xfId="7740"/>
    <cellStyle name="Note 2 2 3 2 2" xfId="7741"/>
    <cellStyle name="Note 2 2 3 2 2 2" xfId="7742"/>
    <cellStyle name="Note 2 2 3 2 3" xfId="7743"/>
    <cellStyle name="Note 2 2 3 3" xfId="7744"/>
    <cellStyle name="Note 2 2 3 3 2" xfId="7745"/>
    <cellStyle name="Note 2 2 3 4" xfId="7746"/>
    <cellStyle name="Note 2 2 3 5" xfId="7739"/>
    <cellStyle name="Note 2 2 4" xfId="1209"/>
    <cellStyle name="Note 2 2 4 2" xfId="7748"/>
    <cellStyle name="Note 2 2 4 2 2" xfId="7749"/>
    <cellStyle name="Note 2 2 4 3" xfId="7750"/>
    <cellStyle name="Note 2 2 4 4" xfId="7747"/>
    <cellStyle name="Note 2 2 5" xfId="1415"/>
    <cellStyle name="Note 2 2 5 2" xfId="7752"/>
    <cellStyle name="Note 2 2 5 3" xfId="7751"/>
    <cellStyle name="Note 2 2 6" xfId="1545"/>
    <cellStyle name="Note 2 2 6 2" xfId="7753"/>
    <cellStyle name="Note 2 2 7" xfId="1802"/>
    <cellStyle name="Note 2 2 8" xfId="1774"/>
    <cellStyle name="Note 2 2 9" xfId="2900"/>
    <cellStyle name="Note 2 3" xfId="680"/>
    <cellStyle name="Note 2 3 2" xfId="7755"/>
    <cellStyle name="Note 2 3 2 2" xfId="7756"/>
    <cellStyle name="Note 2 3 2 2 2" xfId="7757"/>
    <cellStyle name="Note 2 3 2 2 2 2" xfId="7758"/>
    <cellStyle name="Note 2 3 2 2 3" xfId="7759"/>
    <cellStyle name="Note 2 3 2 3" xfId="7760"/>
    <cellStyle name="Note 2 3 2 3 2" xfId="7761"/>
    <cellStyle name="Note 2 3 2 4" xfId="7762"/>
    <cellStyle name="Note 2 3 3" xfId="7763"/>
    <cellStyle name="Note 2 3 3 2" xfId="7764"/>
    <cellStyle name="Note 2 3 3 2 2" xfId="7765"/>
    <cellStyle name="Note 2 3 3 3" xfId="7766"/>
    <cellStyle name="Note 2 3 4" xfId="7767"/>
    <cellStyle name="Note 2 3 4 2" xfId="7768"/>
    <cellStyle name="Note 2 3 5" xfId="7769"/>
    <cellStyle name="Note 2 3 6" xfId="7754"/>
    <cellStyle name="Note 2 4" xfId="420"/>
    <cellStyle name="Note 2 4 2" xfId="7771"/>
    <cellStyle name="Note 2 4 2 2" xfId="7772"/>
    <cellStyle name="Note 2 4 2 2 2" xfId="7773"/>
    <cellStyle name="Note 2 4 2 3" xfId="7774"/>
    <cellStyle name="Note 2 4 3" xfId="7775"/>
    <cellStyle name="Note 2 4 3 2" xfId="7776"/>
    <cellStyle name="Note 2 4 4" xfId="7777"/>
    <cellStyle name="Note 2 4 5" xfId="7770"/>
    <cellStyle name="Note 2 5" xfId="415"/>
    <cellStyle name="Note 2 5 2" xfId="7779"/>
    <cellStyle name="Note 2 5 2 2" xfId="7780"/>
    <cellStyle name="Note 2 5 3" xfId="7781"/>
    <cellStyle name="Note 2 5 4" xfId="7778"/>
    <cellStyle name="Note 2 6" xfId="1048"/>
    <cellStyle name="Note 2 6 2" xfId="7783"/>
    <cellStyle name="Note 2 6 3" xfId="7782"/>
    <cellStyle name="Note 2 7" xfId="658"/>
    <cellStyle name="Note 2 7 2" xfId="7784"/>
    <cellStyle name="Note 2 8" xfId="1880"/>
    <cellStyle name="Note 2 9" xfId="2579"/>
    <cellStyle name="Note 20" xfId="339"/>
    <cellStyle name="Note 20 10" xfId="2487"/>
    <cellStyle name="Note 20 11" xfId="1693"/>
    <cellStyle name="Note 20 2" xfId="894"/>
    <cellStyle name="Note 20 2 10" xfId="2490"/>
    <cellStyle name="Note 20 2 2" xfId="978"/>
    <cellStyle name="Note 20 2 3" xfId="1052"/>
    <cellStyle name="Note 20 2 4" xfId="1277"/>
    <cellStyle name="Note 20 2 5" xfId="1100"/>
    <cellStyle name="Note 20 2 6" xfId="1596"/>
    <cellStyle name="Note 20 2 7" xfId="2384"/>
    <cellStyle name="Note 20 2 8" xfId="2707"/>
    <cellStyle name="Note 20 2 9" xfId="2494"/>
    <cellStyle name="Note 20 3" xfId="544"/>
    <cellStyle name="Note 20 4" xfId="536"/>
    <cellStyle name="Note 20 5" xfId="1154"/>
    <cellStyle name="Note 20 6" xfId="1329"/>
    <cellStyle name="Note 20 7" xfId="691"/>
    <cellStyle name="Note 20 8" xfId="2289"/>
    <cellStyle name="Note 20 9" xfId="1970"/>
    <cellStyle name="Note 21" xfId="289"/>
    <cellStyle name="Note 21 10" xfId="2455"/>
    <cellStyle name="Note 21 11" xfId="3011"/>
    <cellStyle name="Note 21 2" xfId="846"/>
    <cellStyle name="Note 21 2 10" xfId="2988"/>
    <cellStyle name="Note 21 2 2" xfId="439"/>
    <cellStyle name="Note 21 2 3" xfId="604"/>
    <cellStyle name="Note 21 2 4" xfId="1229"/>
    <cellStyle name="Note 21 2 5" xfId="1414"/>
    <cellStyle name="Note 21 2 6" xfId="1548"/>
    <cellStyle name="Note 21 2 7" xfId="2336"/>
    <cellStyle name="Note 21 2 8" xfId="2659"/>
    <cellStyle name="Note 21 2 9" xfId="2796"/>
    <cellStyle name="Note 21 3" xfId="799"/>
    <cellStyle name="Note 21 4" xfId="585"/>
    <cellStyle name="Note 21 5" xfId="1104"/>
    <cellStyle name="Note 21 6" xfId="1337"/>
    <cellStyle name="Note 21 7" xfId="1035"/>
    <cellStyle name="Note 21 8" xfId="2206"/>
    <cellStyle name="Note 21 9" xfId="2634"/>
    <cellStyle name="Note 22" xfId="349"/>
    <cellStyle name="Note 22 10" xfId="2234"/>
    <cellStyle name="Note 22 2" xfId="696"/>
    <cellStyle name="Note 22 3" xfId="979"/>
    <cellStyle name="Note 22 4" xfId="1164"/>
    <cellStyle name="Note 22 5" xfId="653"/>
    <cellStyle name="Note 22 6" xfId="1505"/>
    <cellStyle name="Note 22 7" xfId="2256"/>
    <cellStyle name="Note 22 8" xfId="2505"/>
    <cellStyle name="Note 22 9" xfId="2791"/>
    <cellStyle name="Note 23" xfId="3113"/>
    <cellStyle name="Note 3" xfId="327"/>
    <cellStyle name="Note 3 10" xfId="2822"/>
    <cellStyle name="Note 3 11" xfId="2774"/>
    <cellStyle name="Note 3 12" xfId="7785"/>
    <cellStyle name="Note 3 2" xfId="883"/>
    <cellStyle name="Note 3 2 10" xfId="1971"/>
    <cellStyle name="Note 3 2 11" xfId="7786"/>
    <cellStyle name="Note 3 2 2" xfId="739"/>
    <cellStyle name="Note 3 2 2 2" xfId="7788"/>
    <cellStyle name="Note 3 2 2 2 2" xfId="7789"/>
    <cellStyle name="Note 3 2 2 2 2 2" xfId="7790"/>
    <cellStyle name="Note 3 2 2 2 2 2 2" xfId="7791"/>
    <cellStyle name="Note 3 2 2 2 2 3" xfId="7792"/>
    <cellStyle name="Note 3 2 2 2 3" xfId="7793"/>
    <cellStyle name="Note 3 2 2 2 3 2" xfId="7794"/>
    <cellStyle name="Note 3 2 2 2 4" xfId="7795"/>
    <cellStyle name="Note 3 2 2 3" xfId="7796"/>
    <cellStyle name="Note 3 2 2 3 2" xfId="7797"/>
    <cellStyle name="Note 3 2 2 3 2 2" xfId="7798"/>
    <cellStyle name="Note 3 2 2 3 3" xfId="7799"/>
    <cellStyle name="Note 3 2 2 4" xfId="7800"/>
    <cellStyle name="Note 3 2 2 4 2" xfId="7801"/>
    <cellStyle name="Note 3 2 2 5" xfId="7802"/>
    <cellStyle name="Note 3 2 2 6" xfId="7787"/>
    <cellStyle name="Note 3 2 3" xfId="623"/>
    <cellStyle name="Note 3 2 3 2" xfId="7804"/>
    <cellStyle name="Note 3 2 3 2 2" xfId="7805"/>
    <cellStyle name="Note 3 2 3 2 2 2" xfId="7806"/>
    <cellStyle name="Note 3 2 3 2 3" xfId="7807"/>
    <cellStyle name="Note 3 2 3 3" xfId="7808"/>
    <cellStyle name="Note 3 2 3 3 2" xfId="7809"/>
    <cellStyle name="Note 3 2 3 4" xfId="7810"/>
    <cellStyle name="Note 3 2 3 5" xfId="7803"/>
    <cellStyle name="Note 3 2 4" xfId="1266"/>
    <cellStyle name="Note 3 2 4 2" xfId="7812"/>
    <cellStyle name="Note 3 2 4 2 2" xfId="7813"/>
    <cellStyle name="Note 3 2 4 3" xfId="7814"/>
    <cellStyle name="Note 3 2 4 4" xfId="7811"/>
    <cellStyle name="Note 3 2 5" xfId="1373"/>
    <cellStyle name="Note 3 2 5 2" xfId="7816"/>
    <cellStyle name="Note 3 2 5 3" xfId="7815"/>
    <cellStyle name="Note 3 2 6" xfId="1585"/>
    <cellStyle name="Note 3 2 6 2" xfId="7817"/>
    <cellStyle name="Note 3 2 7" xfId="2373"/>
    <cellStyle name="Note 3 2 8" xfId="2696"/>
    <cellStyle name="Note 3 2 9" xfId="2107"/>
    <cellStyle name="Note 3 3" xfId="510"/>
    <cellStyle name="Note 3 3 2" xfId="7819"/>
    <cellStyle name="Note 3 3 2 2" xfId="7820"/>
    <cellStyle name="Note 3 3 2 2 2" xfId="7821"/>
    <cellStyle name="Note 3 3 2 2 2 2" xfId="7822"/>
    <cellStyle name="Note 3 3 2 2 3" xfId="7823"/>
    <cellStyle name="Note 3 3 2 3" xfId="7824"/>
    <cellStyle name="Note 3 3 2 3 2" xfId="7825"/>
    <cellStyle name="Note 3 3 2 4" xfId="7826"/>
    <cellStyle name="Note 3 3 3" xfId="7827"/>
    <cellStyle name="Note 3 3 3 2" xfId="7828"/>
    <cellStyle name="Note 3 3 3 2 2" xfId="7829"/>
    <cellStyle name="Note 3 3 3 3" xfId="7830"/>
    <cellStyle name="Note 3 3 4" xfId="7831"/>
    <cellStyle name="Note 3 3 4 2" xfId="7832"/>
    <cellStyle name="Note 3 3 5" xfId="7833"/>
    <cellStyle name="Note 3 3 6" xfId="7818"/>
    <cellStyle name="Note 3 4" xfId="657"/>
    <cellStyle name="Note 3 4 2" xfId="7835"/>
    <cellStyle name="Note 3 4 2 2" xfId="7836"/>
    <cellStyle name="Note 3 4 2 2 2" xfId="7837"/>
    <cellStyle name="Note 3 4 2 3" xfId="7838"/>
    <cellStyle name="Note 3 4 3" xfId="7839"/>
    <cellStyle name="Note 3 4 3 2" xfId="7840"/>
    <cellStyle name="Note 3 4 4" xfId="7841"/>
    <cellStyle name="Note 3 4 5" xfId="7834"/>
    <cellStyle name="Note 3 5" xfId="1142"/>
    <cellStyle name="Note 3 5 2" xfId="7843"/>
    <cellStyle name="Note 3 5 2 2" xfId="7844"/>
    <cellStyle name="Note 3 5 3" xfId="7845"/>
    <cellStyle name="Note 3 5 4" xfId="7842"/>
    <cellStyle name="Note 3 6" xfId="594"/>
    <cellStyle name="Note 3 6 2" xfId="7847"/>
    <cellStyle name="Note 3 6 3" xfId="7846"/>
    <cellStyle name="Note 3 7" xfId="1398"/>
    <cellStyle name="Note 3 7 2" xfId="7848"/>
    <cellStyle name="Note 3 8" xfId="2110"/>
    <cellStyle name="Note 3 9" xfId="1746"/>
    <cellStyle name="Note 4" xfId="318"/>
    <cellStyle name="Note 4 10" xfId="2773"/>
    <cellStyle name="Note 4 11" xfId="2987"/>
    <cellStyle name="Note 4 12" xfId="7849"/>
    <cellStyle name="Note 4 2" xfId="874"/>
    <cellStyle name="Note 4 2 10" xfId="3032"/>
    <cellStyle name="Note 4 2 11" xfId="7850"/>
    <cellStyle name="Note 4 2 2" xfId="446"/>
    <cellStyle name="Note 4 2 2 2" xfId="7852"/>
    <cellStyle name="Note 4 2 2 2 2" xfId="7853"/>
    <cellStyle name="Note 4 2 2 2 2 2" xfId="7854"/>
    <cellStyle name="Note 4 2 2 2 2 2 2" xfId="7855"/>
    <cellStyle name="Note 4 2 2 2 2 3" xfId="7856"/>
    <cellStyle name="Note 4 2 2 2 3" xfId="7857"/>
    <cellStyle name="Note 4 2 2 2 3 2" xfId="7858"/>
    <cellStyle name="Note 4 2 2 2 4" xfId="7859"/>
    <cellStyle name="Note 4 2 2 3" xfId="7860"/>
    <cellStyle name="Note 4 2 2 3 2" xfId="7861"/>
    <cellStyle name="Note 4 2 2 3 2 2" xfId="7862"/>
    <cellStyle name="Note 4 2 2 3 3" xfId="7863"/>
    <cellStyle name="Note 4 2 2 4" xfId="7864"/>
    <cellStyle name="Note 4 2 2 4 2" xfId="7865"/>
    <cellStyle name="Note 4 2 2 5" xfId="7866"/>
    <cellStyle name="Note 4 2 2 6" xfId="7851"/>
    <cellStyle name="Note 4 2 3" xfId="699"/>
    <cellStyle name="Note 4 2 3 2" xfId="7868"/>
    <cellStyle name="Note 4 2 3 2 2" xfId="7869"/>
    <cellStyle name="Note 4 2 3 2 2 2" xfId="7870"/>
    <cellStyle name="Note 4 2 3 2 3" xfId="7871"/>
    <cellStyle name="Note 4 2 3 3" xfId="7872"/>
    <cellStyle name="Note 4 2 3 3 2" xfId="7873"/>
    <cellStyle name="Note 4 2 3 4" xfId="7874"/>
    <cellStyle name="Note 4 2 3 5" xfId="7867"/>
    <cellStyle name="Note 4 2 4" xfId="1257"/>
    <cellStyle name="Note 4 2 4 2" xfId="7876"/>
    <cellStyle name="Note 4 2 4 2 2" xfId="7877"/>
    <cellStyle name="Note 4 2 4 3" xfId="7878"/>
    <cellStyle name="Note 4 2 4 4" xfId="7875"/>
    <cellStyle name="Note 4 2 5" xfId="557"/>
    <cellStyle name="Note 4 2 5 2" xfId="7880"/>
    <cellStyle name="Note 4 2 5 3" xfId="7879"/>
    <cellStyle name="Note 4 2 6" xfId="1576"/>
    <cellStyle name="Note 4 2 6 2" xfId="7881"/>
    <cellStyle name="Note 4 2 7" xfId="2364"/>
    <cellStyle name="Note 4 2 8" xfId="2687"/>
    <cellStyle name="Note 4 2 9" xfId="2619"/>
    <cellStyle name="Note 4 3" xfId="689"/>
    <cellStyle name="Note 4 3 2" xfId="7883"/>
    <cellStyle name="Note 4 3 2 2" xfId="7884"/>
    <cellStyle name="Note 4 3 2 2 2" xfId="7885"/>
    <cellStyle name="Note 4 3 2 2 2 2" xfId="7886"/>
    <cellStyle name="Note 4 3 2 2 3" xfId="7887"/>
    <cellStyle name="Note 4 3 2 3" xfId="7888"/>
    <cellStyle name="Note 4 3 2 3 2" xfId="7889"/>
    <cellStyle name="Note 4 3 2 4" xfId="7890"/>
    <cellStyle name="Note 4 3 3" xfId="7891"/>
    <cellStyle name="Note 4 3 3 2" xfId="7892"/>
    <cellStyle name="Note 4 3 3 2 2" xfId="7893"/>
    <cellStyle name="Note 4 3 3 3" xfId="7894"/>
    <cellStyle name="Note 4 3 4" xfId="7895"/>
    <cellStyle name="Note 4 3 4 2" xfId="7896"/>
    <cellStyle name="Note 4 3 5" xfId="7897"/>
    <cellStyle name="Note 4 3 6" xfId="7882"/>
    <cellStyle name="Note 4 4" xfId="688"/>
    <cellStyle name="Note 4 4 2" xfId="7899"/>
    <cellStyle name="Note 4 4 2 2" xfId="7900"/>
    <cellStyle name="Note 4 4 2 2 2" xfId="7901"/>
    <cellStyle name="Note 4 4 2 3" xfId="7902"/>
    <cellStyle name="Note 4 4 3" xfId="7903"/>
    <cellStyle name="Note 4 4 3 2" xfId="7904"/>
    <cellStyle name="Note 4 4 4" xfId="7905"/>
    <cellStyle name="Note 4 4 5" xfId="7898"/>
    <cellStyle name="Note 4 5" xfId="1133"/>
    <cellStyle name="Note 4 5 2" xfId="7907"/>
    <cellStyle name="Note 4 5 2 2" xfId="7908"/>
    <cellStyle name="Note 4 5 3" xfId="7909"/>
    <cellStyle name="Note 4 5 4" xfId="7906"/>
    <cellStyle name="Note 4 6" xfId="1210"/>
    <cellStyle name="Note 4 6 2" xfId="7911"/>
    <cellStyle name="Note 4 6 3" xfId="7910"/>
    <cellStyle name="Note 4 7" xfId="1391"/>
    <cellStyle name="Note 4 7 2" xfId="7912"/>
    <cellStyle name="Note 4 8" xfId="2231"/>
    <cellStyle name="Note 4 9" xfId="2033"/>
    <cellStyle name="Note 5" xfId="326"/>
    <cellStyle name="Note 5 10" xfId="2898"/>
    <cellStyle name="Note 5 11" xfId="2996"/>
    <cellStyle name="Note 5 12" xfId="7913"/>
    <cellStyle name="Note 5 2" xfId="882"/>
    <cellStyle name="Note 5 2 10" xfId="2761"/>
    <cellStyle name="Note 5 2 11" xfId="7914"/>
    <cellStyle name="Note 5 2 2" xfId="684"/>
    <cellStyle name="Note 5 2 2 2" xfId="7916"/>
    <cellStyle name="Note 5 2 2 3" xfId="7915"/>
    <cellStyle name="Note 5 2 3" xfId="710"/>
    <cellStyle name="Note 5 2 3 2" xfId="7917"/>
    <cellStyle name="Note 5 2 4" xfId="1265"/>
    <cellStyle name="Note 5 2 5" xfId="564"/>
    <cellStyle name="Note 5 2 6" xfId="1584"/>
    <cellStyle name="Note 5 2 7" xfId="2372"/>
    <cellStyle name="Note 5 2 8" xfId="2695"/>
    <cellStyle name="Note 5 2 9" xfId="1709"/>
    <cellStyle name="Note 5 3" xfId="1014"/>
    <cellStyle name="Note 5 3 2" xfId="7919"/>
    <cellStyle name="Note 5 3 3" xfId="7918"/>
    <cellStyle name="Note 5 4" xfId="1089"/>
    <cellStyle name="Note 5 4 2" xfId="7920"/>
    <cellStyle name="Note 5 5" xfId="1141"/>
    <cellStyle name="Note 5 6" xfId="760"/>
    <cellStyle name="Note 5 7" xfId="1422"/>
    <cellStyle name="Note 5 8" xfId="2237"/>
    <cellStyle name="Note 5 9" xfId="2563"/>
    <cellStyle name="Note 6" xfId="319"/>
    <cellStyle name="Note 6 10" xfId="2067"/>
    <cellStyle name="Note 6 11" xfId="2941"/>
    <cellStyle name="Note 6 12" xfId="7921"/>
    <cellStyle name="Note 6 2" xfId="875"/>
    <cellStyle name="Note 6 2 10" xfId="3013"/>
    <cellStyle name="Note 6 2 11" xfId="7922"/>
    <cellStyle name="Note 6 2 2" xfId="774"/>
    <cellStyle name="Note 6 2 2 2" xfId="7924"/>
    <cellStyle name="Note 6 2 2 3" xfId="7923"/>
    <cellStyle name="Note 6 2 3" xfId="984"/>
    <cellStyle name="Note 6 2 3 2" xfId="7925"/>
    <cellStyle name="Note 6 2 4" xfId="1258"/>
    <cellStyle name="Note 6 2 5" xfId="1376"/>
    <cellStyle name="Note 6 2 6" xfId="1577"/>
    <cellStyle name="Note 6 2 7" xfId="2365"/>
    <cellStyle name="Note 6 2 8" xfId="2688"/>
    <cellStyle name="Note 6 2 9" xfId="2635"/>
    <cellStyle name="Note 6 3" xfId="966"/>
    <cellStyle name="Note 6 3 2" xfId="7927"/>
    <cellStyle name="Note 6 3 3" xfId="7926"/>
    <cellStyle name="Note 6 4" xfId="1040"/>
    <cellStyle name="Note 6 4 2" xfId="7928"/>
    <cellStyle name="Note 6 5" xfId="1134"/>
    <cellStyle name="Note 6 6" xfId="1405"/>
    <cellStyle name="Note 6 7" xfId="1431"/>
    <cellStyle name="Note 6 8" xfId="2104"/>
    <cellStyle name="Note 6 9" xfId="1967"/>
    <cellStyle name="Note 7" xfId="325"/>
    <cellStyle name="Note 7 10" xfId="2509"/>
    <cellStyle name="Note 7 11" xfId="2785"/>
    <cellStyle name="Note 7 12" xfId="7929"/>
    <cellStyle name="Note 7 2" xfId="881"/>
    <cellStyle name="Note 7 2 10" xfId="2992"/>
    <cellStyle name="Note 7 2 11" xfId="7930"/>
    <cellStyle name="Note 7 2 2" xfId="970"/>
    <cellStyle name="Note 7 2 2 2" xfId="7931"/>
    <cellStyle name="Note 7 2 3" xfId="1045"/>
    <cellStyle name="Note 7 2 4" xfId="1264"/>
    <cellStyle name="Note 7 2 5" xfId="1374"/>
    <cellStyle name="Note 7 2 6" xfId="1583"/>
    <cellStyle name="Note 7 2 7" xfId="2371"/>
    <cellStyle name="Note 7 2 8" xfId="2694"/>
    <cellStyle name="Note 7 2 9" xfId="1871"/>
    <cellStyle name="Note 7 3" xfId="807"/>
    <cellStyle name="Note 7 3 2" xfId="7932"/>
    <cellStyle name="Note 7 4" xfId="421"/>
    <cellStyle name="Note 7 5" xfId="1140"/>
    <cellStyle name="Note 7 6" xfId="1330"/>
    <cellStyle name="Note 7 7" xfId="744"/>
    <cellStyle name="Note 7 8" xfId="2132"/>
    <cellStyle name="Note 7 9" xfId="1657"/>
    <cellStyle name="Note 8" xfId="320"/>
    <cellStyle name="Note 8 10" xfId="2869"/>
    <cellStyle name="Note 8 11" xfId="2407"/>
    <cellStyle name="Note 8 12" xfId="7933"/>
    <cellStyle name="Note 8 2" xfId="876"/>
    <cellStyle name="Note 8 2 10" xfId="3000"/>
    <cellStyle name="Note 8 2 11" xfId="7934"/>
    <cellStyle name="Note 8 2 2" xfId="747"/>
    <cellStyle name="Note 8 2 2 2" xfId="7935"/>
    <cellStyle name="Note 8 2 3" xfId="550"/>
    <cellStyle name="Note 8 2 4" xfId="1259"/>
    <cellStyle name="Note 8 2 5" xfId="402"/>
    <cellStyle name="Note 8 2 6" xfId="1578"/>
    <cellStyle name="Note 8 2 7" xfId="2366"/>
    <cellStyle name="Note 8 2 8" xfId="2689"/>
    <cellStyle name="Note 8 2 9" xfId="2811"/>
    <cellStyle name="Note 8 3" xfId="822"/>
    <cellStyle name="Note 8 3 2" xfId="7936"/>
    <cellStyle name="Note 8 4" xfId="486"/>
    <cellStyle name="Note 8 5" xfId="1135"/>
    <cellStyle name="Note 8 6" xfId="1214"/>
    <cellStyle name="Note 8 7" xfId="1350"/>
    <cellStyle name="Note 8 8" xfId="2283"/>
    <cellStyle name="Note 8 9" xfId="2212"/>
    <cellStyle name="Note 9" xfId="324"/>
    <cellStyle name="Note 9 10" xfId="2902"/>
    <cellStyle name="Note 9 11" xfId="2956"/>
    <cellStyle name="Note 9 12" xfId="7937"/>
    <cellStyle name="Note 9 2" xfId="880"/>
    <cellStyle name="Note 9 2 10" xfId="2549"/>
    <cellStyle name="Note 9 2 11" xfId="7938"/>
    <cellStyle name="Note 9 2 2" xfId="622"/>
    <cellStyle name="Note 9 2 2 2" xfId="7939"/>
    <cellStyle name="Note 9 2 3" xfId="456"/>
    <cellStyle name="Note 9 2 4" xfId="1263"/>
    <cellStyle name="Note 9 2 5" xfId="1365"/>
    <cellStyle name="Note 9 2 6" xfId="1582"/>
    <cellStyle name="Note 9 2 7" xfId="2370"/>
    <cellStyle name="Note 9 2 8" xfId="2693"/>
    <cellStyle name="Note 9 2 9" xfId="2083"/>
    <cellStyle name="Note 9 3" xfId="668"/>
    <cellStyle name="Note 9 3 2" xfId="7940"/>
    <cellStyle name="Note 9 4" xfId="1020"/>
    <cellStyle name="Note 9 5" xfId="1139"/>
    <cellStyle name="Note 9 6" xfId="960"/>
    <cellStyle name="Note 9 7" xfId="1419"/>
    <cellStyle name="Note 9 8" xfId="2261"/>
    <cellStyle name="Note 9 9" xfId="2599"/>
    <cellStyle name="Output" xfId="3080" builtinId="21" customBuiltin="1"/>
    <cellStyle name="Output 2" xfId="203"/>
    <cellStyle name="Output 2 2" xfId="1031"/>
    <cellStyle name="Output 2 2 2" xfId="7942"/>
    <cellStyle name="Output 2 3" xfId="425"/>
    <cellStyle name="Output 2 4" xfId="980"/>
    <cellStyle name="Output 2 5" xfId="1211"/>
    <cellStyle name="Output 2 6" xfId="2007"/>
    <cellStyle name="Output 2 7" xfId="2821"/>
    <cellStyle name="Output 2 8" xfId="7941"/>
    <cellStyle name="Output 3" xfId="7943"/>
    <cellStyle name="Output 3 2" xfId="7944"/>
    <cellStyle name="OUTPUT AMOUNTS" xfId="30"/>
    <cellStyle name="Output Amounts 2" xfId="84"/>
    <cellStyle name="Output Amounts 3" xfId="83"/>
    <cellStyle name="Output Amounts 4" xfId="7945"/>
    <cellStyle name="Output Amounts_d1" xfId="85"/>
    <cellStyle name="OUTPUT COLUMN HEADINGS" xfId="31"/>
    <cellStyle name="Output Column Headings 2" xfId="87"/>
    <cellStyle name="Output Column Headings 2 2" xfId="7947"/>
    <cellStyle name="Output Column Headings 3" xfId="86"/>
    <cellStyle name="Output Column Headings 4" xfId="7946"/>
    <cellStyle name="Output Column Headings_d1" xfId="88"/>
    <cellStyle name="OUTPUT LINE ITEMS" xfId="32"/>
    <cellStyle name="Output Line Items 2" xfId="90"/>
    <cellStyle name="Output Line Items 2 2" xfId="355"/>
    <cellStyle name="Output Line Items 2 3" xfId="7949"/>
    <cellStyle name="Output Line Items 3" xfId="89"/>
    <cellStyle name="Output Line Items 4" xfId="7948"/>
    <cellStyle name="Output Line Items_d1" xfId="91"/>
    <cellStyle name="OUTPUT REPORT HEADING" xfId="33"/>
    <cellStyle name="Output Report Heading 2" xfId="93"/>
    <cellStyle name="Output Report Heading 2 2" xfId="7951"/>
    <cellStyle name="Output Report Heading 3" xfId="92"/>
    <cellStyle name="Output Report Heading 4" xfId="7950"/>
    <cellStyle name="Output Report Heading_d1" xfId="94"/>
    <cellStyle name="OUTPUT REPORT TITLE" xfId="34"/>
    <cellStyle name="Output Report Title 2" xfId="96"/>
    <cellStyle name="Output Report Title 2 2" xfId="7953"/>
    <cellStyle name="Output Report Title 3" xfId="95"/>
    <cellStyle name="Output Report Title 4" xfId="7952"/>
    <cellStyle name="Output Report Title_d1" xfId="97"/>
    <cellStyle name="Percent" xfId="35" builtinId="5"/>
    <cellStyle name="Percent 10" xfId="7954"/>
    <cellStyle name="Percent 10 2" xfId="7955"/>
    <cellStyle name="Percent 11" xfId="7956"/>
    <cellStyle name="Percent 11 2" xfId="7957"/>
    <cellStyle name="Percent 11 3" xfId="7958"/>
    <cellStyle name="Percent 12" xfId="8274"/>
    <cellStyle name="Percent 19" xfId="8269"/>
    <cellStyle name="Percent 2" xfId="99"/>
    <cellStyle name="Percent 2 2" xfId="251"/>
    <cellStyle name="Percent 2 2 2" xfId="7961"/>
    <cellStyle name="Percent 2 2 2 2" xfId="7962"/>
    <cellStyle name="Percent 2 2 2 2 2" xfId="7963"/>
    <cellStyle name="Percent 2 2 2 2 2 2" xfId="7964"/>
    <cellStyle name="Percent 2 2 2 2 2 2 2" xfId="7965"/>
    <cellStyle name="Percent 2 2 2 2 2 3" xfId="7966"/>
    <cellStyle name="Percent 2 2 2 2 3" xfId="7967"/>
    <cellStyle name="Percent 2 2 2 2 3 2" xfId="7968"/>
    <cellStyle name="Percent 2 2 2 2 4" xfId="7969"/>
    <cellStyle name="Percent 2 2 2 3" xfId="7970"/>
    <cellStyle name="Percent 2 2 2 3 2" xfId="7971"/>
    <cellStyle name="Percent 2 2 2 3 2 2" xfId="7972"/>
    <cellStyle name="Percent 2 2 2 3 3" xfId="7973"/>
    <cellStyle name="Percent 2 2 2 4" xfId="7974"/>
    <cellStyle name="Percent 2 2 2 4 2" xfId="7975"/>
    <cellStyle name="Percent 2 2 2 5" xfId="7976"/>
    <cellStyle name="Percent 2 2 3" xfId="7977"/>
    <cellStyle name="Percent 2 2 3 2" xfId="7978"/>
    <cellStyle name="Percent 2 2 3 2 2" xfId="7979"/>
    <cellStyle name="Percent 2 2 3 2 2 2" xfId="7980"/>
    <cellStyle name="Percent 2 2 3 2 3" xfId="7981"/>
    <cellStyle name="Percent 2 2 3 3" xfId="7982"/>
    <cellStyle name="Percent 2 2 3 3 2" xfId="7983"/>
    <cellStyle name="Percent 2 2 3 4" xfId="7984"/>
    <cellStyle name="Percent 2 2 4" xfId="7985"/>
    <cellStyle name="Percent 2 2 4 2" xfId="7986"/>
    <cellStyle name="Percent 2 2 4 2 2" xfId="7987"/>
    <cellStyle name="Percent 2 2 4 3" xfId="7988"/>
    <cellStyle name="Percent 2 2 5" xfId="7989"/>
    <cellStyle name="Percent 2 2 5 2" xfId="7990"/>
    <cellStyle name="Percent 2 2 6" xfId="7991"/>
    <cellStyle name="Percent 2 2 7" xfId="7960"/>
    <cellStyle name="Percent 2 3" xfId="252"/>
    <cellStyle name="Percent 2 3 2" xfId="7993"/>
    <cellStyle name="Percent 2 3 2 2" xfId="7994"/>
    <cellStyle name="Percent 2 3 2 2 2" xfId="7995"/>
    <cellStyle name="Percent 2 3 2 3" xfId="7996"/>
    <cellStyle name="Percent 2 3 3" xfId="7997"/>
    <cellStyle name="Percent 2 3 3 2" xfId="7998"/>
    <cellStyle name="Percent 2 3 4" xfId="7999"/>
    <cellStyle name="Percent 2 3 5" xfId="7992"/>
    <cellStyle name="Percent 2 4" xfId="7959"/>
    <cellStyle name="Percent 3" xfId="100"/>
    <cellStyle name="Percent 3 10" xfId="8000"/>
    <cellStyle name="Percent 3 2" xfId="8001"/>
    <cellStyle name="Percent 3 2 2" xfId="8002"/>
    <cellStyle name="Percent 3 2 2 2" xfId="8003"/>
    <cellStyle name="Percent 3 2 2 2 2" xfId="8004"/>
    <cellStyle name="Percent 3 2 2 2 2 2" xfId="8005"/>
    <cellStyle name="Percent 3 2 2 2 2 2 2" xfId="8006"/>
    <cellStyle name="Percent 3 2 2 2 2 2 2 2" xfId="8007"/>
    <cellStyle name="Percent 3 2 2 2 2 2 3" xfId="8008"/>
    <cellStyle name="Percent 3 2 2 2 2 3" xfId="8009"/>
    <cellStyle name="Percent 3 2 2 2 2 3 2" xfId="8010"/>
    <cellStyle name="Percent 3 2 2 2 2 4" xfId="8011"/>
    <cellStyle name="Percent 3 2 2 2 3" xfId="8012"/>
    <cellStyle name="Percent 3 2 2 2 3 2" xfId="8013"/>
    <cellStyle name="Percent 3 2 2 2 3 2 2" xfId="8014"/>
    <cellStyle name="Percent 3 2 2 2 3 3" xfId="8015"/>
    <cellStyle name="Percent 3 2 2 2 4" xfId="8016"/>
    <cellStyle name="Percent 3 2 2 2 4 2" xfId="8017"/>
    <cellStyle name="Percent 3 2 2 2 5" xfId="8018"/>
    <cellStyle name="Percent 3 2 2 3" xfId="8019"/>
    <cellStyle name="Percent 3 2 2 3 2" xfId="8020"/>
    <cellStyle name="Percent 3 2 2 3 2 2" xfId="8021"/>
    <cellStyle name="Percent 3 2 2 3 2 2 2" xfId="8022"/>
    <cellStyle name="Percent 3 2 2 3 2 3" xfId="8023"/>
    <cellStyle name="Percent 3 2 2 3 3" xfId="8024"/>
    <cellStyle name="Percent 3 2 2 3 3 2" xfId="8025"/>
    <cellStyle name="Percent 3 2 2 3 4" xfId="8026"/>
    <cellStyle name="Percent 3 2 2 4" xfId="8027"/>
    <cellStyle name="Percent 3 2 2 4 2" xfId="8028"/>
    <cellStyle name="Percent 3 2 2 4 2 2" xfId="8029"/>
    <cellStyle name="Percent 3 2 2 4 3" xfId="8030"/>
    <cellStyle name="Percent 3 2 2 5" xfId="8031"/>
    <cellStyle name="Percent 3 2 2 5 2" xfId="8032"/>
    <cellStyle name="Percent 3 2 2 6" xfId="8033"/>
    <cellStyle name="Percent 3 2 3" xfId="8034"/>
    <cellStyle name="Percent 3 2 3 2" xfId="8035"/>
    <cellStyle name="Percent 3 2 3 2 2" xfId="8036"/>
    <cellStyle name="Percent 3 2 3 2 2 2" xfId="8037"/>
    <cellStyle name="Percent 3 2 3 2 2 2 2" xfId="8038"/>
    <cellStyle name="Percent 3 2 3 2 2 3" xfId="8039"/>
    <cellStyle name="Percent 3 2 3 2 3" xfId="8040"/>
    <cellStyle name="Percent 3 2 3 2 3 2" xfId="8041"/>
    <cellStyle name="Percent 3 2 3 2 4" xfId="8042"/>
    <cellStyle name="Percent 3 2 3 3" xfId="8043"/>
    <cellStyle name="Percent 3 2 3 3 2" xfId="8044"/>
    <cellStyle name="Percent 3 2 3 3 2 2" xfId="8045"/>
    <cellStyle name="Percent 3 2 3 3 3" xfId="8046"/>
    <cellStyle name="Percent 3 2 3 4" xfId="8047"/>
    <cellStyle name="Percent 3 2 3 4 2" xfId="8048"/>
    <cellStyle name="Percent 3 2 3 5" xfId="8049"/>
    <cellStyle name="Percent 3 2 4" xfId="8050"/>
    <cellStyle name="Percent 3 2 4 2" xfId="8051"/>
    <cellStyle name="Percent 3 2 4 2 2" xfId="8052"/>
    <cellStyle name="Percent 3 2 4 2 2 2" xfId="8053"/>
    <cellStyle name="Percent 3 2 4 2 2 2 2" xfId="8054"/>
    <cellStyle name="Percent 3 2 4 2 2 3" xfId="8055"/>
    <cellStyle name="Percent 3 2 4 2 3" xfId="8056"/>
    <cellStyle name="Percent 3 2 4 2 3 2" xfId="8057"/>
    <cellStyle name="Percent 3 2 4 2 4" xfId="8058"/>
    <cellStyle name="Percent 3 2 4 3" xfId="8059"/>
    <cellStyle name="Percent 3 2 4 3 2" xfId="8060"/>
    <cellStyle name="Percent 3 2 4 3 2 2" xfId="8061"/>
    <cellStyle name="Percent 3 2 4 3 3" xfId="8062"/>
    <cellStyle name="Percent 3 2 4 4" xfId="8063"/>
    <cellStyle name="Percent 3 2 4 4 2" xfId="8064"/>
    <cellStyle name="Percent 3 2 4 5" xfId="8065"/>
    <cellStyle name="Percent 3 2 5" xfId="8066"/>
    <cellStyle name="Percent 3 2 5 2" xfId="8067"/>
    <cellStyle name="Percent 3 2 5 2 2" xfId="8068"/>
    <cellStyle name="Percent 3 2 5 2 2 2" xfId="8069"/>
    <cellStyle name="Percent 3 2 5 2 3" xfId="8070"/>
    <cellStyle name="Percent 3 2 5 3" xfId="8071"/>
    <cellStyle name="Percent 3 2 5 3 2" xfId="8072"/>
    <cellStyle name="Percent 3 2 5 4" xfId="8073"/>
    <cellStyle name="Percent 3 2 6" xfId="8074"/>
    <cellStyle name="Percent 3 2 6 2" xfId="8075"/>
    <cellStyle name="Percent 3 2 6 2 2" xfId="8076"/>
    <cellStyle name="Percent 3 2 6 3" xfId="8077"/>
    <cellStyle name="Percent 3 2 7" xfId="8078"/>
    <cellStyle name="Percent 3 2 7 2" xfId="8079"/>
    <cellStyle name="Percent 3 2 8" xfId="8080"/>
    <cellStyle name="Percent 3 3" xfId="8081"/>
    <cellStyle name="Percent 3 3 2" xfId="8082"/>
    <cellStyle name="Percent 3 3 2 2" xfId="8083"/>
    <cellStyle name="Percent 3 3 2 2 2" xfId="8084"/>
    <cellStyle name="Percent 3 3 2 2 2 2" xfId="8085"/>
    <cellStyle name="Percent 3 3 2 2 2 2 2" xfId="8086"/>
    <cellStyle name="Percent 3 3 2 2 2 3" xfId="8087"/>
    <cellStyle name="Percent 3 3 2 2 3" xfId="8088"/>
    <cellStyle name="Percent 3 3 2 2 3 2" xfId="8089"/>
    <cellStyle name="Percent 3 3 2 2 4" xfId="8090"/>
    <cellStyle name="Percent 3 3 2 3" xfId="8091"/>
    <cellStyle name="Percent 3 3 2 3 2" xfId="8092"/>
    <cellStyle name="Percent 3 3 2 3 2 2" xfId="8093"/>
    <cellStyle name="Percent 3 3 2 3 3" xfId="8094"/>
    <cellStyle name="Percent 3 3 2 4" xfId="8095"/>
    <cellStyle name="Percent 3 3 2 4 2" xfId="8096"/>
    <cellStyle name="Percent 3 3 2 5" xfId="8097"/>
    <cellStyle name="Percent 3 3 3" xfId="8098"/>
    <cellStyle name="Percent 3 3 3 2" xfId="8099"/>
    <cellStyle name="Percent 3 3 3 2 2" xfId="8100"/>
    <cellStyle name="Percent 3 3 3 2 2 2" xfId="8101"/>
    <cellStyle name="Percent 3 3 3 2 3" xfId="8102"/>
    <cellStyle name="Percent 3 3 3 3" xfId="8103"/>
    <cellStyle name="Percent 3 3 3 3 2" xfId="8104"/>
    <cellStyle name="Percent 3 3 3 4" xfId="8105"/>
    <cellStyle name="Percent 3 3 4" xfId="8106"/>
    <cellStyle name="Percent 3 3 4 2" xfId="8107"/>
    <cellStyle name="Percent 3 3 4 2 2" xfId="8108"/>
    <cellStyle name="Percent 3 3 4 3" xfId="8109"/>
    <cellStyle name="Percent 3 3 5" xfId="8110"/>
    <cellStyle name="Percent 3 3 5 2" xfId="8111"/>
    <cellStyle name="Percent 3 3 6" xfId="8112"/>
    <cellStyle name="Percent 3 4" xfId="8113"/>
    <cellStyle name="Percent 3 4 2" xfId="8114"/>
    <cellStyle name="Percent 3 4 2 2" xfId="8115"/>
    <cellStyle name="Percent 3 4 2 2 2" xfId="8116"/>
    <cellStyle name="Percent 3 4 2 2 2 2" xfId="8117"/>
    <cellStyle name="Percent 3 4 2 2 3" xfId="8118"/>
    <cellStyle name="Percent 3 4 2 3" xfId="8119"/>
    <cellStyle name="Percent 3 4 2 3 2" xfId="8120"/>
    <cellStyle name="Percent 3 4 2 4" xfId="8121"/>
    <cellStyle name="Percent 3 4 3" xfId="8122"/>
    <cellStyle name="Percent 3 4 3 2" xfId="8123"/>
    <cellStyle name="Percent 3 4 3 2 2" xfId="8124"/>
    <cellStyle name="Percent 3 4 3 3" xfId="8125"/>
    <cellStyle name="Percent 3 4 4" xfId="8126"/>
    <cellStyle name="Percent 3 4 4 2" xfId="8127"/>
    <cellStyle name="Percent 3 4 5" xfId="8128"/>
    <cellStyle name="Percent 3 5" xfId="8129"/>
    <cellStyle name="Percent 3 5 2" xfId="8130"/>
    <cellStyle name="Percent 3 5 2 2" xfId="8131"/>
    <cellStyle name="Percent 3 5 2 2 2" xfId="8132"/>
    <cellStyle name="Percent 3 5 2 2 2 2" xfId="8133"/>
    <cellStyle name="Percent 3 5 2 2 3" xfId="8134"/>
    <cellStyle name="Percent 3 5 2 3" xfId="8135"/>
    <cellStyle name="Percent 3 5 2 3 2" xfId="8136"/>
    <cellStyle name="Percent 3 5 2 4" xfId="8137"/>
    <cellStyle name="Percent 3 5 3" xfId="8138"/>
    <cellStyle name="Percent 3 5 3 2" xfId="8139"/>
    <cellStyle name="Percent 3 5 3 2 2" xfId="8140"/>
    <cellStyle name="Percent 3 5 3 3" xfId="8141"/>
    <cellStyle name="Percent 3 5 4" xfId="8142"/>
    <cellStyle name="Percent 3 5 4 2" xfId="8143"/>
    <cellStyle name="Percent 3 5 5" xfId="8144"/>
    <cellStyle name="Percent 3 6" xfId="8145"/>
    <cellStyle name="Percent 3 6 2" xfId="8146"/>
    <cellStyle name="Percent 3 6 2 2" xfId="8147"/>
    <cellStyle name="Percent 3 6 2 2 2" xfId="8148"/>
    <cellStyle name="Percent 3 6 2 3" xfId="8149"/>
    <cellStyle name="Percent 3 6 3" xfId="8150"/>
    <cellStyle name="Percent 3 6 3 2" xfId="8151"/>
    <cellStyle name="Percent 3 6 4" xfId="8152"/>
    <cellStyle name="Percent 3 7" xfId="8153"/>
    <cellStyle name="Percent 3 7 2" xfId="8154"/>
    <cellStyle name="Percent 3 7 2 2" xfId="8155"/>
    <cellStyle name="Percent 3 7 3" xfId="8156"/>
    <cellStyle name="Percent 3 8" xfId="8157"/>
    <cellStyle name="Percent 3 8 2" xfId="8158"/>
    <cellStyle name="Percent 3 9" xfId="8159"/>
    <cellStyle name="Percent 4" xfId="98"/>
    <cellStyle name="Percent 4 2" xfId="8161"/>
    <cellStyle name="Percent 4 2 2" xfId="8162"/>
    <cellStyle name="Percent 4 2 2 2" xfId="8163"/>
    <cellStyle name="Percent 4 2 2 2 2" xfId="8164"/>
    <cellStyle name="Percent 4 2 2 2 2 2" xfId="8165"/>
    <cellStyle name="Percent 4 2 2 2 3" xfId="8166"/>
    <cellStyle name="Percent 4 2 2 3" xfId="8167"/>
    <cellStyle name="Percent 4 2 2 3 2" xfId="8168"/>
    <cellStyle name="Percent 4 2 2 4" xfId="8169"/>
    <cellStyle name="Percent 4 2 3" xfId="8170"/>
    <cellStyle name="Percent 4 2 3 2" xfId="8171"/>
    <cellStyle name="Percent 4 2 3 2 2" xfId="8172"/>
    <cellStyle name="Percent 4 2 3 3" xfId="8173"/>
    <cellStyle name="Percent 4 2 4" xfId="8174"/>
    <cellStyle name="Percent 4 2 4 2" xfId="8175"/>
    <cellStyle name="Percent 4 2 5" xfId="8176"/>
    <cellStyle name="Percent 4 3" xfId="8177"/>
    <cellStyle name="Percent 4 3 2" xfId="8178"/>
    <cellStyle name="Percent 4 3 2 2" xfId="8179"/>
    <cellStyle name="Percent 4 3 2 2 2" xfId="8180"/>
    <cellStyle name="Percent 4 3 2 3" xfId="8181"/>
    <cellStyle name="Percent 4 3 3" xfId="8182"/>
    <cellStyle name="Percent 4 3 3 2" xfId="8183"/>
    <cellStyle name="Percent 4 3 4" xfId="8184"/>
    <cellStyle name="Percent 4 4" xfId="8185"/>
    <cellStyle name="Percent 4 4 2" xfId="8186"/>
    <cellStyle name="Percent 4 4 2 2" xfId="8187"/>
    <cellStyle name="Percent 4 4 3" xfId="8188"/>
    <cellStyle name="Percent 4 5" xfId="8189"/>
    <cellStyle name="Percent 4 5 2" xfId="8190"/>
    <cellStyle name="Percent 4 6" xfId="8191"/>
    <cellStyle name="Percent 4 7" xfId="8160"/>
    <cellStyle name="Percent 5" xfId="8192"/>
    <cellStyle name="Percent 5 2" xfId="8193"/>
    <cellStyle name="Percent 6" xfId="8194"/>
    <cellStyle name="Percent 6 2" xfId="8195"/>
    <cellStyle name="Percent 7" xfId="8196"/>
    <cellStyle name="Percent 7 2" xfId="8197"/>
    <cellStyle name="Percent 7 2 2" xfId="8198"/>
    <cellStyle name="Percent 7 2 2 2" xfId="8199"/>
    <cellStyle name="Percent 7 2 3" xfId="8200"/>
    <cellStyle name="Percent 7 3" xfId="8201"/>
    <cellStyle name="Percent 7 3 2" xfId="8202"/>
    <cellStyle name="Percent 7 4" xfId="8203"/>
    <cellStyle name="Percent 8" xfId="8204"/>
    <cellStyle name="Percent 8 2" xfId="8205"/>
    <cellStyle name="Percent 8 2 2" xfId="8206"/>
    <cellStyle name="Percent 8 3" xfId="8207"/>
    <cellStyle name="Percent 9" xfId="8208"/>
    <cellStyle name="Percent 9 2" xfId="8209"/>
    <cellStyle name="Percent 9 2 2" xfId="8210"/>
    <cellStyle name="Percent 9 3" xfId="8211"/>
    <cellStyle name="Project Overview Data Entry" xfId="8212"/>
    <cellStyle name="PSChar" xfId="101"/>
    <cellStyle name="PSDate" xfId="102"/>
    <cellStyle name="PSDec" xfId="103"/>
    <cellStyle name="PSHeading" xfId="104"/>
    <cellStyle name="PSInt" xfId="105"/>
    <cellStyle name="PSSpacer" xfId="106"/>
    <cellStyle name="ReportTitlePrompt" xfId="36"/>
    <cellStyle name="ReportTitlePrompt 2" xfId="204"/>
    <cellStyle name="ReportTitlePrompt 3" xfId="107"/>
    <cellStyle name="ReportTitlePrompt 4" xfId="8213"/>
    <cellStyle name="ReportTitleValue" xfId="37"/>
    <cellStyle name="ReportTitleValue 2" xfId="8214"/>
    <cellStyle name="RowAcctAbovePrompt" xfId="38"/>
    <cellStyle name="RowAcctAbovePrompt 2" xfId="108"/>
    <cellStyle name="RowAcctAbovePrompt 3" xfId="8215"/>
    <cellStyle name="RowAcctSOBAbovePrompt" xfId="39"/>
    <cellStyle name="RowAcctSOBAbovePrompt 2" xfId="109"/>
    <cellStyle name="RowAcctSOBAbovePrompt 3" xfId="8216"/>
    <cellStyle name="RowAcctSOBValue" xfId="40"/>
    <cellStyle name="RowAcctSOBValue 2" xfId="110"/>
    <cellStyle name="RowAcctSOBValue 3" xfId="8217"/>
    <cellStyle name="RowAcctValue" xfId="41"/>
    <cellStyle name="RowAcctValue 2" xfId="8218"/>
    <cellStyle name="RowAttrAbovePrompt" xfId="42"/>
    <cellStyle name="RowAttrAbovePrompt 2" xfId="111"/>
    <cellStyle name="RowAttrAbovePrompt 3" xfId="8219"/>
    <cellStyle name="RowAttrValue" xfId="43"/>
    <cellStyle name="RowAttrValue 2" xfId="8220"/>
    <cellStyle name="RowColSetAbovePrompt" xfId="44"/>
    <cellStyle name="RowColSetAbovePrompt 2" xfId="112"/>
    <cellStyle name="RowColSetAbovePrompt 3" xfId="8221"/>
    <cellStyle name="RowColSetLeftPrompt" xfId="45"/>
    <cellStyle name="RowColSetLeftPrompt 2" xfId="113"/>
    <cellStyle name="RowColSetLeftPrompt 3" xfId="8222"/>
    <cellStyle name="RowColSetValue" xfId="46"/>
    <cellStyle name="RowColSetValue 2" xfId="205"/>
    <cellStyle name="RowColSetValue 3" xfId="8223"/>
    <cellStyle name="RowLeftPrompt" xfId="47"/>
    <cellStyle name="RowLeftPrompt 2" xfId="114"/>
    <cellStyle name="RowLeftPrompt 3" xfId="8224"/>
    <cellStyle name="SampleUsingFormatMask" xfId="48"/>
    <cellStyle name="SampleUsingFormatMask 2" xfId="115"/>
    <cellStyle name="SampleUsingFormatMask 3" xfId="8225"/>
    <cellStyle name="SampleWithNoFormatMask" xfId="49"/>
    <cellStyle name="SampleWithNoFormatMask 2" xfId="116"/>
    <cellStyle name="SampleWithNoFormatMask 3" xfId="8226"/>
    <cellStyle name="SAPBEXaggData" xfId="117"/>
    <cellStyle name="SAPBEXaggData 10" xfId="2794"/>
    <cellStyle name="SAPBEXaggData 11" xfId="2937"/>
    <cellStyle name="SAPBEXaggData 12" xfId="2878"/>
    <cellStyle name="SAPBEXaggData 2" xfId="253"/>
    <cellStyle name="SAPBEXaggData 2 10" xfId="2764"/>
    <cellStyle name="SAPBEXaggData 2 11" xfId="2015"/>
    <cellStyle name="SAPBEXaggData 2 2" xfId="413"/>
    <cellStyle name="SAPBEXaggData 2 3" xfId="1327"/>
    <cellStyle name="SAPBEXaggData 2 4" xfId="1495"/>
    <cellStyle name="SAPBEXaggData 2 5" xfId="1734"/>
    <cellStyle name="SAPBEXaggData 2 6" xfId="1857"/>
    <cellStyle name="SAPBEXaggData 2 7" xfId="2195"/>
    <cellStyle name="SAPBEXaggData 2 8" xfId="2451"/>
    <cellStyle name="SAPBEXaggData 2 9" xfId="2834"/>
    <cellStyle name="SAPBEXaggData 3" xfId="706"/>
    <cellStyle name="SAPBEXaggData 4" xfId="697"/>
    <cellStyle name="SAPBEXaggData 5" xfId="1428"/>
    <cellStyle name="SAPBEXaggData 6" xfId="1964"/>
    <cellStyle name="SAPBEXaggData 7" xfId="1972"/>
    <cellStyle name="SAPBEXaggData 8" xfId="2492"/>
    <cellStyle name="SAPBEXaggData 9" xfId="2558"/>
    <cellStyle name="SAPBEXaggDataEmph" xfId="118"/>
    <cellStyle name="SAPBEXaggDataEmph 10" xfId="2949"/>
    <cellStyle name="SAPBEXaggDataEmph 11" xfId="2651"/>
    <cellStyle name="SAPBEXaggDataEmph 2" xfId="403"/>
    <cellStyle name="SAPBEXaggDataEmph 3" xfId="610"/>
    <cellStyle name="SAPBEXaggDataEmph 4" xfId="745"/>
    <cellStyle name="SAPBEXaggDataEmph 5" xfId="1848"/>
    <cellStyle name="SAPBEXaggDataEmph 6" xfId="1838"/>
    <cellStyle name="SAPBEXaggDataEmph 7" xfId="2150"/>
    <cellStyle name="SAPBEXaggDataEmph 8" xfId="1759"/>
    <cellStyle name="SAPBEXaggDataEmph 9" xfId="2799"/>
    <cellStyle name="SAPBEXaggItem" xfId="119"/>
    <cellStyle name="SAPBEXaggItem 10" xfId="1740"/>
    <cellStyle name="SAPBEXaggItem 11" xfId="2620"/>
    <cellStyle name="SAPBEXaggItem 12" xfId="2968"/>
    <cellStyle name="SAPBEXaggItem 2" xfId="254"/>
    <cellStyle name="SAPBEXaggItem 2 10" xfId="2759"/>
    <cellStyle name="SAPBEXaggItem 2 11" xfId="2962"/>
    <cellStyle name="SAPBEXaggItem 2 2" xfId="638"/>
    <cellStyle name="SAPBEXaggItem 2 3" xfId="1224"/>
    <cellStyle name="SAPBEXaggItem 2 4" xfId="1340"/>
    <cellStyle name="SAPBEXaggItem 2 5" xfId="1733"/>
    <cellStyle name="SAPBEXaggItem 2 6" xfId="1974"/>
    <cellStyle name="SAPBEXaggItem 2 7" xfId="2006"/>
    <cellStyle name="SAPBEXaggItem 2 8" xfId="2560"/>
    <cellStyle name="SAPBEXaggItem 2 9" xfId="2760"/>
    <cellStyle name="SAPBEXaggItem 3" xfId="404"/>
    <cellStyle name="SAPBEXaggItem 4" xfId="1011"/>
    <cellStyle name="SAPBEXaggItem 5" xfId="1404"/>
    <cellStyle name="SAPBEXaggItem 6" xfId="2008"/>
    <cellStyle name="SAPBEXaggItem 7" xfId="1918"/>
    <cellStyle name="SAPBEXaggItem 8" xfId="1771"/>
    <cellStyle name="SAPBEXaggItem 9" xfId="2513"/>
    <cellStyle name="SAPBEXaggItemX" xfId="120"/>
    <cellStyle name="SAPBEXaggItemX 10" xfId="1766"/>
    <cellStyle name="SAPBEXaggItemX 11" xfId="2905"/>
    <cellStyle name="SAPBEXaggItemX 12" xfId="2891"/>
    <cellStyle name="SAPBEXaggItemX 2" xfId="255"/>
    <cellStyle name="SAPBEXaggItemX 2 10" xfId="2980"/>
    <cellStyle name="SAPBEXaggItemX 2 11" xfId="2868"/>
    <cellStyle name="SAPBEXaggItemX 2 2" xfId="493"/>
    <cellStyle name="SAPBEXaggItemX 2 3" xfId="1325"/>
    <cellStyle name="SAPBEXaggItemX 2 4" xfId="1494"/>
    <cellStyle name="SAPBEXaggItemX 2 5" xfId="1732"/>
    <cellStyle name="SAPBEXaggItemX 2 6" xfId="1885"/>
    <cellStyle name="SAPBEXaggItemX 2 7" xfId="2230"/>
    <cellStyle name="SAPBEXaggItemX 2 8" xfId="2485"/>
    <cellStyle name="SAPBEXaggItemX 2 9" xfId="1694"/>
    <cellStyle name="SAPBEXaggItemX 3" xfId="629"/>
    <cellStyle name="SAPBEXaggItemX 4" xfId="805"/>
    <cellStyle name="SAPBEXaggItemX 5" xfId="453"/>
    <cellStyle name="SAPBEXaggItemX 6" xfId="1888"/>
    <cellStyle name="SAPBEXaggItemX 7" xfId="2036"/>
    <cellStyle name="SAPBEXaggItemX 8" xfId="1684"/>
    <cellStyle name="SAPBEXaggItemX 9" xfId="2622"/>
    <cellStyle name="SAPBEXchaText" xfId="121"/>
    <cellStyle name="SAPBEXchaText 2" xfId="256"/>
    <cellStyle name="SAPBEXexcBad7" xfId="122"/>
    <cellStyle name="SAPBEXexcBad7 10" xfId="2803"/>
    <cellStyle name="SAPBEXexcBad7 11" xfId="2952"/>
    <cellStyle name="SAPBEXexcBad7 12" xfId="2842"/>
    <cellStyle name="SAPBEXexcBad7 2" xfId="257"/>
    <cellStyle name="SAPBEXexcBad7 2 10" xfId="1683"/>
    <cellStyle name="SAPBEXexcBad7 2 11" xfId="2889"/>
    <cellStyle name="SAPBEXexcBad7 2 2" xfId="457"/>
    <cellStyle name="SAPBEXexcBad7 2 3" xfId="426"/>
    <cellStyle name="SAPBEXexcBad7 2 4" xfId="1324"/>
    <cellStyle name="SAPBEXexcBad7 2 5" xfId="2060"/>
    <cellStyle name="SAPBEXexcBad7 2 6" xfId="1864"/>
    <cellStyle name="SAPBEXexcBad7 2 7" xfId="2273"/>
    <cellStyle name="SAPBEXexcBad7 2 8" xfId="2459"/>
    <cellStyle name="SAPBEXexcBad7 2 9" xfId="1681"/>
    <cellStyle name="SAPBEXexcBad7 3" xfId="716"/>
    <cellStyle name="SAPBEXexcBad7 4" xfId="695"/>
    <cellStyle name="SAPBEXexcBad7 5" xfId="761"/>
    <cellStyle name="SAPBEXexcBad7 6" xfId="1854"/>
    <cellStyle name="SAPBEXexcBad7 7" xfId="2037"/>
    <cellStyle name="SAPBEXexcBad7 8" xfId="1686"/>
    <cellStyle name="SAPBEXexcBad7 9" xfId="2623"/>
    <cellStyle name="SAPBEXexcBad8" xfId="123"/>
    <cellStyle name="SAPBEXexcBad8 10" xfId="1811"/>
    <cellStyle name="SAPBEXexcBad8 11" xfId="2969"/>
    <cellStyle name="SAPBEXexcBad8 2" xfId="405"/>
    <cellStyle name="SAPBEXexcBad8 3" xfId="670"/>
    <cellStyle name="SAPBEXexcBad8 4" xfId="1393"/>
    <cellStyle name="SAPBEXexcBad8 5" xfId="1996"/>
    <cellStyle name="SAPBEXexcBad8 6" xfId="1920"/>
    <cellStyle name="SAPBEXexcBad8 7" xfId="1687"/>
    <cellStyle name="SAPBEXexcBad8 8" xfId="2515"/>
    <cellStyle name="SAPBEXexcBad8 9" xfId="2440"/>
    <cellStyle name="SAPBEXexcBad9" xfId="124"/>
    <cellStyle name="SAPBEXexcBad9 10" xfId="2818"/>
    <cellStyle name="SAPBEXexcBad9 11" xfId="2804"/>
    <cellStyle name="SAPBEXexcBad9 2" xfId="406"/>
    <cellStyle name="SAPBEXexcBad9 3" xfId="1010"/>
    <cellStyle name="SAPBEXexcBad9 4" xfId="1336"/>
    <cellStyle name="SAPBEXexcBad9 5" xfId="1875"/>
    <cellStyle name="SAPBEXexcBad9 6" xfId="2038"/>
    <cellStyle name="SAPBEXexcBad9 7" xfId="1816"/>
    <cellStyle name="SAPBEXexcBad9 8" xfId="2624"/>
    <cellStyle name="SAPBEXexcBad9 9" xfId="2484"/>
    <cellStyle name="SAPBEXexcCritical4" xfId="125"/>
    <cellStyle name="SAPBEXexcCritical4 10" xfId="2319"/>
    <cellStyle name="SAPBEXexcCritical4 11" xfId="2566"/>
    <cellStyle name="SAPBEXexcCritical4 12" xfId="3027"/>
    <cellStyle name="SAPBEXexcCritical4 2" xfId="258"/>
    <cellStyle name="SAPBEXexcCritical4 2 10" xfId="2888"/>
    <cellStyle name="SAPBEXexcCritical4 2 11" xfId="3016"/>
    <cellStyle name="SAPBEXexcCritical4 2 2" xfId="624"/>
    <cellStyle name="SAPBEXexcCritical4 2 3" xfId="1226"/>
    <cellStyle name="SAPBEXexcCritical4 2 4" xfId="1407"/>
    <cellStyle name="SAPBEXexcCritical4 2 5" xfId="2061"/>
    <cellStyle name="SAPBEXexcCritical4 2 6" xfId="1976"/>
    <cellStyle name="SAPBEXexcCritical4 2 7" xfId="2144"/>
    <cellStyle name="SAPBEXexcCritical4 2 8" xfId="2471"/>
    <cellStyle name="SAPBEXexcCritical4 2 9" xfId="2656"/>
    <cellStyle name="SAPBEXexcCritical4 3" xfId="819"/>
    <cellStyle name="SAPBEXexcCritical4 4" xfId="397"/>
    <cellStyle name="SAPBEXexcCritical4 5" xfId="1421"/>
    <cellStyle name="SAPBEXexcCritical4 6" xfId="1865"/>
    <cellStyle name="SAPBEXexcCritical4 7" xfId="1921"/>
    <cellStyle name="SAPBEXexcCritical4 8" xfId="1688"/>
    <cellStyle name="SAPBEXexcCritical4 9" xfId="2516"/>
    <cellStyle name="SAPBEXexcCritical5" xfId="126"/>
    <cellStyle name="SAPBEXexcCritical5 10" xfId="2467"/>
    <cellStyle name="SAPBEXexcCritical5 11" xfId="1810"/>
    <cellStyle name="SAPBEXexcCritical5 12" xfId="2096"/>
    <cellStyle name="SAPBEXexcCritical5 2" xfId="259"/>
    <cellStyle name="SAPBEXexcCritical5 2 10" xfId="2875"/>
    <cellStyle name="SAPBEXexcCritical5 2 11" xfId="2546"/>
    <cellStyle name="SAPBEXexcCritical5 2 2" xfId="424"/>
    <cellStyle name="SAPBEXexcCritical5 2 3" xfId="1101"/>
    <cellStyle name="SAPBEXexcCritical5 2 4" xfId="1041"/>
    <cellStyle name="SAPBEXexcCritical5 2 5" xfId="2062"/>
    <cellStyle name="SAPBEXexcCritical5 2 6" xfId="1748"/>
    <cellStyle name="SAPBEXexcCritical5 2 7" xfId="2219"/>
    <cellStyle name="SAPBEXexcCritical5 2 8" xfId="2120"/>
    <cellStyle name="SAPBEXexcCritical5 2 9" xfId="2826"/>
    <cellStyle name="SAPBEXexcCritical5 3" xfId="497"/>
    <cellStyle name="SAPBEXexcCritical5 4" xfId="801"/>
    <cellStyle name="SAPBEXexcCritical5 5" xfId="567"/>
    <cellStyle name="SAPBEXexcCritical5 6" xfId="2004"/>
    <cellStyle name="SAPBEXexcCritical5 7" xfId="2039"/>
    <cellStyle name="SAPBEXexcCritical5 8" xfId="1689"/>
    <cellStyle name="SAPBEXexcCritical5 9" xfId="2625"/>
    <cellStyle name="SAPBEXexcCritical6" xfId="127"/>
    <cellStyle name="SAPBEXexcCritical6 10" xfId="2327"/>
    <cellStyle name="SAPBEXexcCritical6 11" xfId="2904"/>
    <cellStyle name="SAPBEXexcCritical6 12" xfId="2961"/>
    <cellStyle name="SAPBEXexcCritical6 2" xfId="260"/>
    <cellStyle name="SAPBEXexcCritical6 2 10" xfId="2862"/>
    <cellStyle name="SAPBEXexcCritical6 2 11" xfId="2995"/>
    <cellStyle name="SAPBEXexcCritical6 2 2" xfId="810"/>
    <cellStyle name="SAPBEXexcCritical6 2 3" xfId="1223"/>
    <cellStyle name="SAPBEXexcCritical6 2 4" xfId="1426"/>
    <cellStyle name="SAPBEXexcCritical6 2 5" xfId="2063"/>
    <cellStyle name="SAPBEXexcCritical6 2 6" xfId="1983"/>
    <cellStyle name="SAPBEXexcCritical6 2 7" xfId="2093"/>
    <cellStyle name="SAPBEXexcCritical6 2 8" xfId="2569"/>
    <cellStyle name="SAPBEXexcCritical6 2 9" xfId="2495"/>
    <cellStyle name="SAPBEXexcCritical6 3" xfId="498"/>
    <cellStyle name="SAPBEXexcCritical6 4" xfId="682"/>
    <cellStyle name="SAPBEXexcCritical6 5" xfId="1388"/>
    <cellStyle name="SAPBEXexcCritical6 6" xfId="1884"/>
    <cellStyle name="SAPBEXexcCritical6 7" xfId="1922"/>
    <cellStyle name="SAPBEXexcCritical6 8" xfId="1817"/>
    <cellStyle name="SAPBEXexcCritical6 9" xfId="2517"/>
    <cellStyle name="SAPBEXexcGood1" xfId="128"/>
    <cellStyle name="SAPBEXexcGood1 10" xfId="1782"/>
    <cellStyle name="SAPBEXexcGood1 11" xfId="2805"/>
    <cellStyle name="SAPBEXexcGood1 2" xfId="773"/>
    <cellStyle name="SAPBEXexcGood1 3" xfId="765"/>
    <cellStyle name="SAPBEXexcGood1 4" xfId="1338"/>
    <cellStyle name="SAPBEXexcGood1 5" xfId="1975"/>
    <cellStyle name="SAPBEXexcGood1 6" xfId="2040"/>
    <cellStyle name="SAPBEXexcGood1 7" xfId="1690"/>
    <cellStyle name="SAPBEXexcGood1 8" xfId="2626"/>
    <cellStyle name="SAPBEXexcGood1 9" xfId="2185"/>
    <cellStyle name="SAPBEXexcGood2" xfId="129"/>
    <cellStyle name="SAPBEXexcGood2 10" xfId="2649"/>
    <cellStyle name="SAPBEXexcGood2 11" xfId="3018"/>
    <cellStyle name="SAPBEXexcGood2 2" xfId="499"/>
    <cellStyle name="SAPBEXexcGood2 3" xfId="459"/>
    <cellStyle name="SAPBEXexcGood2 4" xfId="1424"/>
    <cellStyle name="SAPBEXexcGood2 5" xfId="1858"/>
    <cellStyle name="SAPBEXexcGood2 6" xfId="1923"/>
    <cellStyle name="SAPBEXexcGood2 7" xfId="1818"/>
    <cellStyle name="SAPBEXexcGood2 8" xfId="2518"/>
    <cellStyle name="SAPBEXexcGood2 9" xfId="1980"/>
    <cellStyle name="SAPBEXexcGood3" xfId="130"/>
    <cellStyle name="SAPBEXexcGood3 10" xfId="1851"/>
    <cellStyle name="SAPBEXexcGood3 11" xfId="1809"/>
    <cellStyle name="SAPBEXexcGood3 12" xfId="2895"/>
    <cellStyle name="SAPBEXexcGood3 2" xfId="261"/>
    <cellStyle name="SAPBEXexcGood3 2 10" xfId="2972"/>
    <cellStyle name="SAPBEXexcGood3 2 11" xfId="2066"/>
    <cellStyle name="SAPBEXexcGood3 2 2" xfId="796"/>
    <cellStyle name="SAPBEXexcGood3 2 3" xfId="611"/>
    <cellStyle name="SAPBEXexcGood3 2 4" xfId="662"/>
    <cellStyle name="SAPBEXexcGood3 2 5" xfId="2064"/>
    <cellStyle name="SAPBEXexcGood3 2 6" xfId="1899"/>
    <cellStyle name="SAPBEXexcGood3 2 7" xfId="2262"/>
    <cellStyle name="SAPBEXexcGood3 2 8" xfId="2578"/>
    <cellStyle name="SAPBEXexcGood3 2 9" xfId="2833"/>
    <cellStyle name="SAPBEXexcGood3 3" xfId="698"/>
    <cellStyle name="SAPBEXexcGood3 4" xfId="791"/>
    <cellStyle name="SAPBEXexcGood3 5" xfId="775"/>
    <cellStyle name="SAPBEXexcGood3 6" xfId="1941"/>
    <cellStyle name="SAPBEXexcGood3 7" xfId="2041"/>
    <cellStyle name="SAPBEXexcGood3 8" xfId="1691"/>
    <cellStyle name="SAPBEXexcGood3 9" xfId="2627"/>
    <cellStyle name="SAPBEXfilterDrill" xfId="131"/>
    <cellStyle name="SAPBEXfilterDrill 2" xfId="262"/>
    <cellStyle name="SAPBEXfilterItem" xfId="132"/>
    <cellStyle name="SAPBEXfilterItem 2" xfId="263"/>
    <cellStyle name="SAPBEXfilterText" xfId="133"/>
    <cellStyle name="SAPBEXfilterText 2" xfId="264"/>
    <cellStyle name="SAPBEXformats" xfId="134"/>
    <cellStyle name="SAPBEXformats 10" xfId="1743"/>
    <cellStyle name="SAPBEXformats 11" xfId="2652"/>
    <cellStyle name="SAPBEXformats 12" xfId="3005"/>
    <cellStyle name="SAPBEXformats 2" xfId="265"/>
    <cellStyle name="SAPBEXformats 2 10" xfId="1830"/>
    <cellStyle name="SAPBEXformats 2 11" xfId="2806"/>
    <cellStyle name="SAPBEXformats 2 2" xfId="693"/>
    <cellStyle name="SAPBEXformats 2 3" xfId="677"/>
    <cellStyle name="SAPBEXformats 2 4" xfId="537"/>
    <cellStyle name="SAPBEXformats 2 5" xfId="2068"/>
    <cellStyle name="SAPBEXformats 2 6" xfId="2313"/>
    <cellStyle name="SAPBEXformats 2 7" xfId="2281"/>
    <cellStyle name="SAPBEXformats 2 8" xfId="1794"/>
    <cellStyle name="SAPBEXformats 2 9" xfId="2832"/>
    <cellStyle name="SAPBEXformats 3" xfId="581"/>
    <cellStyle name="SAPBEXformats 4" xfId="636"/>
    <cellStyle name="SAPBEXformats 5" xfId="1438"/>
    <cellStyle name="SAPBEXformats 6" xfId="1965"/>
    <cellStyle name="SAPBEXformats 7" xfId="2043"/>
    <cellStyle name="SAPBEXformats 8" xfId="1820"/>
    <cellStyle name="SAPBEXformats 9" xfId="2629"/>
    <cellStyle name="SAPBEXheaderItem" xfId="135"/>
    <cellStyle name="SAPBEXheaderItem 2" xfId="266"/>
    <cellStyle name="SAPBEXheaderText" xfId="136"/>
    <cellStyle name="SAPBEXheaderText 2" xfId="267"/>
    <cellStyle name="SAPBEXHLevel0" xfId="137"/>
    <cellStyle name="SAPBEXHLevel0 10" xfId="2255"/>
    <cellStyle name="SAPBEXHLevel0 11" xfId="2792"/>
    <cellStyle name="SAPBEXHLevel0 12" xfId="3003"/>
    <cellStyle name="SAPBEXHLevel0 2" xfId="206"/>
    <cellStyle name="SAPBEXHLevel0 2 10" xfId="3030"/>
    <cellStyle name="SAPBEXHLevel0 2 11" xfId="2998"/>
    <cellStyle name="SAPBEXHLevel0 2 2" xfId="1071"/>
    <cellStyle name="SAPBEXHLevel0 2 3" xfId="829"/>
    <cellStyle name="SAPBEXHLevel0 2 4" xfId="1028"/>
    <cellStyle name="SAPBEXHLevel0 2 5" xfId="1914"/>
    <cellStyle name="SAPBEXHLevel0 2 6" xfId="2139"/>
    <cellStyle name="SAPBEXHLevel0 2 7" xfId="2552"/>
    <cellStyle name="SAPBEXHLevel0 2 8" xfId="2595"/>
    <cellStyle name="SAPBEXHLevel0 2 9" xfId="2229"/>
    <cellStyle name="SAPBEXHLevel0 3" xfId="582"/>
    <cellStyle name="SAPBEXHLevel0 4" xfId="449"/>
    <cellStyle name="SAPBEXHLevel0 5" xfId="1351"/>
    <cellStyle name="SAPBEXHLevel0 6" xfId="1882"/>
    <cellStyle name="SAPBEXHLevel0 7" xfId="1927"/>
    <cellStyle name="SAPBEXHLevel0 8" xfId="1695"/>
    <cellStyle name="SAPBEXHLevel0 9" xfId="2520"/>
    <cellStyle name="SAPBEXHLevel0X" xfId="138"/>
    <cellStyle name="SAPBEXHLevel0X 10" xfId="2024"/>
    <cellStyle name="SAPBEXHLevel0X 11" xfId="1730"/>
    <cellStyle name="SAPBEXHLevel0X 12" xfId="2957"/>
    <cellStyle name="SAPBEXHLevel0X 2" xfId="207"/>
    <cellStyle name="SAPBEXHLevel0X 2 10" xfId="2970"/>
    <cellStyle name="SAPBEXHLevel0X 2 11" xfId="2020"/>
    <cellStyle name="SAPBEXHLevel0X 2 2" xfId="812"/>
    <cellStyle name="SAPBEXHLevel0X 2 3" xfId="1225"/>
    <cellStyle name="SAPBEXHLevel0X 2 4" xfId="1411"/>
    <cellStyle name="SAPBEXHLevel0X 2 5" xfId="2030"/>
    <cellStyle name="SAPBEXHLevel0X 2 6" xfId="2227"/>
    <cellStyle name="SAPBEXHLevel0X 2 7" xfId="2443"/>
    <cellStyle name="SAPBEXHLevel0X 2 8" xfId="1926"/>
    <cellStyle name="SAPBEXHLevel0X 2 9" xfId="2245"/>
    <cellStyle name="SAPBEXHLevel0X 3" xfId="661"/>
    <cellStyle name="SAPBEXHLevel0X 4" xfId="800"/>
    <cellStyle name="SAPBEXHLevel0X 5" xfId="1439"/>
    <cellStyle name="SAPBEXHLevel0X 6" xfId="1977"/>
    <cellStyle name="SAPBEXHLevel0X 7" xfId="2045"/>
    <cellStyle name="SAPBEXHLevel0X 8" xfId="1821"/>
    <cellStyle name="SAPBEXHLevel0X 9" xfId="2630"/>
    <cellStyle name="SAPBEXHLevel1" xfId="139"/>
    <cellStyle name="SAPBEXHLevel1 10" xfId="1989"/>
    <cellStyle name="SAPBEXHLevel1 11" xfId="1680"/>
    <cellStyle name="SAPBEXHLevel1 12" xfId="2959"/>
    <cellStyle name="SAPBEXHLevel1 2" xfId="208"/>
    <cellStyle name="SAPBEXHLevel1 2 10" xfId="2974"/>
    <cellStyle name="SAPBEXHLevel1 2 11" xfId="2994"/>
    <cellStyle name="SAPBEXHLevel1 2 2" xfId="1053"/>
    <cellStyle name="SAPBEXHLevel1 2 3" xfId="468"/>
    <cellStyle name="SAPBEXHLevel1 2 4" xfId="1326"/>
    <cellStyle name="SAPBEXHLevel1 2 5" xfId="1912"/>
    <cellStyle name="SAPBEXHLevel1 2 6" xfId="2101"/>
    <cellStyle name="SAPBEXHLevel1 2 7" xfId="2588"/>
    <cellStyle name="SAPBEXHLevel1 2 8" xfId="1973"/>
    <cellStyle name="SAPBEXHLevel1 2 9" xfId="2565"/>
    <cellStyle name="SAPBEXHLevel1 3" xfId="596"/>
    <cellStyle name="SAPBEXHLevel1 4" xfId="759"/>
    <cellStyle name="SAPBEXHLevel1 5" xfId="1352"/>
    <cellStyle name="SAPBEXHLevel1 6" xfId="1860"/>
    <cellStyle name="SAPBEXHLevel1 7" xfId="1905"/>
    <cellStyle name="SAPBEXHLevel1 8" xfId="1696"/>
    <cellStyle name="SAPBEXHLevel1 9" xfId="2501"/>
    <cellStyle name="SAPBEXHLevel1X" xfId="140"/>
    <cellStyle name="SAPBEXHLevel1X 10" xfId="1744"/>
    <cellStyle name="SAPBEXHLevel1X 11" xfId="1808"/>
    <cellStyle name="SAPBEXHLevel1X 12" xfId="3025"/>
    <cellStyle name="SAPBEXHLevel1X 2" xfId="209"/>
    <cellStyle name="SAPBEXHLevel1X 2 10" xfId="2928"/>
    <cellStyle name="SAPBEXHLevel1X 2 11" xfId="2999"/>
    <cellStyle name="SAPBEXHLevel1X 2 2" xfId="437"/>
    <cellStyle name="SAPBEXHLevel1X 2 3" xfId="1222"/>
    <cellStyle name="SAPBEXHLevel1X 2 4" xfId="1347"/>
    <cellStyle name="SAPBEXHLevel1X 2 5" xfId="1940"/>
    <cellStyle name="SAPBEXHLevel1X 2 6" xfId="2274"/>
    <cellStyle name="SAPBEXHLevel1X 2 7" xfId="2483"/>
    <cellStyle name="SAPBEXHLevel1X 2 8" xfId="2461"/>
    <cellStyle name="SAPBEXHLevel1X 2 9" xfId="2787"/>
    <cellStyle name="SAPBEXHLevel1X 3" xfId="816"/>
    <cellStyle name="SAPBEXHLevel1X 4" xfId="642"/>
    <cellStyle name="SAPBEXHLevel1X 5" xfId="1440"/>
    <cellStyle name="SAPBEXHLevel1X 6" xfId="2019"/>
    <cellStyle name="SAPBEXHLevel1X 7" xfId="2023"/>
    <cellStyle name="SAPBEXHLevel1X 8" xfId="1822"/>
    <cellStyle name="SAPBEXHLevel1X 9" xfId="2610"/>
    <cellStyle name="SAPBEXHLevel2" xfId="141"/>
    <cellStyle name="SAPBEXHLevel2 10" xfId="1966"/>
    <cellStyle name="SAPBEXHLevel2 11" xfId="2253"/>
    <cellStyle name="SAPBEXHLevel2 12" xfId="2975"/>
    <cellStyle name="SAPBEXHLevel2 2" xfId="210"/>
    <cellStyle name="SAPBEXHLevel2 2 10" xfId="1978"/>
    <cellStyle name="SAPBEXHLevel2 2 11" xfId="2943"/>
    <cellStyle name="SAPBEXHLevel2 2 2" xfId="795"/>
    <cellStyle name="SAPBEXHLevel2 2 3" xfId="976"/>
    <cellStyle name="SAPBEXHLevel2 2 4" xfId="1168"/>
    <cellStyle name="SAPBEXHLevel2 2 5" xfId="1756"/>
    <cellStyle name="SAPBEXHLevel2 2 6" xfId="2146"/>
    <cellStyle name="SAPBEXHLevel2 2 7" xfId="2531"/>
    <cellStyle name="SAPBEXHLevel2 2 8" xfId="2447"/>
    <cellStyle name="SAPBEXHLevel2 2 9" xfId="2462"/>
    <cellStyle name="SAPBEXHLevel2 3" xfId="569"/>
    <cellStyle name="SAPBEXHLevel2 4" xfId="598"/>
    <cellStyle name="SAPBEXHLevel2 5" xfId="1353"/>
    <cellStyle name="SAPBEXHLevel2 6" xfId="1901"/>
    <cellStyle name="SAPBEXHLevel2 7" xfId="1928"/>
    <cellStyle name="SAPBEXHLevel2 8" xfId="1697"/>
    <cellStyle name="SAPBEXHLevel2 9" xfId="2521"/>
    <cellStyle name="SAPBEXHLevel2X" xfId="142"/>
    <cellStyle name="SAPBEXHLevel2X 10" xfId="2323"/>
    <cellStyle name="SAPBEXHLevel2X 11" xfId="1679"/>
    <cellStyle name="SAPBEXHLevel2X 12" xfId="2915"/>
    <cellStyle name="SAPBEXHLevel2X 2" xfId="211"/>
    <cellStyle name="SAPBEXHLevel2X 2 10" xfId="3031"/>
    <cellStyle name="SAPBEXHLevel2X 2 11" xfId="2154"/>
    <cellStyle name="SAPBEXHLevel2X 2 2" xfId="494"/>
    <cellStyle name="SAPBEXHLevel2X 2 3" xfId="1221"/>
    <cellStyle name="SAPBEXHLevel2X 2 4" xfId="1435"/>
    <cellStyle name="SAPBEXHLevel2X 2 5" xfId="2028"/>
    <cellStyle name="SAPBEXHLevel2X 2 6" xfId="2218"/>
    <cellStyle name="SAPBEXHLevel2X 2 7" xfId="2330"/>
    <cellStyle name="SAPBEXHLevel2X 2 8" xfId="2539"/>
    <cellStyle name="SAPBEXHLevel2X 2 9" xfId="2909"/>
    <cellStyle name="SAPBEXHLevel2X 3" xfId="513"/>
    <cellStyle name="SAPBEXHLevel2X 4" xfId="444"/>
    <cellStyle name="SAPBEXHLevel2X 5" xfId="1441"/>
    <cellStyle name="SAPBEXHLevel2X 6" xfId="1968"/>
    <cellStyle name="SAPBEXHLevel2X 7" xfId="2046"/>
    <cellStyle name="SAPBEXHLevel2X 8" xfId="1823"/>
    <cellStyle name="SAPBEXHLevel2X 9" xfId="2631"/>
    <cellStyle name="SAPBEXHLevel3" xfId="143"/>
    <cellStyle name="SAPBEXHLevel3 10" xfId="1850"/>
    <cellStyle name="SAPBEXHLevel3 11" xfId="2855"/>
    <cellStyle name="SAPBEXHLevel3 12" xfId="1664"/>
    <cellStyle name="SAPBEXHLevel3 2" xfId="212"/>
    <cellStyle name="SAPBEXHLevel3 2 10" xfId="2919"/>
    <cellStyle name="SAPBEXHLevel3 2 11" xfId="1735"/>
    <cellStyle name="SAPBEXHLevel3 2 2" xfId="770"/>
    <cellStyle name="SAPBEXHLevel3 2 3" xfId="764"/>
    <cellStyle name="SAPBEXHLevel3 2 4" xfId="1383"/>
    <cellStyle name="SAPBEXHLevel3 2 5" xfId="1910"/>
    <cellStyle name="SAPBEXHLevel3 2 6" xfId="2090"/>
    <cellStyle name="SAPBEXHLevel3 2 7" xfId="2562"/>
    <cellStyle name="SAPBEXHLevel3 2 8" xfId="1999"/>
    <cellStyle name="SAPBEXHLevel3 2 9" xfId="2854"/>
    <cellStyle name="SAPBEXHLevel3 3" xfId="617"/>
    <cellStyle name="SAPBEXHLevel3 4" xfId="794"/>
    <cellStyle name="SAPBEXHLevel3 5" xfId="1354"/>
    <cellStyle name="SAPBEXHLevel3 6" xfId="1852"/>
    <cellStyle name="SAPBEXHLevel3 7" xfId="1929"/>
    <cellStyle name="SAPBEXHLevel3 8" xfId="1698"/>
    <cellStyle name="SAPBEXHLevel3 9" xfId="2522"/>
    <cellStyle name="SAPBEXHLevel3X" xfId="144"/>
    <cellStyle name="SAPBEXHLevel3X 10" xfId="2491"/>
    <cellStyle name="SAPBEXHLevel3X 11" xfId="1807"/>
    <cellStyle name="SAPBEXHLevel3X 12" xfId="3029"/>
    <cellStyle name="SAPBEXHLevel3X 2" xfId="213"/>
    <cellStyle name="SAPBEXHLevel3X 2 10" xfId="3026"/>
    <cellStyle name="SAPBEXHLevel3X 2 11" xfId="2920"/>
    <cellStyle name="SAPBEXHLevel3X 2 2" xfId="1084"/>
    <cellStyle name="SAPBEXHLevel3X 2 3" xfId="1043"/>
    <cellStyle name="SAPBEXHLevel3X 2 4" xfId="736"/>
    <cellStyle name="SAPBEXHLevel3X 2 5" xfId="2026"/>
    <cellStyle name="SAPBEXHLevel3X 2 6" xfId="2270"/>
    <cellStyle name="SAPBEXHLevel3X 2 7" xfId="2452"/>
    <cellStyle name="SAPBEXHLevel3X 2 8" xfId="2465"/>
    <cellStyle name="SAPBEXHLevel3X 2 9" xfId="2903"/>
    <cellStyle name="SAPBEXHLevel3X 3" xfId="577"/>
    <cellStyle name="SAPBEXHLevel3X 4" xfId="555"/>
    <cellStyle name="SAPBEXHLevel3X 5" xfId="1442"/>
    <cellStyle name="SAPBEXHLevel3X 6" xfId="1998"/>
    <cellStyle name="SAPBEXHLevel3X 7" xfId="1907"/>
    <cellStyle name="SAPBEXHLevel3X 8" xfId="1699"/>
    <cellStyle name="SAPBEXHLevel3X 9" xfId="2503"/>
    <cellStyle name="SAPBEXresData" xfId="145"/>
    <cellStyle name="SAPBEXresData 10" xfId="2883"/>
    <cellStyle name="SAPBEXresData 11" xfId="2997"/>
    <cellStyle name="SAPBEXresData 2" xfId="601"/>
    <cellStyle name="SAPBEXresData 3" xfId="440"/>
    <cellStyle name="SAPBEXresData 4" xfId="1355"/>
    <cellStyle name="SAPBEXresData 5" xfId="1878"/>
    <cellStyle name="SAPBEXresData 6" xfId="2025"/>
    <cellStyle name="SAPBEXresData 7" xfId="1700"/>
    <cellStyle name="SAPBEXresData 8" xfId="2612"/>
    <cellStyle name="SAPBEXresData 9" xfId="2606"/>
    <cellStyle name="SAPBEXresDataEmph" xfId="146"/>
    <cellStyle name="SAPBEXresDataEmph 10" xfId="1663"/>
    <cellStyle name="SAPBEXresDataEmph 11" xfId="1665"/>
    <cellStyle name="SAPBEXresDataEmph 2" xfId="754"/>
    <cellStyle name="SAPBEXresDataEmph 3" xfId="717"/>
    <cellStyle name="SAPBEXresDataEmph 4" xfId="1443"/>
    <cellStyle name="SAPBEXresDataEmph 5" xfId="1986"/>
    <cellStyle name="SAPBEXresDataEmph 6" xfId="1909"/>
    <cellStyle name="SAPBEXresDataEmph 7" xfId="1824"/>
    <cellStyle name="SAPBEXresDataEmph 8" xfId="2504"/>
    <cellStyle name="SAPBEXresDataEmph 9" xfId="1847"/>
    <cellStyle name="SAPBEXresItem" xfId="147"/>
    <cellStyle name="SAPBEXresItem 10" xfId="2092"/>
    <cellStyle name="SAPBEXresItem 11" xfId="1770"/>
    <cellStyle name="SAPBEXresItem 12" xfId="3020"/>
    <cellStyle name="SAPBEXresItem 2" xfId="268"/>
    <cellStyle name="SAPBEXresItem 2 10" xfId="2827"/>
    <cellStyle name="SAPBEXresItem 2 11" xfId="2981"/>
    <cellStyle name="SAPBEXresItem 2 2" xfId="778"/>
    <cellStyle name="SAPBEXresItem 2 3" xfId="1218"/>
    <cellStyle name="SAPBEXresItem 2 4" xfId="411"/>
    <cellStyle name="SAPBEXresItem 2 5" xfId="2071"/>
    <cellStyle name="SAPBEXresItem 2 6" xfId="2214"/>
    <cellStyle name="SAPBEXresItem 2 7" xfId="2099"/>
    <cellStyle name="SAPBEXresItem 2 8" xfId="2526"/>
    <cellStyle name="SAPBEXresItem 2 9" xfId="2596"/>
    <cellStyle name="SAPBEXresItem 3" xfId="566"/>
    <cellStyle name="SAPBEXresItem 4" xfId="559"/>
    <cellStyle name="SAPBEXresItem 5" xfId="1356"/>
    <cellStyle name="SAPBEXresItem 6" xfId="1868"/>
    <cellStyle name="SAPBEXresItem 7" xfId="2027"/>
    <cellStyle name="SAPBEXresItem 8" xfId="1701"/>
    <cellStyle name="SAPBEXresItem 9" xfId="2614"/>
    <cellStyle name="SAPBEXresItemX" xfId="148"/>
    <cellStyle name="SAPBEXresItemX 10" xfId="1902"/>
    <cellStyle name="SAPBEXresItemX 11" xfId="1662"/>
    <cellStyle name="SAPBEXresItemX 12" xfId="3022"/>
    <cellStyle name="SAPBEXresItemX 2" xfId="269"/>
    <cellStyle name="SAPBEXresItemX 2 10" xfId="2209"/>
    <cellStyle name="SAPBEXresItemX 2 11" xfId="2978"/>
    <cellStyle name="SAPBEXresItemX 2 2" xfId="429"/>
    <cellStyle name="SAPBEXresItemX 2 3" xfId="558"/>
    <cellStyle name="SAPBEXresItemX 2 4" xfId="399"/>
    <cellStyle name="SAPBEXresItemX 2 5" xfId="2072"/>
    <cellStyle name="SAPBEXresItemX 2 6" xfId="2086"/>
    <cellStyle name="SAPBEXresItemX 2 7" xfId="2249"/>
    <cellStyle name="SAPBEXresItemX 2 8" xfId="1867"/>
    <cellStyle name="SAPBEXresItemX 2 9" xfId="2831"/>
    <cellStyle name="SAPBEXresItemX 3" xfId="488"/>
    <cellStyle name="SAPBEXresItemX 4" xfId="917"/>
    <cellStyle name="SAPBEXresItemX 5" xfId="1444"/>
    <cellStyle name="SAPBEXresItemX 6" xfId="2017"/>
    <cellStyle name="SAPBEXresItemX 7" xfId="1911"/>
    <cellStyle name="SAPBEXresItemX 8" xfId="1825"/>
    <cellStyle name="SAPBEXresItemX 9" xfId="2506"/>
    <cellStyle name="SAPBEXstdData" xfId="149"/>
    <cellStyle name="SAPBEXstdData 10" xfId="2265"/>
    <cellStyle name="SAPBEXstdData 11" xfId="1678"/>
    <cellStyle name="SAPBEXstdData 12" xfId="2991"/>
    <cellStyle name="SAPBEXstdData 2" xfId="270"/>
    <cellStyle name="SAPBEXstdData 2 10" xfId="1768"/>
    <cellStyle name="SAPBEXstdData 2 11" xfId="2870"/>
    <cellStyle name="SAPBEXstdData 2 2" xfId="735"/>
    <cellStyle name="SAPBEXstdData 2 3" xfId="1217"/>
    <cellStyle name="SAPBEXstdData 2 4" xfId="1367"/>
    <cellStyle name="SAPBEXstdData 2 5" xfId="2073"/>
    <cellStyle name="SAPBEXstdData 2 6" xfId="1749"/>
    <cellStyle name="SAPBEXstdData 2 7" xfId="2122"/>
    <cellStyle name="SAPBEXstdData 2 8" xfId="2247"/>
    <cellStyle name="SAPBEXstdData 2 9" xfId="2449"/>
    <cellStyle name="SAPBEXstdData 3" xfId="619"/>
    <cellStyle name="SAPBEXstdData 4" xfId="464"/>
    <cellStyle name="SAPBEXstdData 5" xfId="1357"/>
    <cellStyle name="SAPBEXstdData 6" xfId="1897"/>
    <cellStyle name="SAPBEXstdData 7" xfId="2029"/>
    <cellStyle name="SAPBEXstdData 8" xfId="1702"/>
    <cellStyle name="SAPBEXstdData 9" xfId="2615"/>
    <cellStyle name="SAPBEXstdDataEmph" xfId="150"/>
    <cellStyle name="SAPBEXstdDataEmph 10" xfId="2642"/>
    <cellStyle name="SAPBEXstdDataEmph 11" xfId="1806"/>
    <cellStyle name="SAPBEXstdDataEmph 12" xfId="2236"/>
    <cellStyle name="SAPBEXstdDataEmph 2" xfId="271"/>
    <cellStyle name="SAPBEXstdDataEmph 2 10" xfId="2979"/>
    <cellStyle name="SAPBEXstdDataEmph 2 11" xfId="1833"/>
    <cellStyle name="SAPBEXstdDataEmph 2 2" xfId="450"/>
    <cellStyle name="SAPBEXstdDataEmph 2 3" xfId="732"/>
    <cellStyle name="SAPBEXstdDataEmph 2 4" xfId="1097"/>
    <cellStyle name="SAPBEXstdDataEmph 2 5" xfId="2074"/>
    <cellStyle name="SAPBEXstdDataEmph 2 6" xfId="1750"/>
    <cellStyle name="SAPBEXstdDataEmph 2 7" xfId="2250"/>
    <cellStyle name="SAPBEXstdDataEmph 2 8" xfId="2124"/>
    <cellStyle name="SAPBEXstdDataEmph 2 9" xfId="2580"/>
    <cellStyle name="SAPBEXstdDataEmph 3" xfId="793"/>
    <cellStyle name="SAPBEXstdDataEmph 4" xfId="491"/>
    <cellStyle name="SAPBEXstdDataEmph 5" xfId="1445"/>
    <cellStyle name="SAPBEXstdDataEmph 6" xfId="1981"/>
    <cellStyle name="SAPBEXstdDataEmph 7" xfId="1913"/>
    <cellStyle name="SAPBEXstdDataEmph 8" xfId="1826"/>
    <cellStyle name="SAPBEXstdDataEmph 9" xfId="2508"/>
    <cellStyle name="SAPBEXstdItem" xfId="151"/>
    <cellStyle name="SAPBEXstdItem 10" xfId="2322"/>
    <cellStyle name="SAPBEXstdItem 11" xfId="1677"/>
    <cellStyle name="SAPBEXstdItem 12" xfId="2876"/>
    <cellStyle name="SAPBEXstdItem 2" xfId="272"/>
    <cellStyle name="SAPBEXstdItem 2 10" xfId="2944"/>
    <cellStyle name="SAPBEXstdItem 2 11" xfId="2918"/>
    <cellStyle name="SAPBEXstdItem 2 2" xfId="741"/>
    <cellStyle name="SAPBEXstdItem 2 3" xfId="1216"/>
    <cellStyle name="SAPBEXstdItem 2 4" xfId="1348"/>
    <cellStyle name="SAPBEXstdItem 2 5" xfId="2075"/>
    <cellStyle name="SAPBEXstdItem 2 6" xfId="1995"/>
    <cellStyle name="SAPBEXstdItem 2 7" xfId="2123"/>
    <cellStyle name="SAPBEXstdItem 2 8" xfId="2481"/>
    <cellStyle name="SAPBEXstdItem 2 9" xfId="2858"/>
    <cellStyle name="SAPBEXstdItem 3" xfId="501"/>
    <cellStyle name="SAPBEXstdItem 4" xfId="633"/>
    <cellStyle name="SAPBEXstdItem 5" xfId="1358"/>
    <cellStyle name="SAPBEXstdItem 6" xfId="1862"/>
    <cellStyle name="SAPBEXstdItem 7" xfId="2031"/>
    <cellStyle name="SAPBEXstdItem 8" xfId="1703"/>
    <cellStyle name="SAPBEXstdItem 9" xfId="2617"/>
    <cellStyle name="SAPBEXstdItemX" xfId="152"/>
    <cellStyle name="SAPBEXstdItemX 10" xfId="2438"/>
    <cellStyle name="SAPBEXstdItemX 11" xfId="1661"/>
    <cellStyle name="SAPBEXstdItemX 12" xfId="3028"/>
    <cellStyle name="SAPBEXstdItemX 2" xfId="273"/>
    <cellStyle name="SAPBEXstdItemX 2 10" xfId="2458"/>
    <cellStyle name="SAPBEXstdItemX 2 11" xfId="2965"/>
    <cellStyle name="SAPBEXstdItemX 2 2" xfId="511"/>
    <cellStyle name="SAPBEXstdItemX 2 3" xfId="964"/>
    <cellStyle name="SAPBEXstdItemX 2 4" xfId="1081"/>
    <cellStyle name="SAPBEXstdItemX 2 5" xfId="2076"/>
    <cellStyle name="SAPBEXstdItemX 2 6" xfId="2016"/>
    <cellStyle name="SAPBEXstdItemX 2 7" xfId="1881"/>
    <cellStyle name="SAPBEXstdItemX 2 8" xfId="2600"/>
    <cellStyle name="SAPBEXstdItemX 2 9" xfId="2239"/>
    <cellStyle name="SAPBEXstdItemX 3" xfId="813"/>
    <cellStyle name="SAPBEXstdItemX 4" xfId="398"/>
    <cellStyle name="SAPBEXstdItemX 5" xfId="1446"/>
    <cellStyle name="SAPBEXstdItemX 6" xfId="1764"/>
    <cellStyle name="SAPBEXstdItemX 7" xfId="1915"/>
    <cellStyle name="SAPBEXstdItemX 8" xfId="1827"/>
    <cellStyle name="SAPBEXstdItemX 9" xfId="2510"/>
    <cellStyle name="SAPBEXtitle" xfId="153"/>
    <cellStyle name="SAPBEXundefined" xfId="154"/>
    <cellStyle name="SAPBEXundefined 10" xfId="2607"/>
    <cellStyle name="SAPBEXundefined 11" xfId="1805"/>
    <cellStyle name="SAPBEXundefined 12" xfId="2591"/>
    <cellStyle name="SAPBEXundefined 2" xfId="274"/>
    <cellStyle name="SAPBEXundefined 2 10" xfId="1767"/>
    <cellStyle name="SAPBEXundefined 2 11" xfId="2925"/>
    <cellStyle name="SAPBEXundefined 2 2" xfId="731"/>
    <cellStyle name="SAPBEXundefined 2 3" xfId="832"/>
    <cellStyle name="SAPBEXundefined 2 4" xfId="789"/>
    <cellStyle name="SAPBEXundefined 2 5" xfId="2077"/>
    <cellStyle name="SAPBEXundefined 2 6" xfId="1869"/>
    <cellStyle name="SAPBEXundefined 2 7" xfId="2082"/>
    <cellStyle name="SAPBEXundefined 2 8" xfId="2464"/>
    <cellStyle name="SAPBEXundefined 2 9" xfId="2514"/>
    <cellStyle name="SAPBEXundefined 3" xfId="714"/>
    <cellStyle name="SAPBEXundefined 4" xfId="436"/>
    <cellStyle name="SAPBEXundefined 5" xfId="1434"/>
    <cellStyle name="SAPBEXundefined 6" xfId="1762"/>
    <cellStyle name="SAPBEXundefined 7" xfId="1655"/>
    <cellStyle name="SAPBEXundefined 8" xfId="1828"/>
    <cellStyle name="SAPBEXundefined 9" xfId="1708"/>
    <cellStyle name="SAPLocked" xfId="155"/>
    <cellStyle name="SAPLocked 10" xfId="346"/>
    <cellStyle name="SAPLocked 10 10" xfId="2442"/>
    <cellStyle name="SAPLocked 10 11" xfId="1741"/>
    <cellStyle name="SAPLocked 10 12" xfId="2815"/>
    <cellStyle name="SAPLocked 10 13" xfId="2321"/>
    <cellStyle name="SAPLocked 10 2" xfId="901"/>
    <cellStyle name="SAPLocked 10 2 10" xfId="2714"/>
    <cellStyle name="SAPLocked 10 2 11" xfId="2772"/>
    <cellStyle name="SAPLocked 10 2 12" xfId="3035"/>
    <cellStyle name="SAPLocked 10 2 2" xfId="748"/>
    <cellStyle name="SAPLocked 10 2 3" xfId="625"/>
    <cellStyle name="SAPLocked 10 2 4" xfId="1284"/>
    <cellStyle name="SAPLocked 10 2 5" xfId="1455"/>
    <cellStyle name="SAPLocked 10 2 6" xfId="1603"/>
    <cellStyle name="SAPLocked 10 2 7" xfId="2271"/>
    <cellStyle name="SAPLocked 10 2 8" xfId="2391"/>
    <cellStyle name="SAPLocked 10 2 9" xfId="2585"/>
    <cellStyle name="SAPLocked 10 3" xfId="466"/>
    <cellStyle name="SAPLocked 10 4" xfId="713"/>
    <cellStyle name="SAPLocked 10 5" xfId="1161"/>
    <cellStyle name="SAPLocked 10 6" xfId="1447"/>
    <cellStyle name="SAPLocked 10 7" xfId="1502"/>
    <cellStyle name="SAPLocked 10 8" xfId="2142"/>
    <cellStyle name="SAPLocked 10 9" xfId="2126"/>
    <cellStyle name="SAPLocked 11" xfId="305"/>
    <cellStyle name="SAPLocked 11 10" xfId="1889"/>
    <cellStyle name="SAPLocked 11 11" xfId="2482"/>
    <cellStyle name="SAPLocked 11 12" xfId="2225"/>
    <cellStyle name="SAPLocked 11 13" xfId="1769"/>
    <cellStyle name="SAPLocked 11 2" xfId="862"/>
    <cellStyle name="SAPLocked 11 2 10" xfId="2675"/>
    <cellStyle name="SAPLocked 11 2 11" xfId="2798"/>
    <cellStyle name="SAPLocked 11 2 12" xfId="1804"/>
    <cellStyle name="SAPLocked 11 2 2" xfId="958"/>
    <cellStyle name="SAPLocked 11 2 3" xfId="1034"/>
    <cellStyle name="SAPLocked 11 2 4" xfId="1245"/>
    <cellStyle name="SAPLocked 11 2 5" xfId="408"/>
    <cellStyle name="SAPLocked 11 2 6" xfId="1564"/>
    <cellStyle name="SAPLocked 11 2 7" xfId="2233"/>
    <cellStyle name="SAPLocked 11 2 8" xfId="2352"/>
    <cellStyle name="SAPLocked 11 2 9" xfId="2141"/>
    <cellStyle name="SAPLocked 11 3" xfId="817"/>
    <cellStyle name="SAPLocked 11 4" xfId="712"/>
    <cellStyle name="SAPLocked 11 5" xfId="1120"/>
    <cellStyle name="SAPLocked 11 6" xfId="1432"/>
    <cellStyle name="SAPLocked 11 7" xfId="1212"/>
    <cellStyle name="SAPLocked 11 8" xfId="2106"/>
    <cellStyle name="SAPLocked 11 9" xfId="2157"/>
    <cellStyle name="SAPLocked 12" xfId="358"/>
    <cellStyle name="SAPLocked 12 10" xfId="2530"/>
    <cellStyle name="SAPLocked 12 11" xfId="1836"/>
    <cellStyle name="SAPLocked 12 12" xfId="2825"/>
    <cellStyle name="SAPLocked 12 13" xfId="1668"/>
    <cellStyle name="SAPLocked 12 2" xfId="911"/>
    <cellStyle name="SAPLocked 12 2 10" xfId="2722"/>
    <cellStyle name="SAPLocked 12 2 11" xfId="2263"/>
    <cellStyle name="SAPLocked 12 2 12" xfId="3043"/>
    <cellStyle name="SAPLocked 12 2 2" xfId="478"/>
    <cellStyle name="SAPLocked 12 2 3" xfId="506"/>
    <cellStyle name="SAPLocked 12 2 4" xfId="1293"/>
    <cellStyle name="SAPLocked 12 2 5" xfId="1464"/>
    <cellStyle name="SAPLocked 12 2 6" xfId="1611"/>
    <cellStyle name="SAPLocked 12 2 7" xfId="2279"/>
    <cellStyle name="SAPLocked 12 2 8" xfId="2400"/>
    <cellStyle name="SAPLocked 12 2 9" xfId="2433"/>
    <cellStyle name="SAPLocked 12 3" xfId="998"/>
    <cellStyle name="SAPLocked 12 4" xfId="1072"/>
    <cellStyle name="SAPLocked 12 5" xfId="1172"/>
    <cellStyle name="SAPLocked 12 6" xfId="1454"/>
    <cellStyle name="SAPLocked 12 7" xfId="1511"/>
    <cellStyle name="SAPLocked 12 8" xfId="2152"/>
    <cellStyle name="SAPLocked 12 9" xfId="1644"/>
    <cellStyle name="SAPLocked 13" xfId="313"/>
    <cellStyle name="SAPLocked 13 10" xfId="1895"/>
    <cellStyle name="SAPLocked 13 11" xfId="2325"/>
    <cellStyle name="SAPLocked 13 12" xfId="2789"/>
    <cellStyle name="SAPLocked 13 13" xfId="1993"/>
    <cellStyle name="SAPLocked 13 2" xfId="869"/>
    <cellStyle name="SAPLocked 13 2 10" xfId="2682"/>
    <cellStyle name="SAPLocked 13 2 11" xfId="2836"/>
    <cellStyle name="SAPLocked 13 2 12" xfId="1673"/>
    <cellStyle name="SAPLocked 13 2 2" xfId="664"/>
    <cellStyle name="SAPLocked 13 2 3" xfId="509"/>
    <cellStyle name="SAPLocked 13 2 4" xfId="1252"/>
    <cellStyle name="SAPLocked 13 2 5" xfId="1219"/>
    <cellStyle name="SAPLocked 13 2 6" xfId="1571"/>
    <cellStyle name="SAPLocked 13 2 7" xfId="2240"/>
    <cellStyle name="SAPLocked 13 2 8" xfId="2359"/>
    <cellStyle name="SAPLocked 13 2 9" xfId="2497"/>
    <cellStyle name="SAPLocked 13 3" xfId="968"/>
    <cellStyle name="SAPLocked 13 4" xfId="1042"/>
    <cellStyle name="SAPLocked 13 5" xfId="1128"/>
    <cellStyle name="SAPLocked 13 6" xfId="1430"/>
    <cellStyle name="SAPLocked 13 7" xfId="1032"/>
    <cellStyle name="SAPLocked 13 8" xfId="2114"/>
    <cellStyle name="SAPLocked 13 9" xfId="1779"/>
    <cellStyle name="SAPLocked 14" xfId="333"/>
    <cellStyle name="SAPLocked 14 10" xfId="2098"/>
    <cellStyle name="SAPLocked 14 11" xfId="1856"/>
    <cellStyle name="SAPLocked 14 12" xfId="2851"/>
    <cellStyle name="SAPLocked 14 13" xfId="2940"/>
    <cellStyle name="SAPLocked 14 2" xfId="889"/>
    <cellStyle name="SAPLocked 14 2 10" xfId="2702"/>
    <cellStyle name="SAPLocked 14 2 11" xfId="2105"/>
    <cellStyle name="SAPLocked 14 2 12" xfId="2935"/>
    <cellStyle name="SAPLocked 14 2 2" xfId="1012"/>
    <cellStyle name="SAPLocked 14 2 3" xfId="1086"/>
    <cellStyle name="SAPLocked 14 2 4" xfId="1272"/>
    <cellStyle name="SAPLocked 14 2 5" xfId="1371"/>
    <cellStyle name="SAPLocked 14 2 6" xfId="1591"/>
    <cellStyle name="SAPLocked 14 2 7" xfId="2259"/>
    <cellStyle name="SAPLocked 14 2 8" xfId="2379"/>
    <cellStyle name="SAPLocked 14 2 9" xfId="2611"/>
    <cellStyle name="SAPLocked 14 3" xfId="1006"/>
    <cellStyle name="SAPLocked 14 4" xfId="1080"/>
    <cellStyle name="SAPLocked 14 5" xfId="1148"/>
    <cellStyle name="SAPLocked 14 6" xfId="780"/>
    <cellStyle name="SAPLocked 14 7" xfId="551"/>
    <cellStyle name="SAPLocked 14 8" xfId="2130"/>
    <cellStyle name="SAPLocked 14 9" xfId="2293"/>
    <cellStyle name="SAPLocked 15" xfId="293"/>
    <cellStyle name="SAPLocked 15 10" xfId="2317"/>
    <cellStyle name="SAPLocked 15 11" xfId="2639"/>
    <cellStyle name="SAPLocked 15 12" xfId="2884"/>
    <cellStyle name="SAPLocked 15 13" xfId="1990"/>
    <cellStyle name="SAPLocked 15 2" xfId="850"/>
    <cellStyle name="SAPLocked 15 2 10" xfId="2663"/>
    <cellStyle name="SAPLocked 15 2 11" xfId="2211"/>
    <cellStyle name="SAPLocked 15 2 12" xfId="1670"/>
    <cellStyle name="SAPLocked 15 2 2" xfId="655"/>
    <cellStyle name="SAPLocked 15 2 3" xfId="772"/>
    <cellStyle name="SAPLocked 15 2 4" xfId="1233"/>
    <cellStyle name="SAPLocked 15 2 5" xfId="1167"/>
    <cellStyle name="SAPLocked 15 2 6" xfId="1552"/>
    <cellStyle name="SAPLocked 15 2 7" xfId="2221"/>
    <cellStyle name="SAPLocked 15 2 8" xfId="2340"/>
    <cellStyle name="SAPLocked 15 2 9" xfId="2598"/>
    <cellStyle name="SAPLocked 15 3" xfId="993"/>
    <cellStyle name="SAPLocked 15 4" xfId="1066"/>
    <cellStyle name="SAPLocked 15 5" xfId="1108"/>
    <cellStyle name="SAPLocked 15 6" xfId="1335"/>
    <cellStyle name="SAPLocked 15 7" xfId="730"/>
    <cellStyle name="SAPLocked 15 8" xfId="2095"/>
    <cellStyle name="SAPLocked 15 9" xfId="2190"/>
    <cellStyle name="SAPLocked 16" xfId="347"/>
    <cellStyle name="SAPLocked 16 10" xfId="2592"/>
    <cellStyle name="SAPLocked 16 11" xfId="2479"/>
    <cellStyle name="SAPLocked 16 12" xfId="2594"/>
    <cellStyle name="SAPLocked 16 13" xfId="2926"/>
    <cellStyle name="SAPLocked 16 2" xfId="902"/>
    <cellStyle name="SAPLocked 16 2 10" xfId="2715"/>
    <cellStyle name="SAPLocked 16 2 11" xfId="2867"/>
    <cellStyle name="SAPLocked 16 2 12" xfId="3036"/>
    <cellStyle name="SAPLocked 16 2 2" xfId="652"/>
    <cellStyle name="SAPLocked 16 2 3" xfId="956"/>
    <cellStyle name="SAPLocked 16 2 4" xfId="1285"/>
    <cellStyle name="SAPLocked 16 2 5" xfId="1456"/>
    <cellStyle name="SAPLocked 16 2 6" xfId="1604"/>
    <cellStyle name="SAPLocked 16 2 7" xfId="2272"/>
    <cellStyle name="SAPLocked 16 2 8" xfId="2392"/>
    <cellStyle name="SAPLocked 16 2 9" xfId="2478"/>
    <cellStyle name="SAPLocked 16 3" xfId="632"/>
    <cellStyle name="SAPLocked 16 4" xfId="831"/>
    <cellStyle name="SAPLocked 16 5" xfId="1162"/>
    <cellStyle name="SAPLocked 16 6" xfId="1360"/>
    <cellStyle name="SAPLocked 16 7" xfId="1503"/>
    <cellStyle name="SAPLocked 16 8" xfId="2143"/>
    <cellStyle name="SAPLocked 16 9" xfId="2244"/>
    <cellStyle name="SAPLocked 17" xfId="287"/>
    <cellStyle name="SAPLocked 17 10" xfId="2208"/>
    <cellStyle name="SAPLocked 17 11" xfId="1742"/>
    <cellStyle name="SAPLocked 17 12" xfId="2542"/>
    <cellStyle name="SAPLocked 17 13" xfId="2328"/>
    <cellStyle name="SAPLocked 17 2" xfId="844"/>
    <cellStyle name="SAPLocked 17 2 10" xfId="2657"/>
    <cellStyle name="SAPLocked 17 2 11" xfId="2880"/>
    <cellStyle name="SAPLocked 17 2 12" xfId="3012"/>
    <cellStyle name="SAPLocked 17 2 2" xfId="489"/>
    <cellStyle name="SAPLocked 17 2 3" xfId="981"/>
    <cellStyle name="SAPLocked 17 2 4" xfId="1227"/>
    <cellStyle name="SAPLocked 17 2 5" xfId="1406"/>
    <cellStyle name="SAPLocked 17 2 6" xfId="1546"/>
    <cellStyle name="SAPLocked 17 2 7" xfId="2217"/>
    <cellStyle name="SAPLocked 17 2 8" xfId="2334"/>
    <cellStyle name="SAPLocked 17 2 9" xfId="2184"/>
    <cellStyle name="SAPLocked 17 3" xfId="803"/>
    <cellStyle name="SAPLocked 17 4" xfId="974"/>
    <cellStyle name="SAPLocked 17 5" xfId="1102"/>
    <cellStyle name="SAPLocked 17 6" xfId="949"/>
    <cellStyle name="SAPLocked 17 7" xfId="1073"/>
    <cellStyle name="SAPLocked 17 8" xfId="2089"/>
    <cellStyle name="SAPLocked 17 9" xfId="2210"/>
    <cellStyle name="SAPLocked 18" xfId="351"/>
    <cellStyle name="SAPLocked 18 10" xfId="2581"/>
    <cellStyle name="SAPLocked 18 11" xfId="2586"/>
    <cellStyle name="SAPLocked 18 12" xfId="1682"/>
    <cellStyle name="SAPLocked 18 13" xfId="3002"/>
    <cellStyle name="SAPLocked 18 2" xfId="905"/>
    <cellStyle name="SAPLocked 18 2 10" xfId="2718"/>
    <cellStyle name="SAPLocked 18 2 11" xfId="1773"/>
    <cellStyle name="SAPLocked 18 2 12" xfId="3039"/>
    <cellStyle name="SAPLocked 18 2 2" xfId="654"/>
    <cellStyle name="SAPLocked 18 2 3" xfId="995"/>
    <cellStyle name="SAPLocked 18 2 4" xfId="1288"/>
    <cellStyle name="SAPLocked 18 2 5" xfId="1459"/>
    <cellStyle name="SAPLocked 18 2 6" xfId="1607"/>
    <cellStyle name="SAPLocked 18 2 7" xfId="2275"/>
    <cellStyle name="SAPLocked 18 2 8" xfId="2395"/>
    <cellStyle name="SAPLocked 18 2 9" xfId="2222"/>
    <cellStyle name="SAPLocked 18 3" xfId="808"/>
    <cellStyle name="SAPLocked 18 4" xfId="607"/>
    <cellStyle name="SAPLocked 18 5" xfId="1166"/>
    <cellStyle name="SAPLocked 18 6" xfId="547"/>
    <cellStyle name="SAPLocked 18 7" xfId="1507"/>
    <cellStyle name="SAPLocked 18 8" xfId="2147"/>
    <cellStyle name="SAPLocked 18 9" xfId="2243"/>
    <cellStyle name="SAPLocked 19" xfId="298"/>
    <cellStyle name="SAPLocked 19 10" xfId="2260"/>
    <cellStyle name="SAPLocked 19 11" xfId="1837"/>
    <cellStyle name="SAPLocked 19 12" xfId="2608"/>
    <cellStyle name="SAPLocked 19 13" xfId="2982"/>
    <cellStyle name="SAPLocked 19 2" xfId="855"/>
    <cellStyle name="SAPLocked 19 2 10" xfId="2668"/>
    <cellStyle name="SAPLocked 19 2 11" xfId="2765"/>
    <cellStyle name="SAPLocked 19 2 12" xfId="2817"/>
    <cellStyle name="SAPLocked 19 2 2" xfId="786"/>
    <cellStyle name="SAPLocked 19 2 3" xfId="533"/>
    <cellStyle name="SAPLocked 19 2 4" xfId="1238"/>
    <cellStyle name="SAPLocked 19 2 5" xfId="777"/>
    <cellStyle name="SAPLocked 19 2 6" xfId="1557"/>
    <cellStyle name="SAPLocked 19 2 7" xfId="2226"/>
    <cellStyle name="SAPLocked 19 2 8" xfId="2345"/>
    <cellStyle name="SAPLocked 19 2 9" xfId="2315"/>
    <cellStyle name="SAPLocked 19 3" xfId="740"/>
    <cellStyle name="SAPLocked 19 4" xfId="476"/>
    <cellStyle name="SAPLocked 19 5" xfId="1113"/>
    <cellStyle name="SAPLocked 19 6" xfId="1206"/>
    <cellStyle name="SAPLocked 19 7" xfId="1087"/>
    <cellStyle name="SAPLocked 19 8" xfId="2100"/>
    <cellStyle name="SAPLocked 19 9" xfId="1754"/>
    <cellStyle name="SAPLocked 2" xfId="275"/>
    <cellStyle name="SAPLocked 2 10" xfId="380"/>
    <cellStyle name="SAPLocked 2 10 10" xfId="2434"/>
    <cellStyle name="SAPLocked 2 10 11" xfId="2644"/>
    <cellStyle name="SAPLocked 2 10 12" xfId="2776"/>
    <cellStyle name="SAPLocked 2 10 13" xfId="1675"/>
    <cellStyle name="SAPLocked 2 10 2" xfId="931"/>
    <cellStyle name="SAPLocked 2 10 2 10" xfId="2742"/>
    <cellStyle name="SAPLocked 2 10 2 11" xfId="2823"/>
    <cellStyle name="SAPLocked 2 10 2 12" xfId="3062"/>
    <cellStyle name="SAPLocked 2 10 2 2" xfId="758"/>
    <cellStyle name="SAPLocked 2 10 2 3" xfId="1022"/>
    <cellStyle name="SAPLocked 2 10 2 4" xfId="1313"/>
    <cellStyle name="SAPLocked 2 10 2 5" xfId="1483"/>
    <cellStyle name="SAPLocked 2 10 2 6" xfId="1630"/>
    <cellStyle name="SAPLocked 2 10 2 7" xfId="2299"/>
    <cellStyle name="SAPLocked 2 10 2 8" xfId="2421"/>
    <cellStyle name="SAPLocked 2 10 2 9" xfId="2536"/>
    <cellStyle name="SAPLocked 2 10 3" xfId="719"/>
    <cellStyle name="SAPLocked 2 10 4" xfId="576"/>
    <cellStyle name="SAPLocked 2 10 5" xfId="1194"/>
    <cellStyle name="SAPLocked 2 10 6" xfId="500"/>
    <cellStyle name="SAPLocked 2 10 7" xfId="1531"/>
    <cellStyle name="SAPLocked 2 10 8" xfId="2172"/>
    <cellStyle name="SAPLocked 2 10 9" xfId="2202"/>
    <cellStyle name="SAPLocked 2 11" xfId="381"/>
    <cellStyle name="SAPLocked 2 11 10" xfId="2436"/>
    <cellStyle name="SAPLocked 2 11 11" xfId="2470"/>
    <cellStyle name="SAPLocked 2 11 12" xfId="2845"/>
    <cellStyle name="SAPLocked 2 11 13" xfId="2593"/>
    <cellStyle name="SAPLocked 2 11 2" xfId="932"/>
    <cellStyle name="SAPLocked 2 11 2 10" xfId="2743"/>
    <cellStyle name="SAPLocked 2 11 2 11" xfId="2820"/>
    <cellStyle name="SAPLocked 2 11 2 12" xfId="3063"/>
    <cellStyle name="SAPLocked 2 11 2 2" xfId="626"/>
    <cellStyle name="SAPLocked 2 11 2 3" xfId="983"/>
    <cellStyle name="SAPLocked 2 11 2 4" xfId="1314"/>
    <cellStyle name="SAPLocked 2 11 2 5" xfId="1484"/>
    <cellStyle name="SAPLocked 2 11 2 6" xfId="1631"/>
    <cellStyle name="SAPLocked 2 11 2 7" xfId="2300"/>
    <cellStyle name="SAPLocked 2 11 2 8" xfId="2422"/>
    <cellStyle name="SAPLocked 2 11 2 9" xfId="2070"/>
    <cellStyle name="SAPLocked 2 11 3" xfId="445"/>
    <cellStyle name="SAPLocked 2 11 4" xfId="442"/>
    <cellStyle name="SAPLocked 2 11 5" xfId="1195"/>
    <cellStyle name="SAPLocked 2 11 6" xfId="659"/>
    <cellStyle name="SAPLocked 2 11 7" xfId="1532"/>
    <cellStyle name="SAPLocked 2 11 8" xfId="2173"/>
    <cellStyle name="SAPLocked 2 11 9" xfId="1984"/>
    <cellStyle name="SAPLocked 2 12" xfId="382"/>
    <cellStyle name="SAPLocked 2 12 10" xfId="2439"/>
    <cellStyle name="SAPLocked 2 12 11" xfId="2441"/>
    <cellStyle name="SAPLocked 2 12 12" xfId="2899"/>
    <cellStyle name="SAPLocked 2 12 13" xfId="1934"/>
    <cellStyle name="SAPLocked 2 12 2" xfId="933"/>
    <cellStyle name="SAPLocked 2 12 2 10" xfId="2744"/>
    <cellStyle name="SAPLocked 2 12 2 11" xfId="2648"/>
    <cellStyle name="SAPLocked 2 12 2 12" xfId="3064"/>
    <cellStyle name="SAPLocked 2 12 2 2" xfId="1004"/>
    <cellStyle name="SAPLocked 2 12 2 3" xfId="1078"/>
    <cellStyle name="SAPLocked 2 12 2 4" xfId="1315"/>
    <cellStyle name="SAPLocked 2 12 2 5" xfId="1485"/>
    <cellStyle name="SAPLocked 2 12 2 6" xfId="1632"/>
    <cellStyle name="SAPLocked 2 12 2 7" xfId="2301"/>
    <cellStyle name="SAPLocked 2 12 2 8" xfId="2423"/>
    <cellStyle name="SAPLocked 2 12 2 9" xfId="2032"/>
    <cellStyle name="SAPLocked 2 12 3" xfId="467"/>
    <cellStyle name="SAPLocked 2 12 4" xfId="599"/>
    <cellStyle name="SAPLocked 2 12 5" xfId="1196"/>
    <cellStyle name="SAPLocked 2 12 6" xfId="1425"/>
    <cellStyle name="SAPLocked 2 12 7" xfId="1533"/>
    <cellStyle name="SAPLocked 2 12 8" xfId="2174"/>
    <cellStyle name="SAPLocked 2 12 9" xfId="2201"/>
    <cellStyle name="SAPLocked 2 13" xfId="383"/>
    <cellStyle name="SAPLocked 2 13 10" xfId="2213"/>
    <cellStyle name="SAPLocked 2 13 11" xfId="2577"/>
    <cellStyle name="SAPLocked 2 13 12" xfId="2824"/>
    <cellStyle name="SAPLocked 2 13 13" xfId="2838"/>
    <cellStyle name="SAPLocked 2 13 2" xfId="934"/>
    <cellStyle name="SAPLocked 2 13 2 10" xfId="2745"/>
    <cellStyle name="SAPLocked 2 13 2 11" xfId="2728"/>
    <cellStyle name="SAPLocked 2 13 2 12" xfId="3065"/>
    <cellStyle name="SAPLocked 2 13 2 2" xfId="635"/>
    <cellStyle name="SAPLocked 2 13 2 3" xfId="843"/>
    <cellStyle name="SAPLocked 2 13 2 4" xfId="1316"/>
    <cellStyle name="SAPLocked 2 13 2 5" xfId="1486"/>
    <cellStyle name="SAPLocked 2 13 2 6" xfId="1633"/>
    <cellStyle name="SAPLocked 2 13 2 7" xfId="2302"/>
    <cellStyle name="SAPLocked 2 13 2 8" xfId="2424"/>
    <cellStyle name="SAPLocked 2 13 2 9" xfId="2527"/>
    <cellStyle name="SAPLocked 2 13 3" xfId="987"/>
    <cellStyle name="SAPLocked 2 13 4" xfId="707"/>
    <cellStyle name="SAPLocked 2 13 5" xfId="1197"/>
    <cellStyle name="SAPLocked 2 13 6" xfId="1339"/>
    <cellStyle name="SAPLocked 2 13 7" xfId="1534"/>
    <cellStyle name="SAPLocked 2 13 8" xfId="2175"/>
    <cellStyle name="SAPLocked 2 13 9" xfId="1879"/>
    <cellStyle name="SAPLocked 2 14" xfId="384"/>
    <cellStyle name="SAPLocked 2 14 10" xfId="2332"/>
    <cellStyle name="SAPLocked 2 14 11" xfId="2548"/>
    <cellStyle name="SAPLocked 2 14 12" xfId="2879"/>
    <cellStyle name="SAPLocked 2 14 13" xfId="2930"/>
    <cellStyle name="SAPLocked 2 14 2" xfId="935"/>
    <cellStyle name="SAPLocked 2 14 2 10" xfId="2746"/>
    <cellStyle name="SAPLocked 2 14 2 11" xfId="2628"/>
    <cellStyle name="SAPLocked 2 14 2 12" xfId="3066"/>
    <cellStyle name="SAPLocked 2 14 2 2" xfId="782"/>
    <cellStyle name="SAPLocked 2 14 2 3" xfId="431"/>
    <cellStyle name="SAPLocked 2 14 2 4" xfId="1317"/>
    <cellStyle name="SAPLocked 2 14 2 5" xfId="1487"/>
    <cellStyle name="SAPLocked 2 14 2 6" xfId="1634"/>
    <cellStyle name="SAPLocked 2 14 2 7" xfId="2303"/>
    <cellStyle name="SAPLocked 2 14 2 8" xfId="2425"/>
    <cellStyle name="SAPLocked 2 14 2 9" xfId="2535"/>
    <cellStyle name="SAPLocked 2 14 3" xfId="1003"/>
    <cellStyle name="SAPLocked 2 14 4" xfId="1077"/>
    <cellStyle name="SAPLocked 2 14 5" xfId="1198"/>
    <cellStyle name="SAPLocked 2 14 6" xfId="1433"/>
    <cellStyle name="SAPLocked 2 14 7" xfId="1535"/>
    <cellStyle name="SAPLocked 2 14 8" xfId="2176"/>
    <cellStyle name="SAPLocked 2 14 9" xfId="2200"/>
    <cellStyle name="SAPLocked 2 15" xfId="385"/>
    <cellStyle name="SAPLocked 2 15 10" xfId="2268"/>
    <cellStyle name="SAPLocked 2 15 11" xfId="2469"/>
    <cellStyle name="SAPLocked 2 15 12" xfId="2890"/>
    <cellStyle name="SAPLocked 2 15 13" xfId="2934"/>
    <cellStyle name="SAPLocked 2 15 2" xfId="936"/>
    <cellStyle name="SAPLocked 2 15 2 10" xfId="2747"/>
    <cellStyle name="SAPLocked 2 15 2 11" xfId="2814"/>
    <cellStyle name="SAPLocked 2 15 2 12" xfId="3067"/>
    <cellStyle name="SAPLocked 2 15 2 2" xfId="643"/>
    <cellStyle name="SAPLocked 2 15 2 3" xfId="416"/>
    <cellStyle name="SAPLocked 2 15 2 4" xfId="1318"/>
    <cellStyle name="SAPLocked 2 15 2 5" xfId="1488"/>
    <cellStyle name="SAPLocked 2 15 2 6" xfId="1635"/>
    <cellStyle name="SAPLocked 2 15 2 7" xfId="2304"/>
    <cellStyle name="SAPLocked 2 15 2 8" xfId="2426"/>
    <cellStyle name="SAPLocked 2 15 2 9" xfId="2002"/>
    <cellStyle name="SAPLocked 2 15 3" xfId="768"/>
    <cellStyle name="SAPLocked 2 15 4" xfId="685"/>
    <cellStyle name="SAPLocked 2 15 5" xfId="1199"/>
    <cellStyle name="SAPLocked 2 15 6" xfId="1346"/>
    <cellStyle name="SAPLocked 2 15 7" xfId="1536"/>
    <cellStyle name="SAPLocked 2 15 8" xfId="2177"/>
    <cellStyle name="SAPLocked 2 15 9" xfId="2000"/>
    <cellStyle name="SAPLocked 2 16" xfId="386"/>
    <cellStyle name="SAPLocked 2 16 10" xfId="1892"/>
    <cellStyle name="SAPLocked 2 16 11" xfId="1772"/>
    <cellStyle name="SAPLocked 2 16 12" xfId="2653"/>
    <cellStyle name="SAPLocked 2 16 13" xfId="2863"/>
    <cellStyle name="SAPLocked 2 16 2" xfId="937"/>
    <cellStyle name="SAPLocked 2 16 2 10" xfId="2748"/>
    <cellStyle name="SAPLocked 2 16 2 11" xfId="2780"/>
    <cellStyle name="SAPLocked 2 16 2 12" xfId="3068"/>
    <cellStyle name="SAPLocked 2 16 2 2" xfId="669"/>
    <cellStyle name="SAPLocked 2 16 2 3" xfId="953"/>
    <cellStyle name="SAPLocked 2 16 2 4" xfId="1319"/>
    <cellStyle name="SAPLocked 2 16 2 5" xfId="1489"/>
    <cellStyle name="SAPLocked 2 16 2 6" xfId="1636"/>
    <cellStyle name="SAPLocked 2 16 2 7" xfId="2305"/>
    <cellStyle name="SAPLocked 2 16 2 8" xfId="2427"/>
    <cellStyle name="SAPLocked 2 16 2 9" xfId="2534"/>
    <cellStyle name="SAPLocked 2 16 3" xfId="997"/>
    <cellStyle name="SAPLocked 2 16 4" xfId="1059"/>
    <cellStyle name="SAPLocked 2 16 5" xfId="1200"/>
    <cellStyle name="SAPLocked 2 16 6" xfId="595"/>
    <cellStyle name="SAPLocked 2 16 7" xfId="1537"/>
    <cellStyle name="SAPLocked 2 16 8" xfId="2178"/>
    <cellStyle name="SAPLocked 2 16 9" xfId="1656"/>
    <cellStyle name="SAPLocked 2 17" xfId="387"/>
    <cellStyle name="SAPLocked 2 17 10" xfId="1874"/>
    <cellStyle name="SAPLocked 2 17 11" xfId="2636"/>
    <cellStyle name="SAPLocked 2 17 12" xfId="2897"/>
    <cellStyle name="SAPLocked 2 17 13" xfId="1917"/>
    <cellStyle name="SAPLocked 2 17 2" xfId="938"/>
    <cellStyle name="SAPLocked 2 17 2 10" xfId="2749"/>
    <cellStyle name="SAPLocked 2 17 2 11" xfId="2246"/>
    <cellStyle name="SAPLocked 2 17 2 12" xfId="3069"/>
    <cellStyle name="SAPLocked 2 17 2 2" xfId="490"/>
    <cellStyle name="SAPLocked 2 17 2 3" xfId="678"/>
    <cellStyle name="SAPLocked 2 17 2 4" xfId="1320"/>
    <cellStyle name="SAPLocked 2 17 2 5" xfId="1490"/>
    <cellStyle name="SAPLocked 2 17 2 6" xfId="1637"/>
    <cellStyle name="SAPLocked 2 17 2 7" xfId="2306"/>
    <cellStyle name="SAPLocked 2 17 2 8" xfId="2428"/>
    <cellStyle name="SAPLocked 2 17 2 9" xfId="2069"/>
    <cellStyle name="SAPLocked 2 17 3" xfId="673"/>
    <cellStyle name="SAPLocked 2 17 4" xfId="648"/>
    <cellStyle name="SAPLocked 2 17 5" xfId="1201"/>
    <cellStyle name="SAPLocked 2 17 6" xfId="535"/>
    <cellStyle name="SAPLocked 2 17 7" xfId="1538"/>
    <cellStyle name="SAPLocked 2 17 8" xfId="2179"/>
    <cellStyle name="SAPLocked 2 17 9" xfId="2191"/>
    <cellStyle name="SAPLocked 2 18" xfId="388"/>
    <cellStyle name="SAPLocked 2 18 10" xfId="2012"/>
    <cellStyle name="SAPLocked 2 18 11" xfId="2525"/>
    <cellStyle name="SAPLocked 2 18 12" xfId="2258"/>
    <cellStyle name="SAPLocked 2 18 13" xfId="2990"/>
    <cellStyle name="SAPLocked 2 18 2" xfId="939"/>
    <cellStyle name="SAPLocked 2 18 2 10" xfId="2750"/>
    <cellStyle name="SAPLocked 2 18 2 11" xfId="2887"/>
    <cellStyle name="SAPLocked 2 18 2 12" xfId="3070"/>
    <cellStyle name="SAPLocked 2 18 2 2" xfId="806"/>
    <cellStyle name="SAPLocked 2 18 2 3" xfId="969"/>
    <cellStyle name="SAPLocked 2 18 2 4" xfId="1321"/>
    <cellStyle name="SAPLocked 2 18 2 5" xfId="1491"/>
    <cellStyle name="SAPLocked 2 18 2 6" xfId="1638"/>
    <cellStyle name="SAPLocked 2 18 2 7" xfId="2307"/>
    <cellStyle name="SAPLocked 2 18 2 8" xfId="2429"/>
    <cellStyle name="SAPLocked 2 18 2 9" xfId="2533"/>
    <cellStyle name="SAPLocked 2 18 3" xfId="967"/>
    <cellStyle name="SAPLocked 2 18 4" xfId="1070"/>
    <cellStyle name="SAPLocked 2 18 5" xfId="1202"/>
    <cellStyle name="SAPLocked 2 18 6" xfId="649"/>
    <cellStyle name="SAPLocked 2 18 7" xfId="1539"/>
    <cellStyle name="SAPLocked 2 18 8" xfId="2180"/>
    <cellStyle name="SAPLocked 2 18 9" xfId="2199"/>
    <cellStyle name="SAPLocked 2 19" xfId="389"/>
    <cellStyle name="SAPLocked 2 19 10" xfId="1855"/>
    <cellStyle name="SAPLocked 2 19 11" xfId="2576"/>
    <cellStyle name="SAPLocked 2 19 12" xfId="2532"/>
    <cellStyle name="SAPLocked 2 19 13" xfId="2917"/>
    <cellStyle name="SAPLocked 2 19 2" xfId="940"/>
    <cellStyle name="SAPLocked 2 19 2 10" xfId="2751"/>
    <cellStyle name="SAPLocked 2 19 2 11" xfId="1829"/>
    <cellStyle name="SAPLocked 2 19 2 12" xfId="3071"/>
    <cellStyle name="SAPLocked 2 19 2 2" xfId="762"/>
    <cellStyle name="SAPLocked 2 19 2 3" xfId="605"/>
    <cellStyle name="SAPLocked 2 19 2 4" xfId="1322"/>
    <cellStyle name="SAPLocked 2 19 2 5" xfId="1492"/>
    <cellStyle name="SAPLocked 2 19 2 6" xfId="1639"/>
    <cellStyle name="SAPLocked 2 19 2 7" xfId="2308"/>
    <cellStyle name="SAPLocked 2 19 2 8" xfId="2430"/>
    <cellStyle name="SAPLocked 2 19 2 9" xfId="1849"/>
    <cellStyle name="SAPLocked 2 19 3" xfId="1000"/>
    <cellStyle name="SAPLocked 2 19 4" xfId="721"/>
    <cellStyle name="SAPLocked 2 19 5" xfId="1203"/>
    <cellStyle name="SAPLocked 2 19 6" xfId="644"/>
    <cellStyle name="SAPLocked 2 19 7" xfId="1540"/>
    <cellStyle name="SAPLocked 2 19 8" xfId="2181"/>
    <cellStyle name="SAPLocked 2 19 9" xfId="1870"/>
    <cellStyle name="SAPLocked 2 2" xfId="366"/>
    <cellStyle name="SAPLocked 2 2 10" xfId="2564"/>
    <cellStyle name="SAPLocked 2 2 11" xfId="1832"/>
    <cellStyle name="SAPLocked 2 2 12" xfId="2156"/>
    <cellStyle name="SAPLocked 2 2 13" xfId="2983"/>
    <cellStyle name="SAPLocked 2 2 2" xfId="918"/>
    <cellStyle name="SAPLocked 2 2 2 10" xfId="2729"/>
    <cellStyle name="SAPLocked 2 2 2 11" xfId="2318"/>
    <cellStyle name="SAPLocked 2 2 2 12" xfId="3049"/>
    <cellStyle name="SAPLocked 2 2 2 2" xfId="665"/>
    <cellStyle name="SAPLocked 2 2 2 3" xfId="809"/>
    <cellStyle name="SAPLocked 2 2 2 4" xfId="1300"/>
    <cellStyle name="SAPLocked 2 2 2 5" xfId="1470"/>
    <cellStyle name="SAPLocked 2 2 2 6" xfId="1617"/>
    <cellStyle name="SAPLocked 2 2 2 7" xfId="2286"/>
    <cellStyle name="SAPLocked 2 2 2 8" xfId="2408"/>
    <cellStyle name="SAPLocked 2 2 2 9" xfId="2065"/>
    <cellStyle name="SAPLocked 2 2 3" xfId="460"/>
    <cellStyle name="SAPLocked 2 2 4" xfId="671"/>
    <cellStyle name="SAPLocked 2 2 5" xfId="1180"/>
    <cellStyle name="SAPLocked 2 2 6" xfId="615"/>
    <cellStyle name="SAPLocked 2 2 7" xfId="1517"/>
    <cellStyle name="SAPLocked 2 2 8" xfId="2158"/>
    <cellStyle name="SAPLocked 2 2 9" xfId="1933"/>
    <cellStyle name="SAPLocked 2 20" xfId="390"/>
    <cellStyle name="SAPLocked 2 20 10" xfId="1919"/>
    <cellStyle name="SAPLocked 2 20 11" xfId="1925"/>
    <cellStyle name="SAPLocked 2 20 12" xfId="2857"/>
    <cellStyle name="SAPLocked 2 20 13" xfId="2938"/>
    <cellStyle name="SAPLocked 2 20 2" xfId="941"/>
    <cellStyle name="SAPLocked 2 20 2 10" xfId="2752"/>
    <cellStyle name="SAPLocked 2 20 2 11" xfId="2647"/>
    <cellStyle name="SAPLocked 2 20 2 12" xfId="3072"/>
    <cellStyle name="SAPLocked 2 20 2 2" xfId="784"/>
    <cellStyle name="SAPLocked 2 20 2 3" xfId="990"/>
    <cellStyle name="SAPLocked 2 20 2 4" xfId="1323"/>
    <cellStyle name="SAPLocked 2 20 2 5" xfId="1493"/>
    <cellStyle name="SAPLocked 2 20 2 6" xfId="1640"/>
    <cellStyle name="SAPLocked 2 20 2 7" xfId="2309"/>
    <cellStyle name="SAPLocked 2 20 2 8" xfId="2431"/>
    <cellStyle name="SAPLocked 2 20 2 9" xfId="1781"/>
    <cellStyle name="SAPLocked 2 20 3" xfId="948"/>
    <cellStyle name="SAPLocked 2 20 4" xfId="1023"/>
    <cellStyle name="SAPLocked 2 20 5" xfId="1204"/>
    <cellStyle name="SAPLocked 2 20 6" xfId="588"/>
    <cellStyle name="SAPLocked 2 20 7" xfId="1541"/>
    <cellStyle name="SAPLocked 2 20 8" xfId="2182"/>
    <cellStyle name="SAPLocked 2 20 9" xfId="2198"/>
    <cellStyle name="SAPLocked 2 21" xfId="391"/>
    <cellStyle name="SAPLocked 2 21 10" xfId="2448"/>
    <cellStyle name="SAPLocked 2 21 11" xfId="2781"/>
    <cellStyle name="SAPLocked 2 21 12" xfId="2638"/>
    <cellStyle name="SAPLocked 2 21 2" xfId="755"/>
    <cellStyle name="SAPLocked 2 21 3" xfId="788"/>
    <cellStyle name="SAPLocked 2 21 4" xfId="1205"/>
    <cellStyle name="SAPLocked 2 21 5" xfId="797"/>
    <cellStyle name="SAPLocked 2 21 6" xfId="1542"/>
    <cellStyle name="SAPLocked 2 21 7" xfId="2183"/>
    <cellStyle name="SAPLocked 2 21 8" xfId="1988"/>
    <cellStyle name="SAPLocked 2 21 9" xfId="2005"/>
    <cellStyle name="SAPLocked 2 22" xfId="549"/>
    <cellStyle name="SAPLocked 2 23" xfId="1460"/>
    <cellStyle name="SAPLocked 2 24" xfId="2078"/>
    <cellStyle name="SAPLocked 2 25" xfId="2188"/>
    <cellStyle name="SAPLocked 2 26" xfId="2248"/>
    <cellStyle name="SAPLocked 2 27" xfId="2042"/>
    <cellStyle name="SAPLocked 2 28" xfId="2574"/>
    <cellStyle name="SAPLocked 2 29" xfId="2770"/>
    <cellStyle name="SAPLocked 2 3" xfId="368"/>
    <cellStyle name="SAPLocked 2 3 10" xfId="2605"/>
    <cellStyle name="SAPLocked 2 3 11" xfId="1831"/>
    <cellStyle name="SAPLocked 2 3 12" xfId="1738"/>
    <cellStyle name="SAPLocked 2 3 13" xfId="2034"/>
    <cellStyle name="SAPLocked 2 3 2" xfId="920"/>
    <cellStyle name="SAPLocked 2 3 2 10" xfId="2731"/>
    <cellStyle name="SAPLocked 2 3 2 11" xfId="2396"/>
    <cellStyle name="SAPLocked 2 3 2 12" xfId="3051"/>
    <cellStyle name="SAPLocked 2 3 2 2" xfId="479"/>
    <cellStyle name="SAPLocked 2 3 2 3" xfId="742"/>
    <cellStyle name="SAPLocked 2 3 2 4" xfId="1302"/>
    <cellStyle name="SAPLocked 2 3 2 5" xfId="1472"/>
    <cellStyle name="SAPLocked 2 3 2 6" xfId="1619"/>
    <cellStyle name="SAPLocked 2 3 2 7" xfId="2288"/>
    <cellStyle name="SAPLocked 2 3 2 8" xfId="2410"/>
    <cellStyle name="SAPLocked 2 3 2 9" xfId="1641"/>
    <cellStyle name="SAPLocked 2 3 3" xfId="597"/>
    <cellStyle name="SAPLocked 2 3 4" xfId="646"/>
    <cellStyle name="SAPLocked 2 3 5" xfId="1182"/>
    <cellStyle name="SAPLocked 2 3 6" xfId="1179"/>
    <cellStyle name="SAPLocked 2 3 7" xfId="1519"/>
    <cellStyle name="SAPLocked 2 3 8" xfId="2160"/>
    <cellStyle name="SAPLocked 2 3 9" xfId="1958"/>
    <cellStyle name="SAPLocked 2 30" xfId="1859"/>
    <cellStyle name="SAPLocked 2 4" xfId="370"/>
    <cellStyle name="SAPLocked 2 4 10" xfId="2555"/>
    <cellStyle name="SAPLocked 2 4 11" xfId="1715"/>
    <cellStyle name="SAPLocked 2 4 12" xfId="2778"/>
    <cellStyle name="SAPLocked 2 4 13" xfId="1908"/>
    <cellStyle name="SAPLocked 2 4 2" xfId="922"/>
    <cellStyle name="SAPLocked 2 4 2 10" xfId="2733"/>
    <cellStyle name="SAPLocked 2 4 2 11" xfId="2755"/>
    <cellStyle name="SAPLocked 2 4 2 12" xfId="3053"/>
    <cellStyle name="SAPLocked 2 4 2 2" xfId="546"/>
    <cellStyle name="SAPLocked 2 4 2 3" xfId="414"/>
    <cellStyle name="SAPLocked 2 4 2 4" xfId="1304"/>
    <cellStyle name="SAPLocked 2 4 2 5" xfId="1474"/>
    <cellStyle name="SAPLocked 2 4 2 6" xfId="1621"/>
    <cellStyle name="SAPLocked 2 4 2 7" xfId="2290"/>
    <cellStyle name="SAPLocked 2 4 2 8" xfId="2412"/>
    <cellStyle name="SAPLocked 2 4 2 9" xfId="1891"/>
    <cellStyle name="SAPLocked 2 4 3" xfId="815"/>
    <cellStyle name="SAPLocked 2 4 4" xfId="700"/>
    <cellStyle name="SAPLocked 2 4 5" xfId="1184"/>
    <cellStyle name="SAPLocked 2 4 6" xfId="1382"/>
    <cellStyle name="SAPLocked 2 4 7" xfId="1521"/>
    <cellStyle name="SAPLocked 2 4 8" xfId="2162"/>
    <cellStyle name="SAPLocked 2 4 9" xfId="1960"/>
    <cellStyle name="SAPLocked 2 5" xfId="372"/>
    <cellStyle name="SAPLocked 2 5 10" xfId="2584"/>
    <cellStyle name="SAPLocked 2 5 11" xfId="1778"/>
    <cellStyle name="SAPLocked 2 5 12" xfId="2807"/>
    <cellStyle name="SAPLocked 2 5 13" xfId="1666"/>
    <cellStyle name="SAPLocked 2 5 2" xfId="924"/>
    <cellStyle name="SAPLocked 2 5 2 10" xfId="2735"/>
    <cellStyle name="SAPLocked 2 5 2 11" xfId="2757"/>
    <cellStyle name="SAPLocked 2 5 2 12" xfId="3055"/>
    <cellStyle name="SAPLocked 2 5 2 2" xfId="675"/>
    <cellStyle name="SAPLocked 2 5 2 3" xfId="749"/>
    <cellStyle name="SAPLocked 2 5 2 4" xfId="1306"/>
    <cellStyle name="SAPLocked 2 5 2 5" xfId="1476"/>
    <cellStyle name="SAPLocked 2 5 2 6" xfId="1623"/>
    <cellStyle name="SAPLocked 2 5 2 7" xfId="2292"/>
    <cellStyle name="SAPLocked 2 5 2 8" xfId="2414"/>
    <cellStyle name="SAPLocked 2 5 2 9" xfId="2011"/>
    <cellStyle name="SAPLocked 2 5 3" xfId="962"/>
    <cellStyle name="SAPLocked 2 5 4" xfId="1037"/>
    <cellStyle name="SAPLocked 2 5 5" xfId="1186"/>
    <cellStyle name="SAPLocked 2 5 6" xfId="827"/>
    <cellStyle name="SAPLocked 2 5 7" xfId="1523"/>
    <cellStyle name="SAPLocked 2 5 8" xfId="2164"/>
    <cellStyle name="SAPLocked 2 5 9" xfId="1650"/>
    <cellStyle name="SAPLocked 2 6" xfId="374"/>
    <cellStyle name="SAPLocked 2 6 10" xfId="2571"/>
    <cellStyle name="SAPLocked 2 6 11" xfId="1777"/>
    <cellStyle name="SAPLocked 2 6 12" xfId="2472"/>
    <cellStyle name="SAPLocked 2 6 13" xfId="3015"/>
    <cellStyle name="SAPLocked 2 6 2" xfId="926"/>
    <cellStyle name="SAPLocked 2 6 2 10" xfId="2737"/>
    <cellStyle name="SAPLocked 2 6 2 11" xfId="2830"/>
    <cellStyle name="SAPLocked 2 6 2 12" xfId="3057"/>
    <cellStyle name="SAPLocked 2 6 2 2" xfId="763"/>
    <cellStyle name="SAPLocked 2 6 2 3" xfId="757"/>
    <cellStyle name="SAPLocked 2 6 2 4" xfId="1308"/>
    <cellStyle name="SAPLocked 2 6 2 5" xfId="1478"/>
    <cellStyle name="SAPLocked 2 6 2 6" xfId="1625"/>
    <cellStyle name="SAPLocked 2 6 2 7" xfId="2294"/>
    <cellStyle name="SAPLocked 2 6 2 8" xfId="2416"/>
    <cellStyle name="SAPLocked 2 6 2 9" xfId="2528"/>
    <cellStyle name="SAPLocked 2 6 3" xfId="667"/>
    <cellStyle name="SAPLocked 2 6 4" xfId="553"/>
    <cellStyle name="SAPLocked 2 6 5" xfId="1188"/>
    <cellStyle name="SAPLocked 2 6 6" xfId="1362"/>
    <cellStyle name="SAPLocked 2 6 7" xfId="1525"/>
    <cellStyle name="SAPLocked 2 6 8" xfId="2166"/>
    <cellStyle name="SAPLocked 2 6 9" xfId="1784"/>
    <cellStyle name="SAPLocked 2 7" xfId="376"/>
    <cellStyle name="SAPLocked 2 7 10" xfId="2601"/>
    <cellStyle name="SAPLocked 2 7 11" xfId="1776"/>
    <cellStyle name="SAPLocked 2 7 12" xfId="1727"/>
    <cellStyle name="SAPLocked 2 7 13" xfId="2590"/>
    <cellStyle name="SAPLocked 2 7 2" xfId="928"/>
    <cellStyle name="SAPLocked 2 7 2 10" xfId="2739"/>
    <cellStyle name="SAPLocked 2 7 2 11" xfId="2847"/>
    <cellStyle name="SAPLocked 2 7 2 12" xfId="3059"/>
    <cellStyle name="SAPLocked 2 7 2 2" xfId="630"/>
    <cellStyle name="SAPLocked 2 7 2 3" xfId="999"/>
    <cellStyle name="SAPLocked 2 7 2 4" xfId="1310"/>
    <cellStyle name="SAPLocked 2 7 2 5" xfId="1480"/>
    <cellStyle name="SAPLocked 2 7 2 6" xfId="1627"/>
    <cellStyle name="SAPLocked 2 7 2 7" xfId="2296"/>
    <cellStyle name="SAPLocked 2 7 2 8" xfId="2418"/>
    <cellStyle name="SAPLocked 2 7 2 9" xfId="1760"/>
    <cellStyle name="SAPLocked 2 7 3" xfId="785"/>
    <cellStyle name="SAPLocked 2 7 4" xfId="726"/>
    <cellStyle name="SAPLocked 2 7 5" xfId="1190"/>
    <cellStyle name="SAPLocked 2 7 6" xfId="412"/>
    <cellStyle name="SAPLocked 2 7 7" xfId="1527"/>
    <cellStyle name="SAPLocked 2 7 8" xfId="2168"/>
    <cellStyle name="SAPLocked 2 7 9" xfId="1801"/>
    <cellStyle name="SAPLocked 2 8" xfId="378"/>
    <cellStyle name="SAPLocked 2 8 10" xfId="2567"/>
    <cellStyle name="SAPLocked 2 8 11" xfId="1775"/>
    <cellStyle name="SAPLocked 2 8 12" xfId="2756"/>
    <cellStyle name="SAPLocked 2 8 13" xfId="1667"/>
    <cellStyle name="SAPLocked 2 8 2" xfId="929"/>
    <cellStyle name="SAPLocked 2 8 2 10" xfId="2740"/>
    <cellStyle name="SAPLocked 2 8 2 11" xfId="2570"/>
    <cellStyle name="SAPLocked 2 8 2 12" xfId="3060"/>
    <cellStyle name="SAPLocked 2 8 2 2" xfId="767"/>
    <cellStyle name="SAPLocked 2 8 2 3" xfId="441"/>
    <cellStyle name="SAPLocked 2 8 2 4" xfId="1311"/>
    <cellStyle name="SAPLocked 2 8 2 5" xfId="1481"/>
    <cellStyle name="SAPLocked 2 8 2 6" xfId="1628"/>
    <cellStyle name="SAPLocked 2 8 2 7" xfId="2297"/>
    <cellStyle name="SAPLocked 2 8 2 8" xfId="2419"/>
    <cellStyle name="SAPLocked 2 8 2 9" xfId="2537"/>
    <cellStyle name="SAPLocked 2 8 3" xfId="650"/>
    <cellStyle name="SAPLocked 2 8 4" xfId="975"/>
    <cellStyle name="SAPLocked 2 8 5" xfId="1192"/>
    <cellStyle name="SAPLocked 2 8 6" xfId="1046"/>
    <cellStyle name="SAPLocked 2 8 7" xfId="1529"/>
    <cellStyle name="SAPLocked 2 8 8" xfId="2170"/>
    <cellStyle name="SAPLocked 2 8 9" xfId="1758"/>
    <cellStyle name="SAPLocked 2 9" xfId="379"/>
    <cellStyle name="SAPLocked 2 9 10" xfId="2457"/>
    <cellStyle name="SAPLocked 2 9 11" xfId="2633"/>
    <cellStyle name="SAPLocked 2 9 12" xfId="2786"/>
    <cellStyle name="SAPLocked 2 9 13" xfId="2474"/>
    <cellStyle name="SAPLocked 2 9 2" xfId="930"/>
    <cellStyle name="SAPLocked 2 9 2 10" xfId="2741"/>
    <cellStyle name="SAPLocked 2 9 2 11" xfId="2901"/>
    <cellStyle name="SAPLocked 2 9 2 12" xfId="3061"/>
    <cellStyle name="SAPLocked 2 9 2 2" xfId="836"/>
    <cellStyle name="SAPLocked 2 9 2 3" xfId="988"/>
    <cellStyle name="SAPLocked 2 9 2 4" xfId="1312"/>
    <cellStyle name="SAPLocked 2 9 2 5" xfId="1482"/>
    <cellStyle name="SAPLocked 2 9 2 6" xfId="1629"/>
    <cellStyle name="SAPLocked 2 9 2 7" xfId="2298"/>
    <cellStyle name="SAPLocked 2 9 2 8" xfId="2420"/>
    <cellStyle name="SAPLocked 2 9 2 9" xfId="1763"/>
    <cellStyle name="SAPLocked 2 9 3" xfId="395"/>
    <cellStyle name="SAPLocked 2 9 4" xfId="676"/>
    <cellStyle name="SAPLocked 2 9 5" xfId="1193"/>
    <cellStyle name="SAPLocked 2 9 6" xfId="1378"/>
    <cellStyle name="SAPLocked 2 9 7" xfId="1530"/>
    <cellStyle name="SAPLocked 2 9 8" xfId="2171"/>
    <cellStyle name="SAPLocked 2 9 9" xfId="2192"/>
    <cellStyle name="SAPLocked 20" xfId="344"/>
    <cellStyle name="SAPLocked 20 10" xfId="2489"/>
    <cellStyle name="SAPLocked 20 11" xfId="2589"/>
    <cellStyle name="SAPLocked 20 12" xfId="2119"/>
    <cellStyle name="SAPLocked 20 13" xfId="1890"/>
    <cellStyle name="SAPLocked 20 2" xfId="899"/>
    <cellStyle name="SAPLocked 20 2 10" xfId="2712"/>
    <cellStyle name="SAPLocked 20 2 11" xfId="2886"/>
    <cellStyle name="SAPLocked 20 2 12" xfId="1685"/>
    <cellStyle name="SAPLocked 20 2 2" xfId="480"/>
    <cellStyle name="SAPLocked 20 2 3" xfId="752"/>
    <cellStyle name="SAPLocked 20 2 4" xfId="1282"/>
    <cellStyle name="SAPLocked 20 2 5" xfId="475"/>
    <cellStyle name="SAPLocked 20 2 6" xfId="1601"/>
    <cellStyle name="SAPLocked 20 2 7" xfId="2269"/>
    <cellStyle name="SAPLocked 20 2 8" xfId="2389"/>
    <cellStyle name="SAPLocked 20 2 9" xfId="2573"/>
    <cellStyle name="SAPLocked 20 3" xfId="711"/>
    <cellStyle name="SAPLocked 20 4" xfId="575"/>
    <cellStyle name="SAPLocked 20 5" xfId="1159"/>
    <cellStyle name="SAPLocked 20 6" xfId="1451"/>
    <cellStyle name="SAPLocked 20 7" xfId="1500"/>
    <cellStyle name="SAPLocked 20 8" xfId="2140"/>
    <cellStyle name="SAPLocked 20 9" xfId="2149"/>
    <cellStyle name="SAPLocked 21" xfId="307"/>
    <cellStyle name="SAPLocked 21 10" xfId="2597"/>
    <cellStyle name="SAPLocked 21 11" xfId="2572"/>
    <cellStyle name="SAPLocked 21 12" xfId="1654"/>
    <cellStyle name="SAPLocked 21 13" xfId="1736"/>
    <cellStyle name="SAPLocked 21 2" xfId="864"/>
    <cellStyle name="SAPLocked 21 2 10" xfId="2677"/>
    <cellStyle name="SAPLocked 21 2 11" xfId="2196"/>
    <cellStyle name="SAPLocked 21 2 12" xfId="2135"/>
    <cellStyle name="SAPLocked 21 2 2" xfId="686"/>
    <cellStyle name="SAPLocked 21 2 3" xfId="452"/>
    <cellStyle name="SAPLocked 21 2 4" xfId="1247"/>
    <cellStyle name="SAPLocked 21 2 5" xfId="484"/>
    <cellStyle name="SAPLocked 21 2 6" xfId="1566"/>
    <cellStyle name="SAPLocked 21 2 7" xfId="2235"/>
    <cellStyle name="SAPLocked 21 2 8" xfId="2354"/>
    <cellStyle name="SAPLocked 21 2 9" xfId="2603"/>
    <cellStyle name="SAPLocked 21 3" xfId="992"/>
    <cellStyle name="SAPLocked 21 4" xfId="1065"/>
    <cellStyle name="SAPLocked 21 5" xfId="1122"/>
    <cellStyle name="SAPLocked 21 6" xfId="1390"/>
    <cellStyle name="SAPLocked 21 7" xfId="1099"/>
    <cellStyle name="SAPLocked 21 8" xfId="2108"/>
    <cellStyle name="SAPLocked 21 9" xfId="1987"/>
    <cellStyle name="SAPLocked 22" xfId="336"/>
    <cellStyle name="SAPLocked 22 10" xfId="1723"/>
    <cellStyle name="SAPLocked 22 11" xfId="2813"/>
    <cellStyle name="SAPLocked 22 12" xfId="1979"/>
    <cellStyle name="SAPLocked 22 2" xfId="545"/>
    <cellStyle name="SAPLocked 22 3" xfId="830"/>
    <cellStyle name="SAPLocked 22 4" xfId="1151"/>
    <cellStyle name="SAPLocked 22 5" xfId="602"/>
    <cellStyle name="SAPLocked 22 6" xfId="1400"/>
    <cellStyle name="SAPLocked 22 7" xfId="2133"/>
    <cellStyle name="SAPLocked 22 8" xfId="1757"/>
    <cellStyle name="SAPLocked 22 9" xfId="2432"/>
    <cellStyle name="SAPLocked 23" xfId="603"/>
    <cellStyle name="SAPLocked 24" xfId="1359"/>
    <cellStyle name="SAPLocked 25" xfId="1761"/>
    <cellStyle name="SAPLocked 26" xfId="1916"/>
    <cellStyle name="SAPLocked 27" xfId="1705"/>
    <cellStyle name="SAPLocked 28" xfId="2511"/>
    <cellStyle name="SAPLocked 29" xfId="2109"/>
    <cellStyle name="SAPLocked 3" xfId="300"/>
    <cellStyle name="SAPLocked 3 10" xfId="1745"/>
    <cellStyle name="SAPLocked 3 11" xfId="2468"/>
    <cellStyle name="SAPLocked 3 12" xfId="2881"/>
    <cellStyle name="SAPLocked 3 13" xfId="2963"/>
    <cellStyle name="SAPLocked 3 2" xfId="857"/>
    <cellStyle name="SAPLocked 3 2 10" xfId="2670"/>
    <cellStyle name="SAPLocked 3 2 11" xfId="2896"/>
    <cellStyle name="SAPLocked 3 2 12" xfId="2252"/>
    <cellStyle name="SAPLocked 3 2 2" xfId="470"/>
    <cellStyle name="SAPLocked 3 2 3" xfId="434"/>
    <cellStyle name="SAPLocked 3 2 4" xfId="1240"/>
    <cellStyle name="SAPLocked 3 2 5" xfId="443"/>
    <cellStyle name="SAPLocked 3 2 6" xfId="1559"/>
    <cellStyle name="SAPLocked 3 2 7" xfId="2228"/>
    <cellStyle name="SAPLocked 3 2 8" xfId="2347"/>
    <cellStyle name="SAPLocked 3 2 9" xfId="2311"/>
    <cellStyle name="SAPLocked 3 3" xfId="991"/>
    <cellStyle name="SAPLocked 3 4" xfId="1063"/>
    <cellStyle name="SAPLocked 3 5" xfId="1115"/>
    <cellStyle name="SAPLocked 3 6" xfId="1333"/>
    <cellStyle name="SAPLocked 3 7" xfId="410"/>
    <cellStyle name="SAPLocked 3 8" xfId="2102"/>
    <cellStyle name="SAPLocked 3 9" xfId="1755"/>
    <cellStyle name="SAPLocked 30" xfId="1676"/>
    <cellStyle name="SAPLocked 31" xfId="1692"/>
    <cellStyle name="SAPLocked 4" xfId="341"/>
    <cellStyle name="SAPLocked 4 10" xfId="2559"/>
    <cellStyle name="SAPLocked 4 11" xfId="1765"/>
    <cellStyle name="SAPLocked 4 12" xfId="2788"/>
    <cellStyle name="SAPLocked 4 13" xfId="3010"/>
    <cellStyle name="SAPLocked 4 2" xfId="896"/>
    <cellStyle name="SAPLocked 4 2 10" xfId="2709"/>
    <cellStyle name="SAPLocked 4 2 11" xfId="2543"/>
    <cellStyle name="SAPLocked 4 2 12" xfId="2976"/>
    <cellStyle name="SAPLocked 4 2 2" xfId="563"/>
    <cellStyle name="SAPLocked 4 2 3" xfId="656"/>
    <cellStyle name="SAPLocked 4 2 4" xfId="1279"/>
    <cellStyle name="SAPLocked 4 2 5" xfId="400"/>
    <cellStyle name="SAPLocked 4 2 6" xfId="1598"/>
    <cellStyle name="SAPLocked 4 2 7" xfId="2266"/>
    <cellStyle name="SAPLocked 4 2 8" xfId="2386"/>
    <cellStyle name="SAPLocked 4 2 9" xfId="2466"/>
    <cellStyle name="SAPLocked 4 3" xfId="583"/>
    <cellStyle name="SAPLocked 4 4" xfId="734"/>
    <cellStyle name="SAPLocked 4 5" xfId="1156"/>
    <cellStyle name="SAPLocked 4 6" xfId="1299"/>
    <cellStyle name="SAPLocked 4 7" xfId="1497"/>
    <cellStyle name="SAPLocked 4 8" xfId="2137"/>
    <cellStyle name="SAPLocked 4 9" xfId="2287"/>
    <cellStyle name="SAPLocked 5" xfId="310"/>
    <cellStyle name="SAPLocked 5 10" xfId="1747"/>
    <cellStyle name="SAPLocked 5 11" xfId="2446"/>
    <cellStyle name="SAPLocked 5 12" xfId="2874"/>
    <cellStyle name="SAPLocked 5 13" xfId="1669"/>
    <cellStyle name="SAPLocked 5 2" xfId="867"/>
    <cellStyle name="SAPLocked 5 2 10" xfId="2680"/>
    <cellStyle name="SAPLocked 5 2 11" xfId="2816"/>
    <cellStyle name="SAPLocked 5 2 12" xfId="1815"/>
    <cellStyle name="SAPLocked 5 2 2" xfId="627"/>
    <cellStyle name="SAPLocked 5 2 3" xfId="614"/>
    <cellStyle name="SAPLocked 5 2 4" xfId="1250"/>
    <cellStyle name="SAPLocked 5 2 5" xfId="606"/>
    <cellStyle name="SAPLocked 5 2 6" xfId="1569"/>
    <cellStyle name="SAPLocked 5 2 7" xfId="2238"/>
    <cellStyle name="SAPLocked 5 2 8" xfId="2357"/>
    <cellStyle name="SAPLocked 5 2 9" xfId="2453"/>
    <cellStyle name="SAPLocked 5 3" xfId="692"/>
    <cellStyle name="SAPLocked 5 4" xfId="515"/>
    <cellStyle name="SAPLocked 5 5" xfId="1125"/>
    <cellStyle name="SAPLocked 5 6" xfId="663"/>
    <cellStyle name="SAPLocked 5 7" xfId="1429"/>
    <cellStyle name="SAPLocked 5 8" xfId="2111"/>
    <cellStyle name="SAPLocked 5 9" xfId="1853"/>
    <cellStyle name="SAPLocked 6" xfId="356"/>
    <cellStyle name="SAPLocked 6 10" xfId="2561"/>
    <cellStyle name="SAPLocked 6 11" xfId="2499"/>
    <cellStyle name="SAPLocked 6 12" xfId="2768"/>
    <cellStyle name="SAPLocked 6 13" xfId="2932"/>
    <cellStyle name="SAPLocked 6 2" xfId="909"/>
    <cellStyle name="SAPLocked 6 2 10" xfId="2720"/>
    <cellStyle name="SAPLocked 6 2 11" xfId="2654"/>
    <cellStyle name="SAPLocked 6 2 12" xfId="3041"/>
    <cellStyle name="SAPLocked 6 2 2" xfId="462"/>
    <cellStyle name="SAPLocked 6 2 3" xfId="694"/>
    <cellStyle name="SAPLocked 6 2 4" xfId="1291"/>
    <cellStyle name="SAPLocked 6 2 5" xfId="1462"/>
    <cellStyle name="SAPLocked 6 2 6" xfId="1609"/>
    <cellStyle name="SAPLocked 6 2 7" xfId="2278"/>
    <cellStyle name="SAPLocked 6 2 8" xfId="2398"/>
    <cellStyle name="SAPLocked 6 2 9" xfId="1876"/>
    <cellStyle name="SAPLocked 6 3" xfId="776"/>
    <cellStyle name="SAPLocked 6 4" xfId="1019"/>
    <cellStyle name="SAPLocked 6 5" xfId="1170"/>
    <cellStyle name="SAPLocked 6 6" xfId="1387"/>
    <cellStyle name="SAPLocked 6 7" xfId="1509"/>
    <cellStyle name="SAPLocked 6 8" xfId="2151"/>
    <cellStyle name="SAPLocked 6 9" xfId="2113"/>
    <cellStyle name="SAPLocked 7" xfId="315"/>
    <cellStyle name="SAPLocked 7 10" xfId="1737"/>
    <cellStyle name="SAPLocked 7 11" xfId="2186"/>
    <cellStyle name="SAPLocked 7 12" xfId="2802"/>
    <cellStyle name="SAPLocked 7 13" xfId="2950"/>
    <cellStyle name="SAPLocked 7 2" xfId="871"/>
    <cellStyle name="SAPLocked 7 2 10" xfId="2684"/>
    <cellStyle name="SAPLocked 7 2 11" xfId="2088"/>
    <cellStyle name="SAPLocked 7 2 12" xfId="2480"/>
    <cellStyle name="SAPLocked 7 2 2" xfId="977"/>
    <cellStyle name="SAPLocked 7 2 3" xfId="1050"/>
    <cellStyle name="SAPLocked 7 2 4" xfId="1254"/>
    <cellStyle name="SAPLocked 7 2 5" xfId="1069"/>
    <cellStyle name="SAPLocked 7 2 6" xfId="1573"/>
    <cellStyle name="SAPLocked 7 2 7" xfId="2242"/>
    <cellStyle name="SAPLocked 7 2 8" xfId="2361"/>
    <cellStyle name="SAPLocked 7 2 9" xfId="2444"/>
    <cellStyle name="SAPLocked 7 3" xfId="989"/>
    <cellStyle name="SAPLocked 7 4" xfId="986"/>
    <cellStyle name="SAPLocked 7 5" xfId="1130"/>
    <cellStyle name="SAPLocked 7 6" xfId="1394"/>
    <cellStyle name="SAPLocked 7 7" xfId="737"/>
    <cellStyle name="SAPLocked 7 8" xfId="2116"/>
    <cellStyle name="SAPLocked 7 9" xfId="2018"/>
    <cellStyle name="SAPLocked 8" xfId="331"/>
    <cellStyle name="SAPLocked 8 10" xfId="2541"/>
    <cellStyle name="SAPLocked 8 11" xfId="2538"/>
    <cellStyle name="SAPLocked 8 12" xfId="2456"/>
    <cellStyle name="SAPLocked 8 13" xfId="2568"/>
    <cellStyle name="SAPLocked 8 2" xfId="887"/>
    <cellStyle name="SAPLocked 8 2 10" xfId="2700"/>
    <cellStyle name="SAPLocked 8 2 11" xfId="2326"/>
    <cellStyle name="SAPLocked 8 2 12" xfId="2946"/>
    <cellStyle name="SAPLocked 8 2 2" xfId="824"/>
    <cellStyle name="SAPLocked 8 2 3" xfId="570"/>
    <cellStyle name="SAPLocked 8 2 4" xfId="1270"/>
    <cellStyle name="SAPLocked 8 2 5" xfId="531"/>
    <cellStyle name="SAPLocked 8 2 6" xfId="1589"/>
    <cellStyle name="SAPLocked 8 2 7" xfId="2257"/>
    <cellStyle name="SAPLocked 8 2 8" xfId="2377"/>
    <cellStyle name="SAPLocked 8 2 9" xfId="2613"/>
    <cellStyle name="SAPLocked 8 3" xfId="514"/>
    <cellStyle name="SAPLocked 8 4" xfId="787"/>
    <cellStyle name="SAPLocked 8 5" xfId="1146"/>
    <cellStyle name="SAPLocked 8 6" xfId="512"/>
    <cellStyle name="SAPLocked 8 7" xfId="715"/>
    <cellStyle name="SAPLocked 8 8" xfId="2128"/>
    <cellStyle name="SAPLocked 8 9" xfId="2295"/>
    <cellStyle name="SAPLocked 9" xfId="295"/>
    <cellStyle name="SAPLocked 9 10" xfId="2134"/>
    <cellStyle name="SAPLocked 9 11" xfId="2544"/>
    <cellStyle name="SAPLocked 9 12" xfId="2621"/>
    <cellStyle name="SAPLocked 9 13" xfId="2892"/>
    <cellStyle name="SAPLocked 9 2" xfId="852"/>
    <cellStyle name="SAPLocked 9 2 10" xfId="2665"/>
    <cellStyle name="SAPLocked 9 2 11" xfId="2197"/>
    <cellStyle name="SAPLocked 9 2 12" xfId="2486"/>
    <cellStyle name="SAPLocked 9 2 2" xfId="438"/>
    <cellStyle name="SAPLocked 9 2 3" xfId="568"/>
    <cellStyle name="SAPLocked 9 2 4" xfId="1235"/>
    <cellStyle name="SAPLocked 9 2 5" xfId="1331"/>
    <cellStyle name="SAPLocked 9 2 6" xfId="1554"/>
    <cellStyle name="SAPLocked 9 2 7" xfId="2223"/>
    <cellStyle name="SAPLocked 9 2 8" xfId="2342"/>
    <cellStyle name="SAPLocked 9 2 9" xfId="2609"/>
    <cellStyle name="SAPLocked 9 3" xfId="645"/>
    <cellStyle name="SAPLocked 9 4" xfId="683"/>
    <cellStyle name="SAPLocked 9 5" xfId="1110"/>
    <cellStyle name="SAPLocked 9 6" xfId="1098"/>
    <cellStyle name="SAPLocked 9 7" xfId="1036"/>
    <cellStyle name="SAPLocked 9 8" xfId="2097"/>
    <cellStyle name="SAPLocked 9 9" xfId="2205"/>
    <cellStyle name="Standard_CORE_20040805_Movement types_Sets_V0.1_e" xfId="156"/>
    <cellStyle name="STYL5 - Style5" xfId="8227"/>
    <cellStyle name="STYL5 - Style5 2" xfId="8228"/>
    <cellStyle name="STYL6 - Style6" xfId="8229"/>
    <cellStyle name="STYL6 - Style6 2" xfId="8230"/>
    <cellStyle name="STYLE1 - Style1" xfId="8231"/>
    <cellStyle name="STYLE1 - Style1 2" xfId="8232"/>
    <cellStyle name="STYLE2 - Style2" xfId="8233"/>
    <cellStyle name="STYLE2 - Style2 2" xfId="8234"/>
    <cellStyle name="STYLE3 - Style3" xfId="8235"/>
    <cellStyle name="STYLE3 - Style3 2" xfId="8236"/>
    <cellStyle name="STYLE4 - Style4" xfId="8237"/>
    <cellStyle name="STYLE4 - Style4 2" xfId="8238"/>
    <cellStyle name="Title" xfId="3073" builtinId="15" customBuiltin="1"/>
    <cellStyle name="Title 2" xfId="214"/>
    <cellStyle name="Title 2 2" xfId="8239"/>
    <cellStyle name="Title 3" xfId="8240"/>
    <cellStyle name="Total" xfId="50" builtinId="25" customBuiltin="1"/>
    <cellStyle name="Total 2" xfId="215"/>
    <cellStyle name="Total 2 2" xfId="814"/>
    <cellStyle name="Total 2 2 2" xfId="8242"/>
    <cellStyle name="Total 2 3" xfId="455"/>
    <cellStyle name="Total 2 4" xfId="728"/>
    <cellStyle name="Total 2 5" xfId="718"/>
    <cellStyle name="Total 2 6" xfId="2224"/>
    <cellStyle name="Total 2 7" xfId="2500"/>
    <cellStyle name="Total 2 8" xfId="2849"/>
    <cellStyle name="Total 2 9" xfId="8241"/>
    <cellStyle name="Total 3" xfId="3114"/>
    <cellStyle name="Total 3 2" xfId="8244"/>
    <cellStyle name="Total 3 3" xfId="8243"/>
    <cellStyle name="Undefiniert" xfId="157"/>
    <cellStyle name="UploadThisRowValue" xfId="51"/>
    <cellStyle name="UploadThisRowValue 2" xfId="158"/>
    <cellStyle name="UploadThisRowValue 3" xfId="8245"/>
    <cellStyle name="Warning Text" xfId="3084" builtinId="11" customBuiltin="1"/>
    <cellStyle name="Warning Text 2" xfId="216"/>
    <cellStyle name="Warning Text 2 2" xfId="8246"/>
    <cellStyle name="Warning Text 3" xfId="8247"/>
    <cellStyle name="Warning Text 4" xfId="8248"/>
  </cellStyles>
  <dxfs count="0"/>
  <tableStyles count="0" defaultTableStyle="TableStyleMedium9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2</xdr:row>
      <xdr:rowOff>57150</xdr:rowOff>
    </xdr:from>
    <xdr:to>
      <xdr:col>3</xdr:col>
      <xdr:colOff>142875</xdr:colOff>
      <xdr:row>11</xdr:row>
      <xdr:rowOff>171450</xdr:rowOff>
    </xdr:to>
    <xdr:sp macro="" textlink="">
      <xdr:nvSpPr>
        <xdr:cNvPr id="2" name="Right Brace 1"/>
        <xdr:cNvSpPr/>
      </xdr:nvSpPr>
      <xdr:spPr>
        <a:xfrm>
          <a:off x="5724525" y="457200"/>
          <a:ext cx="85725" cy="19145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57150</xdr:colOff>
      <xdr:row>15</xdr:row>
      <xdr:rowOff>57150</xdr:rowOff>
    </xdr:from>
    <xdr:to>
      <xdr:col>3</xdr:col>
      <xdr:colOff>142875</xdr:colOff>
      <xdr:row>24</xdr:row>
      <xdr:rowOff>171450</xdr:rowOff>
    </xdr:to>
    <xdr:sp macro="" textlink="">
      <xdr:nvSpPr>
        <xdr:cNvPr id="3" name="Right Brace 2"/>
        <xdr:cNvSpPr/>
      </xdr:nvSpPr>
      <xdr:spPr>
        <a:xfrm>
          <a:off x="6105525" y="457200"/>
          <a:ext cx="85725" cy="19145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57150</xdr:colOff>
      <xdr:row>28</xdr:row>
      <xdr:rowOff>57150</xdr:rowOff>
    </xdr:from>
    <xdr:to>
      <xdr:col>3</xdr:col>
      <xdr:colOff>142875</xdr:colOff>
      <xdr:row>37</xdr:row>
      <xdr:rowOff>171450</xdr:rowOff>
    </xdr:to>
    <xdr:sp macro="" textlink="">
      <xdr:nvSpPr>
        <xdr:cNvPr id="4" name="Right Brace 3"/>
        <xdr:cNvSpPr/>
      </xdr:nvSpPr>
      <xdr:spPr>
        <a:xfrm>
          <a:off x="6105525" y="3057525"/>
          <a:ext cx="85725" cy="19145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57150</xdr:colOff>
      <xdr:row>41</xdr:row>
      <xdr:rowOff>57150</xdr:rowOff>
    </xdr:from>
    <xdr:to>
      <xdr:col>3</xdr:col>
      <xdr:colOff>142875</xdr:colOff>
      <xdr:row>50</xdr:row>
      <xdr:rowOff>171450</xdr:rowOff>
    </xdr:to>
    <xdr:sp macro="" textlink="">
      <xdr:nvSpPr>
        <xdr:cNvPr id="5" name="Right Brace 4"/>
        <xdr:cNvSpPr/>
      </xdr:nvSpPr>
      <xdr:spPr>
        <a:xfrm>
          <a:off x="6105525" y="5648325"/>
          <a:ext cx="85725" cy="19145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eenergy.int\95UPDATE\NIACGRPH.XLW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inancialplanning\2014%20Plan\UI%20Planner%20Data\Revenue\Misc%20Revenue\GL_Trial%20Balance%20Monthly%20w%20prod%2020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nergy%20Services\Reporting\2014%20Reporting\02%20February%202014\Gen%20%20Services\Revised%20Gen%20Services%20Feb%20Accru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Graph Info"/>
      <sheetName val="Input"/>
      <sheetName val="NIACGRPH"/>
    </sheetNames>
    <definedNames>
      <definedName name="Printing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 (2)"/>
      <sheetName val="Macro1"/>
      <sheetName val="pt"/>
      <sheetName val="Revenue"/>
      <sheetName val="FERC_TABLE"/>
      <sheetName val="TYPE"/>
    </sheetNames>
    <sheetDataSet>
      <sheetData sheetId="0"/>
      <sheetData sheetId="1">
        <row r="928">
          <cell r="A928" t="str">
            <v>Recover</v>
          </cell>
        </row>
      </sheetData>
      <sheetData sheetId="2"/>
      <sheetData sheetId="3"/>
      <sheetData sheetId="4">
        <row r="2">
          <cell r="A2" t="str">
            <v>101101</v>
          </cell>
        </row>
      </sheetData>
      <sheetData sheetId="5">
        <row r="2">
          <cell r="A2" t="str">
            <v>105</v>
          </cell>
          <cell r="B2" t="str">
            <v>KU ELECTRIC COMMON</v>
          </cell>
          <cell r="C2" t="str">
            <v>Elect</v>
          </cell>
        </row>
        <row r="3">
          <cell r="A3" t="str">
            <v>111</v>
          </cell>
          <cell r="B3" t="str">
            <v>WHOLESALE GENERATION</v>
          </cell>
          <cell r="C3" t="str">
            <v>Elect</v>
          </cell>
        </row>
        <row r="4">
          <cell r="A4" t="str">
            <v>113</v>
          </cell>
          <cell r="B4" t="str">
            <v>ELECTRIC COMMON</v>
          </cell>
          <cell r="C4" t="str">
            <v>Elect</v>
          </cell>
        </row>
        <row r="5">
          <cell r="A5" t="str">
            <v>121</v>
          </cell>
          <cell r="B5" t="str">
            <v>ELECTRIC TRANSMISSION</v>
          </cell>
          <cell r="C5" t="str">
            <v>Elect</v>
          </cell>
        </row>
        <row r="6">
          <cell r="A6" t="str">
            <v>122</v>
          </cell>
          <cell r="B6" t="str">
            <v>ELECTRIC DISTRIBUTION</v>
          </cell>
          <cell r="C6" t="str">
            <v>Elect</v>
          </cell>
        </row>
        <row r="7">
          <cell r="A7" t="str">
            <v>131</v>
          </cell>
          <cell r="B7" t="str">
            <v>GAS COMMON</v>
          </cell>
          <cell r="C7" t="str">
            <v>Gas</v>
          </cell>
        </row>
        <row r="8">
          <cell r="A8" t="str">
            <v>141</v>
          </cell>
          <cell r="B8" t="str">
            <v>COMMON / G&amp;A</v>
          </cell>
          <cell r="C8" t="str">
            <v>Elect</v>
          </cell>
        </row>
        <row r="9">
          <cell r="A9" t="str">
            <v>703</v>
          </cell>
          <cell r="B9" t="str">
            <v>C - NET ADDITIONS/DISPOSALS</v>
          </cell>
          <cell r="C9" t="str">
            <v>Elect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1"/>
  <sheetViews>
    <sheetView workbookViewId="0"/>
  </sheetViews>
  <sheetFormatPr defaultRowHeight="15" x14ac:dyDescent="0.2"/>
  <sheetData>
    <row r="1" spans="1:3" x14ac:dyDescent="0.2">
      <c r="A1" t="s">
        <v>1450</v>
      </c>
      <c r="B1" t="s">
        <v>1451</v>
      </c>
      <c r="C1" t="s">
        <v>1452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zoomScale="85" zoomScaleNormal="85" workbookViewId="0">
      <pane xSplit="1" ySplit="1" topLeftCell="B2" activePane="bottomRight" state="frozen"/>
      <selection activeCell="A28" sqref="A28"/>
      <selection pane="topRight" activeCell="A28" sqref="A28"/>
      <selection pane="bottomLeft" activeCell="A28" sqref="A28"/>
      <selection pane="bottomRight" activeCell="B27" sqref="B27"/>
    </sheetView>
  </sheetViews>
  <sheetFormatPr defaultColWidth="9" defaultRowHeight="15" x14ac:dyDescent="0.25"/>
  <cols>
    <col min="1" max="1" width="43.21875" style="603" bestFit="1" customWidth="1"/>
    <col min="2" max="13" width="12.44140625" style="603" bestFit="1" customWidth="1"/>
    <col min="14" max="14" width="12.88671875" style="603" customWidth="1"/>
    <col min="15" max="15" width="9.88671875" style="603" bestFit="1" customWidth="1"/>
    <col min="16" max="16384" width="9" style="603"/>
  </cols>
  <sheetData>
    <row r="1" spans="1:16" x14ac:dyDescent="0.25">
      <c r="A1" s="696" t="s">
        <v>2417</v>
      </c>
      <c r="B1" s="603" t="s">
        <v>2560</v>
      </c>
      <c r="C1" s="603" t="s">
        <v>2561</v>
      </c>
      <c r="D1" s="603" t="s">
        <v>2562</v>
      </c>
      <c r="E1" s="603" t="s">
        <v>2563</v>
      </c>
      <c r="F1" s="603" t="s">
        <v>2564</v>
      </c>
      <c r="G1" s="603" t="s">
        <v>2565</v>
      </c>
      <c r="H1" s="603" t="s">
        <v>2566</v>
      </c>
      <c r="I1" s="603" t="s">
        <v>2567</v>
      </c>
      <c r="J1" s="603" t="s">
        <v>2568</v>
      </c>
      <c r="K1" s="603" t="s">
        <v>2569</v>
      </c>
      <c r="L1" s="603" t="s">
        <v>2570</v>
      </c>
      <c r="M1" s="603" t="s">
        <v>2571</v>
      </c>
      <c r="N1" s="697" t="s">
        <v>2572</v>
      </c>
    </row>
    <row r="2" spans="1:16" x14ac:dyDescent="0.25">
      <c r="A2" s="603" t="s">
        <v>1268</v>
      </c>
      <c r="B2" s="604">
        <v>207.67894000000032</v>
      </c>
      <c r="C2" s="604">
        <v>242.34287000000032</v>
      </c>
      <c r="D2" s="604">
        <v>352.72779666666634</v>
      </c>
      <c r="E2" s="604">
        <v>464.38981666666632</v>
      </c>
      <c r="F2" s="604">
        <v>357.62700000000035</v>
      </c>
      <c r="G2" s="604">
        <v>287.64176000000032</v>
      </c>
      <c r="H2" s="604">
        <v>195.61320333333333</v>
      </c>
      <c r="I2" s="604">
        <v>247.77517666666631</v>
      </c>
      <c r="J2" s="604">
        <v>410.2917333333333</v>
      </c>
      <c r="K2" s="604">
        <v>532.02287666666643</v>
      </c>
      <c r="L2" s="604">
        <v>352.98260000000033</v>
      </c>
      <c r="M2" s="604">
        <v>311.66218000000032</v>
      </c>
      <c r="N2" s="604">
        <f>SUM(B2:M2)*1000</f>
        <v>3962755.9533333336</v>
      </c>
      <c r="P2" s="605"/>
    </row>
    <row r="3" spans="1:16" x14ac:dyDescent="0.25">
      <c r="A3" s="603" t="s">
        <v>2418</v>
      </c>
      <c r="B3" s="604">
        <v>5.3316666666666668E-3</v>
      </c>
      <c r="C3" s="604">
        <v>5.3316666666666668E-3</v>
      </c>
      <c r="D3" s="604">
        <v>5.3316666666666668E-3</v>
      </c>
      <c r="E3" s="604">
        <v>5.3316666666666668E-3</v>
      </c>
      <c r="F3" s="604">
        <v>5.3316666666666668E-3</v>
      </c>
      <c r="G3" s="604">
        <v>5.3316666666666668E-3</v>
      </c>
      <c r="H3" s="604">
        <v>5.3316666666666668E-3</v>
      </c>
      <c r="I3" s="604">
        <v>5.3316666666666668E-3</v>
      </c>
      <c r="J3" s="604">
        <v>5.3316666666666668E-3</v>
      </c>
      <c r="K3" s="604">
        <v>5.3316666666666668E-3</v>
      </c>
      <c r="L3" s="604">
        <v>5.3316666666666668E-3</v>
      </c>
      <c r="M3" s="604">
        <v>5.3316666666666668E-3</v>
      </c>
      <c r="N3" s="604">
        <f t="shared" ref="N3:N23" si="0">SUM(B3:M3)*1000</f>
        <v>63.98</v>
      </c>
      <c r="P3" s="605"/>
    </row>
    <row r="4" spans="1:16" x14ac:dyDescent="0.25">
      <c r="A4" s="603" t="s">
        <v>1260</v>
      </c>
      <c r="B4" s="604">
        <v>177.33799999999999</v>
      </c>
      <c r="C4" s="604">
        <v>180.81466666666699</v>
      </c>
      <c r="D4" s="604">
        <v>157.910666666667</v>
      </c>
      <c r="E4" s="604">
        <v>229.54400000000001</v>
      </c>
      <c r="F4" s="604">
        <v>224.12133333333301</v>
      </c>
      <c r="G4" s="604">
        <v>199.14533333333301</v>
      </c>
      <c r="H4" s="604">
        <v>164.16399999999999</v>
      </c>
      <c r="I4" s="604">
        <v>111.33733333333301</v>
      </c>
      <c r="J4" s="604">
        <v>112.200666666667</v>
      </c>
      <c r="K4" s="604">
        <v>164.952666666667</v>
      </c>
      <c r="L4" s="604">
        <v>204.661333333333</v>
      </c>
      <c r="M4" s="604">
        <v>219.85599999999999</v>
      </c>
      <c r="N4" s="604">
        <f t="shared" si="0"/>
        <v>2146046.0000000005</v>
      </c>
      <c r="P4" s="605"/>
    </row>
    <row r="5" spans="1:16" x14ac:dyDescent="0.25">
      <c r="A5" s="603" t="s">
        <v>1261</v>
      </c>
      <c r="B5" s="604">
        <v>4.9765661111111159</v>
      </c>
      <c r="C5" s="604">
        <v>4.9765661111111159</v>
      </c>
      <c r="D5" s="604">
        <v>4.9765661111111159</v>
      </c>
      <c r="E5" s="604">
        <v>4.9765661111111159</v>
      </c>
      <c r="F5" s="604">
        <v>4.9765661111111159</v>
      </c>
      <c r="G5" s="604">
        <v>4.9765661111111159</v>
      </c>
      <c r="H5" s="604">
        <v>4.9765661111111159</v>
      </c>
      <c r="I5" s="604">
        <v>4.9765661111111159</v>
      </c>
      <c r="J5" s="604">
        <v>4.9765661111111159</v>
      </c>
      <c r="K5" s="604">
        <v>4.9765661111111159</v>
      </c>
      <c r="L5" s="604">
        <v>4.9765661111111159</v>
      </c>
      <c r="M5" s="604">
        <v>4.9765661111111159</v>
      </c>
      <c r="N5" s="604">
        <f t="shared" si="0"/>
        <v>59718.7933333334</v>
      </c>
      <c r="P5" s="605"/>
    </row>
    <row r="6" spans="1:16" x14ac:dyDescent="0.25">
      <c r="A6" s="603" t="s">
        <v>2550</v>
      </c>
      <c r="B6" s="604">
        <v>8.9243166666666696</v>
      </c>
      <c r="C6" s="604">
        <v>8.9243166666666696</v>
      </c>
      <c r="D6" s="604">
        <v>8.9243166666666696</v>
      </c>
      <c r="E6" s="604">
        <v>8.9243166666666696</v>
      </c>
      <c r="F6" s="604">
        <v>8.9243166666666696</v>
      </c>
      <c r="G6" s="604">
        <v>8.9243166666666696</v>
      </c>
      <c r="H6" s="604">
        <v>8.9243166666666696</v>
      </c>
      <c r="I6" s="604">
        <v>8.9243166666666696</v>
      </c>
      <c r="J6" s="604">
        <v>8.9243166666666696</v>
      </c>
      <c r="K6" s="604">
        <v>8.9243166666666696</v>
      </c>
      <c r="L6" s="604">
        <v>8.9243166666666696</v>
      </c>
      <c r="M6" s="604">
        <v>8.9243166666666696</v>
      </c>
      <c r="N6" s="604">
        <f t="shared" si="0"/>
        <v>107091.80000000003</v>
      </c>
      <c r="P6" s="605"/>
    </row>
    <row r="7" spans="1:16" x14ac:dyDescent="0.25">
      <c r="A7" s="603" t="s">
        <v>1262</v>
      </c>
      <c r="B7" s="604">
        <v>172.1236041666663</v>
      </c>
      <c r="C7" s="604">
        <v>172.1236041666663</v>
      </c>
      <c r="D7" s="604">
        <v>172.1236041666663</v>
      </c>
      <c r="E7" s="604">
        <v>172.1236041666663</v>
      </c>
      <c r="F7" s="604">
        <v>172.1236041666663</v>
      </c>
      <c r="G7" s="604">
        <v>172.1236041666663</v>
      </c>
      <c r="H7" s="604">
        <v>172.1236041666663</v>
      </c>
      <c r="I7" s="604">
        <v>172.1236041666663</v>
      </c>
      <c r="J7" s="604">
        <v>172.1236041666663</v>
      </c>
      <c r="K7" s="604">
        <v>202.85861416666629</v>
      </c>
      <c r="L7" s="604">
        <v>172.1236041666663</v>
      </c>
      <c r="M7" s="604">
        <v>172.1236041666663</v>
      </c>
      <c r="N7" s="604">
        <f t="shared" si="0"/>
        <v>2096218.2599999961</v>
      </c>
    </row>
    <row r="8" spans="1:16" x14ac:dyDescent="0.25">
      <c r="A8" s="603" t="s">
        <v>2551</v>
      </c>
      <c r="B8" s="604">
        <v>94.080543333333395</v>
      </c>
      <c r="C8" s="604">
        <v>94.080543333333395</v>
      </c>
      <c r="D8" s="604">
        <v>94.080543333333395</v>
      </c>
      <c r="E8" s="604">
        <v>94.080543333333395</v>
      </c>
      <c r="F8" s="604">
        <v>94.080543333333395</v>
      </c>
      <c r="G8" s="604">
        <v>94.080543333333395</v>
      </c>
      <c r="H8" s="604">
        <v>94.080543333333395</v>
      </c>
      <c r="I8" s="604">
        <v>94.080543333333395</v>
      </c>
      <c r="J8" s="604">
        <v>94.080543333333395</v>
      </c>
      <c r="K8" s="604">
        <v>94.080543333333395</v>
      </c>
      <c r="L8" s="604">
        <v>94.080543333333395</v>
      </c>
      <c r="M8" s="604">
        <v>94.080543333333395</v>
      </c>
      <c r="N8" s="604">
        <f t="shared" si="0"/>
        <v>1128966.5200000007</v>
      </c>
      <c r="P8" s="605"/>
    </row>
    <row r="9" spans="1:16" x14ac:dyDescent="0.25">
      <c r="A9" s="603" t="s">
        <v>2552</v>
      </c>
      <c r="B9" s="604">
        <v>14.018279999999997</v>
      </c>
      <c r="C9" s="604">
        <v>14.018279999999997</v>
      </c>
      <c r="D9" s="604">
        <v>14.018279999999997</v>
      </c>
      <c r="E9" s="604">
        <v>14.018279999999997</v>
      </c>
      <c r="F9" s="604">
        <v>14.018279999999997</v>
      </c>
      <c r="G9" s="604">
        <v>14.018279999999997</v>
      </c>
      <c r="H9" s="604">
        <v>14.018279999999997</v>
      </c>
      <c r="I9" s="604">
        <v>14.018279999999997</v>
      </c>
      <c r="J9" s="604">
        <v>14.018279999999997</v>
      </c>
      <c r="K9" s="604">
        <v>14.018279999999997</v>
      </c>
      <c r="L9" s="604">
        <v>14.018279999999997</v>
      </c>
      <c r="M9" s="604">
        <v>14.018279999999997</v>
      </c>
      <c r="N9" s="604">
        <f t="shared" si="0"/>
        <v>168219.36000000002</v>
      </c>
      <c r="P9" s="605"/>
    </row>
    <row r="10" spans="1:16" x14ac:dyDescent="0.25">
      <c r="A10" s="603" t="s">
        <v>2553</v>
      </c>
      <c r="B10" s="604">
        <v>0.40861999999999998</v>
      </c>
      <c r="C10" s="604">
        <v>0.40861999999999998</v>
      </c>
      <c r="D10" s="604">
        <v>0.40861999999999998</v>
      </c>
      <c r="E10" s="604">
        <v>0.40861999999999998</v>
      </c>
      <c r="F10" s="604">
        <v>0.40861999999999998</v>
      </c>
      <c r="G10" s="604">
        <v>0.40861999999999998</v>
      </c>
      <c r="H10" s="604">
        <v>0.40861999999999998</v>
      </c>
      <c r="I10" s="604">
        <v>0.40861999999999998</v>
      </c>
      <c r="J10" s="604">
        <v>0.61292999999999997</v>
      </c>
      <c r="K10" s="604">
        <v>0.61292999999999997</v>
      </c>
      <c r="L10" s="604">
        <v>0.61292999999999997</v>
      </c>
      <c r="M10" s="604">
        <v>0.61292999999999997</v>
      </c>
      <c r="N10" s="604">
        <f t="shared" si="0"/>
        <v>5720.6799999999994</v>
      </c>
      <c r="P10" s="698"/>
    </row>
    <row r="11" spans="1:16" x14ac:dyDescent="0.25">
      <c r="A11" s="603" t="s">
        <v>2419</v>
      </c>
      <c r="B11" s="604">
        <v>25.088000000000001</v>
      </c>
      <c r="C11" s="604">
        <v>25.088000000000001</v>
      </c>
      <c r="D11" s="604">
        <v>25.088000000000001</v>
      </c>
      <c r="E11" s="604">
        <v>25.088000000000001</v>
      </c>
      <c r="F11" s="604">
        <v>25.088000000000001</v>
      </c>
      <c r="G11" s="604">
        <v>25.088000000000001</v>
      </c>
      <c r="H11" s="604">
        <v>25.088000000000001</v>
      </c>
      <c r="I11" s="604">
        <v>25.088000000000001</v>
      </c>
      <c r="J11" s="604">
        <v>25.417999999999999</v>
      </c>
      <c r="K11" s="604">
        <v>25.417999999999999</v>
      </c>
      <c r="L11" s="604">
        <v>25.417999999999999</v>
      </c>
      <c r="M11" s="604">
        <v>25.417999999999999</v>
      </c>
      <c r="N11" s="604">
        <f t="shared" si="0"/>
        <v>302376</v>
      </c>
      <c r="P11" s="698"/>
    </row>
    <row r="12" spans="1:16" x14ac:dyDescent="0.25">
      <c r="A12" s="603" t="s">
        <v>2554</v>
      </c>
      <c r="B12" s="604">
        <v>11.746279999999899</v>
      </c>
      <c r="C12" s="604">
        <v>11.746279999999899</v>
      </c>
      <c r="D12" s="604">
        <v>11.746279999999899</v>
      </c>
      <c r="E12" s="604">
        <v>11.746279999999899</v>
      </c>
      <c r="F12" s="604">
        <v>11.746279999999899</v>
      </c>
      <c r="G12" s="604">
        <v>11.746279999999899</v>
      </c>
      <c r="H12" s="604">
        <v>11.746279999999899</v>
      </c>
      <c r="I12" s="604">
        <v>11.746279999999899</v>
      </c>
      <c r="J12" s="604">
        <v>11.746279999999899</v>
      </c>
      <c r="K12" s="604">
        <v>11.746279999999899</v>
      </c>
      <c r="L12" s="604">
        <v>11.746279999999899</v>
      </c>
      <c r="M12" s="604">
        <v>11.746279999999899</v>
      </c>
      <c r="N12" s="604">
        <f t="shared" si="0"/>
        <v>140955.35999999879</v>
      </c>
      <c r="P12" s="605"/>
    </row>
    <row r="13" spans="1:16" x14ac:dyDescent="0.25">
      <c r="A13" s="603" t="s">
        <v>2555</v>
      </c>
      <c r="B13" s="604">
        <v>573.15362000000005</v>
      </c>
      <c r="C13" s="604">
        <v>573.15362000000005</v>
      </c>
      <c r="D13" s="604">
        <v>573.15362000000005</v>
      </c>
      <c r="E13" s="604">
        <v>573.15362000000005</v>
      </c>
      <c r="F13" s="604">
        <v>573.15362000000005</v>
      </c>
      <c r="G13" s="604">
        <v>573.15362000000005</v>
      </c>
      <c r="H13" s="604">
        <v>573.15362000000005</v>
      </c>
      <c r="I13" s="604">
        <v>573.15362000000005</v>
      </c>
      <c r="J13" s="604">
        <v>573.15362000000005</v>
      </c>
      <c r="K13" s="604">
        <v>573.15362000000005</v>
      </c>
      <c r="L13" s="604">
        <v>573.15362000000005</v>
      </c>
      <c r="M13" s="604">
        <v>573.15362000000005</v>
      </c>
      <c r="N13" s="604">
        <f t="shared" si="0"/>
        <v>6877843.4400000004</v>
      </c>
      <c r="P13" s="605"/>
    </row>
    <row r="14" spans="1:16" x14ac:dyDescent="0.25">
      <c r="A14" s="603" t="s">
        <v>2556</v>
      </c>
      <c r="B14" s="604">
        <v>30.024270000000001</v>
      </c>
      <c r="C14" s="604">
        <v>30.024270000000001</v>
      </c>
      <c r="D14" s="604">
        <v>30.024270000000001</v>
      </c>
      <c r="E14" s="604">
        <v>30.024270000000001</v>
      </c>
      <c r="F14" s="604">
        <v>30.024270000000001</v>
      </c>
      <c r="G14" s="604">
        <v>30.024270000000001</v>
      </c>
      <c r="H14" s="604">
        <v>30.024270000000001</v>
      </c>
      <c r="I14" s="604">
        <v>30.024270000000001</v>
      </c>
      <c r="J14" s="604">
        <v>30.024270000000001</v>
      </c>
      <c r="K14" s="604">
        <v>30.024270000000001</v>
      </c>
      <c r="L14" s="604">
        <v>30.024270000000001</v>
      </c>
      <c r="M14" s="604">
        <v>30.024270000000001</v>
      </c>
      <c r="N14" s="604">
        <f t="shared" si="0"/>
        <v>360291.24</v>
      </c>
      <c r="P14" s="605"/>
    </row>
    <row r="15" spans="1:16" x14ac:dyDescent="0.25">
      <c r="A15" s="603" t="s">
        <v>1266</v>
      </c>
      <c r="B15" s="604">
        <v>1763.2964727338801</v>
      </c>
      <c r="C15" s="604">
        <v>1892.304393316</v>
      </c>
      <c r="D15" s="604">
        <v>2005.8277680183398</v>
      </c>
      <c r="E15" s="604">
        <v>2011.87776255626</v>
      </c>
      <c r="F15" s="604">
        <v>1933.5659193364299</v>
      </c>
      <c r="G15" s="604">
        <v>1606.95496300986</v>
      </c>
      <c r="H15" s="604">
        <v>1618.9270588126001</v>
      </c>
      <c r="I15" s="604">
        <v>1859.56724772744</v>
      </c>
      <c r="J15" s="604">
        <v>1970.7833359732901</v>
      </c>
      <c r="K15" s="604">
        <v>1993.77045834314</v>
      </c>
      <c r="L15" s="604">
        <v>1740.3997932857001</v>
      </c>
      <c r="M15" s="604">
        <v>1572.1867035323899</v>
      </c>
      <c r="N15" s="604">
        <f t="shared" si="0"/>
        <v>21969461.876645327</v>
      </c>
      <c r="P15" s="605"/>
    </row>
    <row r="16" spans="1:16" x14ac:dyDescent="0.25">
      <c r="A16" s="603" t="s">
        <v>1371</v>
      </c>
      <c r="B16" s="604">
        <v>118.0558313004</v>
      </c>
      <c r="C16" s="604">
        <v>139.50819767402902</v>
      </c>
      <c r="D16" s="604">
        <v>151.27574041601329</v>
      </c>
      <c r="E16" s="604">
        <v>150.6564369638387</v>
      </c>
      <c r="F16" s="604">
        <v>144.64071214482269</v>
      </c>
      <c r="G16" s="604">
        <v>121.999805127228</v>
      </c>
      <c r="H16" s="604">
        <v>102.9296740392777</v>
      </c>
      <c r="I16" s="604">
        <v>106.845081403967</v>
      </c>
      <c r="J16" s="604">
        <v>118.74434753686089</v>
      </c>
      <c r="K16" s="604">
        <v>123.0955141255878</v>
      </c>
      <c r="L16" s="604">
        <v>114.8878063442979</v>
      </c>
      <c r="M16" s="604">
        <v>107.80786742146469</v>
      </c>
      <c r="N16" s="604">
        <f t="shared" si="0"/>
        <v>1500447.0144977877</v>
      </c>
      <c r="P16" s="605"/>
    </row>
    <row r="17" spans="1:16" x14ac:dyDescent="0.25">
      <c r="A17" s="603" t="s">
        <v>1264</v>
      </c>
      <c r="B17" s="604">
        <v>0.05</v>
      </c>
      <c r="C17" s="604">
        <v>0.05</v>
      </c>
      <c r="D17" s="604">
        <v>0.05</v>
      </c>
      <c r="E17" s="604">
        <v>0.05</v>
      </c>
      <c r="F17" s="604">
        <v>0.05</v>
      </c>
      <c r="G17" s="604">
        <v>0.05</v>
      </c>
      <c r="H17" s="604">
        <v>0.05</v>
      </c>
      <c r="I17" s="604">
        <v>0.05</v>
      </c>
      <c r="J17" s="604">
        <v>0.05</v>
      </c>
      <c r="K17" s="604">
        <v>0.05</v>
      </c>
      <c r="L17" s="604">
        <v>0.05</v>
      </c>
      <c r="M17" s="604">
        <v>0.05</v>
      </c>
      <c r="N17" s="604">
        <f t="shared" si="0"/>
        <v>600</v>
      </c>
      <c r="P17" s="605"/>
    </row>
    <row r="18" spans="1:16" x14ac:dyDescent="0.25">
      <c r="A18" s="603" t="s">
        <v>1263</v>
      </c>
      <c r="B18" s="604">
        <v>13.5355555555556</v>
      </c>
      <c r="C18" s="604">
        <v>13.5355555555556</v>
      </c>
      <c r="D18" s="604">
        <v>13.5355555555556</v>
      </c>
      <c r="E18" s="604">
        <v>13.5355555555556</v>
      </c>
      <c r="F18" s="604">
        <v>13.5355555555556</v>
      </c>
      <c r="G18" s="604">
        <v>13.5355555555556</v>
      </c>
      <c r="H18" s="604">
        <v>13.5355555555556</v>
      </c>
      <c r="I18" s="604">
        <v>13.5355555555556</v>
      </c>
      <c r="J18" s="604">
        <v>13.5355555555556</v>
      </c>
      <c r="K18" s="604">
        <v>13.5355555555556</v>
      </c>
      <c r="L18" s="604">
        <v>13.5355555555556</v>
      </c>
      <c r="M18" s="604">
        <v>13.5355555555556</v>
      </c>
      <c r="N18" s="604">
        <f t="shared" si="0"/>
        <v>162426.66666666718</v>
      </c>
      <c r="P18" s="605"/>
    </row>
    <row r="19" spans="1:16" x14ac:dyDescent="0.25">
      <c r="A19" s="603" t="s">
        <v>1265</v>
      </c>
      <c r="B19" s="604">
        <v>6.0750172222224501</v>
      </c>
      <c r="C19" s="604">
        <v>6.0750172222224501</v>
      </c>
      <c r="D19" s="604">
        <v>6.0750172222224501</v>
      </c>
      <c r="E19" s="604">
        <v>6.0750172222224501</v>
      </c>
      <c r="F19" s="604">
        <v>6.0750172222224501</v>
      </c>
      <c r="G19" s="604">
        <v>6.0750172222224501</v>
      </c>
      <c r="H19" s="604">
        <v>6.0750172222224501</v>
      </c>
      <c r="I19" s="604">
        <v>6.0750172222224501</v>
      </c>
      <c r="J19" s="604">
        <v>6.0750172222224501</v>
      </c>
      <c r="K19" s="604">
        <v>6.0750172222224501</v>
      </c>
      <c r="L19" s="604">
        <v>6.0750172222224501</v>
      </c>
      <c r="M19" s="604">
        <v>6.0750172222224501</v>
      </c>
      <c r="N19" s="604">
        <f t="shared" si="0"/>
        <v>72900.206666669401</v>
      </c>
      <c r="P19" s="605"/>
    </row>
    <row r="20" spans="1:16" x14ac:dyDescent="0.25">
      <c r="A20" s="603" t="s">
        <v>2557</v>
      </c>
      <c r="B20" s="604">
        <v>0</v>
      </c>
      <c r="C20" s="604">
        <v>0</v>
      </c>
      <c r="D20" s="604">
        <v>0</v>
      </c>
      <c r="E20" s="604">
        <v>0</v>
      </c>
      <c r="F20" s="604">
        <v>0</v>
      </c>
      <c r="G20" s="604">
        <v>0</v>
      </c>
      <c r="H20" s="604">
        <v>0</v>
      </c>
      <c r="I20" s="604">
        <v>0</v>
      </c>
      <c r="J20" s="604">
        <v>0</v>
      </c>
      <c r="K20" s="604">
        <v>0</v>
      </c>
      <c r="L20" s="604">
        <v>0</v>
      </c>
      <c r="M20" s="604">
        <v>0</v>
      </c>
      <c r="N20" s="604">
        <f t="shared" si="0"/>
        <v>0</v>
      </c>
      <c r="P20" s="605"/>
    </row>
    <row r="21" spans="1:16" x14ac:dyDescent="0.25">
      <c r="A21" s="603" t="s">
        <v>2558</v>
      </c>
      <c r="B21" s="604">
        <v>14.444945554826701</v>
      </c>
      <c r="C21" s="604">
        <v>14.4449755548267</v>
      </c>
      <c r="D21" s="604">
        <v>14.444945554826701</v>
      </c>
      <c r="E21" s="604">
        <v>14.444945554826701</v>
      </c>
      <c r="F21" s="604">
        <v>14.444945554826701</v>
      </c>
      <c r="G21" s="604">
        <v>14.444945554826701</v>
      </c>
      <c r="H21" s="604">
        <v>14.444945554826701</v>
      </c>
      <c r="I21" s="604">
        <v>14.444945554826701</v>
      </c>
      <c r="J21" s="604">
        <v>14.444945554826701</v>
      </c>
      <c r="K21" s="604">
        <v>14.444945554826701</v>
      </c>
      <c r="L21" s="604">
        <v>14.444945554826701</v>
      </c>
      <c r="M21" s="604">
        <v>14.444945554826701</v>
      </c>
      <c r="N21" s="604">
        <f t="shared" si="0"/>
        <v>173339.37665792039</v>
      </c>
      <c r="P21" s="605"/>
    </row>
    <row r="22" spans="1:16" x14ac:dyDescent="0.25">
      <c r="A22" s="603" t="s">
        <v>2559</v>
      </c>
      <c r="B22" s="604">
        <v>0.73512999999999995</v>
      </c>
      <c r="C22" s="604">
        <v>0.73512999999999995</v>
      </c>
      <c r="D22" s="604">
        <v>0.73512999999999995</v>
      </c>
      <c r="E22" s="604">
        <v>0.73512999999999995</v>
      </c>
      <c r="F22" s="604">
        <v>0.73512999999999995</v>
      </c>
      <c r="G22" s="604">
        <v>0.73512999999999995</v>
      </c>
      <c r="H22" s="604">
        <v>0.73512999999999995</v>
      </c>
      <c r="I22" s="604">
        <v>0.73512999999999995</v>
      </c>
      <c r="J22" s="604">
        <v>0.73512999999999995</v>
      </c>
      <c r="K22" s="604">
        <v>0.73512999999999995</v>
      </c>
      <c r="L22" s="604">
        <v>0.73512999999999995</v>
      </c>
      <c r="M22" s="604">
        <v>0.73512999999999995</v>
      </c>
      <c r="N22" s="604">
        <f t="shared" si="0"/>
        <v>8821.56</v>
      </c>
      <c r="P22" s="605"/>
    </row>
    <row r="23" spans="1:16" x14ac:dyDescent="0.25">
      <c r="A23" s="603" t="s">
        <v>1288</v>
      </c>
      <c r="B23" s="604">
        <v>2.6684408333333298</v>
      </c>
      <c r="C23" s="604">
        <v>2.6684408333333298</v>
      </c>
      <c r="D23" s="604">
        <v>2.6684408333333298</v>
      </c>
      <c r="E23" s="604">
        <v>2.6684408333333298</v>
      </c>
      <c r="F23" s="604">
        <v>2.6684408333333298</v>
      </c>
      <c r="G23" s="604">
        <v>2.6684408333333298</v>
      </c>
      <c r="H23" s="604">
        <v>2.6684408333333298</v>
      </c>
      <c r="I23" s="604">
        <v>2.6684408333333298</v>
      </c>
      <c r="J23" s="604">
        <v>2.6684408333333298</v>
      </c>
      <c r="K23" s="604">
        <v>2.6684408333333298</v>
      </c>
      <c r="L23" s="604">
        <v>2.6684408333333298</v>
      </c>
      <c r="M23" s="604">
        <v>2.6684408333333298</v>
      </c>
      <c r="N23" s="604">
        <f t="shared" si="0"/>
        <v>32021.28999999995</v>
      </c>
      <c r="O23" s="604"/>
      <c r="P23" s="605"/>
    </row>
    <row r="24" spans="1:16" x14ac:dyDescent="0.25">
      <c r="B24" s="604"/>
      <c r="C24" s="604"/>
      <c r="D24" s="604"/>
      <c r="E24" s="604"/>
      <c r="F24" s="604"/>
      <c r="G24" s="604"/>
      <c r="H24" s="604"/>
      <c r="I24" s="604"/>
      <c r="J24" s="604"/>
      <c r="K24" s="604"/>
      <c r="L24" s="604"/>
      <c r="M24" s="604"/>
      <c r="N24" s="604"/>
    </row>
    <row r="25" spans="1:16" ht="15.75" thickBot="1" x14ac:dyDescent="0.3">
      <c r="A25" s="603" t="s">
        <v>682</v>
      </c>
      <c r="B25" s="699">
        <f t="shared" ref="B25:M25" si="1">+SUM(B2:B23)*1000</f>
        <v>3238427.7651446625</v>
      </c>
      <c r="C25" s="699">
        <f t="shared" si="1"/>
        <v>3427028.678767079</v>
      </c>
      <c r="D25" s="699">
        <f t="shared" si="1"/>
        <v>3639800.4928780687</v>
      </c>
      <c r="E25" s="699">
        <f t="shared" si="1"/>
        <v>3828526.5372971478</v>
      </c>
      <c r="F25" s="699">
        <f t="shared" si="1"/>
        <v>3632013.4859249685</v>
      </c>
      <c r="G25" s="699">
        <f t="shared" si="1"/>
        <v>3187800.3825808037</v>
      </c>
      <c r="H25" s="699">
        <f t="shared" si="1"/>
        <v>3053692.4572955938</v>
      </c>
      <c r="I25" s="699">
        <f t="shared" si="1"/>
        <v>3297583.3602417889</v>
      </c>
      <c r="J25" s="699">
        <f t="shared" si="1"/>
        <v>3584612.9146205341</v>
      </c>
      <c r="K25" s="699">
        <f t="shared" si="1"/>
        <v>3817169.3569124429</v>
      </c>
      <c r="L25" s="699">
        <f t="shared" si="1"/>
        <v>3385524.3640737138</v>
      </c>
      <c r="M25" s="699">
        <f t="shared" si="1"/>
        <v>3184105.5820642374</v>
      </c>
      <c r="N25" s="699">
        <f>SUM(B25:M25)</f>
        <v>41276285.377801046</v>
      </c>
    </row>
    <row r="26" spans="1:16" ht="15.75" thickTop="1" x14ac:dyDescent="0.25">
      <c r="A26" s="700"/>
      <c r="B26" s="604"/>
      <c r="C26" s="604"/>
      <c r="D26" s="604"/>
      <c r="E26" s="604"/>
      <c r="F26" s="604"/>
      <c r="G26" s="604"/>
      <c r="H26" s="604"/>
      <c r="I26" s="604"/>
      <c r="J26" s="604"/>
      <c r="K26" s="604"/>
      <c r="L26" s="604"/>
      <c r="M26" s="604"/>
      <c r="N26" s="604"/>
    </row>
    <row r="27" spans="1:16" x14ac:dyDescent="0.25">
      <c r="A27" s="700" t="s">
        <v>2420</v>
      </c>
      <c r="B27" s="605">
        <f>IS!B54*1000</f>
        <v>3238427.7651446601</v>
      </c>
      <c r="C27" s="605">
        <f>IS!C54*1000</f>
        <v>3427028.6787670697</v>
      </c>
      <c r="D27" s="605">
        <f>IS!D54*1000</f>
        <v>3639800.4928780603</v>
      </c>
      <c r="E27" s="605">
        <f>IS!E54*1000</f>
        <v>3828526.5372971399</v>
      </c>
      <c r="F27" s="605">
        <f>IS!F54*1000</f>
        <v>3632013.4859249601</v>
      </c>
      <c r="G27" s="605">
        <f>IS!G54*1000</f>
        <v>3187800.3825808</v>
      </c>
      <c r="H27" s="605">
        <f>IS!H54*1000</f>
        <v>3053692.4572955901</v>
      </c>
      <c r="I27" s="605">
        <f>IS!I54*1000</f>
        <v>3297583.3602417801</v>
      </c>
      <c r="J27" s="605">
        <f>IS!J54*1000</f>
        <v>3584612.9146205299</v>
      </c>
      <c r="K27" s="605">
        <f>IS!K54*1000</f>
        <v>3817169.3569124402</v>
      </c>
      <c r="L27" s="605">
        <f>IS!L54*1000</f>
        <v>3385524.3640737101</v>
      </c>
      <c r="M27" s="605">
        <f>IS!M54*1000</f>
        <v>3184105.58206423</v>
      </c>
      <c r="N27" s="605">
        <f>SUM(B27:M27)</f>
        <v>41276285.377800956</v>
      </c>
    </row>
    <row r="28" spans="1:16" x14ac:dyDescent="0.25">
      <c r="B28" s="701">
        <f>B25-B27</f>
        <v>0</v>
      </c>
      <c r="C28" s="701">
        <f t="shared" ref="C28:N28" si="2">C25-C27</f>
        <v>9.3132257461547852E-9</v>
      </c>
      <c r="D28" s="701">
        <f t="shared" si="2"/>
        <v>8.3819031715393066E-9</v>
      </c>
      <c r="E28" s="701">
        <f t="shared" si="2"/>
        <v>7.9162418842315674E-9</v>
      </c>
      <c r="F28" s="701">
        <f t="shared" si="2"/>
        <v>8.3819031715393066E-9</v>
      </c>
      <c r="G28" s="701">
        <f t="shared" si="2"/>
        <v>3.7252902984619141E-9</v>
      </c>
      <c r="H28" s="701">
        <f t="shared" si="2"/>
        <v>3.7252902984619141E-9</v>
      </c>
      <c r="I28" s="701">
        <f t="shared" si="2"/>
        <v>8.8475644588470459E-9</v>
      </c>
      <c r="J28" s="701">
        <f t="shared" si="2"/>
        <v>4.1909515857696533E-9</v>
      </c>
      <c r="K28" s="701">
        <f t="shared" si="2"/>
        <v>0</v>
      </c>
      <c r="L28" s="701">
        <f t="shared" si="2"/>
        <v>3.7252902984619141E-9</v>
      </c>
      <c r="M28" s="701">
        <f t="shared" si="2"/>
        <v>7.4505805969238281E-9</v>
      </c>
      <c r="N28" s="701">
        <f t="shared" si="2"/>
        <v>8.9406967163085938E-8</v>
      </c>
    </row>
    <row r="29" spans="1:16" x14ac:dyDescent="0.25"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</row>
    <row r="32" spans="1:16" x14ac:dyDescent="0.25"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</row>
    <row r="33" spans="2:13" x14ac:dyDescent="0.25"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B374"/>
  <sheetViews>
    <sheetView zoomScale="55" zoomScaleNormal="55" workbookViewId="0">
      <selection activeCell="K28" sqref="K28"/>
    </sheetView>
  </sheetViews>
  <sheetFormatPr defaultColWidth="9" defaultRowHeight="12.75" x14ac:dyDescent="0.2"/>
  <cols>
    <col min="1" max="2" width="5.33203125" style="345" customWidth="1"/>
    <col min="3" max="3" width="7.6640625" style="345" customWidth="1"/>
    <col min="4" max="4" width="45" style="345" bestFit="1" customWidth="1"/>
    <col min="5" max="5" width="15.44140625" style="740" customWidth="1"/>
    <col min="6" max="6" width="1.44140625" style="345" customWidth="1"/>
    <col min="7" max="7" width="15.44140625" style="740" customWidth="1"/>
    <col min="8" max="8" width="1.44140625" style="345" customWidth="1"/>
    <col min="9" max="9" width="15.44140625" style="740" customWidth="1"/>
    <col min="10" max="10" width="1.44140625" style="345" customWidth="1"/>
    <col min="11" max="11" width="15.44140625" style="740" customWidth="1"/>
    <col min="12" max="12" width="1.44140625" style="345" customWidth="1"/>
    <col min="13" max="13" width="15.44140625" style="740" customWidth="1"/>
    <col min="14" max="14" width="1.44140625" style="345" customWidth="1"/>
    <col min="15" max="15" width="15.44140625" style="740" customWidth="1"/>
    <col min="16" max="16" width="1.44140625" style="345" customWidth="1"/>
    <col min="17" max="17" width="15.44140625" style="740" customWidth="1"/>
    <col min="18" max="18" width="1.44140625" style="345" customWidth="1"/>
    <col min="19" max="19" width="18.6640625" style="345" customWidth="1"/>
    <col min="20" max="20" width="1.44140625" style="345" customWidth="1"/>
    <col min="21" max="21" width="18.6640625" style="345" customWidth="1"/>
    <col min="22" max="22" width="1.44140625" style="345" customWidth="1"/>
    <col min="23" max="23" width="15.44140625" style="742" customWidth="1"/>
    <col min="24" max="24" width="1.44140625" style="345" customWidth="1"/>
    <col min="25" max="25" width="15.44140625" style="742" customWidth="1"/>
    <col min="26" max="26" width="1.44140625" style="345" customWidth="1"/>
    <col min="27" max="28" width="15.44140625" style="742" customWidth="1"/>
    <col min="29" max="16384" width="9" style="345"/>
  </cols>
  <sheetData>
    <row r="1" spans="1:28" s="343" customFormat="1" ht="15" x14ac:dyDescent="0.2">
      <c r="D1" s="561" t="s">
        <v>716</v>
      </c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58"/>
      <c r="W1" s="558"/>
      <c r="X1" s="558"/>
      <c r="Y1" s="558"/>
      <c r="Z1" s="558"/>
      <c r="AA1" s="558"/>
      <c r="AB1" s="558"/>
    </row>
    <row r="2" spans="1:28" s="343" customFormat="1" ht="15" x14ac:dyDescent="0.2">
      <c r="D2" s="561" t="s">
        <v>1374</v>
      </c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58"/>
      <c r="W2" s="558"/>
      <c r="X2" s="558"/>
      <c r="Y2" s="558"/>
      <c r="Z2" s="558"/>
      <c r="AA2" s="558"/>
      <c r="AB2" s="558"/>
    </row>
    <row r="3" spans="1:28" x14ac:dyDescent="0.2">
      <c r="D3" s="562" t="s">
        <v>2451</v>
      </c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0"/>
      <c r="W3" s="560"/>
      <c r="X3" s="560"/>
      <c r="Y3" s="560"/>
      <c r="Z3" s="560"/>
      <c r="AA3" s="560"/>
      <c r="AB3" s="560"/>
    </row>
    <row r="4" spans="1:28" x14ac:dyDescent="0.2">
      <c r="D4" s="723"/>
      <c r="E4" s="723" t="s">
        <v>2645</v>
      </c>
      <c r="F4" s="723"/>
      <c r="G4" s="723" t="s">
        <v>2646</v>
      </c>
      <c r="H4" s="723"/>
      <c r="I4" s="723" t="s">
        <v>2647</v>
      </c>
      <c r="J4" s="723"/>
      <c r="K4" s="723" t="s">
        <v>1298</v>
      </c>
      <c r="L4" s="723"/>
      <c r="M4" s="723"/>
      <c r="N4" s="723"/>
      <c r="O4" s="723"/>
      <c r="P4" s="723"/>
      <c r="Q4" s="723" t="s">
        <v>2645</v>
      </c>
      <c r="S4" s="723" t="s">
        <v>2649</v>
      </c>
      <c r="V4" s="723"/>
      <c r="W4" s="723"/>
      <c r="X4" s="723"/>
      <c r="Y4" s="723"/>
      <c r="Z4" s="723"/>
      <c r="AA4" s="723" t="s">
        <v>2645</v>
      </c>
      <c r="AB4" s="560"/>
    </row>
    <row r="5" spans="1:28" ht="15" x14ac:dyDescent="0.25">
      <c r="D5" s="723"/>
      <c r="E5" s="733" t="s">
        <v>2449</v>
      </c>
      <c r="F5" s="723"/>
      <c r="G5" s="723"/>
      <c r="H5" s="723"/>
      <c r="I5" s="723"/>
      <c r="J5" s="723"/>
      <c r="K5" s="723"/>
      <c r="L5" s="723"/>
      <c r="M5" s="723"/>
      <c r="N5" s="723"/>
      <c r="O5" s="733" t="s">
        <v>2450</v>
      </c>
      <c r="P5" s="723"/>
      <c r="Q5" s="734" t="s">
        <v>103</v>
      </c>
      <c r="U5" s="734" t="s">
        <v>103</v>
      </c>
      <c r="V5" s="723"/>
      <c r="W5" s="734" t="s">
        <v>103</v>
      </c>
      <c r="X5" s="723"/>
      <c r="Y5" s="734" t="s">
        <v>103</v>
      </c>
      <c r="Z5" s="723"/>
      <c r="AA5" s="733" t="s">
        <v>2450</v>
      </c>
      <c r="AB5" s="733"/>
    </row>
    <row r="6" spans="1:28" ht="15" x14ac:dyDescent="0.25">
      <c r="D6" s="339"/>
      <c r="E6" s="340" t="s">
        <v>717</v>
      </c>
      <c r="F6" s="339"/>
      <c r="G6" s="344"/>
      <c r="H6" s="339"/>
      <c r="I6" s="344"/>
      <c r="J6" s="339"/>
      <c r="K6" s="340" t="s">
        <v>718</v>
      </c>
      <c r="L6" s="339"/>
      <c r="M6" s="344"/>
      <c r="N6" s="339"/>
      <c r="O6" s="340" t="s">
        <v>719</v>
      </c>
      <c r="P6" s="339"/>
      <c r="Q6" s="340" t="s">
        <v>719</v>
      </c>
      <c r="R6" s="339"/>
      <c r="S6" s="734" t="s">
        <v>103</v>
      </c>
      <c r="T6" s="339"/>
      <c r="U6" s="568" t="s">
        <v>1341</v>
      </c>
      <c r="V6" s="339"/>
      <c r="W6" s="568" t="s">
        <v>1235</v>
      </c>
      <c r="X6" s="339"/>
      <c r="Y6" s="568" t="s">
        <v>1342</v>
      </c>
      <c r="Z6" s="339"/>
      <c r="AA6" s="340" t="s">
        <v>719</v>
      </c>
      <c r="AB6" s="340"/>
    </row>
    <row r="7" spans="1:28" x14ac:dyDescent="0.2">
      <c r="D7" s="339"/>
      <c r="E7" s="341" t="s">
        <v>720</v>
      </c>
      <c r="F7" s="339"/>
      <c r="G7" s="341" t="s">
        <v>721</v>
      </c>
      <c r="H7" s="339"/>
      <c r="I7" s="341" t="s">
        <v>722</v>
      </c>
      <c r="J7" s="339"/>
      <c r="K7" s="341" t="s">
        <v>723</v>
      </c>
      <c r="L7" s="339"/>
      <c r="M7" s="341" t="s">
        <v>724</v>
      </c>
      <c r="N7" s="339"/>
      <c r="O7" s="341" t="s">
        <v>720</v>
      </c>
      <c r="P7" s="339"/>
      <c r="Q7" s="341" t="s">
        <v>720</v>
      </c>
      <c r="R7" s="339"/>
      <c r="S7" s="341" t="s">
        <v>1342</v>
      </c>
      <c r="T7" s="339"/>
      <c r="U7" s="341" t="s">
        <v>1343</v>
      </c>
      <c r="V7" s="339"/>
      <c r="W7" s="341" t="s">
        <v>880</v>
      </c>
      <c r="X7" s="339"/>
      <c r="Y7" s="341" t="s">
        <v>2306</v>
      </c>
      <c r="Z7" s="339"/>
      <c r="AA7" s="341" t="s">
        <v>720</v>
      </c>
      <c r="AB7" s="341" t="s">
        <v>1592</v>
      </c>
    </row>
    <row r="8" spans="1:28" x14ac:dyDescent="0.2">
      <c r="D8" s="338" t="s">
        <v>1337</v>
      </c>
      <c r="E8" s="342"/>
      <c r="F8" s="339"/>
      <c r="G8" s="342"/>
      <c r="H8" s="339"/>
      <c r="I8" s="342"/>
      <c r="J8" s="339"/>
      <c r="K8" s="342"/>
      <c r="L8" s="339"/>
      <c r="M8" s="342"/>
      <c r="N8" s="339"/>
      <c r="O8" s="342"/>
      <c r="P8" s="339"/>
      <c r="Q8" s="342"/>
      <c r="R8" s="339"/>
      <c r="S8" s="339"/>
      <c r="T8" s="339"/>
      <c r="U8" s="339"/>
      <c r="V8" s="339"/>
      <c r="W8" s="342"/>
      <c r="X8" s="339"/>
      <c r="Y8" s="342"/>
      <c r="Z8" s="339"/>
      <c r="AA8" s="342" t="s">
        <v>2659</v>
      </c>
      <c r="AB8" s="342"/>
    </row>
    <row r="9" spans="1:28" x14ac:dyDescent="0.2">
      <c r="D9" s="338" t="s">
        <v>1338</v>
      </c>
      <c r="E9" s="344"/>
      <c r="F9" s="339"/>
      <c r="G9" s="344"/>
      <c r="H9" s="339"/>
      <c r="I9" s="344"/>
      <c r="J9" s="339"/>
      <c r="K9" s="344"/>
      <c r="L9" s="339"/>
      <c r="M9" s="344"/>
      <c r="N9" s="339"/>
      <c r="O9" s="344"/>
      <c r="P9" s="339"/>
      <c r="Q9" s="344"/>
      <c r="R9" s="339"/>
      <c r="S9" s="339"/>
      <c r="T9" s="339"/>
      <c r="U9" s="339"/>
      <c r="V9" s="339"/>
      <c r="W9" s="344"/>
      <c r="X9" s="339"/>
      <c r="Y9" s="344"/>
      <c r="Z9" s="339"/>
      <c r="AA9" s="344"/>
      <c r="AB9" s="344"/>
    </row>
    <row r="10" spans="1:28" x14ac:dyDescent="0.2">
      <c r="D10" s="338" t="s">
        <v>450</v>
      </c>
      <c r="E10" s="344"/>
      <c r="F10" s="339"/>
      <c r="G10" s="344"/>
      <c r="H10" s="339"/>
      <c r="I10" s="344"/>
      <c r="J10" s="339"/>
      <c r="K10" s="344"/>
      <c r="L10" s="339"/>
      <c r="M10" s="344"/>
      <c r="N10" s="339"/>
      <c r="O10" s="344"/>
      <c r="P10" s="339"/>
      <c r="Q10" s="344"/>
      <c r="R10" s="339"/>
      <c r="S10" s="339"/>
      <c r="T10" s="339"/>
      <c r="U10" s="339"/>
      <c r="V10" s="339"/>
      <c r="W10" s="344"/>
      <c r="X10" s="339"/>
      <c r="Y10" s="344"/>
      <c r="Z10" s="339"/>
      <c r="AA10" s="344"/>
      <c r="AB10" s="344"/>
    </row>
    <row r="11" spans="1:28" x14ac:dyDescent="0.2">
      <c r="A11" s="345" t="s">
        <v>935</v>
      </c>
      <c r="B11" s="345" t="s">
        <v>2657</v>
      </c>
      <c r="C11" s="345" t="str">
        <f>MID(D11,2,3)</f>
        <v>360</v>
      </c>
      <c r="D11" s="339" t="s">
        <v>2434</v>
      </c>
      <c r="E11" s="344">
        <f>SUMIFS(FCPIS!$H$6:$H$899,FCPIS!$B$6:$B$899,$A11,FCPIS!$C$6:$C$899,$B11,FCPIS!$D$6:$D$899,E$4,FCPIS!$E$6:$E$899,$C11)*1000</f>
        <v>9123750.9999999888</v>
      </c>
      <c r="F11" s="346"/>
      <c r="G11" s="344">
        <f>SUMIFS(FCPIS!$U$6:$U$899,FCPIS!$B$6:$B$899,$A11,FCPIS!$C$6:$C$899,$B11,FCPIS!$D$6:$D$899,G$4,FCPIS!$E$6:$E$899,$C11)*1000</f>
        <v>288081.59000000003</v>
      </c>
      <c r="H11" s="346"/>
      <c r="I11" s="344">
        <f>SUMIFS(FCPIS!$U$6:$U$899,FCPIS!$B$6:$B$899,$A11,FCPIS!$C$6:$C$899,$B11,FCPIS!$D$6:$D$899,I$4,FCPIS!$E$6:$E$899,$C11)*-1000</f>
        <v>0</v>
      </c>
      <c r="J11" s="346"/>
      <c r="K11" s="344">
        <f>SUMIFS(FCPIS!$U$6:$U$899,FCPIS!$B$6:$B$899,$A11,FCPIS!$C$6:$C$899,$B11,FCPIS!$D$6:$D$899,K$4,FCPIS!$E$6:$E$899,$C11)*1000</f>
        <v>0</v>
      </c>
      <c r="L11" s="346"/>
      <c r="M11" s="344">
        <f>SUM(G11:K11)</f>
        <v>288081.59000000003</v>
      </c>
      <c r="N11" s="346"/>
      <c r="O11" s="344">
        <f>E11+M11</f>
        <v>9411832.5899999887</v>
      </c>
      <c r="P11" s="346"/>
      <c r="Q11" s="344">
        <f>SUMIFS(FCPIS!$V$6:$V$899,FCPIS!$B$6:$B$899,$A11,FCPIS!$C$6:$C$899,$B11,FCPIS!$D$6:$D$899,Q$4,FCPIS!$E$6:$E$899,$C11)*1000</f>
        <v>9234551.6115384512</v>
      </c>
      <c r="R11" s="339"/>
      <c r="S11" s="344">
        <f>SUMIFS(FCPIS!$V$6:$V$899,FCPIS!$B$6:$B$899,$A11,FCPIS!$C$6:$C$899,$B11,FCPIS!$D$6:$D$899,S$4,FCPIS!$E$6:$E$899,$C11)*-1000</f>
        <v>-1436707.0572639999</v>
      </c>
      <c r="T11" s="339"/>
      <c r="U11" s="347">
        <f>Q11+S11</f>
        <v>7797844.554274451</v>
      </c>
      <c r="V11" s="346"/>
      <c r="W11" s="344">
        <f t="shared" ref="W11:W27" si="0">G11/G$28*W$28</f>
        <v>1600.9248500028639</v>
      </c>
      <c r="X11" s="339"/>
      <c r="Y11" s="569">
        <f>S11+W11</f>
        <v>-1435106.1324139971</v>
      </c>
      <c r="Z11" s="346"/>
      <c r="AA11" s="344">
        <f>SUMIFS(FCPIS!$T$6:$T$899,FCPIS!$B$6:$B$899,$A11,FCPIS!$C$6:$C$899,$B11,FCPIS!$D$6:$D$899,AA$4,FCPIS!$E$6:$E$899,$C11)*1000</f>
        <v>9411832.5899999905</v>
      </c>
      <c r="AB11" s="569">
        <f>AA11-O11</f>
        <v>0</v>
      </c>
    </row>
    <row r="12" spans="1:28" x14ac:dyDescent="0.2">
      <c r="A12" s="345" t="s">
        <v>935</v>
      </c>
      <c r="B12" s="345" t="s">
        <v>2657</v>
      </c>
      <c r="D12" s="339" t="s">
        <v>727</v>
      </c>
      <c r="E12" s="344">
        <f>SUMIFS(FCPIS!$H$6:$H$899,FCPIS!$B$6:$B$899,$A12,FCPIS!$C$6:$C$899,$B12,FCPIS!$D$6:$D$899,E$4,FCPIS!$E$6:$E$899,$C12)*1000</f>
        <v>0</v>
      </c>
      <c r="F12" s="346"/>
      <c r="G12" s="344">
        <f>SUMIFS(FCPIS!$U$6:$U$899,FCPIS!$B$6:$B$899,$A12,FCPIS!$C$6:$C$899,$B12,FCPIS!$D$6:$D$899,G$4,FCPIS!$E$6:$E$899,$C12)*1000</f>
        <v>0</v>
      </c>
      <c r="H12" s="346"/>
      <c r="I12" s="344">
        <f>SUMIFS(FCPIS!$U$6:$U$899,FCPIS!$B$6:$B$899,$A12,FCPIS!$C$6:$C$899,$B12,FCPIS!$D$6:$D$899,I$4,FCPIS!$E$6:$E$899,$C12)*-1000</f>
        <v>0</v>
      </c>
      <c r="J12" s="346"/>
      <c r="K12" s="344">
        <f>SUMIFS(FCPIS!$U$6:$U$899,FCPIS!$B$6:$B$899,$A12,FCPIS!$C$6:$C$899,$B12,FCPIS!$D$6:$D$899,K$4,FCPIS!$E$6:$E$899,$C12)*1000</f>
        <v>0</v>
      </c>
      <c r="L12" s="346"/>
      <c r="M12" s="344">
        <f t="shared" ref="M12:M27" si="1">SUM(G12:K12)</f>
        <v>0</v>
      </c>
      <c r="N12" s="346"/>
      <c r="O12" s="344">
        <f t="shared" ref="O12:O27" si="2">E12+M12</f>
        <v>0</v>
      </c>
      <c r="P12" s="346"/>
      <c r="Q12" s="344">
        <f>SUMIFS(FCPIS!$V$6:$V$899,FCPIS!$B$6:$B$899,$A12,FCPIS!$C$6:$C$899,$B12,FCPIS!$D$6:$D$899,Q$4,FCPIS!$E$6:$E$899,$C12)*1000</f>
        <v>0</v>
      </c>
      <c r="R12" s="339"/>
      <c r="S12" s="347">
        <f>SUMIFS(FCPIS!$V$6:$V$899,FCPIS!$B$6:$B$899,$A12,FCPIS!$C$6:$C$899,$B12,FCPIS!$D$6:$D$899,S$4,FCPIS!$E$6:$E$899,$C12)*-1000</f>
        <v>0</v>
      </c>
      <c r="T12" s="339"/>
      <c r="U12" s="347">
        <f>Q12+S12</f>
        <v>0</v>
      </c>
      <c r="V12" s="346"/>
      <c r="W12" s="344">
        <f t="shared" si="0"/>
        <v>0</v>
      </c>
      <c r="X12" s="346"/>
      <c r="Y12" s="344">
        <f t="shared" ref="Y12:Y27" si="3">S12+W12</f>
        <v>0</v>
      </c>
      <c r="Z12" s="346"/>
      <c r="AA12" s="344">
        <f>SUMIFS(FCPIS!$T$6:$T$899,FCPIS!$B$6:$B$899,$A12,FCPIS!$C$6:$C$899,$B12,FCPIS!$D$6:$D$899,AA$4,FCPIS!$E$6:$E$899,$C12)*1000</f>
        <v>0</v>
      </c>
      <c r="AB12" s="344">
        <f t="shared" ref="AB12:AB27" si="4">AA12-O12</f>
        <v>0</v>
      </c>
    </row>
    <row r="13" spans="1:28" x14ac:dyDescent="0.2">
      <c r="A13" s="345" t="s">
        <v>935</v>
      </c>
      <c r="B13" s="345" t="s">
        <v>2657</v>
      </c>
      <c r="C13" s="345" t="str">
        <f t="shared" ref="C13:C21" si="5">MID(D13,2,3)</f>
        <v>361</v>
      </c>
      <c r="D13" s="339" t="s">
        <v>728</v>
      </c>
      <c r="E13" s="344">
        <f>SUMIFS(FCPIS!$H$6:$H$899,FCPIS!$B$6:$B$899,$A13,FCPIS!$C$6:$C$899,$B13,FCPIS!$D$6:$D$899,E$4,FCPIS!$E$6:$E$899,$C13)*1000</f>
        <v>23004345.07</v>
      </c>
      <c r="F13" s="346"/>
      <c r="G13" s="344">
        <f>SUMIFS(FCPIS!$U$6:$U$899,FCPIS!$B$6:$B$899,$A13,FCPIS!$C$6:$C$899,$B13,FCPIS!$D$6:$D$899,G$4,FCPIS!$E$6:$E$899,$C13)*1000</f>
        <v>9532268.2699999996</v>
      </c>
      <c r="H13" s="346"/>
      <c r="I13" s="344">
        <f>SUMIFS(FCPIS!$U$6:$U$899,FCPIS!$B$6:$B$899,$A13,FCPIS!$C$6:$C$899,$B13,FCPIS!$D$6:$D$899,I$4,FCPIS!$E$6:$E$899,$C13)*-1000</f>
        <v>0</v>
      </c>
      <c r="J13" s="346"/>
      <c r="K13" s="344">
        <f>SUMIFS(FCPIS!$U$6:$U$899,FCPIS!$B$6:$B$899,$A13,FCPIS!$C$6:$C$899,$B13,FCPIS!$D$6:$D$899,K$4,FCPIS!$E$6:$E$899,$C13)*1000</f>
        <v>0</v>
      </c>
      <c r="L13" s="346"/>
      <c r="M13" s="344">
        <f t="shared" si="1"/>
        <v>9532268.2699999996</v>
      </c>
      <c r="N13" s="346"/>
      <c r="O13" s="344">
        <f t="shared" si="2"/>
        <v>32536613.34</v>
      </c>
      <c r="P13" s="346"/>
      <c r="Q13" s="344">
        <f>SUMIFS(FCPIS!$V$6:$V$899,FCPIS!$B$6:$B$899,$A13,FCPIS!$C$6:$C$899,$B13,FCPIS!$D$6:$D$899,Q$4,FCPIS!$E$6:$E$899,$C13)*1000</f>
        <v>27775081.824615382</v>
      </c>
      <c r="R13" s="339"/>
      <c r="S13" s="347">
        <f>SUMIFS(FCPIS!$V$6:$V$899,FCPIS!$B$6:$B$899,$A13,FCPIS!$C$6:$C$899,$B13,FCPIS!$D$6:$D$899,S$4,FCPIS!$E$6:$E$899,$C13)*-1000</f>
        <v>-2239487.3628283795</v>
      </c>
      <c r="T13" s="339"/>
      <c r="U13" s="347">
        <f t="shared" ref="U13:U27" si="6">Q13+S13</f>
        <v>25535594.461787</v>
      </c>
      <c r="V13" s="346"/>
      <c r="W13" s="344">
        <f t="shared" si="0"/>
        <v>52972.64969391765</v>
      </c>
      <c r="X13" s="346"/>
      <c r="Y13" s="344">
        <f t="shared" si="3"/>
        <v>-2186514.713134462</v>
      </c>
      <c r="Z13" s="346"/>
      <c r="AA13" s="344">
        <f>SUMIFS(FCPIS!$T$6:$T$899,FCPIS!$B$6:$B$899,$A13,FCPIS!$C$6:$C$899,$B13,FCPIS!$D$6:$D$899,AA$4,FCPIS!$E$6:$E$899,$C13)*1000</f>
        <v>32536613.34</v>
      </c>
      <c r="AB13" s="344">
        <f t="shared" si="4"/>
        <v>0</v>
      </c>
    </row>
    <row r="14" spans="1:28" x14ac:dyDescent="0.2">
      <c r="A14" s="345" t="s">
        <v>935</v>
      </c>
      <c r="B14" s="345" t="s">
        <v>2657</v>
      </c>
      <c r="C14" s="345" t="str">
        <f t="shared" si="5"/>
        <v>362</v>
      </c>
      <c r="D14" s="339" t="s">
        <v>729</v>
      </c>
      <c r="E14" s="344">
        <f>SUMIFS(FCPIS!$H$6:$H$899,FCPIS!$B$6:$B$899,$A14,FCPIS!$C$6:$C$899,$B14,FCPIS!$D$6:$D$899,E$4,FCPIS!$E$6:$E$899,$C14)*1000</f>
        <v>233344808.83999899</v>
      </c>
      <c r="F14" s="346"/>
      <c r="G14" s="344">
        <f>SUMIFS(FCPIS!$U$6:$U$899,FCPIS!$B$6:$B$899,$A14,FCPIS!$C$6:$C$899,$B14,FCPIS!$D$6:$D$899,G$4,FCPIS!$E$6:$E$899,$C14)*1000</f>
        <v>26736534.249999899</v>
      </c>
      <c r="H14" s="346"/>
      <c r="I14" s="344">
        <f>SUMIFS(FCPIS!$U$6:$U$899,FCPIS!$B$6:$B$899,$A14,FCPIS!$C$6:$C$899,$B14,FCPIS!$D$6:$D$899,I$4,FCPIS!$E$6:$E$899,$C14)*-1000</f>
        <v>-1069852.3600000001</v>
      </c>
      <c r="J14" s="346"/>
      <c r="K14" s="344">
        <f>SUMIFS(FCPIS!$U$6:$U$899,FCPIS!$B$6:$B$899,$A14,FCPIS!$C$6:$C$899,$B14,FCPIS!$D$6:$D$899,K$4,FCPIS!$E$6:$E$899,$C14)*1000</f>
        <v>0</v>
      </c>
      <c r="L14" s="346"/>
      <c r="M14" s="344">
        <f t="shared" si="1"/>
        <v>25666681.8899999</v>
      </c>
      <c r="N14" s="346"/>
      <c r="O14" s="344">
        <f t="shared" si="2"/>
        <v>259011490.72999889</v>
      </c>
      <c r="P14" s="346"/>
      <c r="Q14" s="344">
        <f>SUMIFS(FCPIS!$V$6:$V$899,FCPIS!$B$6:$B$899,$A14,FCPIS!$C$6:$C$899,$B14,FCPIS!$D$6:$D$899,Q$4,FCPIS!$E$6:$E$899,$C14)*1000</f>
        <v>245177243.63692296</v>
      </c>
      <c r="R14" s="339"/>
      <c r="S14" s="347">
        <f>SUMIFS(FCPIS!$V$6:$V$899,FCPIS!$B$6:$B$899,$A14,FCPIS!$C$6:$C$899,$B14,FCPIS!$D$6:$D$899,S$4,FCPIS!$E$6:$E$899,$C14)*-1000</f>
        <v>-52597197.775830761</v>
      </c>
      <c r="T14" s="339"/>
      <c r="U14" s="347">
        <f t="shared" si="6"/>
        <v>192580045.86109221</v>
      </c>
      <c r="V14" s="346"/>
      <c r="W14" s="344">
        <f t="shared" si="0"/>
        <v>148580.06748635872</v>
      </c>
      <c r="X14" s="346"/>
      <c r="Y14" s="344">
        <f t="shared" si="3"/>
        <v>-52448617.7083444</v>
      </c>
      <c r="Z14" s="346"/>
      <c r="AA14" s="344">
        <f>SUMIFS(FCPIS!$T$6:$T$899,FCPIS!$B$6:$B$899,$A14,FCPIS!$C$6:$C$899,$B14,FCPIS!$D$6:$D$899,AA$4,FCPIS!$E$6:$E$899,$C14)*1000</f>
        <v>259011490.72999999</v>
      </c>
      <c r="AB14" s="344">
        <f t="shared" si="4"/>
        <v>1.1026859283447266E-6</v>
      </c>
    </row>
    <row r="15" spans="1:28" x14ac:dyDescent="0.2">
      <c r="A15" s="345" t="s">
        <v>935</v>
      </c>
      <c r="B15" s="345" t="s">
        <v>2657</v>
      </c>
      <c r="C15" s="345" t="str">
        <f t="shared" si="5"/>
        <v>364</v>
      </c>
      <c r="D15" s="339" t="s">
        <v>730</v>
      </c>
      <c r="E15" s="344">
        <f>SUMIFS(FCPIS!$H$6:$H$899,FCPIS!$B$6:$B$899,$A15,FCPIS!$C$6:$C$899,$B15,FCPIS!$D$6:$D$899,E$4,FCPIS!$E$6:$E$899,$C15)*1000</f>
        <v>387864693.50999999</v>
      </c>
      <c r="F15" s="346"/>
      <c r="G15" s="344">
        <f>SUMIFS(FCPIS!$U$6:$U$899,FCPIS!$B$6:$B$899,$A15,FCPIS!$C$6:$C$899,$B15,FCPIS!$D$6:$D$899,G$4,FCPIS!$E$6:$E$899,$C15)*1000</f>
        <v>20272027.589999981</v>
      </c>
      <c r="H15" s="346"/>
      <c r="I15" s="344">
        <f>SUMIFS(FCPIS!$U$6:$U$899,FCPIS!$B$6:$B$899,$A15,FCPIS!$C$6:$C$899,$B15,FCPIS!$D$6:$D$899,I$4,FCPIS!$E$6:$E$899,$C15)*-1000</f>
        <v>-1844796.7899999989</v>
      </c>
      <c r="J15" s="346"/>
      <c r="K15" s="344">
        <f>SUMIFS(FCPIS!$U$6:$U$899,FCPIS!$B$6:$B$899,$A15,FCPIS!$C$6:$C$899,$B15,FCPIS!$D$6:$D$899,K$4,FCPIS!$E$6:$E$899,$C15)*1000</f>
        <v>0</v>
      </c>
      <c r="L15" s="346"/>
      <c r="M15" s="344">
        <f t="shared" si="1"/>
        <v>18427230.799999982</v>
      </c>
      <c r="N15" s="346"/>
      <c r="O15" s="344">
        <f t="shared" si="2"/>
        <v>406291924.30999994</v>
      </c>
      <c r="P15" s="346"/>
      <c r="Q15" s="344">
        <f>SUMIFS(FCPIS!$V$6:$V$899,FCPIS!$B$6:$B$899,$A15,FCPIS!$C$6:$C$899,$B15,FCPIS!$D$6:$D$899,Q$4,FCPIS!$E$6:$E$899,$C15)*1000</f>
        <v>397421920.64384615</v>
      </c>
      <c r="R15" s="339"/>
      <c r="S15" s="347">
        <f>SUMIFS(FCPIS!$V$6:$V$899,FCPIS!$B$6:$B$899,$A15,FCPIS!$C$6:$C$899,$B15,FCPIS!$D$6:$D$899,S$4,FCPIS!$E$6:$E$899,$C15)*-1000</f>
        <v>-163557257.1911079</v>
      </c>
      <c r="T15" s="339"/>
      <c r="U15" s="347">
        <f t="shared" si="6"/>
        <v>233864663.45273826</v>
      </c>
      <c r="V15" s="346"/>
      <c r="W15" s="344">
        <f t="shared" si="0"/>
        <v>112655.55958912418</v>
      </c>
      <c r="X15" s="346"/>
      <c r="Y15" s="344">
        <f t="shared" si="3"/>
        <v>-163444601.63151878</v>
      </c>
      <c r="Z15" s="346"/>
      <c r="AA15" s="344">
        <f>SUMIFS(FCPIS!$T$6:$T$899,FCPIS!$B$6:$B$899,$A15,FCPIS!$C$6:$C$899,$B15,FCPIS!$D$6:$D$899,AA$4,FCPIS!$E$6:$E$899,$C15)*1000</f>
        <v>406291924.31</v>
      </c>
      <c r="AB15" s="344">
        <f t="shared" si="4"/>
        <v>0</v>
      </c>
    </row>
    <row r="16" spans="1:28" x14ac:dyDescent="0.2">
      <c r="A16" s="345" t="s">
        <v>935</v>
      </c>
      <c r="B16" s="345" t="s">
        <v>2657</v>
      </c>
      <c r="C16" s="345" t="str">
        <f t="shared" si="5"/>
        <v>365</v>
      </c>
      <c r="D16" s="339" t="s">
        <v>731</v>
      </c>
      <c r="E16" s="344">
        <f>SUMIFS(FCPIS!$H$6:$H$899,FCPIS!$B$6:$B$899,$A16,FCPIS!$C$6:$C$899,$B16,FCPIS!$D$6:$D$899,E$4,FCPIS!$E$6:$E$899,$C16)*1000</f>
        <v>386811384.49000001</v>
      </c>
      <c r="F16" s="346"/>
      <c r="G16" s="344">
        <f>SUMIFS(FCPIS!$U$6:$U$899,FCPIS!$B$6:$B$899,$A16,FCPIS!$C$6:$C$899,$B16,FCPIS!$D$6:$D$899,G$4,FCPIS!$E$6:$E$899,$C16)*1000</f>
        <v>29866834.529999942</v>
      </c>
      <c r="H16" s="346"/>
      <c r="I16" s="344">
        <f>SUMIFS(FCPIS!$U$6:$U$899,FCPIS!$B$6:$B$899,$A16,FCPIS!$C$6:$C$899,$B16,FCPIS!$D$6:$D$899,I$4,FCPIS!$E$6:$E$899,$C16)*-1000</f>
        <v>-6656519.5300000003</v>
      </c>
      <c r="J16" s="346"/>
      <c r="K16" s="344">
        <f>SUMIFS(FCPIS!$U$6:$U$899,FCPIS!$B$6:$B$899,$A16,FCPIS!$C$6:$C$899,$B16,FCPIS!$D$6:$D$899,K$4,FCPIS!$E$6:$E$899,$C16)*1000</f>
        <v>0</v>
      </c>
      <c r="L16" s="346"/>
      <c r="M16" s="344">
        <f t="shared" si="1"/>
        <v>23210314.99999994</v>
      </c>
      <c r="N16" s="346"/>
      <c r="O16" s="344">
        <f t="shared" si="2"/>
        <v>410021699.48999995</v>
      </c>
      <c r="P16" s="346"/>
      <c r="Q16" s="344">
        <f>SUMIFS(FCPIS!$V$6:$V$899,FCPIS!$B$6:$B$899,$A16,FCPIS!$C$6:$C$899,$B16,FCPIS!$D$6:$D$899,Q$4,FCPIS!$E$6:$E$899,$C16)*1000</f>
        <v>398758262.67615396</v>
      </c>
      <c r="R16" s="339"/>
      <c r="S16" s="347">
        <f>SUMIFS(FCPIS!$V$6:$V$899,FCPIS!$B$6:$B$899,$A16,FCPIS!$C$6:$C$899,$B16,FCPIS!$D$6:$D$899,S$4,FCPIS!$E$6:$E$899,$C16)*-1000</f>
        <v>-110170846.39255805</v>
      </c>
      <c r="T16" s="339"/>
      <c r="U16" s="347">
        <f t="shared" si="6"/>
        <v>288587416.28359592</v>
      </c>
      <c r="V16" s="346"/>
      <c r="W16" s="344">
        <f t="shared" si="0"/>
        <v>165975.74871063617</v>
      </c>
      <c r="X16" s="346"/>
      <c r="Y16" s="344">
        <f t="shared" si="3"/>
        <v>-110004870.64384742</v>
      </c>
      <c r="Z16" s="346"/>
      <c r="AA16" s="344">
        <f>SUMIFS(FCPIS!$T$6:$T$899,FCPIS!$B$6:$B$899,$A16,FCPIS!$C$6:$C$899,$B16,FCPIS!$D$6:$D$899,AA$4,FCPIS!$E$6:$E$899,$C16)*1000</f>
        <v>410021699.49000001</v>
      </c>
      <c r="AB16" s="344">
        <f t="shared" si="4"/>
        <v>0</v>
      </c>
    </row>
    <row r="17" spans="1:28" x14ac:dyDescent="0.2">
      <c r="A17" s="345" t="s">
        <v>935</v>
      </c>
      <c r="B17" s="345" t="s">
        <v>2657</v>
      </c>
      <c r="C17" s="345" t="str">
        <f t="shared" si="5"/>
        <v>366</v>
      </c>
      <c r="D17" s="339" t="s">
        <v>732</v>
      </c>
      <c r="E17" s="344">
        <f>SUMIFS(FCPIS!$H$6:$H$899,FCPIS!$B$6:$B$899,$A17,FCPIS!$C$6:$C$899,$B17,FCPIS!$D$6:$D$899,E$4,FCPIS!$E$6:$E$899,$C17)*1000</f>
        <v>2390106.04</v>
      </c>
      <c r="F17" s="346"/>
      <c r="G17" s="344">
        <f>SUMIFS(FCPIS!$U$6:$U$899,FCPIS!$B$6:$B$899,$A17,FCPIS!$C$6:$C$899,$B17,FCPIS!$D$6:$D$899,G$4,FCPIS!$E$6:$E$899,$C17)*1000</f>
        <v>0</v>
      </c>
      <c r="H17" s="346"/>
      <c r="I17" s="344">
        <f>SUMIFS(FCPIS!$U$6:$U$899,FCPIS!$B$6:$B$899,$A17,FCPIS!$C$6:$C$899,$B17,FCPIS!$D$6:$D$899,I$4,FCPIS!$E$6:$E$899,$C17)*-1000</f>
        <v>0</v>
      </c>
      <c r="J17" s="346"/>
      <c r="K17" s="344">
        <f>SUMIFS(FCPIS!$U$6:$U$899,FCPIS!$B$6:$B$899,$A17,FCPIS!$C$6:$C$899,$B17,FCPIS!$D$6:$D$899,K$4,FCPIS!$E$6:$E$899,$C17)*1000</f>
        <v>0</v>
      </c>
      <c r="L17" s="346"/>
      <c r="M17" s="344">
        <f t="shared" si="1"/>
        <v>0</v>
      </c>
      <c r="N17" s="346"/>
      <c r="O17" s="344">
        <f t="shared" si="2"/>
        <v>2390106.04</v>
      </c>
      <c r="P17" s="346"/>
      <c r="Q17" s="344">
        <f>SUMIFS(FCPIS!$V$6:$V$899,FCPIS!$B$6:$B$899,$A17,FCPIS!$C$6:$C$899,$B17,FCPIS!$D$6:$D$899,Q$4,FCPIS!$E$6:$E$899,$C17)*1000</f>
        <v>2390106.04</v>
      </c>
      <c r="R17" s="339"/>
      <c r="S17" s="347">
        <f>SUMIFS(FCPIS!$V$6:$V$899,FCPIS!$B$6:$B$899,$A17,FCPIS!$C$6:$C$899,$B17,FCPIS!$D$6:$D$899,S$4,FCPIS!$E$6:$E$899,$C17)*-1000</f>
        <v>-1052769.7768319962</v>
      </c>
      <c r="T17" s="339"/>
      <c r="U17" s="347">
        <f t="shared" si="6"/>
        <v>1337336.2631680039</v>
      </c>
      <c r="V17" s="346"/>
      <c r="W17" s="344">
        <f t="shared" si="0"/>
        <v>0</v>
      </c>
      <c r="X17" s="346"/>
      <c r="Y17" s="344">
        <f t="shared" si="3"/>
        <v>-1052769.7768319962</v>
      </c>
      <c r="Z17" s="346"/>
      <c r="AA17" s="344">
        <f>SUMIFS(FCPIS!$T$6:$T$899,FCPIS!$B$6:$B$899,$A17,FCPIS!$C$6:$C$899,$B17,FCPIS!$D$6:$D$899,AA$4,FCPIS!$E$6:$E$899,$C17)*1000</f>
        <v>2390106.04</v>
      </c>
      <c r="AB17" s="344">
        <f t="shared" si="4"/>
        <v>0</v>
      </c>
    </row>
    <row r="18" spans="1:28" x14ac:dyDescent="0.2">
      <c r="A18" s="345" t="s">
        <v>935</v>
      </c>
      <c r="B18" s="345" t="s">
        <v>2657</v>
      </c>
      <c r="C18" s="345" t="str">
        <f t="shared" si="5"/>
        <v>367</v>
      </c>
      <c r="D18" s="339" t="s">
        <v>733</v>
      </c>
      <c r="E18" s="344">
        <f>SUMIFS(FCPIS!$H$6:$H$899,FCPIS!$B$6:$B$899,$A18,FCPIS!$C$6:$C$899,$B18,FCPIS!$D$6:$D$899,E$4,FCPIS!$E$6:$E$899,$C18)*1000</f>
        <v>207889791.27000001</v>
      </c>
      <c r="F18" s="346"/>
      <c r="G18" s="344">
        <f>SUMIFS(FCPIS!$U$6:$U$899,FCPIS!$B$6:$B$899,$A18,FCPIS!$C$6:$C$899,$B18,FCPIS!$D$6:$D$899,G$4,FCPIS!$E$6:$E$899,$C18)*1000</f>
        <v>17133147.57999995</v>
      </c>
      <c r="H18" s="346"/>
      <c r="I18" s="344">
        <f>SUMIFS(FCPIS!$U$6:$U$899,FCPIS!$B$6:$B$899,$A18,FCPIS!$C$6:$C$899,$B18,FCPIS!$D$6:$D$899,I$4,FCPIS!$E$6:$E$899,$C18)*-1000</f>
        <v>0</v>
      </c>
      <c r="J18" s="346"/>
      <c r="K18" s="344">
        <f>SUMIFS(FCPIS!$U$6:$U$899,FCPIS!$B$6:$B$899,$A18,FCPIS!$C$6:$C$899,$B18,FCPIS!$D$6:$D$899,K$4,FCPIS!$E$6:$E$899,$C18)*1000</f>
        <v>0</v>
      </c>
      <c r="L18" s="346"/>
      <c r="M18" s="344">
        <f t="shared" si="1"/>
        <v>17133147.57999995</v>
      </c>
      <c r="N18" s="346"/>
      <c r="O18" s="344">
        <f t="shared" si="2"/>
        <v>225022938.84999996</v>
      </c>
      <c r="P18" s="346"/>
      <c r="Q18" s="344">
        <f>SUMIFS(FCPIS!$V$6:$V$899,FCPIS!$B$6:$B$899,$A18,FCPIS!$C$6:$C$899,$B18,FCPIS!$D$6:$D$899,Q$4,FCPIS!$E$6:$E$899,$C18)*1000</f>
        <v>216528926.2153846</v>
      </c>
      <c r="R18" s="339"/>
      <c r="S18" s="347">
        <f>SUMIFS(FCPIS!$V$6:$V$899,FCPIS!$B$6:$B$899,$A18,FCPIS!$C$6:$C$899,$B18,FCPIS!$D$6:$D$899,S$4,FCPIS!$E$6:$E$899,$C18)*-1000</f>
        <v>-54695412.116852432</v>
      </c>
      <c r="T18" s="339"/>
      <c r="U18" s="347">
        <f t="shared" si="6"/>
        <v>161833514.09853217</v>
      </c>
      <c r="V18" s="346"/>
      <c r="W18" s="344">
        <f t="shared" si="0"/>
        <v>95212.199153678477</v>
      </c>
      <c r="X18" s="346"/>
      <c r="Y18" s="344">
        <f t="shared" si="3"/>
        <v>-54600199.917698756</v>
      </c>
      <c r="Z18" s="346"/>
      <c r="AA18" s="344">
        <f>SUMIFS(FCPIS!$T$6:$T$899,FCPIS!$B$6:$B$899,$A18,FCPIS!$C$6:$C$899,$B18,FCPIS!$D$6:$D$899,AA$4,FCPIS!$E$6:$E$899,$C18)*1000</f>
        <v>225022938.84999999</v>
      </c>
      <c r="AB18" s="344">
        <f t="shared" si="4"/>
        <v>0</v>
      </c>
    </row>
    <row r="19" spans="1:28" x14ac:dyDescent="0.2">
      <c r="A19" s="345" t="s">
        <v>935</v>
      </c>
      <c r="B19" s="345" t="s">
        <v>2657</v>
      </c>
      <c r="C19" s="345" t="str">
        <f t="shared" si="5"/>
        <v>368</v>
      </c>
      <c r="D19" s="339" t="s">
        <v>734</v>
      </c>
      <c r="E19" s="344">
        <f>SUMIFS(FCPIS!$H$6:$H$899,FCPIS!$B$6:$B$899,$A19,FCPIS!$C$6:$C$899,$B19,FCPIS!$D$6:$D$899,E$4,FCPIS!$E$6:$E$899,$C19)*1000</f>
        <v>312190746.49000001</v>
      </c>
      <c r="F19" s="346"/>
      <c r="G19" s="344">
        <f>SUMIFS(FCPIS!$U$6:$U$899,FCPIS!$B$6:$B$899,$A19,FCPIS!$C$6:$C$899,$B19,FCPIS!$D$6:$D$899,G$4,FCPIS!$E$6:$E$899,$C19)*1000</f>
        <v>10157497.689999996</v>
      </c>
      <c r="H19" s="346"/>
      <c r="I19" s="344">
        <f>SUMIFS(FCPIS!$U$6:$U$899,FCPIS!$B$6:$B$899,$A19,FCPIS!$C$6:$C$899,$B19,FCPIS!$D$6:$D$899,I$4,FCPIS!$E$6:$E$899,$C19)*-1000</f>
        <v>-3488019.6499999971</v>
      </c>
      <c r="J19" s="346"/>
      <c r="K19" s="344">
        <f>SUMIFS(FCPIS!$U$6:$U$899,FCPIS!$B$6:$B$899,$A19,FCPIS!$C$6:$C$899,$B19,FCPIS!$D$6:$D$899,K$4,FCPIS!$E$6:$E$899,$C19)*1000</f>
        <v>0</v>
      </c>
      <c r="L19" s="346"/>
      <c r="M19" s="344">
        <f t="shared" si="1"/>
        <v>6669478.0399999991</v>
      </c>
      <c r="N19" s="346"/>
      <c r="O19" s="344">
        <f t="shared" si="2"/>
        <v>318860224.53000003</v>
      </c>
      <c r="P19" s="346"/>
      <c r="Q19" s="344">
        <f>SUMIFS(FCPIS!$V$6:$V$899,FCPIS!$B$6:$B$899,$A19,FCPIS!$C$6:$C$899,$B19,FCPIS!$D$6:$D$899,Q$4,FCPIS!$E$6:$E$899,$C19)*1000</f>
        <v>315437142.83230776</v>
      </c>
      <c r="R19" s="339"/>
      <c r="S19" s="347">
        <f>SUMIFS(FCPIS!$V$6:$V$899,FCPIS!$B$6:$B$899,$A19,FCPIS!$C$6:$C$899,$B19,FCPIS!$D$6:$D$899,S$4,FCPIS!$E$6:$E$899,$C19)*-1000</f>
        <v>-145622746.55467454</v>
      </c>
      <c r="T19" s="339"/>
      <c r="U19" s="347">
        <f t="shared" si="6"/>
        <v>169814396.27763322</v>
      </c>
      <c r="V19" s="346"/>
      <c r="W19" s="344">
        <f t="shared" si="0"/>
        <v>56447.169934627476</v>
      </c>
      <c r="X19" s="346"/>
      <c r="Y19" s="344">
        <f t="shared" si="3"/>
        <v>-145566299.38473991</v>
      </c>
      <c r="Z19" s="346"/>
      <c r="AA19" s="344">
        <f>SUMIFS(FCPIS!$T$6:$T$899,FCPIS!$B$6:$B$899,$A19,FCPIS!$C$6:$C$899,$B19,FCPIS!$D$6:$D$899,AA$4,FCPIS!$E$6:$E$899,$C19)*1000</f>
        <v>318860224.53000003</v>
      </c>
      <c r="AB19" s="344">
        <f t="shared" si="4"/>
        <v>0</v>
      </c>
    </row>
    <row r="20" spans="1:28" x14ac:dyDescent="0.2">
      <c r="A20" s="345" t="s">
        <v>935</v>
      </c>
      <c r="B20" s="345" t="s">
        <v>2657</v>
      </c>
      <c r="C20" s="345" t="str">
        <f t="shared" si="5"/>
        <v>369</v>
      </c>
      <c r="D20" s="339" t="s">
        <v>735</v>
      </c>
      <c r="E20" s="344">
        <f>SUMIFS(FCPIS!$H$6:$H$899,FCPIS!$B$6:$B$899,$A20,FCPIS!$C$6:$C$899,$B20,FCPIS!$D$6:$D$899,E$4,FCPIS!$E$6:$E$899,$C20)*1000</f>
        <v>108650549.7</v>
      </c>
      <c r="F20" s="346"/>
      <c r="G20" s="344">
        <f>SUMIFS(FCPIS!$U$6:$U$899,FCPIS!$B$6:$B$899,$A20,FCPIS!$C$6:$C$899,$B20,FCPIS!$D$6:$D$899,G$4,FCPIS!$E$6:$E$899,$C20)*1000</f>
        <v>53775.12</v>
      </c>
      <c r="H20" s="346"/>
      <c r="I20" s="344">
        <f>SUMIFS(FCPIS!$U$6:$U$899,FCPIS!$B$6:$B$899,$A20,FCPIS!$C$6:$C$899,$B20,FCPIS!$D$6:$D$899,I$4,FCPIS!$E$6:$E$899,$C20)*-1000</f>
        <v>0</v>
      </c>
      <c r="J20" s="346"/>
      <c r="K20" s="344">
        <f>SUMIFS(FCPIS!$U$6:$U$899,FCPIS!$B$6:$B$899,$A20,FCPIS!$C$6:$C$899,$B20,FCPIS!$D$6:$D$899,K$4,FCPIS!$E$6:$E$899,$C20)*1000</f>
        <v>0</v>
      </c>
      <c r="L20" s="346"/>
      <c r="M20" s="344">
        <f t="shared" si="1"/>
        <v>53775.12</v>
      </c>
      <c r="N20" s="346"/>
      <c r="O20" s="344">
        <f t="shared" si="2"/>
        <v>108704324.82000001</v>
      </c>
      <c r="P20" s="346"/>
      <c r="Q20" s="344">
        <f>SUMIFS(FCPIS!$V$6:$V$899,FCPIS!$B$6:$B$899,$A20,FCPIS!$C$6:$C$899,$B20,FCPIS!$D$6:$D$899,Q$4,FCPIS!$E$6:$E$899,$C20)*1000</f>
        <v>108671232.43846154</v>
      </c>
      <c r="R20" s="339"/>
      <c r="S20" s="347">
        <f>SUMIFS(FCPIS!$V$6:$V$899,FCPIS!$B$6:$B$899,$A20,FCPIS!$C$6:$C$899,$B20,FCPIS!$D$6:$D$899,S$4,FCPIS!$E$6:$E$899,$C20)*-1000</f>
        <v>-63005869.309073843</v>
      </c>
      <c r="T20" s="339"/>
      <c r="U20" s="347">
        <f t="shared" si="6"/>
        <v>45665363.129387699</v>
      </c>
      <c r="V20" s="346"/>
      <c r="W20" s="344">
        <f t="shared" si="0"/>
        <v>298.83869330173445</v>
      </c>
      <c r="X20" s="346"/>
      <c r="Y20" s="344">
        <f t="shared" si="3"/>
        <v>-63005570.470380545</v>
      </c>
      <c r="Z20" s="346"/>
      <c r="AA20" s="344">
        <f>SUMIFS(FCPIS!$T$6:$T$899,FCPIS!$B$6:$B$899,$A20,FCPIS!$C$6:$C$899,$B20,FCPIS!$D$6:$D$899,AA$4,FCPIS!$E$6:$E$899,$C20)*1000</f>
        <v>108704324.81999999</v>
      </c>
      <c r="AB20" s="344">
        <f t="shared" si="4"/>
        <v>0</v>
      </c>
    </row>
    <row r="21" spans="1:28" x14ac:dyDescent="0.2">
      <c r="A21" s="345" t="s">
        <v>935</v>
      </c>
      <c r="B21" s="345" t="s">
        <v>2657</v>
      </c>
      <c r="C21" s="345" t="str">
        <f t="shared" si="5"/>
        <v>370</v>
      </c>
      <c r="D21" s="339" t="s">
        <v>736</v>
      </c>
      <c r="E21" s="344">
        <f>SUMIFS(FCPIS!$H$6:$H$899,FCPIS!$B$6:$B$899,$A21,FCPIS!$C$6:$C$899,$B21,FCPIS!$D$6:$D$899,E$4,FCPIS!$E$6:$E$899,$C21)*1000</f>
        <v>77729706.030000001</v>
      </c>
      <c r="F21" s="346"/>
      <c r="G21" s="344">
        <f>SUMIFS(FCPIS!$U$6:$U$899,FCPIS!$B$6:$B$899,$A21,FCPIS!$C$6:$C$899,$B21,FCPIS!$D$6:$D$899,G$4,FCPIS!$E$6:$E$899,$C21)*1000</f>
        <v>2284873.3899999987</v>
      </c>
      <c r="H21" s="346"/>
      <c r="I21" s="344">
        <f>SUMIFS(FCPIS!$U$6:$U$899,FCPIS!$B$6:$B$899,$A21,FCPIS!$C$6:$C$899,$B21,FCPIS!$D$6:$D$899,I$4,FCPIS!$E$6:$E$899,$C21)*-1000</f>
        <v>0</v>
      </c>
      <c r="J21" s="346"/>
      <c r="K21" s="344">
        <f>SUMIFS(FCPIS!$U$6:$U$899,FCPIS!$B$6:$B$899,$A21,FCPIS!$C$6:$C$899,$B21,FCPIS!$D$6:$D$899,K$4,FCPIS!$E$6:$E$899,$C21)*1000</f>
        <v>0</v>
      </c>
      <c r="L21" s="346"/>
      <c r="M21" s="344">
        <f t="shared" si="1"/>
        <v>2284873.3899999987</v>
      </c>
      <c r="N21" s="346"/>
      <c r="O21" s="344">
        <f t="shared" si="2"/>
        <v>80014579.420000002</v>
      </c>
      <c r="P21" s="346"/>
      <c r="Q21" s="344">
        <f>SUMIFS(FCPIS!$V$6:$V$899,FCPIS!$B$6:$B$899,$A21,FCPIS!$C$6:$C$899,$B21,FCPIS!$D$6:$D$899,Q$4,FCPIS!$E$6:$E$899,$C21)*1000</f>
        <v>78790854.271538451</v>
      </c>
      <c r="R21" s="339"/>
      <c r="S21" s="347">
        <f>SUMIFS(FCPIS!$V$6:$V$899,FCPIS!$B$6:$B$899,$A21,FCPIS!$C$6:$C$899,$B21,FCPIS!$D$6:$D$899,S$4,FCPIS!$E$6:$E$899,$C21)*-1000</f>
        <v>-41733870.715100773</v>
      </c>
      <c r="T21" s="339"/>
      <c r="U21" s="347">
        <f t="shared" si="6"/>
        <v>37056983.556437679</v>
      </c>
      <c r="V21" s="346"/>
      <c r="W21" s="344">
        <f t="shared" si="0"/>
        <v>12697.481255783416</v>
      </c>
      <c r="X21" s="346"/>
      <c r="Y21" s="344">
        <f t="shared" si="3"/>
        <v>-41721173.233844988</v>
      </c>
      <c r="Z21" s="346"/>
      <c r="AA21" s="344">
        <f>SUMIFS(FCPIS!$T$6:$T$899,FCPIS!$B$6:$B$899,$A21,FCPIS!$C$6:$C$899,$B21,FCPIS!$D$6:$D$899,AA$4,FCPIS!$E$6:$E$899,$C21)*1000</f>
        <v>80014579.420000002</v>
      </c>
      <c r="AB21" s="344">
        <f t="shared" si="4"/>
        <v>0</v>
      </c>
    </row>
    <row r="22" spans="1:28" x14ac:dyDescent="0.2">
      <c r="A22" s="345" t="s">
        <v>935</v>
      </c>
      <c r="B22" s="345" t="s">
        <v>2657</v>
      </c>
      <c r="D22" s="339" t="s">
        <v>1413</v>
      </c>
      <c r="E22" s="344">
        <f>SUMIFS(FCPIS!$H$6:$H$899,FCPIS!$B$6:$B$899,$A22,FCPIS!$C$6:$C$899,$B22,FCPIS!$D$6:$D$899,E$4,FCPIS!$E$6:$E$899,$C22)*1000</f>
        <v>0</v>
      </c>
      <c r="F22" s="346"/>
      <c r="G22" s="344">
        <f>SUMIFS(FCPIS!$U$6:$U$899,FCPIS!$B$6:$B$899,$A22,FCPIS!$C$6:$C$899,$B22,FCPIS!$D$6:$D$899,G$4,FCPIS!$E$6:$E$899,$C22)*1000</f>
        <v>0</v>
      </c>
      <c r="H22" s="346"/>
      <c r="I22" s="344">
        <f>SUMIFS(FCPIS!$U$6:$U$899,FCPIS!$B$6:$B$899,$A22,FCPIS!$C$6:$C$899,$B22,FCPIS!$D$6:$D$899,I$4,FCPIS!$E$6:$E$899,$C22)*-1000</f>
        <v>0</v>
      </c>
      <c r="J22" s="346"/>
      <c r="K22" s="344">
        <f>SUMIFS(FCPIS!$U$6:$U$899,FCPIS!$B$6:$B$899,$A22,FCPIS!$C$6:$C$899,$B22,FCPIS!$D$6:$D$899,K$4,FCPIS!$E$6:$E$899,$C22)*1000</f>
        <v>0</v>
      </c>
      <c r="L22" s="346"/>
      <c r="M22" s="344">
        <f t="shared" si="1"/>
        <v>0</v>
      </c>
      <c r="N22" s="346"/>
      <c r="O22" s="344">
        <f t="shared" si="2"/>
        <v>0</v>
      </c>
      <c r="P22" s="346"/>
      <c r="Q22" s="344">
        <f>SUMIFS(FCPIS!$V$6:$V$899,FCPIS!$B$6:$B$899,$A22,FCPIS!$C$6:$C$899,$B22,FCPIS!$D$6:$D$899,Q$4,FCPIS!$E$6:$E$899,$C22)*1000</f>
        <v>0</v>
      </c>
      <c r="R22" s="339"/>
      <c r="S22" s="347">
        <f>SUMIFS(FCPIS!$V$6:$V$899,FCPIS!$B$6:$B$899,$A22,FCPIS!$C$6:$C$899,$B22,FCPIS!$D$6:$D$899,S$4,FCPIS!$E$6:$E$899,$C22)*-1000</f>
        <v>0</v>
      </c>
      <c r="T22" s="339"/>
      <c r="U22" s="347">
        <f t="shared" si="6"/>
        <v>0</v>
      </c>
      <c r="V22" s="346"/>
      <c r="W22" s="344">
        <f t="shared" si="0"/>
        <v>0</v>
      </c>
      <c r="X22" s="346"/>
      <c r="Y22" s="344">
        <f t="shared" si="3"/>
        <v>0</v>
      </c>
      <c r="Z22" s="346"/>
      <c r="AA22" s="344">
        <f>SUMIFS(FCPIS!$T$6:$T$899,FCPIS!$B$6:$B$899,$A22,FCPIS!$C$6:$C$899,$B22,FCPIS!$D$6:$D$899,AA$4,FCPIS!$E$6:$E$899,$C22)*1000</f>
        <v>0</v>
      </c>
      <c r="AB22" s="344">
        <f t="shared" si="4"/>
        <v>0</v>
      </c>
    </row>
    <row r="23" spans="1:28" x14ac:dyDescent="0.2">
      <c r="A23" s="345" t="s">
        <v>935</v>
      </c>
      <c r="B23" s="345" t="s">
        <v>2657</v>
      </c>
      <c r="D23" s="339" t="s">
        <v>1471</v>
      </c>
      <c r="E23" s="344">
        <f>SUMIFS(FCPIS!$H$6:$H$899,FCPIS!$B$6:$B$899,$A23,FCPIS!$C$6:$C$899,$B23,FCPIS!$D$6:$D$899,E$4,FCPIS!$E$6:$E$899,$C23)*1000</f>
        <v>0</v>
      </c>
      <c r="F23" s="346"/>
      <c r="G23" s="344">
        <f>SUMIFS(FCPIS!$U$6:$U$899,FCPIS!$B$6:$B$899,$A23,FCPIS!$C$6:$C$899,$B23,FCPIS!$D$6:$D$899,G$4,FCPIS!$E$6:$E$899,$C23)*1000</f>
        <v>0</v>
      </c>
      <c r="H23" s="346"/>
      <c r="I23" s="344">
        <f>SUMIFS(FCPIS!$U$6:$U$899,FCPIS!$B$6:$B$899,$A23,FCPIS!$C$6:$C$899,$B23,FCPIS!$D$6:$D$899,I$4,FCPIS!$E$6:$E$899,$C23)*-1000</f>
        <v>0</v>
      </c>
      <c r="J23" s="346"/>
      <c r="K23" s="344">
        <f>SUMIFS(FCPIS!$U$6:$U$899,FCPIS!$B$6:$B$899,$A23,FCPIS!$C$6:$C$899,$B23,FCPIS!$D$6:$D$899,K$4,FCPIS!$E$6:$E$899,$C23)*1000</f>
        <v>0</v>
      </c>
      <c r="L23" s="346"/>
      <c r="M23" s="344">
        <f t="shared" si="1"/>
        <v>0</v>
      </c>
      <c r="N23" s="346"/>
      <c r="O23" s="344">
        <f t="shared" si="2"/>
        <v>0</v>
      </c>
      <c r="P23" s="346"/>
      <c r="Q23" s="344">
        <f>SUMIFS(FCPIS!$V$6:$V$899,FCPIS!$B$6:$B$899,$A23,FCPIS!$C$6:$C$899,$B23,FCPIS!$D$6:$D$899,Q$4,FCPIS!$E$6:$E$899,$C23)*1000</f>
        <v>0</v>
      </c>
      <c r="R23" s="339"/>
      <c r="S23" s="347">
        <f>SUMIFS(FCPIS!$V$6:$V$899,FCPIS!$B$6:$B$899,$A23,FCPIS!$C$6:$C$899,$B23,FCPIS!$D$6:$D$899,S$4,FCPIS!$E$6:$E$899,$C23)*-1000</f>
        <v>0</v>
      </c>
      <c r="T23" s="339"/>
      <c r="U23" s="347">
        <f>Q23+S23</f>
        <v>0</v>
      </c>
      <c r="V23" s="346"/>
      <c r="W23" s="344">
        <f t="shared" si="0"/>
        <v>0</v>
      </c>
      <c r="X23" s="346"/>
      <c r="Y23" s="344">
        <f>S23+W23</f>
        <v>0</v>
      </c>
      <c r="Z23" s="346"/>
      <c r="AA23" s="344">
        <f>SUMIFS(FCPIS!$T$6:$T$899,FCPIS!$B$6:$B$899,$A23,FCPIS!$C$6:$C$899,$B23,FCPIS!$D$6:$D$899,AA$4,FCPIS!$E$6:$E$899,$C23)*1000</f>
        <v>0</v>
      </c>
      <c r="AB23" s="344">
        <f t="shared" si="4"/>
        <v>0</v>
      </c>
    </row>
    <row r="24" spans="1:28" x14ac:dyDescent="0.2">
      <c r="A24" s="345" t="s">
        <v>935</v>
      </c>
      <c r="B24" s="345" t="s">
        <v>2657</v>
      </c>
      <c r="C24" s="345" t="str">
        <f>MID(D24,2,3)</f>
        <v>371</v>
      </c>
      <c r="D24" s="339" t="s">
        <v>737</v>
      </c>
      <c r="E24" s="344">
        <f>SUMIFS(FCPIS!$H$6:$H$899,FCPIS!$B$6:$B$899,$A24,FCPIS!$C$6:$C$899,$B24,FCPIS!$D$6:$D$899,E$4,FCPIS!$E$6:$E$899,$C24)*1000</f>
        <v>145659.96</v>
      </c>
      <c r="F24" s="346"/>
      <c r="G24" s="344">
        <f>SUMIFS(FCPIS!$U$6:$U$899,FCPIS!$B$6:$B$899,$A24,FCPIS!$C$6:$C$899,$B24,FCPIS!$D$6:$D$899,G$4,FCPIS!$E$6:$E$899,$C24)*1000</f>
        <v>0</v>
      </c>
      <c r="H24" s="346"/>
      <c r="I24" s="344">
        <f>SUMIFS(FCPIS!$U$6:$U$899,FCPIS!$B$6:$B$899,$A24,FCPIS!$C$6:$C$899,$B24,FCPIS!$D$6:$D$899,I$4,FCPIS!$E$6:$E$899,$C24)*-1000</f>
        <v>0</v>
      </c>
      <c r="J24" s="346"/>
      <c r="K24" s="344">
        <f>SUMIFS(FCPIS!$U$6:$U$899,FCPIS!$B$6:$B$899,$A24,FCPIS!$C$6:$C$899,$B24,FCPIS!$D$6:$D$899,K$4,FCPIS!$E$6:$E$899,$C24)*1000</f>
        <v>0</v>
      </c>
      <c r="L24" s="346"/>
      <c r="M24" s="344">
        <f t="shared" si="1"/>
        <v>0</v>
      </c>
      <c r="N24" s="346"/>
      <c r="O24" s="344">
        <f t="shared" si="2"/>
        <v>145659.96</v>
      </c>
      <c r="P24" s="346"/>
      <c r="Q24" s="344">
        <f>SUMIFS(FCPIS!$V$6:$V$899,FCPIS!$B$6:$B$899,$A24,FCPIS!$C$6:$C$899,$B24,FCPIS!$D$6:$D$899,Q$4,FCPIS!$E$6:$E$899,$C24)*1000</f>
        <v>145659.96</v>
      </c>
      <c r="R24" s="339"/>
      <c r="S24" s="347">
        <f>SUMIFS(FCPIS!$V$6:$V$899,FCPIS!$B$6:$B$899,$A24,FCPIS!$C$6:$C$899,$B24,FCPIS!$D$6:$D$899,S$4,FCPIS!$E$6:$E$899,$C24)*-1000</f>
        <v>-15640.274935199928</v>
      </c>
      <c r="T24" s="339"/>
      <c r="U24" s="347">
        <f t="shared" si="6"/>
        <v>130019.68506480007</v>
      </c>
      <c r="V24" s="346"/>
      <c r="W24" s="344">
        <f t="shared" si="0"/>
        <v>0</v>
      </c>
      <c r="X24" s="346"/>
      <c r="Y24" s="344">
        <f t="shared" si="3"/>
        <v>-15640.274935199928</v>
      </c>
      <c r="Z24" s="346"/>
      <c r="AA24" s="344">
        <f>SUMIFS(FCPIS!$T$6:$T$899,FCPIS!$B$6:$B$899,$A24,FCPIS!$C$6:$C$899,$B24,FCPIS!$D$6:$D$899,AA$4,FCPIS!$E$6:$E$899,$C24)*1000</f>
        <v>145659.96</v>
      </c>
      <c r="AB24" s="344">
        <f t="shared" si="4"/>
        <v>0</v>
      </c>
    </row>
    <row r="25" spans="1:28" x14ac:dyDescent="0.2">
      <c r="A25" s="345" t="s">
        <v>935</v>
      </c>
      <c r="B25" s="345" t="s">
        <v>2657</v>
      </c>
      <c r="C25" s="345" t="str">
        <f>MID(D25,2,3)</f>
        <v>373</v>
      </c>
      <c r="D25" s="339" t="s">
        <v>738</v>
      </c>
      <c r="E25" s="344">
        <f>SUMIFS(FCPIS!$H$6:$H$899,FCPIS!$B$6:$B$899,$A25,FCPIS!$C$6:$C$899,$B25,FCPIS!$D$6:$D$899,E$4,FCPIS!$E$6:$E$899,$C25)*1000</f>
        <v>125330291.02000001</v>
      </c>
      <c r="F25" s="348"/>
      <c r="G25" s="344">
        <f>SUMIFS(FCPIS!$U$6:$U$899,FCPIS!$B$6:$B$899,$A25,FCPIS!$C$6:$C$899,$B25,FCPIS!$D$6:$D$899,G$4,FCPIS!$E$6:$E$899,$C25)*1000</f>
        <v>7272254.9499999965</v>
      </c>
      <c r="H25" s="348"/>
      <c r="I25" s="344">
        <f>SUMIFS(FCPIS!$U$6:$U$899,FCPIS!$B$6:$B$899,$A25,FCPIS!$C$6:$C$899,$B25,FCPIS!$D$6:$D$899,I$4,FCPIS!$E$6:$E$899,$C25)*-1000</f>
        <v>-3697027.82</v>
      </c>
      <c r="J25" s="348"/>
      <c r="K25" s="344">
        <f>SUMIFS(FCPIS!$U$6:$U$899,FCPIS!$B$6:$B$899,$A25,FCPIS!$C$6:$C$899,$B25,FCPIS!$D$6:$D$899,K$4,FCPIS!$E$6:$E$899,$C25)*1000</f>
        <v>0</v>
      </c>
      <c r="L25" s="348"/>
      <c r="M25" s="349">
        <f t="shared" si="1"/>
        <v>3575227.1299999966</v>
      </c>
      <c r="N25" s="348"/>
      <c r="O25" s="349">
        <f t="shared" si="2"/>
        <v>128905518.15000001</v>
      </c>
      <c r="P25" s="348"/>
      <c r="Q25" s="349">
        <f>SUMIFS(FCPIS!$V$6:$V$899,FCPIS!$B$6:$B$899,$A25,FCPIS!$C$6:$C$899,$B25,FCPIS!$D$6:$D$899,Q$4,FCPIS!$E$6:$E$899,$C25)*1000</f>
        <v>126856868.76999998</v>
      </c>
      <c r="R25" s="339"/>
      <c r="S25" s="347">
        <f>SUMIFS(FCPIS!$V$6:$V$899,FCPIS!$B$6:$B$899,$A25,FCPIS!$C$6:$C$899,$B25,FCPIS!$D$6:$D$899,S$4,FCPIS!$E$6:$E$899,$C25)*-1000</f>
        <v>-44584574.464878455</v>
      </c>
      <c r="T25" s="339"/>
      <c r="U25" s="347">
        <f t="shared" si="6"/>
        <v>82272294.305121526</v>
      </c>
      <c r="V25" s="348"/>
      <c r="W25" s="344">
        <f t="shared" si="0"/>
        <v>40413.320632572628</v>
      </c>
      <c r="X25" s="348"/>
      <c r="Y25" s="344">
        <f t="shared" si="3"/>
        <v>-44544161.144245885</v>
      </c>
      <c r="Z25" s="348"/>
      <c r="AA25" s="344">
        <f>SUMIFS(FCPIS!$T$6:$T$899,FCPIS!$B$6:$B$899,$A25,FCPIS!$C$6:$C$899,$B25,FCPIS!$D$6:$D$899,AA$4,FCPIS!$E$6:$E$899,$C25)*1000</f>
        <v>128905518.15000001</v>
      </c>
      <c r="AB25" s="344">
        <f t="shared" si="4"/>
        <v>0</v>
      </c>
    </row>
    <row r="26" spans="1:28" x14ac:dyDescent="0.2">
      <c r="A26" s="345" t="s">
        <v>935</v>
      </c>
      <c r="B26" s="345" t="s">
        <v>2657</v>
      </c>
      <c r="C26" s="345" t="str">
        <f>MID(D26,2,3)</f>
        <v>374</v>
      </c>
      <c r="D26" s="339" t="s">
        <v>739</v>
      </c>
      <c r="E26" s="349">
        <f>SUMIFS(FCPIS!$H$6:$H$899,FCPIS!$B$6:$B$899,$A26,FCPIS!$C$6:$C$899,$B26,FCPIS!$D$6:$D$899,E$4,FCPIS!$E$6:$E$899,$C26)*1000</f>
        <v>658287.19000000006</v>
      </c>
      <c r="F26" s="348"/>
      <c r="G26" s="349">
        <f>SUMIFS(FCPIS!$U$6:$U$899,FCPIS!$B$6:$B$899,$A26,FCPIS!$C$6:$C$899,$B26,FCPIS!$D$6:$D$899,G$4,FCPIS!$E$6:$E$899,$C26)*1000</f>
        <v>0</v>
      </c>
      <c r="H26" s="348"/>
      <c r="I26" s="349">
        <f>SUMIFS(FCPIS!$U$6:$U$899,FCPIS!$B$6:$B$899,$A26,FCPIS!$C$6:$C$899,$B26,FCPIS!$D$6:$D$899,I$4,FCPIS!$E$6:$E$899,$C26)*-1000</f>
        <v>0</v>
      </c>
      <c r="J26" s="348"/>
      <c r="K26" s="349">
        <f>SUMIFS(FCPIS!$U$6:$U$899,FCPIS!$B$6:$B$899,$A26,FCPIS!$C$6:$C$899,$B26,FCPIS!$D$6:$D$899,K$4,FCPIS!$E$6:$E$899,$C26)*1000</f>
        <v>0</v>
      </c>
      <c r="L26" s="348"/>
      <c r="M26" s="349">
        <f t="shared" si="1"/>
        <v>0</v>
      </c>
      <c r="N26" s="348"/>
      <c r="O26" s="349">
        <f t="shared" si="2"/>
        <v>658287.19000000006</v>
      </c>
      <c r="P26" s="348"/>
      <c r="Q26" s="349">
        <f>SUMIFS(FCPIS!$V$6:$V$899,FCPIS!$B$6:$B$899,$A26,FCPIS!$C$6:$C$899,$B26,FCPIS!$D$6:$D$899,Q$4,FCPIS!$E$6:$E$899,$C26)*1000</f>
        <v>658287.18999999994</v>
      </c>
      <c r="R26" s="350"/>
      <c r="S26" s="351">
        <f>SUMIFS(FCPIS!$V$6:$V$899,FCPIS!$B$6:$B$899,$A26,FCPIS!$C$6:$C$899,$B26,FCPIS!$D$6:$D$899,S$4,FCPIS!$E$6:$E$899,$C26)*-1000</f>
        <v>-131322.43193931569</v>
      </c>
      <c r="T26" s="350"/>
      <c r="U26" s="351">
        <f t="shared" si="6"/>
        <v>526964.75806068419</v>
      </c>
      <c r="V26" s="348"/>
      <c r="W26" s="349">
        <f t="shared" si="0"/>
        <v>0</v>
      </c>
      <c r="X26" s="348"/>
      <c r="Y26" s="349">
        <f t="shared" si="3"/>
        <v>-131322.43193931569</v>
      </c>
      <c r="Z26" s="348"/>
      <c r="AA26" s="349">
        <f>SUMIFS(FCPIS!$T$6:$T$899,FCPIS!$B$6:$B$899,$A26,FCPIS!$C$6:$C$899,$B26,FCPIS!$D$6:$D$899,AA$4,FCPIS!$E$6:$E$899,$C26)*1000</f>
        <v>658287.19000000006</v>
      </c>
      <c r="AB26" s="349">
        <f t="shared" si="4"/>
        <v>0</v>
      </c>
    </row>
    <row r="27" spans="1:28" x14ac:dyDescent="0.2">
      <c r="B27" s="345" t="s">
        <v>2657</v>
      </c>
      <c r="D27" s="367" t="s">
        <v>1339</v>
      </c>
      <c r="E27" s="349">
        <f>SUMIFS(FCPIS!$H$6:$H$899,FCPIS!$B$6:$B$899,$A27,FCPIS!$C$6:$C$899,$B27,FCPIS!$D$6:$D$899,E$4,FCPIS!$E$6:$E$899,$C27)*1000</f>
        <v>0</v>
      </c>
      <c r="F27" s="348"/>
      <c r="G27" s="349">
        <f>SUMIFS(FCPIS!$U$6:$U$899,FCPIS!$B$6:$B$899,$A27,FCPIS!$C$6:$C$899,$B27,FCPIS!$D$6:$D$899,G$4,FCPIS!$E$6:$E$899,$C27)*1000</f>
        <v>0</v>
      </c>
      <c r="H27" s="348"/>
      <c r="I27" s="349">
        <f>SUMIFS(FCPIS!$U$6:$U$899,FCPIS!$B$6:$B$899,$A27,FCPIS!$C$6:$C$899,$B27,FCPIS!$D$6:$D$899,I$4,FCPIS!$E$6:$E$899,$C27)*-1000</f>
        <v>0</v>
      </c>
      <c r="J27" s="348"/>
      <c r="K27" s="349">
        <f>SUMIFS(FCPIS!$U$6:$U$899,FCPIS!$B$6:$B$899,$A27,FCPIS!$C$6:$C$899,$B27,FCPIS!$D$6:$D$899,K$4,FCPIS!$E$6:$E$899,$C27)*1000</f>
        <v>0</v>
      </c>
      <c r="L27" s="348"/>
      <c r="M27" s="349">
        <f t="shared" si="1"/>
        <v>0</v>
      </c>
      <c r="N27" s="348"/>
      <c r="O27" s="349">
        <f t="shared" si="2"/>
        <v>0</v>
      </c>
      <c r="P27" s="348"/>
      <c r="Q27" s="349">
        <f>SUMIFS(FCPIS!$V$6:$V$899,FCPIS!$B$6:$B$899,$A27,FCPIS!$C$6:$C$899,$B27,FCPIS!$D$6:$D$899,Q$4,FCPIS!$E$6:$E$899,$C27)*1000</f>
        <v>0</v>
      </c>
      <c r="R27" s="339"/>
      <c r="S27" s="351">
        <f>SUMIFS(FCPIS!$V$6:$V$899,FCPIS!$B$6:$B$899,$A27,FCPIS!$C$6:$C$899,$B27,FCPIS!$D$6:$D$899,S$4,FCPIS!$E$6:$E$899,$C27)*-1000</f>
        <v>0</v>
      </c>
      <c r="T27" s="339"/>
      <c r="U27" s="351">
        <f t="shared" si="6"/>
        <v>0</v>
      </c>
      <c r="V27" s="348"/>
      <c r="W27" s="349">
        <f t="shared" si="0"/>
        <v>0</v>
      </c>
      <c r="X27" s="348"/>
      <c r="Y27" s="349">
        <f t="shared" si="3"/>
        <v>0</v>
      </c>
      <c r="Z27" s="348"/>
      <c r="AA27" s="349">
        <f>SUMIFS(FCPIS!$T$6:$T$899,FCPIS!$B$6:$B$899,$A27,FCPIS!$C$6:$C$899,$B27,FCPIS!$D$6:$D$899,AA$4,FCPIS!$E$6:$E$899,$C27)*1000</f>
        <v>0</v>
      </c>
      <c r="AB27" s="349">
        <f t="shared" si="4"/>
        <v>0</v>
      </c>
    </row>
    <row r="28" spans="1:28" x14ac:dyDescent="0.2">
      <c r="B28" s="345" t="s">
        <v>2657</v>
      </c>
      <c r="D28" s="339"/>
      <c r="E28" s="352">
        <f>SUM(E11:E27)</f>
        <v>1875134120.6099992</v>
      </c>
      <c r="F28" s="348"/>
      <c r="G28" s="352">
        <f>SUM(G11:G27)</f>
        <v>123597294.95999977</v>
      </c>
      <c r="H28" s="348"/>
      <c r="I28" s="352">
        <f>SUM(I11:I27)</f>
        <v>-16756216.149999997</v>
      </c>
      <c r="J28" s="348"/>
      <c r="K28" s="352">
        <f>SUM(K11:K27)</f>
        <v>0</v>
      </c>
      <c r="L28" s="348"/>
      <c r="M28" s="352">
        <f>SUM(M11:M27)</f>
        <v>106841078.80999978</v>
      </c>
      <c r="N28" s="348"/>
      <c r="O28" s="352">
        <f>SUM(O11:O27)</f>
        <v>1981975199.4199989</v>
      </c>
      <c r="P28" s="348"/>
      <c r="Q28" s="352">
        <f>SUM(Q11:Q27)</f>
        <v>1927846138.1107693</v>
      </c>
      <c r="R28" s="339"/>
      <c r="S28" s="352">
        <f>SUM(S11:S27)</f>
        <v>-680843701.42387569</v>
      </c>
      <c r="T28" s="339"/>
      <c r="U28" s="352">
        <f>SUM(U11:U27)</f>
        <v>1247002436.6868935</v>
      </c>
      <c r="V28" s="348"/>
      <c r="W28" s="352">
        <f>SUMIFS('FC CWIP &amp; RWIP'!$R$40:$R$58,'FC CWIP &amp; RWIP'!$A$40:$A$58,"KY",'FC CWIP &amp; RWIP'!$B$40:$B$58,D$10)*1000</f>
        <v>686853.96000000334</v>
      </c>
      <c r="X28" s="348"/>
      <c r="Y28" s="352">
        <f>SUM(Y11:Y27)</f>
        <v>-680156847.46387565</v>
      </c>
      <c r="Z28" s="348"/>
      <c r="AA28" s="352">
        <f>SUM(AA11:AA27)</f>
        <v>1981975199.4200001</v>
      </c>
      <c r="AB28" s="352">
        <f>SUM(AB11:AB27)</f>
        <v>1.1026859283447266E-6</v>
      </c>
    </row>
    <row r="29" spans="1:28" x14ac:dyDescent="0.2">
      <c r="B29" s="345" t="s">
        <v>2657</v>
      </c>
      <c r="D29" s="339"/>
      <c r="E29" s="349"/>
      <c r="F29" s="348"/>
      <c r="G29" s="349"/>
      <c r="H29" s="348"/>
      <c r="I29" s="349"/>
      <c r="J29" s="348"/>
      <c r="K29" s="349"/>
      <c r="L29" s="348"/>
      <c r="M29" s="349"/>
      <c r="N29" s="348"/>
      <c r="O29" s="349"/>
      <c r="P29" s="348"/>
      <c r="Q29" s="349"/>
      <c r="R29" s="339"/>
      <c r="S29" s="339"/>
      <c r="T29" s="339"/>
      <c r="U29" s="339"/>
      <c r="V29" s="348"/>
      <c r="W29" s="349"/>
      <c r="X29" s="348"/>
      <c r="Y29" s="349"/>
      <c r="Z29" s="348"/>
      <c r="AA29" s="349"/>
      <c r="AB29" s="349"/>
    </row>
    <row r="30" spans="1:28" x14ac:dyDescent="0.2">
      <c r="B30" s="345" t="s">
        <v>2657</v>
      </c>
      <c r="D30" s="338" t="s">
        <v>100</v>
      </c>
      <c r="E30" s="349"/>
      <c r="F30" s="348"/>
      <c r="G30" s="349"/>
      <c r="H30" s="348"/>
      <c r="I30" s="349"/>
      <c r="J30" s="348"/>
      <c r="K30" s="349"/>
      <c r="L30" s="348"/>
      <c r="M30" s="349"/>
      <c r="N30" s="348"/>
      <c r="O30" s="349"/>
      <c r="P30" s="348"/>
      <c r="Q30" s="349"/>
      <c r="R30" s="339"/>
      <c r="S30" s="339"/>
      <c r="T30" s="339"/>
      <c r="U30" s="339"/>
      <c r="V30" s="348"/>
      <c r="W30" s="349"/>
      <c r="X30" s="348"/>
      <c r="Y30" s="349"/>
      <c r="Z30" s="348"/>
      <c r="AA30" s="349"/>
      <c r="AB30" s="349"/>
    </row>
    <row r="31" spans="1:28" x14ac:dyDescent="0.2">
      <c r="A31" s="345" t="s">
        <v>935</v>
      </c>
      <c r="B31" s="345" t="s">
        <v>2657</v>
      </c>
      <c r="C31" s="345" t="str">
        <f t="shared" ref="C31:C44" si="7">MID(D31,2,3)</f>
        <v>389</v>
      </c>
      <c r="D31" s="339" t="s">
        <v>2435</v>
      </c>
      <c r="E31" s="344">
        <f>SUMIFS(FCPIS!$H$6:$H$899,FCPIS!$B$6:$B$899,$A31,FCPIS!$C$6:$C$899,$B31,FCPIS!$D$6:$D$899,E$4,FCPIS!$E$6:$E$899,$C31)*1000</f>
        <v>3127455.07</v>
      </c>
      <c r="F31" s="346"/>
      <c r="G31" s="344">
        <f>SUMIFS(FCPIS!$U$6:$U$899,FCPIS!$B$6:$B$899,$A31,FCPIS!$C$6:$C$899,$B31,FCPIS!$D$6:$D$899,G$4,FCPIS!$E$6:$E$899,$C31)*1000</f>
        <v>636814.07000000007</v>
      </c>
      <c r="H31" s="346"/>
      <c r="I31" s="344">
        <f>SUMIFS(FCPIS!$U$6:$U$899,FCPIS!$B$6:$B$899,$A31,FCPIS!$C$6:$C$899,$B31,FCPIS!$D$6:$D$899,I$4,FCPIS!$E$6:$E$899,$C31)*-1000</f>
        <v>0</v>
      </c>
      <c r="J31" s="346"/>
      <c r="K31" s="344">
        <f>SUMIFS(FCPIS!$U$6:$U$899,FCPIS!$B$6:$B$899,$A31,FCPIS!$C$6:$C$899,$B31,FCPIS!$D$6:$D$899,K$4,FCPIS!$E$6:$E$899,$C31)*1000</f>
        <v>0</v>
      </c>
      <c r="L31" s="346"/>
      <c r="M31" s="344">
        <f t="shared" ref="M31:M47" si="8">SUM(G31:K31)</f>
        <v>636814.07000000007</v>
      </c>
      <c r="N31" s="346"/>
      <c r="O31" s="344">
        <f t="shared" ref="O31:O47" si="9">E31+M31</f>
        <v>3764269.1399999997</v>
      </c>
      <c r="P31" s="346"/>
      <c r="Q31" s="344">
        <f>SUMIFS(FCPIS!$V$6:$V$899,FCPIS!$B$6:$B$899,$A31,FCPIS!$C$6:$C$899,$B31,FCPIS!$D$6:$D$899,Q$4,FCPIS!$E$6:$E$899,$C31)*1000</f>
        <v>3419891.8776923069</v>
      </c>
      <c r="R31" s="339"/>
      <c r="S31" s="347">
        <f>SUMIFS(FCPIS!$V$6:$V$899,FCPIS!$B$6:$B$899,$A31,FCPIS!$C$6:$C$899,$B31,FCPIS!$D$6:$D$899,S$4,FCPIS!$E$6:$E$899,$C31)*-1000</f>
        <v>0</v>
      </c>
      <c r="T31" s="339"/>
      <c r="U31" s="347">
        <f t="shared" ref="U31:U47" si="10">Q31+S31</f>
        <v>3419891.8776923069</v>
      </c>
      <c r="V31" s="346"/>
      <c r="W31" s="344">
        <f t="shared" ref="W31:W47" si="11">G31/G$48*W$48</f>
        <v>-2.90841572053292E-13</v>
      </c>
      <c r="X31" s="346"/>
      <c r="Y31" s="344">
        <f t="shared" ref="Y31:Y47" si="12">S31+W31</f>
        <v>-2.90841572053292E-13</v>
      </c>
      <c r="Z31" s="346"/>
      <c r="AA31" s="344">
        <f>SUMIFS(FCPIS!$T$6:$T$899,FCPIS!$B$6:$B$899,$A31,FCPIS!$C$6:$C$899,$B31,FCPIS!$D$6:$D$899,AA$4,FCPIS!$E$6:$E$899,$C31)*1000</f>
        <v>3764269.1399999997</v>
      </c>
      <c r="AB31" s="344">
        <f t="shared" ref="AB31:AB47" si="13">AA31-O31</f>
        <v>0</v>
      </c>
    </row>
    <row r="32" spans="1:28" x14ac:dyDescent="0.2">
      <c r="A32" s="345" t="s">
        <v>935</v>
      </c>
      <c r="B32" s="345" t="s">
        <v>2657</v>
      </c>
      <c r="C32" s="345" t="str">
        <f>MID(D32,2,3)</f>
        <v>390</v>
      </c>
      <c r="D32" s="339" t="s">
        <v>742</v>
      </c>
      <c r="E32" s="344">
        <f>SUMIFS(FCPIS!$H$6:$H$899,FCPIS!$B$6:$B$899,$A32,FCPIS!$C$6:$C$899,$B32,FCPIS!$D$6:$D$899,E$4,FCPIS!$E$6:$E$899,$C32)*1000</f>
        <v>69092888.840000004</v>
      </c>
      <c r="F32" s="346"/>
      <c r="G32" s="344">
        <f>SUMIFS(FCPIS!$U$6:$U$899,FCPIS!$B$6:$B$899,$A32,FCPIS!$C$6:$C$899,$B32,FCPIS!$D$6:$D$899,G$4,FCPIS!$E$6:$E$899,$C32)*1000</f>
        <v>12240283.639999999</v>
      </c>
      <c r="H32" s="346"/>
      <c r="I32" s="344">
        <f>SUMIFS(FCPIS!$U$6:$U$899,FCPIS!$B$6:$B$899,$A32,FCPIS!$C$6:$C$899,$B32,FCPIS!$D$6:$D$899,I$4,FCPIS!$E$6:$E$899,$C32)*-1000</f>
        <v>0</v>
      </c>
      <c r="J32" s="346"/>
      <c r="K32" s="344">
        <f>SUMIFS(FCPIS!$U$6:$U$899,FCPIS!$B$6:$B$899,$A32,FCPIS!$C$6:$C$899,$B32,FCPIS!$D$6:$D$899,K$4,FCPIS!$E$6:$E$899,$C32)*1000</f>
        <v>0</v>
      </c>
      <c r="L32" s="346"/>
      <c r="M32" s="344">
        <f t="shared" si="8"/>
        <v>12240283.639999999</v>
      </c>
      <c r="N32" s="346"/>
      <c r="O32" s="344">
        <f t="shared" si="9"/>
        <v>81333172.480000004</v>
      </c>
      <c r="P32" s="346"/>
      <c r="Q32" s="344">
        <f>SUMIFS(FCPIS!$V$6:$V$899,FCPIS!$B$6:$B$899,$A32,FCPIS!$C$6:$C$899,$B32,FCPIS!$D$6:$D$899,Q$4,FCPIS!$E$6:$E$899,$C32)*1000</f>
        <v>77615662.147692293</v>
      </c>
      <c r="R32" s="339"/>
      <c r="S32" s="347">
        <f>SUMIFS(FCPIS!$V$6:$V$899,FCPIS!$B$6:$B$899,$A32,FCPIS!$C$6:$C$899,$B32,FCPIS!$D$6:$D$899,S$4,FCPIS!$E$6:$E$899,$C32)*-1000</f>
        <v>-15134570.662586993</v>
      </c>
      <c r="T32" s="339"/>
      <c r="U32" s="347">
        <f t="shared" si="10"/>
        <v>62481091.485105298</v>
      </c>
      <c r="V32" s="346"/>
      <c r="W32" s="344">
        <f t="shared" si="11"/>
        <v>-5.5903025764424313E-12</v>
      </c>
      <c r="X32" s="346"/>
      <c r="Y32" s="344">
        <f t="shared" si="12"/>
        <v>-15134570.662586993</v>
      </c>
      <c r="Z32" s="346"/>
      <c r="AA32" s="344">
        <f>SUMIFS(FCPIS!$T$6:$T$899,FCPIS!$B$6:$B$899,$A32,FCPIS!$C$6:$C$899,$B32,FCPIS!$D$6:$D$899,AA$4,FCPIS!$E$6:$E$899,$C32)*1000</f>
        <v>81333172.4799999</v>
      </c>
      <c r="AB32" s="344">
        <f t="shared" si="13"/>
        <v>0</v>
      </c>
    </row>
    <row r="33" spans="1:28" x14ac:dyDescent="0.2">
      <c r="A33" s="345" t="s">
        <v>935</v>
      </c>
      <c r="B33" s="345" t="s">
        <v>2657</v>
      </c>
      <c r="D33" s="339" t="s">
        <v>743</v>
      </c>
      <c r="E33" s="344">
        <f>SUMIFS(FCPIS!$H$6:$H$899,FCPIS!$B$6:$B$899,$A33,FCPIS!$C$6:$C$899,$B33,FCPIS!$D$6:$D$899,E$4,FCPIS!$E$6:$E$899,$C33)*1000</f>
        <v>0</v>
      </c>
      <c r="F33" s="346"/>
      <c r="G33" s="344">
        <f>SUMIFS(FCPIS!$U$6:$U$899,FCPIS!$B$6:$B$899,$A33,FCPIS!$C$6:$C$899,$B33,FCPIS!$D$6:$D$899,G$4,FCPIS!$E$6:$E$899,$C33)*1000</f>
        <v>0</v>
      </c>
      <c r="H33" s="346"/>
      <c r="I33" s="344">
        <f>SUMIFS(FCPIS!$U$6:$U$899,FCPIS!$B$6:$B$899,$A33,FCPIS!$C$6:$C$899,$B33,FCPIS!$D$6:$D$899,I$4,FCPIS!$E$6:$E$899,$C33)*-1000</f>
        <v>0</v>
      </c>
      <c r="J33" s="346"/>
      <c r="K33" s="344">
        <f>SUMIFS(FCPIS!$U$6:$U$899,FCPIS!$B$6:$B$899,$A33,FCPIS!$C$6:$C$899,$B33,FCPIS!$D$6:$D$899,K$4,FCPIS!$E$6:$E$899,$C33)*1000</f>
        <v>0</v>
      </c>
      <c r="L33" s="346"/>
      <c r="M33" s="344">
        <f t="shared" si="8"/>
        <v>0</v>
      </c>
      <c r="N33" s="346"/>
      <c r="O33" s="344">
        <f t="shared" si="9"/>
        <v>0</v>
      </c>
      <c r="P33" s="346"/>
      <c r="Q33" s="344">
        <f>SUMIFS(FCPIS!$V$6:$V$899,FCPIS!$B$6:$B$899,$A33,FCPIS!$C$6:$C$899,$B33,FCPIS!$D$6:$D$899,Q$4,FCPIS!$E$6:$E$899,$C33)*1000</f>
        <v>0</v>
      </c>
      <c r="R33" s="339"/>
      <c r="S33" s="347">
        <f>SUMIFS(FCPIS!$V$6:$V$899,FCPIS!$B$6:$B$899,$A33,FCPIS!$C$6:$C$899,$B33,FCPIS!$D$6:$D$899,S$4,FCPIS!$E$6:$E$899,$C33)*-1000</f>
        <v>0</v>
      </c>
      <c r="T33" s="339"/>
      <c r="U33" s="347">
        <f t="shared" si="10"/>
        <v>0</v>
      </c>
      <c r="V33" s="346"/>
      <c r="W33" s="344">
        <f t="shared" si="11"/>
        <v>0</v>
      </c>
      <c r="X33" s="346"/>
      <c r="Y33" s="344">
        <f t="shared" si="12"/>
        <v>0</v>
      </c>
      <c r="Z33" s="346"/>
      <c r="AA33" s="344">
        <f>SUMIFS(FCPIS!$T$6:$T$899,FCPIS!$B$6:$B$899,$A33,FCPIS!$C$6:$C$899,$B33,FCPIS!$D$6:$D$899,AA$4,FCPIS!$E$6:$E$899,$C33)*1000</f>
        <v>0</v>
      </c>
      <c r="AB33" s="344">
        <f t="shared" si="13"/>
        <v>0</v>
      </c>
    </row>
    <row r="34" spans="1:28" x14ac:dyDescent="0.2">
      <c r="A34" s="345" t="s">
        <v>935</v>
      </c>
      <c r="B34" s="345" t="s">
        <v>2657</v>
      </c>
      <c r="C34" s="345" t="str">
        <f>MID(D34,2,3)</f>
        <v>391</v>
      </c>
      <c r="D34" s="339" t="s">
        <v>744</v>
      </c>
      <c r="E34" s="344">
        <f>SUMIFS(FCPIS!$H$6:$H$899,FCPIS!$B$6:$B$899,$A34,FCPIS!$C$6:$C$899,$B34,FCPIS!$D$6:$D$899,E$4,FCPIS!$E$6:$E$899,$C34)*1000</f>
        <v>45389359.669999897</v>
      </c>
      <c r="F34" s="346"/>
      <c r="G34" s="344">
        <f>SUMIFS(FCPIS!$U$6:$U$899,FCPIS!$B$6:$B$899,$A34,FCPIS!$C$6:$C$899,$B34,FCPIS!$D$6:$D$899,G$4,FCPIS!$E$6:$E$899,$C34)*1000</f>
        <v>5207104.58</v>
      </c>
      <c r="H34" s="346"/>
      <c r="I34" s="344">
        <f>SUMIFS(FCPIS!$U$6:$U$899,FCPIS!$B$6:$B$899,$A34,FCPIS!$C$6:$C$899,$B34,FCPIS!$D$6:$D$899,I$4,FCPIS!$E$6:$E$899,$C34)*-1000</f>
        <v>-8155519.4099999974</v>
      </c>
      <c r="J34" s="346"/>
      <c r="K34" s="344">
        <f>SUMIFS(FCPIS!$U$6:$U$899,FCPIS!$B$6:$B$899,$A34,FCPIS!$C$6:$C$899,$B34,FCPIS!$D$6:$D$899,K$4,FCPIS!$E$6:$E$899,$C34)*1000</f>
        <v>0</v>
      </c>
      <c r="L34" s="346"/>
      <c r="M34" s="344">
        <f t="shared" si="8"/>
        <v>-2948414.8299999973</v>
      </c>
      <c r="N34" s="346"/>
      <c r="O34" s="344">
        <f t="shared" si="9"/>
        <v>42440944.839999899</v>
      </c>
      <c r="P34" s="346"/>
      <c r="Q34" s="344">
        <f>SUMIFS(FCPIS!$V$6:$V$899,FCPIS!$B$6:$B$899,$A34,FCPIS!$C$6:$C$899,$B34,FCPIS!$D$6:$D$899,Q$4,FCPIS!$E$6:$E$899,$C34)*1000</f>
        <v>43470434.537692286</v>
      </c>
      <c r="R34" s="339"/>
      <c r="S34" s="347">
        <f>SUMIFS(FCPIS!$V$6:$V$899,FCPIS!$B$6:$B$899,$A34,FCPIS!$C$6:$C$899,$B34,FCPIS!$D$6:$D$899,S$4,FCPIS!$E$6:$E$899,$C34)*-1000</f>
        <v>-20395786.362669174</v>
      </c>
      <c r="T34" s="339"/>
      <c r="U34" s="347">
        <f t="shared" si="10"/>
        <v>23074648.175023112</v>
      </c>
      <c r="V34" s="346"/>
      <c r="W34" s="344">
        <f t="shared" si="11"/>
        <v>-2.3781548700597909E-12</v>
      </c>
      <c r="X34" s="346"/>
      <c r="Y34" s="344">
        <f t="shared" si="12"/>
        <v>-20395786.362669174</v>
      </c>
      <c r="Z34" s="346"/>
      <c r="AA34" s="344">
        <f>SUMIFS(FCPIS!$T$6:$T$899,FCPIS!$B$6:$B$899,$A34,FCPIS!$C$6:$C$899,$B34,FCPIS!$D$6:$D$899,AA$4,FCPIS!$E$6:$E$899,$C34)*1000</f>
        <v>42440944.839999996</v>
      </c>
      <c r="AB34" s="344">
        <f t="shared" si="13"/>
        <v>9.6857547760009766E-8</v>
      </c>
    </row>
    <row r="35" spans="1:28" x14ac:dyDescent="0.2">
      <c r="A35" s="345" t="s">
        <v>935</v>
      </c>
      <c r="B35" s="345" t="s">
        <v>2657</v>
      </c>
      <c r="D35" s="339" t="s">
        <v>745</v>
      </c>
      <c r="E35" s="344">
        <f>SUMIFS(FCPIS!$H$6:$H$899,FCPIS!$B$6:$B$899,$A35,FCPIS!$C$6:$C$899,$B35,FCPIS!$D$6:$D$899,E$4,FCPIS!$E$6:$E$899,$C35)*1000</f>
        <v>0</v>
      </c>
      <c r="F35" s="346"/>
      <c r="G35" s="344">
        <f>SUMIFS(FCPIS!$U$6:$U$899,FCPIS!$B$6:$B$899,$A35,FCPIS!$C$6:$C$899,$B35,FCPIS!$D$6:$D$899,G$4,FCPIS!$E$6:$E$899,$C35)*1000</f>
        <v>0</v>
      </c>
      <c r="H35" s="346"/>
      <c r="I35" s="344">
        <f>SUMIFS(FCPIS!$U$6:$U$899,FCPIS!$B$6:$B$899,$A35,FCPIS!$C$6:$C$899,$B35,FCPIS!$D$6:$D$899,I$4,FCPIS!$E$6:$E$899,$C35)*-1000</f>
        <v>0</v>
      </c>
      <c r="J35" s="346"/>
      <c r="K35" s="344">
        <f>SUMIFS(FCPIS!$U$6:$U$899,FCPIS!$B$6:$B$899,$A35,FCPIS!$C$6:$C$899,$B35,FCPIS!$D$6:$D$899,K$4,FCPIS!$E$6:$E$899,$C35)*1000</f>
        <v>0</v>
      </c>
      <c r="L35" s="346"/>
      <c r="M35" s="344">
        <f t="shared" si="8"/>
        <v>0</v>
      </c>
      <c r="N35" s="346"/>
      <c r="O35" s="344">
        <f t="shared" si="9"/>
        <v>0</v>
      </c>
      <c r="P35" s="346"/>
      <c r="Q35" s="344">
        <f>SUMIFS(FCPIS!$V$6:$V$899,FCPIS!$B$6:$B$899,$A35,FCPIS!$C$6:$C$899,$B35,FCPIS!$D$6:$D$899,Q$4,FCPIS!$E$6:$E$899,$C35)*1000</f>
        <v>0</v>
      </c>
      <c r="R35" s="339"/>
      <c r="S35" s="347">
        <f>SUMIFS(FCPIS!$V$6:$V$899,FCPIS!$B$6:$B$899,$A35,FCPIS!$C$6:$C$899,$B35,FCPIS!$D$6:$D$899,S$4,FCPIS!$E$6:$E$899,$C35)*-1000</f>
        <v>0</v>
      </c>
      <c r="T35" s="339"/>
      <c r="U35" s="347">
        <f t="shared" si="10"/>
        <v>0</v>
      </c>
      <c r="V35" s="346"/>
      <c r="W35" s="344">
        <f t="shared" si="11"/>
        <v>0</v>
      </c>
      <c r="X35" s="346"/>
      <c r="Y35" s="344">
        <f t="shared" si="12"/>
        <v>0</v>
      </c>
      <c r="Z35" s="346"/>
      <c r="AA35" s="344">
        <f>SUMIFS(FCPIS!$T$6:$T$899,FCPIS!$B$6:$B$899,$A35,FCPIS!$C$6:$C$899,$B35,FCPIS!$D$6:$D$899,AA$4,FCPIS!$E$6:$E$899,$C35)*1000</f>
        <v>0</v>
      </c>
      <c r="AB35" s="344">
        <f t="shared" si="13"/>
        <v>0</v>
      </c>
    </row>
    <row r="36" spans="1:28" x14ac:dyDescent="0.2">
      <c r="A36" s="345" t="s">
        <v>935</v>
      </c>
      <c r="B36" s="345" t="s">
        <v>2657</v>
      </c>
      <c r="D36" s="339" t="s">
        <v>746</v>
      </c>
      <c r="E36" s="344">
        <f>SUMIFS(FCPIS!$H$6:$H$899,FCPIS!$B$6:$B$899,$A36,FCPIS!$C$6:$C$899,$B36,FCPIS!$D$6:$D$899,E$4,FCPIS!$E$6:$E$899,$C36)*1000</f>
        <v>0</v>
      </c>
      <c r="F36" s="346"/>
      <c r="G36" s="344">
        <f>SUMIFS(FCPIS!$U$6:$U$899,FCPIS!$B$6:$B$899,$A36,FCPIS!$C$6:$C$899,$B36,FCPIS!$D$6:$D$899,G$4,FCPIS!$E$6:$E$899,$C36)*1000</f>
        <v>0</v>
      </c>
      <c r="H36" s="346"/>
      <c r="I36" s="344">
        <f>SUMIFS(FCPIS!$U$6:$U$899,FCPIS!$B$6:$B$899,$A36,FCPIS!$C$6:$C$899,$B36,FCPIS!$D$6:$D$899,I$4,FCPIS!$E$6:$E$899,$C36)*-1000</f>
        <v>0</v>
      </c>
      <c r="J36" s="346"/>
      <c r="K36" s="344">
        <f>SUMIFS(FCPIS!$U$6:$U$899,FCPIS!$B$6:$B$899,$A36,FCPIS!$C$6:$C$899,$B36,FCPIS!$D$6:$D$899,K$4,FCPIS!$E$6:$E$899,$C36)*1000</f>
        <v>0</v>
      </c>
      <c r="L36" s="346"/>
      <c r="M36" s="344">
        <f t="shared" si="8"/>
        <v>0</v>
      </c>
      <c r="N36" s="346"/>
      <c r="O36" s="344">
        <f t="shared" si="9"/>
        <v>0</v>
      </c>
      <c r="P36" s="346"/>
      <c r="Q36" s="344">
        <f>SUMIFS(FCPIS!$V$6:$V$899,FCPIS!$B$6:$B$899,$A36,FCPIS!$C$6:$C$899,$B36,FCPIS!$D$6:$D$899,Q$4,FCPIS!$E$6:$E$899,$C36)*1000</f>
        <v>0</v>
      </c>
      <c r="R36" s="339"/>
      <c r="S36" s="347">
        <f>SUMIFS(FCPIS!$V$6:$V$899,FCPIS!$B$6:$B$899,$A36,FCPIS!$C$6:$C$899,$B36,FCPIS!$D$6:$D$899,S$4,FCPIS!$E$6:$E$899,$C36)*-1000</f>
        <v>0</v>
      </c>
      <c r="T36" s="339"/>
      <c r="U36" s="347">
        <f t="shared" si="10"/>
        <v>0</v>
      </c>
      <c r="V36" s="346"/>
      <c r="W36" s="344">
        <f t="shared" si="11"/>
        <v>0</v>
      </c>
      <c r="X36" s="346"/>
      <c r="Y36" s="344">
        <f t="shared" si="12"/>
        <v>0</v>
      </c>
      <c r="Z36" s="346"/>
      <c r="AA36" s="344">
        <f>SUMIFS(FCPIS!$T$6:$T$899,FCPIS!$B$6:$B$899,$A36,FCPIS!$C$6:$C$899,$B36,FCPIS!$D$6:$D$899,AA$4,FCPIS!$E$6:$E$899,$C36)*1000</f>
        <v>0</v>
      </c>
      <c r="AB36" s="344">
        <f t="shared" si="13"/>
        <v>0</v>
      </c>
    </row>
    <row r="37" spans="1:28" x14ac:dyDescent="0.2">
      <c r="A37" s="345" t="s">
        <v>935</v>
      </c>
      <c r="B37" s="345" t="s">
        <v>2657</v>
      </c>
      <c r="D37" s="339" t="s">
        <v>747</v>
      </c>
      <c r="E37" s="344">
        <f>SUMIFS(FCPIS!$H$6:$H$899,FCPIS!$B$6:$B$899,$A37,FCPIS!$C$6:$C$899,$B37,FCPIS!$D$6:$D$899,E$4,FCPIS!$E$6:$E$899,$C37)*1000</f>
        <v>0</v>
      </c>
      <c r="F37" s="346"/>
      <c r="G37" s="344">
        <f>SUMIFS(FCPIS!$U$6:$U$899,FCPIS!$B$6:$B$899,$A37,FCPIS!$C$6:$C$899,$B37,FCPIS!$D$6:$D$899,G$4,FCPIS!$E$6:$E$899,$C37)*1000</f>
        <v>0</v>
      </c>
      <c r="H37" s="346"/>
      <c r="I37" s="344">
        <f>SUMIFS(FCPIS!$U$6:$U$899,FCPIS!$B$6:$B$899,$A37,FCPIS!$C$6:$C$899,$B37,FCPIS!$D$6:$D$899,I$4,FCPIS!$E$6:$E$899,$C37)*-1000</f>
        <v>0</v>
      </c>
      <c r="J37" s="346"/>
      <c r="K37" s="344">
        <f>SUMIFS(FCPIS!$U$6:$U$899,FCPIS!$B$6:$B$899,$A37,FCPIS!$C$6:$C$899,$B37,FCPIS!$D$6:$D$899,K$4,FCPIS!$E$6:$E$899,$C37)*1000</f>
        <v>0</v>
      </c>
      <c r="L37" s="346"/>
      <c r="M37" s="344">
        <f t="shared" si="8"/>
        <v>0</v>
      </c>
      <c r="N37" s="346"/>
      <c r="O37" s="344">
        <f t="shared" si="9"/>
        <v>0</v>
      </c>
      <c r="P37" s="346"/>
      <c r="Q37" s="344">
        <f>SUMIFS(FCPIS!$V$6:$V$899,FCPIS!$B$6:$B$899,$A37,FCPIS!$C$6:$C$899,$B37,FCPIS!$D$6:$D$899,Q$4,FCPIS!$E$6:$E$899,$C37)*1000</f>
        <v>0</v>
      </c>
      <c r="R37" s="339"/>
      <c r="S37" s="347">
        <f>SUMIFS(FCPIS!$V$6:$V$899,FCPIS!$B$6:$B$899,$A37,FCPIS!$C$6:$C$899,$B37,FCPIS!$D$6:$D$899,S$4,FCPIS!$E$6:$E$899,$C37)*-1000</f>
        <v>0</v>
      </c>
      <c r="T37" s="339"/>
      <c r="U37" s="347">
        <f t="shared" si="10"/>
        <v>0</v>
      </c>
      <c r="V37" s="346"/>
      <c r="W37" s="344">
        <f t="shared" si="11"/>
        <v>0</v>
      </c>
      <c r="X37" s="346"/>
      <c r="Y37" s="344">
        <f t="shared" si="12"/>
        <v>0</v>
      </c>
      <c r="Z37" s="346"/>
      <c r="AA37" s="344">
        <f>SUMIFS(FCPIS!$T$6:$T$899,FCPIS!$B$6:$B$899,$A37,FCPIS!$C$6:$C$899,$B37,FCPIS!$D$6:$D$899,AA$4,FCPIS!$E$6:$E$899,$C37)*1000</f>
        <v>0</v>
      </c>
      <c r="AB37" s="344">
        <f t="shared" si="13"/>
        <v>0</v>
      </c>
    </row>
    <row r="38" spans="1:28" x14ac:dyDescent="0.2">
      <c r="A38" s="345" t="s">
        <v>935</v>
      </c>
      <c r="B38" s="345" t="s">
        <v>2657</v>
      </c>
      <c r="C38" s="345" t="str">
        <f t="shared" si="7"/>
        <v>392</v>
      </c>
      <c r="D38" s="339" t="s">
        <v>1362</v>
      </c>
      <c r="E38" s="344">
        <f>SUMIFS(FCPIS!$H$6:$H$899,FCPIS!$B$6:$B$899,$A38,FCPIS!$C$6:$C$899,$B38,FCPIS!$D$6:$D$899,E$4,FCPIS!$E$6:$E$899,$C38)*1000</f>
        <v>7523325.3000000007</v>
      </c>
      <c r="F38" s="346"/>
      <c r="G38" s="344">
        <f>SUMIFS(FCPIS!$U$6:$U$899,FCPIS!$B$6:$B$899,$A38,FCPIS!$C$6:$C$899,$B38,FCPIS!$D$6:$D$899,G$4,FCPIS!$E$6:$E$899,$C38)*1000</f>
        <v>0</v>
      </c>
      <c r="H38" s="346"/>
      <c r="I38" s="344">
        <f>SUMIFS(FCPIS!$U$6:$U$899,FCPIS!$B$6:$B$899,$A38,FCPIS!$C$6:$C$899,$B38,FCPIS!$D$6:$D$899,I$4,FCPIS!$E$6:$E$899,$C38)*-1000</f>
        <v>0</v>
      </c>
      <c r="J38" s="346"/>
      <c r="K38" s="344">
        <f>SUMIFS(FCPIS!$U$6:$U$899,FCPIS!$B$6:$B$899,$A38,FCPIS!$C$6:$C$899,$B38,FCPIS!$D$6:$D$899,K$4,FCPIS!$E$6:$E$899,$C38)*1000</f>
        <v>0</v>
      </c>
      <c r="L38" s="346"/>
      <c r="M38" s="344">
        <f t="shared" si="8"/>
        <v>0</v>
      </c>
      <c r="N38" s="346"/>
      <c r="O38" s="344">
        <f t="shared" si="9"/>
        <v>7523325.3000000007</v>
      </c>
      <c r="P38" s="346"/>
      <c r="Q38" s="344">
        <f>SUMIFS(FCPIS!$V$6:$V$899,FCPIS!$B$6:$B$899,$A38,FCPIS!$C$6:$C$899,$B38,FCPIS!$D$6:$D$899,Q$4,FCPIS!$E$6:$E$899,$C38)*1000</f>
        <v>7523325.3000000017</v>
      </c>
      <c r="R38" s="339"/>
      <c r="S38" s="347">
        <f>SUMIFS(FCPIS!$V$6:$V$899,FCPIS!$B$6:$B$899,$A38,FCPIS!$C$6:$C$899,$B38,FCPIS!$D$6:$D$899,S$4,FCPIS!$E$6:$E$899,$C38)*-1000</f>
        <v>-4390332.7743230006</v>
      </c>
      <c r="T38" s="339"/>
      <c r="U38" s="347">
        <f t="shared" si="10"/>
        <v>3132992.5256770011</v>
      </c>
      <c r="V38" s="346"/>
      <c r="W38" s="344">
        <f t="shared" si="11"/>
        <v>0</v>
      </c>
      <c r="X38" s="346"/>
      <c r="Y38" s="344">
        <f t="shared" si="12"/>
        <v>-4390332.7743230006</v>
      </c>
      <c r="Z38" s="346"/>
      <c r="AA38" s="344">
        <f>SUMIFS(FCPIS!$T$6:$T$899,FCPIS!$B$6:$B$899,$A38,FCPIS!$C$6:$C$899,$B38,FCPIS!$D$6:$D$899,AA$4,FCPIS!$E$6:$E$899,$C38)*1000</f>
        <v>7523325.3000000007</v>
      </c>
      <c r="AB38" s="344">
        <f t="shared" si="13"/>
        <v>0</v>
      </c>
    </row>
    <row r="39" spans="1:28" x14ac:dyDescent="0.2">
      <c r="A39" s="345" t="s">
        <v>935</v>
      </c>
      <c r="B39" s="345" t="s">
        <v>2657</v>
      </c>
      <c r="D39" s="339" t="s">
        <v>1363</v>
      </c>
      <c r="E39" s="344">
        <f>SUMIFS(FCPIS!$H$6:$H$899,FCPIS!$B$6:$B$899,$A39,FCPIS!$C$6:$C$899,$B39,FCPIS!$D$6:$D$899,E$4,FCPIS!$E$6:$E$899,$C39)*1000</f>
        <v>0</v>
      </c>
      <c r="F39" s="346"/>
      <c r="G39" s="344">
        <f>SUMIFS(FCPIS!$U$6:$U$899,FCPIS!$B$6:$B$899,$A39,FCPIS!$C$6:$C$899,$B39,FCPIS!$D$6:$D$899,G$4,FCPIS!$E$6:$E$899,$C39)*1000</f>
        <v>0</v>
      </c>
      <c r="H39" s="346"/>
      <c r="I39" s="344">
        <f>SUMIFS(FCPIS!$U$6:$U$899,FCPIS!$B$6:$B$899,$A39,FCPIS!$C$6:$C$899,$B39,FCPIS!$D$6:$D$899,I$4,FCPIS!$E$6:$E$899,$C39)*-1000</f>
        <v>0</v>
      </c>
      <c r="J39" s="346"/>
      <c r="K39" s="344">
        <f>SUMIFS(FCPIS!$U$6:$U$899,FCPIS!$B$6:$B$899,$A39,FCPIS!$C$6:$C$899,$B39,FCPIS!$D$6:$D$899,K$4,FCPIS!$E$6:$E$899,$C39)*1000</f>
        <v>0</v>
      </c>
      <c r="L39" s="346"/>
      <c r="M39" s="344">
        <f t="shared" si="8"/>
        <v>0</v>
      </c>
      <c r="N39" s="346"/>
      <c r="O39" s="344">
        <f t="shared" si="9"/>
        <v>0</v>
      </c>
      <c r="P39" s="346"/>
      <c r="Q39" s="344">
        <f>SUMIFS(FCPIS!$V$6:$V$899,FCPIS!$B$6:$B$899,$A39,FCPIS!$C$6:$C$899,$B39,FCPIS!$D$6:$D$899,Q$4,FCPIS!$E$6:$E$899,$C39)*1000</f>
        <v>0</v>
      </c>
      <c r="R39" s="339"/>
      <c r="S39" s="347">
        <f>SUMIFS(FCPIS!$V$6:$V$899,FCPIS!$B$6:$B$899,$A39,FCPIS!$C$6:$C$899,$B39,FCPIS!$D$6:$D$899,S$4,FCPIS!$E$6:$E$899,$C39)*-1000</f>
        <v>0</v>
      </c>
      <c r="T39" s="339"/>
      <c r="U39" s="347">
        <f t="shared" si="10"/>
        <v>0</v>
      </c>
      <c r="V39" s="346"/>
      <c r="W39" s="344">
        <f t="shared" si="11"/>
        <v>0</v>
      </c>
      <c r="X39" s="346"/>
      <c r="Y39" s="344">
        <f t="shared" si="12"/>
        <v>0</v>
      </c>
      <c r="Z39" s="346"/>
      <c r="AA39" s="344">
        <f>SUMIFS(FCPIS!$T$6:$T$899,FCPIS!$B$6:$B$899,$A39,FCPIS!$C$6:$C$899,$B39,FCPIS!$D$6:$D$899,AA$4,FCPIS!$E$6:$E$899,$C39)*1000</f>
        <v>0</v>
      </c>
      <c r="AB39" s="344">
        <f t="shared" si="13"/>
        <v>0</v>
      </c>
    </row>
    <row r="40" spans="1:28" x14ac:dyDescent="0.2">
      <c r="A40" s="345" t="s">
        <v>935</v>
      </c>
      <c r="B40" s="345" t="s">
        <v>2657</v>
      </c>
      <c r="C40" s="345" t="str">
        <f t="shared" si="7"/>
        <v>393</v>
      </c>
      <c r="D40" s="339" t="s">
        <v>748</v>
      </c>
      <c r="E40" s="344">
        <f>SUMIFS(FCPIS!$H$6:$H$899,FCPIS!$B$6:$B$899,$A40,FCPIS!$C$6:$C$899,$B40,FCPIS!$D$6:$D$899,E$4,FCPIS!$E$6:$E$899,$C40)*1000</f>
        <v>930096.64999999991</v>
      </c>
      <c r="F40" s="346"/>
      <c r="G40" s="344">
        <f>SUMIFS(FCPIS!$U$6:$U$899,FCPIS!$B$6:$B$899,$A40,FCPIS!$C$6:$C$899,$B40,FCPIS!$D$6:$D$899,G$4,FCPIS!$E$6:$E$899,$C40)*1000</f>
        <v>0</v>
      </c>
      <c r="H40" s="346"/>
      <c r="I40" s="344">
        <f>SUMIFS(FCPIS!$U$6:$U$899,FCPIS!$B$6:$B$899,$A40,FCPIS!$C$6:$C$899,$B40,FCPIS!$D$6:$D$899,I$4,FCPIS!$E$6:$E$899,$C40)*-1000</f>
        <v>-31840.82</v>
      </c>
      <c r="J40" s="346"/>
      <c r="K40" s="344">
        <f>SUMIFS(FCPIS!$U$6:$U$899,FCPIS!$B$6:$B$899,$A40,FCPIS!$C$6:$C$899,$B40,FCPIS!$D$6:$D$899,K$4,FCPIS!$E$6:$E$899,$C40)*1000</f>
        <v>0</v>
      </c>
      <c r="L40" s="346"/>
      <c r="M40" s="344">
        <f t="shared" si="8"/>
        <v>-31840.82</v>
      </c>
      <c r="N40" s="346"/>
      <c r="O40" s="344">
        <f t="shared" si="9"/>
        <v>898255.83</v>
      </c>
      <c r="P40" s="346"/>
      <c r="Q40" s="344">
        <f>SUMIFS(FCPIS!$V$6:$V$899,FCPIS!$B$6:$B$899,$A40,FCPIS!$C$6:$C$899,$B40,FCPIS!$D$6:$D$899,Q$4,FCPIS!$E$6:$E$899,$C40)*1000</f>
        <v>907185.78307692299</v>
      </c>
      <c r="R40" s="339"/>
      <c r="S40" s="347">
        <f>SUMIFS(FCPIS!$V$6:$V$899,FCPIS!$B$6:$B$899,$A40,FCPIS!$C$6:$C$899,$B40,FCPIS!$D$6:$D$899,S$4,FCPIS!$E$6:$E$899,$C40)*-1000</f>
        <v>-445586.83726615284</v>
      </c>
      <c r="T40" s="339"/>
      <c r="U40" s="347">
        <f t="shared" si="10"/>
        <v>461598.94581077015</v>
      </c>
      <c r="V40" s="346"/>
      <c r="W40" s="344">
        <f t="shared" si="11"/>
        <v>0</v>
      </c>
      <c r="X40" s="346"/>
      <c r="Y40" s="344">
        <f t="shared" si="12"/>
        <v>-445586.83726615284</v>
      </c>
      <c r="Z40" s="346"/>
      <c r="AA40" s="344">
        <f>SUMIFS(FCPIS!$T$6:$T$899,FCPIS!$B$6:$B$899,$A40,FCPIS!$C$6:$C$899,$B40,FCPIS!$D$6:$D$899,AA$4,FCPIS!$E$6:$E$899,$C40)*1000</f>
        <v>898255.83</v>
      </c>
      <c r="AB40" s="344">
        <f t="shared" si="13"/>
        <v>0</v>
      </c>
    </row>
    <row r="41" spans="1:28" x14ac:dyDescent="0.2">
      <c r="A41" s="345" t="s">
        <v>935</v>
      </c>
      <c r="B41" s="345" t="s">
        <v>2657</v>
      </c>
      <c r="C41" s="345" t="str">
        <f t="shared" si="7"/>
        <v>394</v>
      </c>
      <c r="D41" s="339" t="s">
        <v>749</v>
      </c>
      <c r="E41" s="344">
        <f>SUMIFS(FCPIS!$H$6:$H$899,FCPIS!$B$6:$B$899,$A41,FCPIS!$C$6:$C$899,$B41,FCPIS!$D$6:$D$899,E$4,FCPIS!$E$6:$E$899,$C41)*1000</f>
        <v>14952780.960000001</v>
      </c>
      <c r="F41" s="346"/>
      <c r="G41" s="344">
        <f>SUMIFS(FCPIS!$U$6:$U$899,FCPIS!$B$6:$B$899,$A41,FCPIS!$C$6:$C$899,$B41,FCPIS!$D$6:$D$899,G$4,FCPIS!$E$6:$E$899,$C41)*1000</f>
        <v>2326943.5599999996</v>
      </c>
      <c r="H41" s="346"/>
      <c r="I41" s="344">
        <f>SUMIFS(FCPIS!$U$6:$U$899,FCPIS!$B$6:$B$899,$A41,FCPIS!$C$6:$C$899,$B41,FCPIS!$D$6:$D$899,I$4,FCPIS!$E$6:$E$899,$C41)*-1000</f>
        <v>-93018.769999999902</v>
      </c>
      <c r="J41" s="346"/>
      <c r="K41" s="344">
        <f>SUMIFS(FCPIS!$U$6:$U$899,FCPIS!$B$6:$B$899,$A41,FCPIS!$C$6:$C$899,$B41,FCPIS!$D$6:$D$899,K$4,FCPIS!$E$6:$E$899,$C41)*1000</f>
        <v>0</v>
      </c>
      <c r="L41" s="346"/>
      <c r="M41" s="344">
        <f t="shared" si="8"/>
        <v>2233924.7899999996</v>
      </c>
      <c r="N41" s="346"/>
      <c r="O41" s="344">
        <f t="shared" si="9"/>
        <v>17186705.75</v>
      </c>
      <c r="P41" s="346"/>
      <c r="Q41" s="344">
        <f>SUMIFS(FCPIS!$V$6:$V$899,FCPIS!$B$6:$B$899,$A41,FCPIS!$C$6:$C$899,$B41,FCPIS!$D$6:$D$899,Q$4,FCPIS!$E$6:$E$899,$C41)*1000</f>
        <v>16215189.583076863</v>
      </c>
      <c r="R41" s="339"/>
      <c r="S41" s="347">
        <f>SUMIFS(FCPIS!$V$6:$V$899,FCPIS!$B$6:$B$899,$A41,FCPIS!$C$6:$C$899,$B41,FCPIS!$D$6:$D$899,S$4,FCPIS!$E$6:$E$899,$C41)*-1000</f>
        <v>-4978964.0338561488</v>
      </c>
      <c r="T41" s="339"/>
      <c r="U41" s="347">
        <f t="shared" si="10"/>
        <v>11236225.549220715</v>
      </c>
      <c r="V41" s="346"/>
      <c r="W41" s="344">
        <f t="shared" si="11"/>
        <v>-1.0627464984711843E-12</v>
      </c>
      <c r="X41" s="346"/>
      <c r="Y41" s="344">
        <f t="shared" si="12"/>
        <v>-4978964.0338561488</v>
      </c>
      <c r="Z41" s="346"/>
      <c r="AA41" s="344">
        <f>SUMIFS(FCPIS!$T$6:$T$899,FCPIS!$B$6:$B$899,$A41,FCPIS!$C$6:$C$899,$B41,FCPIS!$D$6:$D$899,AA$4,FCPIS!$E$6:$E$899,$C41)*1000</f>
        <v>17186705.749999899</v>
      </c>
      <c r="AB41" s="344">
        <f t="shared" si="13"/>
        <v>-1.0058283805847168E-7</v>
      </c>
    </row>
    <row r="42" spans="1:28" x14ac:dyDescent="0.2">
      <c r="A42" s="345" t="s">
        <v>935</v>
      </c>
      <c r="B42" s="345" t="s">
        <v>2657</v>
      </c>
      <c r="C42" s="345" t="str">
        <f t="shared" si="7"/>
        <v>395</v>
      </c>
      <c r="D42" s="339" t="s">
        <v>750</v>
      </c>
      <c r="E42" s="344">
        <f>SUMIFS(FCPIS!$H$6:$H$899,FCPIS!$B$6:$B$899,$A42,FCPIS!$C$6:$C$899,$B42,FCPIS!$D$6:$D$899,E$4,FCPIS!$E$6:$E$899,$C42)*1000</f>
        <v>0</v>
      </c>
      <c r="F42" s="346"/>
      <c r="G42" s="344">
        <f>SUMIFS(FCPIS!$U$6:$U$899,FCPIS!$B$6:$B$899,$A42,FCPIS!$C$6:$C$899,$B42,FCPIS!$D$6:$D$899,G$4,FCPIS!$E$6:$E$899,$C42)*1000</f>
        <v>0</v>
      </c>
      <c r="H42" s="346"/>
      <c r="I42" s="344">
        <f>SUMIFS(FCPIS!$U$6:$U$899,FCPIS!$B$6:$B$899,$A42,FCPIS!$C$6:$C$899,$B42,FCPIS!$D$6:$D$899,I$4,FCPIS!$E$6:$E$899,$C42)*-1000</f>
        <v>0</v>
      </c>
      <c r="J42" s="346"/>
      <c r="K42" s="344">
        <f>SUMIFS(FCPIS!$U$6:$U$899,FCPIS!$B$6:$B$899,$A42,FCPIS!$C$6:$C$899,$B42,FCPIS!$D$6:$D$899,K$4,FCPIS!$E$6:$E$899,$C42)*1000</f>
        <v>0</v>
      </c>
      <c r="L42" s="346"/>
      <c r="M42" s="344">
        <f t="shared" si="8"/>
        <v>0</v>
      </c>
      <c r="N42" s="346"/>
      <c r="O42" s="344">
        <f t="shared" si="9"/>
        <v>0</v>
      </c>
      <c r="P42" s="346"/>
      <c r="Q42" s="344">
        <f>SUMIFS(FCPIS!$V$6:$V$899,FCPIS!$B$6:$B$899,$A42,FCPIS!$C$6:$C$899,$B42,FCPIS!$D$6:$D$899,Q$4,FCPIS!$E$6:$E$899,$C42)*1000</f>
        <v>0</v>
      </c>
      <c r="R42" s="339"/>
      <c r="S42" s="347">
        <f>SUMIFS(FCPIS!$V$6:$V$899,FCPIS!$B$6:$B$899,$A42,FCPIS!$C$6:$C$899,$B42,FCPIS!$D$6:$D$899,S$4,FCPIS!$E$6:$E$899,$C42)*-1000</f>
        <v>0</v>
      </c>
      <c r="T42" s="339"/>
      <c r="U42" s="347">
        <f t="shared" si="10"/>
        <v>0</v>
      </c>
      <c r="V42" s="346"/>
      <c r="W42" s="344">
        <f t="shared" si="11"/>
        <v>0</v>
      </c>
      <c r="X42" s="346"/>
      <c r="Y42" s="344">
        <f t="shared" si="12"/>
        <v>0</v>
      </c>
      <c r="Z42" s="346"/>
      <c r="AA42" s="344">
        <f>SUMIFS(FCPIS!$T$6:$T$899,FCPIS!$B$6:$B$899,$A42,FCPIS!$C$6:$C$899,$B42,FCPIS!$D$6:$D$899,AA$4,FCPIS!$E$6:$E$899,$C42)*1000</f>
        <v>0</v>
      </c>
      <c r="AB42" s="344">
        <f t="shared" si="13"/>
        <v>0</v>
      </c>
    </row>
    <row r="43" spans="1:28" x14ac:dyDescent="0.2">
      <c r="A43" s="345" t="s">
        <v>935</v>
      </c>
      <c r="B43" s="345" t="s">
        <v>2657</v>
      </c>
      <c r="C43" s="345" t="str">
        <f t="shared" si="7"/>
        <v>396</v>
      </c>
      <c r="D43" s="339" t="s">
        <v>1459</v>
      </c>
      <c r="E43" s="344">
        <f>SUMIFS(FCPIS!$H$6:$H$899,FCPIS!$B$6:$B$899,$A43,FCPIS!$C$6:$C$899,$B43,FCPIS!$D$6:$D$899,E$4,FCPIS!$E$6:$E$899,$C43)*1000</f>
        <v>3855630.14</v>
      </c>
      <c r="F43" s="346"/>
      <c r="G43" s="344">
        <f>SUMIFS(FCPIS!$U$6:$U$899,FCPIS!$B$6:$B$899,$A43,FCPIS!$C$6:$C$899,$B43,FCPIS!$D$6:$D$899,G$4,FCPIS!$E$6:$E$899,$C43)*1000</f>
        <v>0</v>
      </c>
      <c r="H43" s="346"/>
      <c r="I43" s="344">
        <f>SUMIFS(FCPIS!$U$6:$U$899,FCPIS!$B$6:$B$899,$A43,FCPIS!$C$6:$C$899,$B43,FCPIS!$D$6:$D$899,I$4,FCPIS!$E$6:$E$899,$C43)*-1000</f>
        <v>0</v>
      </c>
      <c r="J43" s="346"/>
      <c r="K43" s="344">
        <f>SUMIFS(FCPIS!$U$6:$U$899,FCPIS!$B$6:$B$899,$A43,FCPIS!$C$6:$C$899,$B43,FCPIS!$D$6:$D$899,K$4,FCPIS!$E$6:$E$899,$C43)*1000</f>
        <v>0</v>
      </c>
      <c r="L43" s="346"/>
      <c r="M43" s="344">
        <f t="shared" si="8"/>
        <v>0</v>
      </c>
      <c r="N43" s="346"/>
      <c r="O43" s="344">
        <f t="shared" si="9"/>
        <v>3855630.14</v>
      </c>
      <c r="P43" s="346"/>
      <c r="Q43" s="344">
        <f>SUMIFS(FCPIS!$V$6:$V$899,FCPIS!$B$6:$B$899,$A43,FCPIS!$C$6:$C$899,$B43,FCPIS!$D$6:$D$899,Q$4,FCPIS!$E$6:$E$899,$C43)*1000</f>
        <v>3855630.14</v>
      </c>
      <c r="R43" s="339"/>
      <c r="S43" s="347">
        <f>SUMIFS(FCPIS!$V$6:$V$899,FCPIS!$B$6:$B$899,$A43,FCPIS!$C$6:$C$899,$B43,FCPIS!$D$6:$D$899,S$4,FCPIS!$E$6:$E$899,$C43)*-1000</f>
        <v>-1406043.9452699891</v>
      </c>
      <c r="T43" s="339"/>
      <c r="U43" s="347">
        <f t="shared" si="10"/>
        <v>2449586.1947300108</v>
      </c>
      <c r="V43" s="346"/>
      <c r="W43" s="344">
        <f t="shared" si="11"/>
        <v>0</v>
      </c>
      <c r="X43" s="346"/>
      <c r="Y43" s="344">
        <f t="shared" si="12"/>
        <v>-1406043.9452699891</v>
      </c>
      <c r="Z43" s="346"/>
      <c r="AA43" s="344">
        <f>SUMIFS(FCPIS!$T$6:$T$899,FCPIS!$B$6:$B$899,$A43,FCPIS!$C$6:$C$899,$B43,FCPIS!$D$6:$D$899,AA$4,FCPIS!$E$6:$E$899,$C43)*1000</f>
        <v>3855630.14</v>
      </c>
      <c r="AB43" s="344">
        <f t="shared" si="13"/>
        <v>0</v>
      </c>
    </row>
    <row r="44" spans="1:28" x14ac:dyDescent="0.2">
      <c r="A44" s="345" t="s">
        <v>935</v>
      </c>
      <c r="B44" s="345" t="s">
        <v>2657</v>
      </c>
      <c r="C44" s="345" t="str">
        <f t="shared" si="7"/>
        <v>397</v>
      </c>
      <c r="D44" s="339" t="s">
        <v>1414</v>
      </c>
      <c r="E44" s="344">
        <f>SUMIFS(FCPIS!$H$6:$H$899,FCPIS!$B$6:$B$899,$A44,FCPIS!$C$6:$C$899,$B44,FCPIS!$D$6:$D$899,E$4,FCPIS!$E$6:$E$899,$C44)*1000</f>
        <v>57215159.389999896</v>
      </c>
      <c r="F44" s="346"/>
      <c r="G44" s="344">
        <f>SUMIFS(FCPIS!$U$6:$U$899,FCPIS!$B$6:$B$899,$A44,FCPIS!$C$6:$C$899,$B44,FCPIS!$D$6:$D$899,G$4,FCPIS!$E$6:$E$899,$C44)*1000</f>
        <v>2748623.3899999899</v>
      </c>
      <c r="H44" s="346"/>
      <c r="I44" s="344">
        <f>SUMIFS(FCPIS!$U$6:$U$899,FCPIS!$B$6:$B$899,$A44,FCPIS!$C$6:$C$899,$B44,FCPIS!$D$6:$D$899,I$4,FCPIS!$E$6:$E$899,$C44)*-1000</f>
        <v>0</v>
      </c>
      <c r="J44" s="346"/>
      <c r="K44" s="344">
        <f>SUMIFS(FCPIS!$U$6:$U$899,FCPIS!$B$6:$B$899,$A44,FCPIS!$C$6:$C$899,$B44,FCPIS!$D$6:$D$899,K$4,FCPIS!$E$6:$E$899,$C44)*1000</f>
        <v>0</v>
      </c>
      <c r="L44" s="346"/>
      <c r="M44" s="344">
        <f t="shared" si="8"/>
        <v>2748623.3899999899</v>
      </c>
      <c r="N44" s="346"/>
      <c r="O44" s="344">
        <f t="shared" si="9"/>
        <v>59963782.779999889</v>
      </c>
      <c r="P44" s="346"/>
      <c r="Q44" s="344">
        <f>SUMIFS(FCPIS!$V$6:$V$899,FCPIS!$B$6:$B$899,$A44,FCPIS!$C$6:$C$899,$B44,FCPIS!$D$6:$D$899,Q$4,FCPIS!$E$6:$E$899,$C44)*1000</f>
        <v>58482971.419230692</v>
      </c>
      <c r="R44" s="339"/>
      <c r="S44" s="347">
        <f>SUMIFS(FCPIS!$V$6:$V$899,FCPIS!$B$6:$B$899,$A44,FCPIS!$C$6:$C$899,$B44,FCPIS!$D$6:$D$899,S$4,FCPIS!$E$6:$E$899,$C44)*-1000</f>
        <v>-27220725.485976905</v>
      </c>
      <c r="T44" s="339"/>
      <c r="U44" s="347">
        <f t="shared" si="10"/>
        <v>31262245.933253787</v>
      </c>
      <c r="V44" s="346"/>
      <c r="W44" s="344">
        <f t="shared" si="11"/>
        <v>-1.2553333624209115E-12</v>
      </c>
      <c r="X44" s="346"/>
      <c r="Y44" s="344">
        <f t="shared" si="12"/>
        <v>-27220725.485976905</v>
      </c>
      <c r="Z44" s="346"/>
      <c r="AA44" s="344">
        <f>SUMIFS(FCPIS!$T$6:$T$899,FCPIS!$B$6:$B$899,$A44,FCPIS!$C$6:$C$899,$B44,FCPIS!$D$6:$D$899,AA$4,FCPIS!$E$6:$E$899,$C44)*1000</f>
        <v>59963782.779999897</v>
      </c>
      <c r="AB44" s="344">
        <f t="shared" si="13"/>
        <v>0</v>
      </c>
    </row>
    <row r="45" spans="1:28" x14ac:dyDescent="0.2">
      <c r="A45" s="345" t="s">
        <v>935</v>
      </c>
      <c r="B45" s="345" t="s">
        <v>2657</v>
      </c>
      <c r="D45" s="339" t="s">
        <v>1415</v>
      </c>
      <c r="E45" s="344">
        <f>SUMIFS(FCPIS!$H$6:$H$899,FCPIS!$B$6:$B$899,$A45,FCPIS!$C$6:$C$899,$B45,FCPIS!$D$6:$D$899,E$4,FCPIS!$E$6:$E$899,$C45)*1000</f>
        <v>0</v>
      </c>
      <c r="F45" s="346"/>
      <c r="G45" s="344">
        <f>SUMIFS(FCPIS!$U$6:$U$899,FCPIS!$B$6:$B$899,$A45,FCPIS!$C$6:$C$899,$B45,FCPIS!$D$6:$D$899,G$4,FCPIS!$E$6:$E$899,$C45)*1000</f>
        <v>0</v>
      </c>
      <c r="H45" s="346"/>
      <c r="I45" s="344">
        <f>SUMIFS(FCPIS!$U$6:$U$899,FCPIS!$B$6:$B$899,$A45,FCPIS!$C$6:$C$899,$B45,FCPIS!$D$6:$D$899,I$4,FCPIS!$E$6:$E$899,$C45)*-1000</f>
        <v>0</v>
      </c>
      <c r="J45" s="346"/>
      <c r="K45" s="344">
        <f>SUMIFS(FCPIS!$U$6:$U$899,FCPIS!$B$6:$B$899,$A45,FCPIS!$C$6:$C$899,$B45,FCPIS!$D$6:$D$899,K$4,FCPIS!$E$6:$E$899,$C45)*1000</f>
        <v>0</v>
      </c>
      <c r="L45" s="346"/>
      <c r="M45" s="344">
        <f t="shared" si="8"/>
        <v>0</v>
      </c>
      <c r="N45" s="346"/>
      <c r="O45" s="344">
        <f t="shared" si="9"/>
        <v>0</v>
      </c>
      <c r="P45" s="346"/>
      <c r="Q45" s="344">
        <f>SUMIFS(FCPIS!$V$6:$V$899,FCPIS!$B$6:$B$899,$A45,FCPIS!$C$6:$C$899,$B45,FCPIS!$D$6:$D$899,Q$4,FCPIS!$E$6:$E$899,$C45)*1000</f>
        <v>0</v>
      </c>
      <c r="R45" s="339"/>
      <c r="S45" s="347">
        <f>SUMIFS(FCPIS!$V$6:$V$899,FCPIS!$B$6:$B$899,$A45,FCPIS!$C$6:$C$899,$B45,FCPIS!$D$6:$D$899,S$4,FCPIS!$E$6:$E$899,$C45)*-1000</f>
        <v>0</v>
      </c>
      <c r="T45" s="339"/>
      <c r="U45" s="347">
        <f t="shared" si="10"/>
        <v>0</v>
      </c>
      <c r="V45" s="346"/>
      <c r="W45" s="344">
        <f t="shared" si="11"/>
        <v>0</v>
      </c>
      <c r="X45" s="346"/>
      <c r="Y45" s="344">
        <f t="shared" si="12"/>
        <v>0</v>
      </c>
      <c r="Z45" s="346"/>
      <c r="AA45" s="344">
        <f>SUMIFS(FCPIS!$T$6:$T$899,FCPIS!$B$6:$B$899,$A45,FCPIS!$C$6:$C$899,$B45,FCPIS!$D$6:$D$899,AA$4,FCPIS!$E$6:$E$899,$C45)*1000</f>
        <v>0</v>
      </c>
      <c r="AB45" s="344">
        <f t="shared" si="13"/>
        <v>0</v>
      </c>
    </row>
    <row r="46" spans="1:28" x14ac:dyDescent="0.2">
      <c r="A46" s="345" t="s">
        <v>935</v>
      </c>
      <c r="B46" s="345" t="s">
        <v>2657</v>
      </c>
      <c r="C46" s="735">
        <v>3972</v>
      </c>
      <c r="D46" s="339" t="s">
        <v>1349</v>
      </c>
      <c r="E46" s="344">
        <f>SUMIFS(FCPIS!$H$6:$H$899,FCPIS!$B$6:$B$899,$A46,FCPIS!$C$6:$C$899,$B46,FCPIS!$D$6:$D$899,E$4,FCPIS!$E$6:$E$899,$C46)*1000</f>
        <v>7860523.6800000006</v>
      </c>
      <c r="F46" s="346"/>
      <c r="G46" s="344">
        <f>SUMIFS(FCPIS!$U$6:$U$899,FCPIS!$B$6:$B$899,$A46,FCPIS!$C$6:$C$899,$B46,FCPIS!$D$6:$D$899,G$4,FCPIS!$E$6:$E$899,$C46)*1000</f>
        <v>176833.31000000003</v>
      </c>
      <c r="H46" s="346"/>
      <c r="I46" s="344">
        <f>SUMIFS(FCPIS!$U$6:$U$899,FCPIS!$B$6:$B$899,$A46,FCPIS!$C$6:$C$899,$B46,FCPIS!$D$6:$D$899,I$4,FCPIS!$E$6:$E$899,$C46)*-1000</f>
        <v>0</v>
      </c>
      <c r="J46" s="346"/>
      <c r="K46" s="344">
        <f>SUMIFS(FCPIS!$U$6:$U$899,FCPIS!$B$6:$B$899,$A46,FCPIS!$C$6:$C$899,$B46,FCPIS!$D$6:$D$899,K$4,FCPIS!$E$6:$E$899,$C46)*1000</f>
        <v>0</v>
      </c>
      <c r="L46" s="346"/>
      <c r="M46" s="344">
        <f t="shared" si="8"/>
        <v>176833.31000000003</v>
      </c>
      <c r="N46" s="346"/>
      <c r="O46" s="344">
        <f t="shared" si="9"/>
        <v>8037356.9900000002</v>
      </c>
      <c r="P46" s="346"/>
      <c r="Q46" s="344">
        <f>SUMIFS(FCPIS!$V$6:$V$899,FCPIS!$B$6:$B$899,$A46,FCPIS!$C$6:$C$899,$B46,FCPIS!$D$6:$D$899,Q$4,FCPIS!$E$6:$E$899,$C46)*1000</f>
        <v>7971453.149230768</v>
      </c>
      <c r="R46" s="339"/>
      <c r="S46" s="347">
        <f>SUMIFS(FCPIS!$V$6:$V$899,FCPIS!$B$6:$B$899,$A46,FCPIS!$C$6:$C$899,$B46,FCPIS!$D$6:$D$899,S$4,FCPIS!$E$6:$E$899,$C46)*-1000</f>
        <v>-3586883.5391899915</v>
      </c>
      <c r="T46" s="339"/>
      <c r="U46" s="347">
        <f t="shared" si="10"/>
        <v>4384569.6100407764</v>
      </c>
      <c r="V46" s="346"/>
      <c r="W46" s="344">
        <f t="shared" si="11"/>
        <v>-8.0762156953892555E-14</v>
      </c>
      <c r="X46" s="346"/>
      <c r="Y46" s="344">
        <f t="shared" si="12"/>
        <v>-3586883.5391899915</v>
      </c>
      <c r="Z46" s="346"/>
      <c r="AA46" s="344">
        <f>SUMIFS(FCPIS!$T$6:$T$899,FCPIS!$B$6:$B$899,$A46,FCPIS!$C$6:$C$899,$B46,FCPIS!$D$6:$D$899,AA$4,FCPIS!$E$6:$E$899,$C46)*1000</f>
        <v>8037356.9900000002</v>
      </c>
      <c r="AB46" s="344">
        <f t="shared" si="13"/>
        <v>0</v>
      </c>
    </row>
    <row r="47" spans="1:28" x14ac:dyDescent="0.2">
      <c r="A47" s="345" t="s">
        <v>935</v>
      </c>
      <c r="B47" s="345" t="s">
        <v>2657</v>
      </c>
      <c r="C47" s="345" t="str">
        <f>MID(D47,2,3)</f>
        <v>398</v>
      </c>
      <c r="D47" s="339" t="s">
        <v>751</v>
      </c>
      <c r="E47" s="353">
        <f>SUMIFS(FCPIS!$H$6:$H$899,FCPIS!$B$6:$B$899,$A47,FCPIS!$C$6:$C$899,$B47,FCPIS!$D$6:$D$899,E$4,FCPIS!$E$6:$E$899,$C47)*1000</f>
        <v>0</v>
      </c>
      <c r="F47" s="348"/>
      <c r="G47" s="353">
        <f>SUMIFS(FCPIS!$U$6:$U$899,FCPIS!$B$6:$B$899,$A47,FCPIS!$C$6:$C$899,$B47,FCPIS!$D$6:$D$899,G$4,FCPIS!$E$6:$E$899,$C47)*1000</f>
        <v>0</v>
      </c>
      <c r="H47" s="348"/>
      <c r="I47" s="353">
        <f>SUMIFS(FCPIS!$U$6:$U$899,FCPIS!$B$6:$B$899,$A47,FCPIS!$C$6:$C$899,$B47,FCPIS!$D$6:$D$899,I$4,FCPIS!$E$6:$E$899,$C47)*-1000</f>
        <v>0</v>
      </c>
      <c r="J47" s="348"/>
      <c r="K47" s="353">
        <f>SUMIFS(FCPIS!$U$6:$U$899,FCPIS!$B$6:$B$899,$A47,FCPIS!$C$6:$C$899,$B47,FCPIS!$D$6:$D$899,K$4,FCPIS!$E$6:$E$899,$C47)*1000</f>
        <v>0</v>
      </c>
      <c r="L47" s="348"/>
      <c r="M47" s="353">
        <f t="shared" si="8"/>
        <v>0</v>
      </c>
      <c r="N47" s="348"/>
      <c r="O47" s="353">
        <f t="shared" si="9"/>
        <v>0</v>
      </c>
      <c r="P47" s="348"/>
      <c r="Q47" s="353">
        <f>SUMIFS(FCPIS!$V$6:$V$899,FCPIS!$B$6:$B$899,$A47,FCPIS!$C$6:$C$899,$B47,FCPIS!$D$6:$D$899,Q$4,FCPIS!$E$6:$E$899,$C47)*1000</f>
        <v>0</v>
      </c>
      <c r="R47" s="339"/>
      <c r="S47" s="354">
        <f>SUMIFS(FCPIS!$V$6:$V$899,FCPIS!$B$6:$B$899,$A47,FCPIS!$C$6:$C$899,$B47,FCPIS!$D$6:$D$899,S$4,FCPIS!$E$6:$E$899,$C47)*-1000</f>
        <v>0</v>
      </c>
      <c r="T47" s="339"/>
      <c r="U47" s="354">
        <f t="shared" si="10"/>
        <v>0</v>
      </c>
      <c r="V47" s="348"/>
      <c r="W47" s="353">
        <f t="shared" si="11"/>
        <v>0</v>
      </c>
      <c r="X47" s="348"/>
      <c r="Y47" s="353">
        <f t="shared" si="12"/>
        <v>0</v>
      </c>
      <c r="Z47" s="348"/>
      <c r="AA47" s="353">
        <f>SUMIFS(FCPIS!$T$6:$T$899,FCPIS!$B$6:$B$899,$A47,FCPIS!$C$6:$C$899,$B47,FCPIS!$D$6:$D$899,AA$4,FCPIS!$E$6:$E$899,$C47)*1000</f>
        <v>0</v>
      </c>
      <c r="AB47" s="353">
        <f t="shared" si="13"/>
        <v>0</v>
      </c>
    </row>
    <row r="48" spans="1:28" x14ac:dyDescent="0.2">
      <c r="B48" s="345" t="s">
        <v>2657</v>
      </c>
      <c r="D48" s="339"/>
      <c r="E48" s="349">
        <f>SUM(E31:E47)</f>
        <v>209947219.69999978</v>
      </c>
      <c r="F48" s="348"/>
      <c r="G48" s="349">
        <f>SUM(G31:G47)</f>
        <v>23336602.549999986</v>
      </c>
      <c r="H48" s="348"/>
      <c r="I48" s="349">
        <f>SUM(I31:I47)</f>
        <v>-8280378.9999999972</v>
      </c>
      <c r="J48" s="348"/>
      <c r="K48" s="349">
        <f>SUM(K31:K47)</f>
        <v>0</v>
      </c>
      <c r="L48" s="348"/>
      <c r="M48" s="349">
        <f>SUM(M31:M47)</f>
        <v>15056223.549999991</v>
      </c>
      <c r="N48" s="348"/>
      <c r="O48" s="349">
        <f>SUM(O31:O47)</f>
        <v>225003443.24999979</v>
      </c>
      <c r="P48" s="348"/>
      <c r="Q48" s="349">
        <f>SUM(Q31:Q47)</f>
        <v>219461743.93769214</v>
      </c>
      <c r="R48" s="339"/>
      <c r="S48" s="349">
        <f>SUM(S31:S47)</f>
        <v>-77558893.641138345</v>
      </c>
      <c r="T48" s="339"/>
      <c r="U48" s="349">
        <f>SUM(U31:U47)</f>
        <v>141902850.29655376</v>
      </c>
      <c r="V48" s="348"/>
      <c r="W48" s="352">
        <f>SUMIFS('FC CWIP &amp; RWIP'!$R$40:$R$58,'FC CWIP &amp; RWIP'!$A$40:$A$58,"KY",'FC CWIP &amp; RWIP'!$B$40:$B$58,D$30)*1000</f>
        <v>-1.0658141036401501E-11</v>
      </c>
      <c r="X48" s="348"/>
      <c r="Y48" s="349">
        <f>SUM(Y31:Y47)</f>
        <v>-77558893.641138345</v>
      </c>
      <c r="Z48" s="348"/>
      <c r="AA48" s="349">
        <f>SUM(AA31:AA47)</f>
        <v>225003443.2499997</v>
      </c>
      <c r="AB48" s="349">
        <f>SUM(AB31:AB47)</f>
        <v>-3.7252902984619141E-9</v>
      </c>
    </row>
    <row r="49" spans="1:28" x14ac:dyDescent="0.2">
      <c r="B49" s="345" t="s">
        <v>2657</v>
      </c>
      <c r="D49" s="339"/>
      <c r="E49" s="349"/>
      <c r="F49" s="348"/>
      <c r="G49" s="349"/>
      <c r="H49" s="348"/>
      <c r="I49" s="349"/>
      <c r="J49" s="348"/>
      <c r="K49" s="349"/>
      <c r="L49" s="348"/>
      <c r="M49" s="349"/>
      <c r="N49" s="348"/>
      <c r="O49" s="349"/>
      <c r="P49" s="348"/>
      <c r="Q49" s="349"/>
      <c r="R49" s="339"/>
      <c r="S49" s="339"/>
      <c r="T49" s="339"/>
      <c r="U49" s="339"/>
      <c r="V49" s="348"/>
      <c r="W49" s="349"/>
      <c r="X49" s="348"/>
      <c r="Y49" s="349"/>
      <c r="Z49" s="348"/>
      <c r="AA49" s="349"/>
      <c r="AB49" s="349"/>
    </row>
    <row r="50" spans="1:28" x14ac:dyDescent="0.2">
      <c r="B50" s="345" t="s">
        <v>2657</v>
      </c>
      <c r="D50" s="338" t="s">
        <v>2660</v>
      </c>
      <c r="E50" s="349"/>
      <c r="F50" s="348"/>
      <c r="G50" s="349"/>
      <c r="H50" s="348"/>
      <c r="I50" s="349"/>
      <c r="J50" s="348"/>
      <c r="K50" s="349"/>
      <c r="L50" s="348"/>
      <c r="M50" s="349"/>
      <c r="N50" s="348"/>
      <c r="O50" s="349"/>
      <c r="P50" s="348"/>
      <c r="Q50" s="349"/>
      <c r="R50" s="339"/>
      <c r="S50" s="339"/>
      <c r="T50" s="339"/>
      <c r="U50" s="339"/>
      <c r="V50" s="348"/>
      <c r="W50" s="349"/>
      <c r="X50" s="348"/>
      <c r="Y50" s="349"/>
      <c r="Z50" s="348"/>
      <c r="AA50" s="349"/>
      <c r="AB50" s="349"/>
    </row>
    <row r="51" spans="1:28" x14ac:dyDescent="0.2">
      <c r="A51" s="345" t="s">
        <v>935</v>
      </c>
      <c r="B51" s="345" t="s">
        <v>2657</v>
      </c>
      <c r="C51" s="345" t="str">
        <f t="shared" ref="C51:C57" si="14">MID(D51,2,3)</f>
        <v>330</v>
      </c>
      <c r="D51" s="339" t="s">
        <v>753</v>
      </c>
      <c r="E51" s="349">
        <f>SUMIFS(FCPIS!$H$6:$H$899,FCPIS!$B$6:$B$899,$A51,FCPIS!$C$6:$C$899,$B51,FCPIS!$D$6:$D$899,E$4,FCPIS!$E$6:$E$899,$C51)*1000</f>
        <v>855636.47000000009</v>
      </c>
      <c r="F51" s="348"/>
      <c r="G51" s="349">
        <f>SUMIFS(FCPIS!$U$6:$U$899,FCPIS!$B$6:$B$899,$A51,FCPIS!$C$6:$C$899,$B51,FCPIS!$D$6:$D$899,G$4,FCPIS!$E$6:$E$899,$C51)*1000</f>
        <v>0</v>
      </c>
      <c r="H51" s="348"/>
      <c r="I51" s="349">
        <f>SUMIFS(FCPIS!$U$6:$U$899,FCPIS!$B$6:$B$899,$A51,FCPIS!$C$6:$C$899,$B51,FCPIS!$D$6:$D$899,I$4,FCPIS!$E$6:$E$899,$C51)*-1000</f>
        <v>0</v>
      </c>
      <c r="J51" s="348"/>
      <c r="K51" s="349">
        <f>SUMIFS(FCPIS!$U$6:$U$899,FCPIS!$B$6:$B$899,$A51,FCPIS!$C$6:$C$899,$B51,FCPIS!$D$6:$D$899,K$4,FCPIS!$E$6:$E$899,$C51)*1000</f>
        <v>0</v>
      </c>
      <c r="L51" s="348"/>
      <c r="M51" s="349">
        <f t="shared" ref="M51:M58" si="15">SUM(G51:K51)</f>
        <v>0</v>
      </c>
      <c r="N51" s="348"/>
      <c r="O51" s="349">
        <f t="shared" ref="O51:O58" si="16">E51+M51</f>
        <v>855636.47000000009</v>
      </c>
      <c r="P51" s="348"/>
      <c r="Q51" s="349">
        <f>SUMIFS(FCPIS!$V$6:$V$899,FCPIS!$B$6:$B$899,$A51,FCPIS!$C$6:$C$899,$B51,FCPIS!$D$6:$D$899,Q$4,FCPIS!$E$6:$E$899,$C51)*1000</f>
        <v>855636.47000000009</v>
      </c>
      <c r="R51" s="339"/>
      <c r="S51" s="347">
        <f>SUMIFS(FCPIS!$V$6:$V$899,FCPIS!$B$6:$B$899,$A51,FCPIS!$C$6:$C$899,$B51,FCPIS!$D$6:$D$899,S$4,FCPIS!$E$6:$E$899,$C51)*-1000</f>
        <v>-912332.59999999986</v>
      </c>
      <c r="T51" s="339"/>
      <c r="U51" s="347">
        <f t="shared" ref="U51:U58" si="17">Q51+S51</f>
        <v>-56696.129999999772</v>
      </c>
      <c r="V51" s="348"/>
      <c r="W51" s="344">
        <f t="shared" ref="W51:W58" si="18">G51/G$59*W$59</f>
        <v>0</v>
      </c>
      <c r="X51" s="346"/>
      <c r="Y51" s="344">
        <f t="shared" ref="Y51:Y58" si="19">S51+W51</f>
        <v>-912332.59999999986</v>
      </c>
      <c r="Z51" s="346"/>
      <c r="AA51" s="344">
        <f>SUMIFS(FCPIS!$T$6:$T$899,FCPIS!$B$6:$B$899,$A51,FCPIS!$C$6:$C$899,$B51,FCPIS!$D$6:$D$899,AA$4,FCPIS!$E$6:$E$899,$C51)*1000</f>
        <v>855636.47000000009</v>
      </c>
      <c r="AB51" s="344">
        <f t="shared" ref="AB51:AB58" si="20">AA51-O51</f>
        <v>0</v>
      </c>
    </row>
    <row r="52" spans="1:28" x14ac:dyDescent="0.2">
      <c r="A52" s="345" t="s">
        <v>935</v>
      </c>
      <c r="B52" s="345" t="s">
        <v>2657</v>
      </c>
      <c r="C52" s="345" t="str">
        <f t="shared" si="14"/>
        <v>331</v>
      </c>
      <c r="D52" s="339" t="s">
        <v>754</v>
      </c>
      <c r="E52" s="349">
        <f>SUMIFS(FCPIS!$H$6:$H$899,FCPIS!$B$6:$B$899,$A52,FCPIS!$C$6:$C$899,$B52,FCPIS!$D$6:$D$899,E$4,FCPIS!$E$6:$E$899,$C52)*1000</f>
        <v>4393191.47</v>
      </c>
      <c r="F52" s="348"/>
      <c r="G52" s="349">
        <f>SUMIFS(FCPIS!$U$6:$U$899,FCPIS!$B$6:$B$899,$A52,FCPIS!$C$6:$C$899,$B52,FCPIS!$D$6:$D$899,G$4,FCPIS!$E$6:$E$899,$C52)*1000</f>
        <v>93505.33</v>
      </c>
      <c r="H52" s="348"/>
      <c r="I52" s="349">
        <f>SUMIFS(FCPIS!$U$6:$U$899,FCPIS!$B$6:$B$899,$A52,FCPIS!$C$6:$C$899,$B52,FCPIS!$D$6:$D$899,I$4,FCPIS!$E$6:$E$899,$C52)*-1000</f>
        <v>0</v>
      </c>
      <c r="J52" s="348"/>
      <c r="K52" s="349">
        <f>SUMIFS(FCPIS!$U$6:$U$899,FCPIS!$B$6:$B$899,$A52,FCPIS!$C$6:$C$899,$B52,FCPIS!$D$6:$D$899,K$4,FCPIS!$E$6:$E$899,$C52)*1000</f>
        <v>0</v>
      </c>
      <c r="L52" s="348"/>
      <c r="M52" s="349">
        <f t="shared" si="15"/>
        <v>93505.33</v>
      </c>
      <c r="N52" s="348"/>
      <c r="O52" s="349">
        <f t="shared" si="16"/>
        <v>4486696.8</v>
      </c>
      <c r="P52" s="348"/>
      <c r="Q52" s="349">
        <f>SUMIFS(FCPIS!$V$6:$V$899,FCPIS!$B$6:$B$899,$A52,FCPIS!$C$6:$C$899,$B52,FCPIS!$D$6:$D$899,Q$4,FCPIS!$E$6:$E$899,$C52)*1000</f>
        <v>4472311.3646153836</v>
      </c>
      <c r="R52" s="339"/>
      <c r="S52" s="347">
        <f>SUMIFS(FCPIS!$V$6:$V$899,FCPIS!$B$6:$B$899,$A52,FCPIS!$C$6:$C$899,$B52,FCPIS!$D$6:$D$899,S$4,FCPIS!$E$6:$E$899,$C52)*-1000</f>
        <v>-414863.43032150774</v>
      </c>
      <c r="T52" s="339"/>
      <c r="U52" s="347">
        <f t="shared" si="17"/>
        <v>4057447.9342938759</v>
      </c>
      <c r="V52" s="348"/>
      <c r="W52" s="344">
        <f t="shared" si="18"/>
        <v>0</v>
      </c>
      <c r="X52" s="346"/>
      <c r="Y52" s="344">
        <f t="shared" si="19"/>
        <v>-414863.43032150774</v>
      </c>
      <c r="Z52" s="346"/>
      <c r="AA52" s="344">
        <f>SUMIFS(FCPIS!$T$6:$T$899,FCPIS!$B$6:$B$899,$A52,FCPIS!$C$6:$C$899,$B52,FCPIS!$D$6:$D$899,AA$4,FCPIS!$E$6:$E$899,$C52)*1000</f>
        <v>4486696.8</v>
      </c>
      <c r="AB52" s="344">
        <f t="shared" si="20"/>
        <v>0</v>
      </c>
    </row>
    <row r="53" spans="1:28" x14ac:dyDescent="0.2">
      <c r="A53" s="345" t="s">
        <v>935</v>
      </c>
      <c r="B53" s="345" t="s">
        <v>2657</v>
      </c>
      <c r="C53" s="345" t="str">
        <f t="shared" si="14"/>
        <v>332</v>
      </c>
      <c r="D53" s="339" t="s">
        <v>755</v>
      </c>
      <c r="E53" s="349">
        <f>SUMIFS(FCPIS!$H$6:$H$899,FCPIS!$B$6:$B$899,$A53,FCPIS!$C$6:$C$899,$B53,FCPIS!$D$6:$D$899,E$4,FCPIS!$E$6:$E$899,$C53)*1000</f>
        <v>21885646.369999997</v>
      </c>
      <c r="F53" s="348"/>
      <c r="G53" s="349">
        <f>SUMIFS(FCPIS!$U$6:$U$899,FCPIS!$B$6:$B$899,$A53,FCPIS!$C$6:$C$899,$B53,FCPIS!$D$6:$D$899,G$4,FCPIS!$E$6:$E$899,$C53)*1000</f>
        <v>0</v>
      </c>
      <c r="H53" s="348"/>
      <c r="I53" s="349">
        <f>SUMIFS(FCPIS!$U$6:$U$899,FCPIS!$B$6:$B$899,$A53,FCPIS!$C$6:$C$899,$B53,FCPIS!$D$6:$D$899,I$4,FCPIS!$E$6:$E$899,$C53)*-1000</f>
        <v>0</v>
      </c>
      <c r="J53" s="348"/>
      <c r="K53" s="349">
        <f>SUMIFS(FCPIS!$U$6:$U$899,FCPIS!$B$6:$B$899,$A53,FCPIS!$C$6:$C$899,$B53,FCPIS!$D$6:$D$899,K$4,FCPIS!$E$6:$E$899,$C53)*1000</f>
        <v>0</v>
      </c>
      <c r="L53" s="348"/>
      <c r="M53" s="349">
        <f t="shared" si="15"/>
        <v>0</v>
      </c>
      <c r="N53" s="348"/>
      <c r="O53" s="349">
        <f t="shared" si="16"/>
        <v>21885646.369999997</v>
      </c>
      <c r="P53" s="348"/>
      <c r="Q53" s="349">
        <f>SUMIFS(FCPIS!$V$6:$V$899,FCPIS!$B$6:$B$899,$A53,FCPIS!$C$6:$C$899,$B53,FCPIS!$D$6:$D$899,Q$4,FCPIS!$E$6:$E$899,$C53)*1000</f>
        <v>21885646.369999994</v>
      </c>
      <c r="R53" s="339"/>
      <c r="S53" s="347">
        <f>SUMIFS(FCPIS!$V$6:$V$899,FCPIS!$B$6:$B$899,$A53,FCPIS!$C$6:$C$899,$B53,FCPIS!$D$6:$D$899,S$4,FCPIS!$E$6:$E$899,$C53)*-1000</f>
        <v>-10363602.2236159</v>
      </c>
      <c r="T53" s="339"/>
      <c r="U53" s="347">
        <f t="shared" si="17"/>
        <v>11522044.146384094</v>
      </c>
      <c r="V53" s="348"/>
      <c r="W53" s="349">
        <f t="shared" si="18"/>
        <v>0</v>
      </c>
      <c r="X53" s="348"/>
      <c r="Y53" s="349">
        <f t="shared" si="19"/>
        <v>-10363602.2236159</v>
      </c>
      <c r="Z53" s="348"/>
      <c r="AA53" s="349">
        <f>SUMIFS(FCPIS!$T$6:$T$899,FCPIS!$B$6:$B$899,$A53,FCPIS!$C$6:$C$899,$B53,FCPIS!$D$6:$D$899,AA$4,FCPIS!$E$6:$E$899,$C53)*1000</f>
        <v>21885646.369999997</v>
      </c>
      <c r="AB53" s="349">
        <f t="shared" si="20"/>
        <v>0</v>
      </c>
    </row>
    <row r="54" spans="1:28" x14ac:dyDescent="0.2">
      <c r="A54" s="345" t="s">
        <v>935</v>
      </c>
      <c r="B54" s="345" t="s">
        <v>2657</v>
      </c>
      <c r="C54" s="345" t="str">
        <f t="shared" si="14"/>
        <v>333</v>
      </c>
      <c r="D54" s="339" t="s">
        <v>756</v>
      </c>
      <c r="E54" s="349">
        <f>SUMIFS(FCPIS!$H$6:$H$899,FCPIS!$B$6:$B$899,$A54,FCPIS!$C$6:$C$899,$B54,FCPIS!$D$6:$D$899,E$4,FCPIS!$E$6:$E$899,$C54)*1000</f>
        <v>14046741.58</v>
      </c>
      <c r="F54" s="348"/>
      <c r="G54" s="349">
        <f>SUMIFS(FCPIS!$U$6:$U$899,FCPIS!$B$6:$B$899,$A54,FCPIS!$C$6:$C$899,$B54,FCPIS!$D$6:$D$899,G$4,FCPIS!$E$6:$E$899,$C54)*1000</f>
        <v>0</v>
      </c>
      <c r="H54" s="348"/>
      <c r="I54" s="349">
        <f>SUMIFS(FCPIS!$U$6:$U$899,FCPIS!$B$6:$B$899,$A54,FCPIS!$C$6:$C$899,$B54,FCPIS!$D$6:$D$899,I$4,FCPIS!$E$6:$E$899,$C54)*-1000</f>
        <v>0</v>
      </c>
      <c r="J54" s="348"/>
      <c r="K54" s="349">
        <f>SUMIFS(FCPIS!$U$6:$U$899,FCPIS!$B$6:$B$899,$A54,FCPIS!$C$6:$C$899,$B54,FCPIS!$D$6:$D$899,K$4,FCPIS!$E$6:$E$899,$C54)*1000</f>
        <v>0</v>
      </c>
      <c r="L54" s="348"/>
      <c r="M54" s="349">
        <f t="shared" si="15"/>
        <v>0</v>
      </c>
      <c r="N54" s="348"/>
      <c r="O54" s="349">
        <f t="shared" si="16"/>
        <v>14046741.58</v>
      </c>
      <c r="P54" s="348"/>
      <c r="Q54" s="349">
        <f>SUMIFS(FCPIS!$V$6:$V$899,FCPIS!$B$6:$B$899,$A54,FCPIS!$C$6:$C$899,$B54,FCPIS!$D$6:$D$899,Q$4,FCPIS!$E$6:$E$899,$C54)*1000</f>
        <v>14046741.58</v>
      </c>
      <c r="R54" s="339"/>
      <c r="S54" s="347">
        <f>SUMIFS(FCPIS!$V$6:$V$899,FCPIS!$B$6:$B$899,$A54,FCPIS!$C$6:$C$899,$B54,FCPIS!$D$6:$D$899,S$4,FCPIS!$E$6:$E$899,$C54)*-1000</f>
        <v>-2841249.2566991905</v>
      </c>
      <c r="T54" s="339"/>
      <c r="U54" s="347">
        <f t="shared" si="17"/>
        <v>11205492.323300809</v>
      </c>
      <c r="V54" s="348"/>
      <c r="W54" s="349">
        <f t="shared" si="18"/>
        <v>0</v>
      </c>
      <c r="X54" s="348"/>
      <c r="Y54" s="349">
        <f t="shared" si="19"/>
        <v>-2841249.2566991905</v>
      </c>
      <c r="Z54" s="348"/>
      <c r="AA54" s="349">
        <f>SUMIFS(FCPIS!$T$6:$T$899,FCPIS!$B$6:$B$899,$A54,FCPIS!$C$6:$C$899,$B54,FCPIS!$D$6:$D$899,AA$4,FCPIS!$E$6:$E$899,$C54)*1000</f>
        <v>14046741.58</v>
      </c>
      <c r="AB54" s="349">
        <f t="shared" si="20"/>
        <v>0</v>
      </c>
    </row>
    <row r="55" spans="1:28" x14ac:dyDescent="0.2">
      <c r="A55" s="345" t="s">
        <v>935</v>
      </c>
      <c r="B55" s="345" t="s">
        <v>2657</v>
      </c>
      <c r="C55" s="345" t="str">
        <f t="shared" si="14"/>
        <v>334</v>
      </c>
      <c r="D55" s="339" t="s">
        <v>757</v>
      </c>
      <c r="E55" s="349">
        <f>SUMIFS(FCPIS!$H$6:$H$899,FCPIS!$B$6:$B$899,$A55,FCPIS!$C$6:$C$899,$B55,FCPIS!$D$6:$D$899,E$4,FCPIS!$E$6:$E$899,$C55)*1000</f>
        <v>1381870.67</v>
      </c>
      <c r="F55" s="348"/>
      <c r="G55" s="349">
        <f>SUMIFS(FCPIS!$U$6:$U$899,FCPIS!$B$6:$B$899,$A55,FCPIS!$C$6:$C$899,$B55,FCPIS!$D$6:$D$899,G$4,FCPIS!$E$6:$E$899,$C55)*1000</f>
        <v>0</v>
      </c>
      <c r="H55" s="348"/>
      <c r="I55" s="349">
        <f>SUMIFS(FCPIS!$U$6:$U$899,FCPIS!$B$6:$B$899,$A55,FCPIS!$C$6:$C$899,$B55,FCPIS!$D$6:$D$899,I$4,FCPIS!$E$6:$E$899,$C55)*-1000</f>
        <v>0</v>
      </c>
      <c r="J55" s="348"/>
      <c r="K55" s="349">
        <f>SUMIFS(FCPIS!$U$6:$U$899,FCPIS!$B$6:$B$899,$A55,FCPIS!$C$6:$C$899,$B55,FCPIS!$D$6:$D$899,K$4,FCPIS!$E$6:$E$899,$C55)*1000</f>
        <v>0</v>
      </c>
      <c r="L55" s="348"/>
      <c r="M55" s="349">
        <f t="shared" si="15"/>
        <v>0</v>
      </c>
      <c r="N55" s="348"/>
      <c r="O55" s="349">
        <f t="shared" si="16"/>
        <v>1381870.67</v>
      </c>
      <c r="P55" s="348"/>
      <c r="Q55" s="349">
        <f>SUMIFS(FCPIS!$V$6:$V$899,FCPIS!$B$6:$B$899,$A55,FCPIS!$C$6:$C$899,$B55,FCPIS!$D$6:$D$899,Q$4,FCPIS!$E$6:$E$899,$C55)*1000</f>
        <v>1381870.67</v>
      </c>
      <c r="R55" s="339"/>
      <c r="S55" s="347">
        <f>SUMIFS(FCPIS!$V$6:$V$899,FCPIS!$B$6:$B$899,$A55,FCPIS!$C$6:$C$899,$B55,FCPIS!$D$6:$D$899,S$4,FCPIS!$E$6:$E$899,$C55)*-1000</f>
        <v>-414833.00003359886</v>
      </c>
      <c r="T55" s="339"/>
      <c r="U55" s="347">
        <f t="shared" si="17"/>
        <v>967037.66996640107</v>
      </c>
      <c r="V55" s="348"/>
      <c r="W55" s="349">
        <f t="shared" si="18"/>
        <v>0</v>
      </c>
      <c r="X55" s="348"/>
      <c r="Y55" s="349">
        <f t="shared" si="19"/>
        <v>-414833.00003359886</v>
      </c>
      <c r="Z55" s="348"/>
      <c r="AA55" s="349">
        <f>SUMIFS(FCPIS!$T$6:$T$899,FCPIS!$B$6:$B$899,$A55,FCPIS!$C$6:$C$899,$B55,FCPIS!$D$6:$D$899,AA$4,FCPIS!$E$6:$E$899,$C55)*1000</f>
        <v>1381870.67</v>
      </c>
      <c r="AB55" s="349">
        <f t="shared" si="20"/>
        <v>0</v>
      </c>
    </row>
    <row r="56" spans="1:28" x14ac:dyDescent="0.2">
      <c r="A56" s="345" t="s">
        <v>935</v>
      </c>
      <c r="B56" s="345" t="s">
        <v>2657</v>
      </c>
      <c r="C56" s="345" t="str">
        <f t="shared" si="14"/>
        <v>335</v>
      </c>
      <c r="D56" s="339" t="s">
        <v>758</v>
      </c>
      <c r="E56" s="349">
        <f>SUMIFS(FCPIS!$H$6:$H$899,FCPIS!$B$6:$B$899,$A56,FCPIS!$C$6:$C$899,$B56,FCPIS!$D$6:$D$899,E$4,FCPIS!$E$6:$E$899,$C56)*1000</f>
        <v>329374.18000000005</v>
      </c>
      <c r="F56" s="348"/>
      <c r="G56" s="349">
        <f>SUMIFS(FCPIS!$U$6:$U$899,FCPIS!$B$6:$B$899,$A56,FCPIS!$C$6:$C$899,$B56,FCPIS!$D$6:$D$899,G$4,FCPIS!$E$6:$E$899,$C56)*1000</f>
        <v>0</v>
      </c>
      <c r="H56" s="348"/>
      <c r="I56" s="349">
        <f>SUMIFS(FCPIS!$U$6:$U$899,FCPIS!$B$6:$B$899,$A56,FCPIS!$C$6:$C$899,$B56,FCPIS!$D$6:$D$899,I$4,FCPIS!$E$6:$E$899,$C56)*-1000</f>
        <v>0</v>
      </c>
      <c r="J56" s="348"/>
      <c r="K56" s="349">
        <f>SUMIFS(FCPIS!$U$6:$U$899,FCPIS!$B$6:$B$899,$A56,FCPIS!$C$6:$C$899,$B56,FCPIS!$D$6:$D$899,K$4,FCPIS!$E$6:$E$899,$C56)*1000</f>
        <v>0</v>
      </c>
      <c r="L56" s="348"/>
      <c r="M56" s="349">
        <f t="shared" si="15"/>
        <v>0</v>
      </c>
      <c r="N56" s="348"/>
      <c r="O56" s="349">
        <f t="shared" si="16"/>
        <v>329374.18000000005</v>
      </c>
      <c r="P56" s="348"/>
      <c r="Q56" s="349">
        <f>SUMIFS(FCPIS!$V$6:$V$899,FCPIS!$B$6:$B$899,$A56,FCPIS!$C$6:$C$899,$B56,FCPIS!$D$6:$D$899,Q$4,FCPIS!$E$6:$E$899,$C56)*1000</f>
        <v>329374.17999999993</v>
      </c>
      <c r="R56" s="339"/>
      <c r="S56" s="347">
        <f>SUMIFS(FCPIS!$V$6:$V$899,FCPIS!$B$6:$B$899,$A56,FCPIS!$C$6:$C$899,$B56,FCPIS!$D$6:$D$899,S$4,FCPIS!$E$6:$E$899,$C56)*-1000</f>
        <v>-166258.67555471999</v>
      </c>
      <c r="T56" s="339"/>
      <c r="U56" s="347">
        <f t="shared" si="17"/>
        <v>163115.50444527995</v>
      </c>
      <c r="V56" s="348"/>
      <c r="W56" s="349">
        <f t="shared" si="18"/>
        <v>0</v>
      </c>
      <c r="X56" s="348"/>
      <c r="Y56" s="349">
        <f t="shared" si="19"/>
        <v>-166258.67555471999</v>
      </c>
      <c r="Z56" s="348"/>
      <c r="AA56" s="349">
        <f>SUMIFS(FCPIS!$T$6:$T$899,FCPIS!$B$6:$B$899,$A56,FCPIS!$C$6:$C$899,$B56,FCPIS!$D$6:$D$899,AA$4,FCPIS!$E$6:$E$899,$C56)*1000</f>
        <v>329374.18000000005</v>
      </c>
      <c r="AB56" s="349">
        <f t="shared" si="20"/>
        <v>0</v>
      </c>
    </row>
    <row r="57" spans="1:28" x14ac:dyDescent="0.2">
      <c r="A57" s="345" t="s">
        <v>935</v>
      </c>
      <c r="B57" s="345" t="s">
        <v>2657</v>
      </c>
      <c r="C57" s="345" t="str">
        <f t="shared" si="14"/>
        <v>336</v>
      </c>
      <c r="D57" s="339" t="s">
        <v>759</v>
      </c>
      <c r="E57" s="349">
        <f>SUMIFS(FCPIS!$H$6:$H$899,FCPIS!$B$6:$B$899,$A57,FCPIS!$C$6:$C$899,$B57,FCPIS!$D$6:$D$899,E$4,FCPIS!$E$6:$E$899,$C57)*1000</f>
        <v>234509.13</v>
      </c>
      <c r="F57" s="348"/>
      <c r="G57" s="349">
        <f>SUMIFS(FCPIS!$U$6:$U$899,FCPIS!$B$6:$B$899,$A57,FCPIS!$C$6:$C$899,$B57,FCPIS!$D$6:$D$899,G$4,FCPIS!$E$6:$E$899,$C57)*1000</f>
        <v>0</v>
      </c>
      <c r="H57" s="348"/>
      <c r="I57" s="349">
        <f>SUMIFS(FCPIS!$U$6:$U$899,FCPIS!$B$6:$B$899,$A57,FCPIS!$C$6:$C$899,$B57,FCPIS!$D$6:$D$899,I$4,FCPIS!$E$6:$E$899,$C57)*-1000</f>
        <v>0</v>
      </c>
      <c r="J57" s="348"/>
      <c r="K57" s="349">
        <f>SUMIFS(FCPIS!$U$6:$U$899,FCPIS!$B$6:$B$899,$A57,FCPIS!$C$6:$C$899,$B57,FCPIS!$D$6:$D$899,K$4,FCPIS!$E$6:$E$899,$C57)*1000</f>
        <v>0</v>
      </c>
      <c r="L57" s="348"/>
      <c r="M57" s="349">
        <f t="shared" si="15"/>
        <v>0</v>
      </c>
      <c r="N57" s="348"/>
      <c r="O57" s="349">
        <f t="shared" si="16"/>
        <v>234509.13</v>
      </c>
      <c r="P57" s="348"/>
      <c r="Q57" s="349">
        <f>SUMIFS(FCPIS!$V$6:$V$899,FCPIS!$B$6:$B$899,$A57,FCPIS!$C$6:$C$899,$B57,FCPIS!$D$6:$D$899,Q$4,FCPIS!$E$6:$E$899,$C57)*1000</f>
        <v>234509.12999999995</v>
      </c>
      <c r="R57" s="339"/>
      <c r="S57" s="347">
        <f>SUMIFS(FCPIS!$V$6:$V$899,FCPIS!$B$6:$B$899,$A57,FCPIS!$C$6:$C$899,$B57,FCPIS!$D$6:$D$899,S$4,FCPIS!$E$6:$E$899,$C57)*-1000</f>
        <v>-102331.5653727992</v>
      </c>
      <c r="T57" s="339"/>
      <c r="U57" s="347">
        <f t="shared" si="17"/>
        <v>132177.56462720074</v>
      </c>
      <c r="V57" s="348"/>
      <c r="W57" s="349">
        <f t="shared" si="18"/>
        <v>0</v>
      </c>
      <c r="X57" s="348"/>
      <c r="Y57" s="349">
        <f t="shared" si="19"/>
        <v>-102331.5653727992</v>
      </c>
      <c r="Z57" s="348"/>
      <c r="AA57" s="349">
        <f>SUMIFS(FCPIS!$T$6:$T$899,FCPIS!$B$6:$B$899,$A57,FCPIS!$C$6:$C$899,$B57,FCPIS!$D$6:$D$899,AA$4,FCPIS!$E$6:$E$899,$C57)*1000</f>
        <v>234509.13</v>
      </c>
      <c r="AB57" s="349">
        <f t="shared" si="20"/>
        <v>0</v>
      </c>
    </row>
    <row r="58" spans="1:28" x14ac:dyDescent="0.2">
      <c r="A58" s="345" t="s">
        <v>935</v>
      </c>
      <c r="B58" s="345" t="s">
        <v>2657</v>
      </c>
      <c r="C58" s="345" t="str">
        <f>MID(D58,2,3)</f>
        <v>337</v>
      </c>
      <c r="D58" s="339" t="s">
        <v>760</v>
      </c>
      <c r="E58" s="353">
        <f>SUMIFS(FCPIS!$H$6:$H$899,FCPIS!$B$6:$B$899,$A58,FCPIS!$C$6:$C$899,$B58,FCPIS!$D$6:$D$899,E$4,FCPIS!$E$6:$E$899,$C58)*1000</f>
        <v>645787.99</v>
      </c>
      <c r="F58" s="348"/>
      <c r="G58" s="353">
        <f>SUMIFS(FCPIS!$U$6:$U$899,FCPIS!$B$6:$B$899,$A58,FCPIS!$C$6:$C$899,$B58,FCPIS!$D$6:$D$899,G$4,FCPIS!$E$6:$E$899,$C58)*1000</f>
        <v>0</v>
      </c>
      <c r="H58" s="348"/>
      <c r="I58" s="353">
        <f>SUMIFS(FCPIS!$U$6:$U$899,FCPIS!$B$6:$B$899,$A58,FCPIS!$C$6:$C$899,$B58,FCPIS!$D$6:$D$899,I$4,FCPIS!$E$6:$E$899,$C58)*-1000</f>
        <v>0</v>
      </c>
      <c r="J58" s="348"/>
      <c r="K58" s="353">
        <f>SUMIFS(FCPIS!$U$6:$U$899,FCPIS!$B$6:$B$899,$A58,FCPIS!$C$6:$C$899,$B58,FCPIS!$D$6:$D$899,K$4,FCPIS!$E$6:$E$899,$C58)*1000</f>
        <v>0</v>
      </c>
      <c r="L58" s="348"/>
      <c r="M58" s="353">
        <f t="shared" si="15"/>
        <v>0</v>
      </c>
      <c r="N58" s="348"/>
      <c r="O58" s="353">
        <f t="shared" si="16"/>
        <v>645787.99</v>
      </c>
      <c r="P58" s="348"/>
      <c r="Q58" s="353">
        <f>SUMIFS(FCPIS!$V$6:$V$899,FCPIS!$B$6:$B$899,$A58,FCPIS!$C$6:$C$899,$B58,FCPIS!$D$6:$D$899,Q$4,FCPIS!$E$6:$E$899,$C58)*1000</f>
        <v>645787.98999999987</v>
      </c>
      <c r="R58" s="339"/>
      <c r="S58" s="354">
        <f>SUMIFS(FCPIS!$V$6:$V$899,FCPIS!$B$6:$B$899,$A58,FCPIS!$C$6:$C$899,$B58,FCPIS!$D$6:$D$899,S$4,FCPIS!$E$6:$E$899,$C58)*-1000</f>
        <v>-69392.557494326596</v>
      </c>
      <c r="T58" s="339"/>
      <c r="U58" s="354">
        <f t="shared" si="17"/>
        <v>576395.43250567326</v>
      </c>
      <c r="V58" s="348"/>
      <c r="W58" s="353">
        <f t="shared" si="18"/>
        <v>0</v>
      </c>
      <c r="X58" s="348"/>
      <c r="Y58" s="353">
        <f t="shared" si="19"/>
        <v>-69392.557494326596</v>
      </c>
      <c r="Z58" s="348"/>
      <c r="AA58" s="353">
        <f>SUMIFS(FCPIS!$T$6:$T$899,FCPIS!$B$6:$B$899,$A58,FCPIS!$C$6:$C$899,$B58,FCPIS!$D$6:$D$899,AA$4,FCPIS!$E$6:$E$899,$C58)*1000</f>
        <v>645787.99</v>
      </c>
      <c r="AB58" s="353">
        <f t="shared" si="20"/>
        <v>0</v>
      </c>
    </row>
    <row r="59" spans="1:28" x14ac:dyDescent="0.2">
      <c r="B59" s="345" t="s">
        <v>2657</v>
      </c>
      <c r="D59" s="339"/>
      <c r="E59" s="349">
        <f>SUM(E51:E58)</f>
        <v>43772757.859999999</v>
      </c>
      <c r="F59" s="348"/>
      <c r="G59" s="349">
        <f>SUM(G51:G58)</f>
        <v>93505.33</v>
      </c>
      <c r="H59" s="348"/>
      <c r="I59" s="349">
        <f>SUM(I51:I58)</f>
        <v>0</v>
      </c>
      <c r="J59" s="348"/>
      <c r="K59" s="349">
        <f>SUM(K51:K58)</f>
        <v>0</v>
      </c>
      <c r="L59" s="348"/>
      <c r="M59" s="349">
        <f>SUM(M51:M58)</f>
        <v>93505.33</v>
      </c>
      <c r="N59" s="348"/>
      <c r="O59" s="349">
        <f>SUM(O51:O58)</f>
        <v>43866263.190000005</v>
      </c>
      <c r="P59" s="348"/>
      <c r="Q59" s="349">
        <f>SUM(Q51:Q58)</f>
        <v>43851877.754615381</v>
      </c>
      <c r="R59" s="339"/>
      <c r="S59" s="349">
        <f>SUM(S51:S58)</f>
        <v>-15284863.309092043</v>
      </c>
      <c r="T59" s="339"/>
      <c r="U59" s="349">
        <f>SUM(U51:U58)</f>
        <v>28567014.445523333</v>
      </c>
      <c r="V59" s="348"/>
      <c r="W59" s="352">
        <f>SUMIFS('FC CWIP &amp; RWIP'!$R$40:$R$58,'FC CWIP &amp; RWIP'!$A$40:$A$58,"KY",'FC CWIP &amp; RWIP'!$B$40:$B$58,D$50)*1000</f>
        <v>0</v>
      </c>
      <c r="X59" s="348"/>
      <c r="Y59" s="349">
        <f>SUM(Y51:Y58)</f>
        <v>-15284863.309092043</v>
      </c>
      <c r="Z59" s="348">
        <f>SUM(Z51:Z58)</f>
        <v>0</v>
      </c>
      <c r="AA59" s="349">
        <f>SUM(AA51:AA58)</f>
        <v>43866263.190000005</v>
      </c>
      <c r="AB59" s="349">
        <f>SUM(AB51:AB58)</f>
        <v>0</v>
      </c>
    </row>
    <row r="60" spans="1:28" x14ac:dyDescent="0.2">
      <c r="B60" s="345" t="s">
        <v>2657</v>
      </c>
      <c r="D60" s="339"/>
      <c r="E60" s="349"/>
      <c r="F60" s="348"/>
      <c r="G60" s="349"/>
      <c r="H60" s="348"/>
      <c r="I60" s="349"/>
      <c r="J60" s="348"/>
      <c r="K60" s="349"/>
      <c r="L60" s="348"/>
      <c r="M60" s="349"/>
      <c r="N60" s="348"/>
      <c r="O60" s="349"/>
      <c r="P60" s="348"/>
      <c r="Q60" s="349"/>
      <c r="R60" s="339"/>
      <c r="S60" s="339"/>
      <c r="T60" s="339"/>
      <c r="U60" s="339"/>
      <c r="V60" s="348"/>
      <c r="W60" s="349"/>
      <c r="X60" s="348"/>
      <c r="Y60" s="349"/>
      <c r="Z60" s="348"/>
      <c r="AA60" s="349"/>
      <c r="AB60" s="349"/>
    </row>
    <row r="61" spans="1:28" x14ac:dyDescent="0.2">
      <c r="B61" s="345" t="s">
        <v>2657</v>
      </c>
      <c r="D61" s="338" t="s">
        <v>2661</v>
      </c>
      <c r="E61" s="349"/>
      <c r="F61" s="348"/>
      <c r="G61" s="349"/>
      <c r="H61" s="348"/>
      <c r="I61" s="349"/>
      <c r="J61" s="348"/>
      <c r="K61" s="349"/>
      <c r="L61" s="348"/>
      <c r="M61" s="349"/>
      <c r="N61" s="348"/>
      <c r="O61" s="349"/>
      <c r="P61" s="348"/>
      <c r="Q61" s="349"/>
      <c r="R61" s="339"/>
      <c r="S61" s="339"/>
      <c r="T61" s="339"/>
      <c r="U61" s="339"/>
      <c r="V61" s="348"/>
      <c r="W61" s="349"/>
      <c r="X61" s="348"/>
      <c r="Y61" s="349"/>
      <c r="Z61" s="348"/>
      <c r="AA61" s="349"/>
      <c r="AB61" s="349"/>
    </row>
    <row r="62" spans="1:28" x14ac:dyDescent="0.2">
      <c r="A62" s="345" t="s">
        <v>935</v>
      </c>
      <c r="B62" s="345" t="s">
        <v>2657</v>
      </c>
      <c r="C62" s="345" t="str">
        <f>MID(D62,2,3)</f>
        <v>301</v>
      </c>
      <c r="D62" s="339" t="s">
        <v>761</v>
      </c>
      <c r="E62" s="349">
        <f>SUMIFS(FCPIS!$H$6:$H$899,FCPIS!$B$6:$B$899,$A62,FCPIS!$C$6:$C$899,$B62,FCPIS!$D$6:$D$899,E$4,FCPIS!$E$6:$E$899,$C62)*1000</f>
        <v>39116.89</v>
      </c>
      <c r="F62" s="348"/>
      <c r="G62" s="349">
        <f>SUMIFS(FCPIS!$U$6:$U$899,FCPIS!$B$6:$B$899,$A62,FCPIS!$C$6:$C$899,$B62,FCPIS!$D$6:$D$899,G$4,FCPIS!$E$6:$E$899,$C62)*1000</f>
        <v>0</v>
      </c>
      <c r="H62" s="348"/>
      <c r="I62" s="349">
        <f>SUMIFS(FCPIS!$U$6:$U$899,FCPIS!$B$6:$B$899,$A62,FCPIS!$C$6:$C$899,$B62,FCPIS!$D$6:$D$899,I$4,FCPIS!$E$6:$E$899,$C62)*-1000</f>
        <v>0</v>
      </c>
      <c r="J62" s="348"/>
      <c r="K62" s="349">
        <f>SUMIFS(FCPIS!$U$6:$U$899,FCPIS!$B$6:$B$899,$A62,FCPIS!$C$6:$C$899,$B62,FCPIS!$D$6:$D$899,K$4,FCPIS!$E$6:$E$899,$C62)*1000</f>
        <v>0</v>
      </c>
      <c r="L62" s="348"/>
      <c r="M62" s="349">
        <f t="shared" ref="M62:M65" si="21">SUM(G62:K62)</f>
        <v>0</v>
      </c>
      <c r="N62" s="348"/>
      <c r="O62" s="349">
        <f t="shared" ref="O62:O65" si="22">E62+M62</f>
        <v>39116.89</v>
      </c>
      <c r="P62" s="348"/>
      <c r="Q62" s="349">
        <f>SUMIFS(FCPIS!$V$6:$V$899,FCPIS!$B$6:$B$899,$A62,FCPIS!$C$6:$C$899,$B62,FCPIS!$D$6:$D$899,Q$4,FCPIS!$E$6:$E$899,$C62)*1000</f>
        <v>39116.890000000007</v>
      </c>
      <c r="R62" s="339"/>
      <c r="S62" s="347">
        <f>SUMIFS(FCPIS!$V$6:$V$899,FCPIS!$B$6:$B$899,$A62,FCPIS!$C$6:$C$899,$B62,FCPIS!$D$6:$D$899,S$4,FCPIS!$E$6:$E$899,$C62)*-1000</f>
        <v>0</v>
      </c>
      <c r="T62" s="339"/>
      <c r="U62" s="347">
        <f>Q62+S62</f>
        <v>39116.890000000007</v>
      </c>
      <c r="V62" s="348"/>
      <c r="W62" s="349"/>
      <c r="X62" s="348"/>
      <c r="Y62" s="349">
        <f>S62+W62</f>
        <v>0</v>
      </c>
      <c r="Z62" s="348"/>
      <c r="AA62" s="349">
        <f>SUMIFS(FCPIS!$T$6:$T$899,FCPIS!$B$6:$B$899,$A62,FCPIS!$C$6:$C$899,$B62,FCPIS!$D$6:$D$899,AA$4,FCPIS!$E$6:$E$899,$C62)*1000</f>
        <v>39116.89</v>
      </c>
      <c r="AB62" s="349">
        <f>AA62-O62</f>
        <v>0</v>
      </c>
    </row>
    <row r="63" spans="1:28" x14ac:dyDescent="0.2">
      <c r="A63" s="345" t="s">
        <v>935</v>
      </c>
      <c r="B63" s="345" t="s">
        <v>2657</v>
      </c>
      <c r="C63" s="345" t="str">
        <f>MID(D63,2,3)</f>
        <v>302</v>
      </c>
      <c r="D63" s="339" t="s">
        <v>762</v>
      </c>
      <c r="E63" s="349">
        <f>SUMIFS(FCPIS!$H$6:$H$899,FCPIS!$B$6:$B$899,$A63,FCPIS!$C$6:$C$899,$B63,FCPIS!$D$6:$D$899,E$4,FCPIS!$E$6:$E$899,$C63)*1000</f>
        <v>55918.83</v>
      </c>
      <c r="F63" s="348"/>
      <c r="G63" s="349">
        <f>SUMIFS(FCPIS!$U$6:$U$899,FCPIS!$B$6:$B$899,$A63,FCPIS!$C$6:$C$899,$B63,FCPIS!$D$6:$D$899,G$4,FCPIS!$E$6:$E$899,$C63)*1000</f>
        <v>0</v>
      </c>
      <c r="H63" s="348"/>
      <c r="I63" s="349">
        <f>SUMIFS(FCPIS!$U$6:$U$899,FCPIS!$B$6:$B$899,$A63,FCPIS!$C$6:$C$899,$B63,FCPIS!$D$6:$D$899,I$4,FCPIS!$E$6:$E$899,$C63)*-1000</f>
        <v>0</v>
      </c>
      <c r="J63" s="348"/>
      <c r="K63" s="349">
        <f>SUMIFS(FCPIS!$U$6:$U$899,FCPIS!$B$6:$B$899,$A63,FCPIS!$C$6:$C$899,$B63,FCPIS!$D$6:$D$899,K$4,FCPIS!$E$6:$E$899,$C63)*1000</f>
        <v>0</v>
      </c>
      <c r="L63" s="348"/>
      <c r="M63" s="349">
        <f t="shared" si="21"/>
        <v>0</v>
      </c>
      <c r="N63" s="348"/>
      <c r="O63" s="349">
        <f t="shared" si="22"/>
        <v>55918.83</v>
      </c>
      <c r="P63" s="348"/>
      <c r="Q63" s="349">
        <f>SUMIFS(FCPIS!$V$6:$V$899,FCPIS!$B$6:$B$899,$A63,FCPIS!$C$6:$C$899,$B63,FCPIS!$D$6:$D$899,Q$4,FCPIS!$E$6:$E$899,$C63)*1000</f>
        <v>55918.829999999994</v>
      </c>
      <c r="R63" s="339"/>
      <c r="S63" s="347">
        <f>SUMIFS(FCPIS!$V$6:$V$899,FCPIS!$B$6:$B$899,$A63,FCPIS!$C$6:$C$899,$B63,FCPIS!$D$6:$D$899,S$4,FCPIS!$E$6:$E$899,$C63)*-1000</f>
        <v>-73066.841372800001</v>
      </c>
      <c r="T63" s="339"/>
      <c r="U63" s="347">
        <f>Q63+S63</f>
        <v>-17148.011372800007</v>
      </c>
      <c r="V63" s="348"/>
      <c r="W63" s="344"/>
      <c r="X63" s="348"/>
      <c r="Y63" s="349">
        <f>S63+W63</f>
        <v>-73066.841372800001</v>
      </c>
      <c r="Z63" s="348"/>
      <c r="AA63" s="349">
        <f>SUMIFS(FCPIS!$T$6:$T$899,FCPIS!$B$6:$B$899,$A63,FCPIS!$C$6:$C$899,$B63,FCPIS!$D$6:$D$899,AA$4,FCPIS!$E$6:$E$899,$C63)*1000</f>
        <v>55918.83</v>
      </c>
      <c r="AB63" s="349">
        <f>AA63-O63</f>
        <v>0</v>
      </c>
    </row>
    <row r="64" spans="1:28" x14ac:dyDescent="0.2">
      <c r="A64" s="345" t="s">
        <v>935</v>
      </c>
      <c r="B64" s="345" t="s">
        <v>2657</v>
      </c>
      <c r="C64" s="345" t="str">
        <f>MID(D64,2,3)</f>
        <v>303</v>
      </c>
      <c r="D64" s="339" t="s">
        <v>763</v>
      </c>
      <c r="E64" s="349">
        <f>SUMIFS(FCPIS!$H$6:$H$899,FCPIS!$B$6:$B$899,$A64,FCPIS!$C$6:$C$899,$B64,FCPIS!$D$6:$D$899,E$4,FCPIS!$E$6:$E$899,$C64)*1000</f>
        <v>92171012.189999998</v>
      </c>
      <c r="F64" s="348"/>
      <c r="G64" s="349">
        <f>SUMIFS(FCPIS!$U$6:$U$899,FCPIS!$B$6:$B$899,$A64,FCPIS!$C$6:$C$899,$B64,FCPIS!$D$6:$D$899,G$4,FCPIS!$E$6:$E$899,$C64)*1000</f>
        <v>22628947.32</v>
      </c>
      <c r="H64" s="348"/>
      <c r="I64" s="349">
        <f>SUMIFS(FCPIS!$U$6:$U$899,FCPIS!$B$6:$B$899,$A64,FCPIS!$C$6:$C$899,$B64,FCPIS!$D$6:$D$899,I$4,FCPIS!$E$6:$E$899,$C64)*-1000</f>
        <v>-11987927.70999999</v>
      </c>
      <c r="J64" s="348"/>
      <c r="K64" s="349">
        <f>SUMIFS(FCPIS!$U$6:$U$899,FCPIS!$B$6:$B$899,$A64,FCPIS!$C$6:$C$899,$B64,FCPIS!$D$6:$D$899,K$4,FCPIS!$E$6:$E$899,$C64)*1000</f>
        <v>0</v>
      </c>
      <c r="L64" s="348"/>
      <c r="M64" s="349">
        <f t="shared" si="21"/>
        <v>10641019.610000011</v>
      </c>
      <c r="N64" s="348"/>
      <c r="O64" s="349">
        <f t="shared" si="22"/>
        <v>102812031.80000001</v>
      </c>
      <c r="P64" s="348"/>
      <c r="Q64" s="349">
        <f>SUMIFS(FCPIS!$V$6:$V$899,FCPIS!$B$6:$B$899,$A64,FCPIS!$C$6:$C$899,$B64,FCPIS!$D$6:$D$899,Q$4,FCPIS!$E$6:$E$899,$C64)*1000</f>
        <v>97263001.62153846</v>
      </c>
      <c r="R64" s="339"/>
      <c r="S64" s="347">
        <f>SUMIFS(FCPIS!$V$6:$V$899,FCPIS!$B$6:$B$899,$A64,FCPIS!$C$6:$C$899,$B64,FCPIS!$D$6:$D$899,S$4,FCPIS!$E$6:$E$899,$C64)*-1000</f>
        <v>-40307243.278576873</v>
      </c>
      <c r="T64" s="339"/>
      <c r="U64" s="347">
        <f>Q64+S64</f>
        <v>56955758.342961587</v>
      </c>
      <c r="V64" s="348"/>
      <c r="W64" s="344">
        <f>W66</f>
        <v>3675.3500000000013</v>
      </c>
      <c r="X64" s="348"/>
      <c r="Y64" s="349">
        <f>S64+W64</f>
        <v>-40303567.928576872</v>
      </c>
      <c r="Z64" s="348"/>
      <c r="AA64" s="349">
        <f>SUMIFS(FCPIS!$T$6:$T$899,FCPIS!$B$6:$B$899,$A64,FCPIS!$C$6:$C$899,$B64,FCPIS!$D$6:$D$899,AA$4,FCPIS!$E$6:$E$899,$C64)*1000</f>
        <v>102812031.8</v>
      </c>
      <c r="AB64" s="349">
        <f>AA64-O64</f>
        <v>0</v>
      </c>
    </row>
    <row r="65" spans="1:28" x14ac:dyDescent="0.2">
      <c r="A65" s="345" t="s">
        <v>935</v>
      </c>
      <c r="B65" s="345" t="s">
        <v>2657</v>
      </c>
      <c r="D65" s="339" t="s">
        <v>1169</v>
      </c>
      <c r="E65" s="353">
        <f>SUMIFS(FCPIS!$H$6:$H$899,FCPIS!$B$6:$B$899,$A65,FCPIS!$C$6:$C$899,$B65,FCPIS!$D$6:$D$899,E$4,FCPIS!$E$6:$E$899,$C65)*1000</f>
        <v>0</v>
      </c>
      <c r="F65" s="348"/>
      <c r="G65" s="353">
        <f>SUMIFS(FCPIS!$U$6:$U$899,FCPIS!$B$6:$B$899,$A65,FCPIS!$C$6:$C$899,$B65,FCPIS!$D$6:$D$899,G$4,FCPIS!$E$6:$E$899,$C65)*1000</f>
        <v>0</v>
      </c>
      <c r="H65" s="348"/>
      <c r="I65" s="353">
        <f>SUMIFS(FCPIS!$U$6:$U$899,FCPIS!$B$6:$B$899,$A65,FCPIS!$C$6:$C$899,$B65,FCPIS!$D$6:$D$899,I$4,FCPIS!$E$6:$E$899,$C65)*-1000</f>
        <v>0</v>
      </c>
      <c r="J65" s="348"/>
      <c r="K65" s="353">
        <f>SUMIFS(FCPIS!$U$6:$U$899,FCPIS!$B$6:$B$899,$A65,FCPIS!$C$6:$C$899,$B65,FCPIS!$D$6:$D$899,K$4,FCPIS!$E$6:$E$899,$C65)*1000</f>
        <v>0</v>
      </c>
      <c r="L65" s="348"/>
      <c r="M65" s="353">
        <f t="shared" si="21"/>
        <v>0</v>
      </c>
      <c r="N65" s="348"/>
      <c r="O65" s="353">
        <f t="shared" si="22"/>
        <v>0</v>
      </c>
      <c r="P65" s="348"/>
      <c r="Q65" s="353">
        <f>SUMIFS(FCPIS!$V$6:$V$899,FCPIS!$B$6:$B$899,$A65,FCPIS!$C$6:$C$899,$B65,FCPIS!$D$6:$D$899,Q$4,FCPIS!$E$6:$E$899,$C65)*1000</f>
        <v>0</v>
      </c>
      <c r="R65" s="339"/>
      <c r="S65" s="354">
        <f>SUMIFS(FCPIS!$V$6:$V$899,FCPIS!$B$6:$B$899,$A65,FCPIS!$C$6:$C$899,$B65,FCPIS!$D$6:$D$899,S$4,FCPIS!$E$6:$E$899,$C65)*-1000</f>
        <v>0</v>
      </c>
      <c r="T65" s="339"/>
      <c r="U65" s="354">
        <f>Q65+S65</f>
        <v>0</v>
      </c>
      <c r="V65" s="348"/>
      <c r="W65" s="353"/>
      <c r="X65" s="348"/>
      <c r="Y65" s="353">
        <f>S65+W65</f>
        <v>0</v>
      </c>
      <c r="Z65" s="348"/>
      <c r="AA65" s="353">
        <f>SUMIFS(FCPIS!$T$6:$T$899,FCPIS!$B$6:$B$899,$A65,FCPIS!$C$6:$C$899,$B65,FCPIS!$D$6:$D$899,AA$4,FCPIS!$E$6:$E$899,$C65)*1000</f>
        <v>0</v>
      </c>
      <c r="AB65" s="353">
        <f>AA65-O65</f>
        <v>0</v>
      </c>
    </row>
    <row r="66" spans="1:28" x14ac:dyDescent="0.2">
      <c r="B66" s="345" t="s">
        <v>2657</v>
      </c>
      <c r="D66" s="339"/>
      <c r="E66" s="349">
        <f>SUM(E62:E65)</f>
        <v>92266047.909999996</v>
      </c>
      <c r="F66" s="348"/>
      <c r="G66" s="349">
        <f>SUM(G62:G65)</f>
        <v>22628947.32</v>
      </c>
      <c r="H66" s="348"/>
      <c r="I66" s="349">
        <f>SUM(I62:I65)</f>
        <v>-11987927.70999999</v>
      </c>
      <c r="J66" s="348"/>
      <c r="K66" s="349">
        <f>SUM(K62:K65)</f>
        <v>0</v>
      </c>
      <c r="L66" s="348"/>
      <c r="M66" s="349">
        <f>SUM(M62:M65)</f>
        <v>10641019.610000011</v>
      </c>
      <c r="N66" s="348"/>
      <c r="O66" s="349">
        <f>SUM(O62:O65)</f>
        <v>102907067.52000001</v>
      </c>
      <c r="P66" s="348"/>
      <c r="Q66" s="349">
        <f>SUM(Q62:Q65)</f>
        <v>97358037.341538459</v>
      </c>
      <c r="R66" s="339"/>
      <c r="S66" s="349">
        <f>SUM(S62:S65)</f>
        <v>-40380310.119949676</v>
      </c>
      <c r="T66" s="339"/>
      <c r="U66" s="349">
        <f>SUM(U62:U65)</f>
        <v>56977727.22158879</v>
      </c>
      <c r="V66" s="348"/>
      <c r="W66" s="352">
        <f>SUMIFS('FC CWIP &amp; RWIP'!$R$40:$R$58,'FC CWIP &amp; RWIP'!$A$40:$A$58,"KY",'FC CWIP &amp; RWIP'!$B$40:$B$58,D$61)*1000</f>
        <v>3675.3500000000013</v>
      </c>
      <c r="X66" s="348"/>
      <c r="Y66" s="349">
        <f>SUM(Y62:Y65)</f>
        <v>-40376634.769949675</v>
      </c>
      <c r="Z66" s="348"/>
      <c r="AA66" s="349">
        <f>SUM(AA62:AA65)</f>
        <v>102907067.52</v>
      </c>
      <c r="AB66" s="349">
        <f>SUM(AB62:AB65)</f>
        <v>0</v>
      </c>
    </row>
    <row r="67" spans="1:28" x14ac:dyDescent="0.2">
      <c r="B67" s="345" t="s">
        <v>2657</v>
      </c>
      <c r="D67" s="339"/>
      <c r="E67" s="349"/>
      <c r="F67" s="348"/>
      <c r="G67" s="349"/>
      <c r="H67" s="348"/>
      <c r="I67" s="349"/>
      <c r="J67" s="348"/>
      <c r="K67" s="349"/>
      <c r="L67" s="348"/>
      <c r="M67" s="349"/>
      <c r="N67" s="348"/>
      <c r="O67" s="349"/>
      <c r="P67" s="348"/>
      <c r="Q67" s="349"/>
      <c r="R67" s="339"/>
      <c r="S67" s="339"/>
      <c r="T67" s="339"/>
      <c r="U67" s="339"/>
      <c r="V67" s="348"/>
      <c r="W67" s="349"/>
      <c r="X67" s="348"/>
      <c r="Y67" s="349"/>
      <c r="Z67" s="348"/>
      <c r="AA67" s="349"/>
      <c r="AB67" s="349"/>
    </row>
    <row r="68" spans="1:28" x14ac:dyDescent="0.2">
      <c r="B68" s="345" t="s">
        <v>2657</v>
      </c>
      <c r="D68" s="338" t="s">
        <v>712</v>
      </c>
      <c r="E68" s="349"/>
      <c r="F68" s="348"/>
      <c r="G68" s="349"/>
      <c r="H68" s="348"/>
      <c r="I68" s="349"/>
      <c r="J68" s="348"/>
      <c r="K68" s="349"/>
      <c r="L68" s="348"/>
      <c r="M68" s="349"/>
      <c r="N68" s="348"/>
      <c r="O68" s="349"/>
      <c r="P68" s="348"/>
      <c r="Q68" s="349"/>
      <c r="R68" s="339"/>
      <c r="S68" s="339"/>
      <c r="T68" s="339"/>
      <c r="U68" s="339"/>
      <c r="V68" s="348"/>
      <c r="W68" s="349"/>
      <c r="X68" s="348"/>
      <c r="Y68" s="349"/>
      <c r="Z68" s="348"/>
      <c r="AA68" s="349"/>
      <c r="AB68" s="349"/>
    </row>
    <row r="69" spans="1:28" x14ac:dyDescent="0.2">
      <c r="A69" s="345" t="s">
        <v>935</v>
      </c>
      <c r="B69" s="345" t="s">
        <v>2657</v>
      </c>
      <c r="C69" s="345" t="str">
        <f>MID(D69,2,3)</f>
        <v>340</v>
      </c>
      <c r="D69" s="339" t="s">
        <v>2436</v>
      </c>
      <c r="E69" s="349">
        <f>SUMIFS(FCPIS!$H$6:$H$899,FCPIS!$B$6:$B$899,$A69,FCPIS!$C$6:$C$899,$B69,FCPIS!$D$6:$D$899,E$4,FCPIS!$E$6:$E$899,$C69)*1000</f>
        <v>902801.46</v>
      </c>
      <c r="F69" s="348"/>
      <c r="G69" s="349">
        <f>SUMIFS(FCPIS!$U$6:$U$899,FCPIS!$B$6:$B$899,$A69,FCPIS!$C$6:$C$899,$B69,FCPIS!$D$6:$D$899,G$4,FCPIS!$E$6:$E$899,$C69)*1000</f>
        <v>0</v>
      </c>
      <c r="H69" s="348"/>
      <c r="I69" s="349">
        <f>SUMIFS(FCPIS!$U$6:$U$899,FCPIS!$B$6:$B$899,$A69,FCPIS!$C$6:$C$899,$B69,FCPIS!$D$6:$D$899,I$4,FCPIS!$E$6:$E$899,$C69)*-1000</f>
        <v>0</v>
      </c>
      <c r="J69" s="348"/>
      <c r="K69" s="349">
        <f>SUMIFS(FCPIS!$U$6:$U$899,FCPIS!$B$6:$B$899,$A69,FCPIS!$C$6:$C$899,$B69,FCPIS!$D$6:$D$899,K$4,FCPIS!$E$6:$E$899,$C69)*1000</f>
        <v>0</v>
      </c>
      <c r="L69" s="348"/>
      <c r="M69" s="349">
        <f t="shared" ref="M69:M79" si="23">SUM(G69:K69)</f>
        <v>0</v>
      </c>
      <c r="N69" s="348"/>
      <c r="O69" s="349">
        <f t="shared" ref="O69:O79" si="24">E69+M69</f>
        <v>902801.46</v>
      </c>
      <c r="P69" s="348"/>
      <c r="Q69" s="349">
        <f>SUMIFS(FCPIS!$V$6:$V$899,FCPIS!$B$6:$B$899,$A69,FCPIS!$C$6:$C$899,$B69,FCPIS!$D$6:$D$899,Q$4,FCPIS!$E$6:$E$899,$C69)*1000</f>
        <v>902801.46</v>
      </c>
      <c r="R69" s="339"/>
      <c r="S69" s="347">
        <f>SUMIFS(FCPIS!$V$6:$V$899,FCPIS!$B$6:$B$899,$A69,FCPIS!$C$6:$C$899,$B69,FCPIS!$D$6:$D$899,S$4,FCPIS!$E$6:$E$899,$C69)*-1000</f>
        <v>-133180.72881389901</v>
      </c>
      <c r="T69" s="339"/>
      <c r="U69" s="347">
        <f t="shared" ref="U69:U79" si="25">Q69+S69</f>
        <v>769620.73118610098</v>
      </c>
      <c r="V69" s="348"/>
      <c r="W69" s="344">
        <f t="shared" ref="W69:W79" si="26">G69/G$80*W$80</f>
        <v>0</v>
      </c>
      <c r="X69" s="346"/>
      <c r="Y69" s="344">
        <f t="shared" ref="Y69:Y79" si="27">S69+W69</f>
        <v>-133180.72881389901</v>
      </c>
      <c r="Z69" s="346"/>
      <c r="AA69" s="344">
        <f>SUMIFS(FCPIS!$T$6:$T$899,FCPIS!$B$6:$B$899,$A69,FCPIS!$C$6:$C$899,$B69,FCPIS!$D$6:$D$899,AA$4,FCPIS!$E$6:$E$899,$C69)*1000</f>
        <v>902801.46</v>
      </c>
      <c r="AB69" s="344">
        <f t="shared" ref="AB69:AB79" si="28">AA69-O69</f>
        <v>0</v>
      </c>
    </row>
    <row r="70" spans="1:28" x14ac:dyDescent="0.2">
      <c r="A70" s="345" t="s">
        <v>935</v>
      </c>
      <c r="B70" s="345" t="s">
        <v>2657</v>
      </c>
      <c r="D70" s="339" t="s">
        <v>765</v>
      </c>
      <c r="E70" s="349">
        <f>SUMIFS(FCPIS!$H$6:$H$899,FCPIS!$B$6:$B$899,$A70,FCPIS!$C$6:$C$899,$B70,FCPIS!$D$6:$D$899,E$4,FCPIS!$E$6:$E$899,$C70)*1000</f>
        <v>0</v>
      </c>
      <c r="F70" s="348"/>
      <c r="G70" s="349">
        <f>SUMIFS(FCPIS!$U$6:$U$899,FCPIS!$B$6:$B$899,$A70,FCPIS!$C$6:$C$899,$B70,FCPIS!$D$6:$D$899,G$4,FCPIS!$E$6:$E$899,$C70)*1000</f>
        <v>0</v>
      </c>
      <c r="H70" s="348"/>
      <c r="I70" s="349">
        <f>SUMIFS(FCPIS!$U$6:$U$899,FCPIS!$B$6:$B$899,$A70,FCPIS!$C$6:$C$899,$B70,FCPIS!$D$6:$D$899,I$4,FCPIS!$E$6:$E$899,$C70)*-1000</f>
        <v>0</v>
      </c>
      <c r="J70" s="348"/>
      <c r="K70" s="349">
        <f>SUMIFS(FCPIS!$U$6:$U$899,FCPIS!$B$6:$B$899,$A70,FCPIS!$C$6:$C$899,$B70,FCPIS!$D$6:$D$899,K$4,FCPIS!$E$6:$E$899,$C70)*1000</f>
        <v>0</v>
      </c>
      <c r="L70" s="348"/>
      <c r="M70" s="349">
        <f t="shared" si="23"/>
        <v>0</v>
      </c>
      <c r="N70" s="348"/>
      <c r="O70" s="349">
        <f t="shared" si="24"/>
        <v>0</v>
      </c>
      <c r="P70" s="348"/>
      <c r="Q70" s="349">
        <f>SUMIFS(FCPIS!$V$6:$V$899,FCPIS!$B$6:$B$899,$A70,FCPIS!$C$6:$C$899,$B70,FCPIS!$D$6:$D$899,Q$4,FCPIS!$E$6:$E$899,$C70)*1000</f>
        <v>0</v>
      </c>
      <c r="R70" s="339"/>
      <c r="S70" s="347">
        <f>SUMIFS(FCPIS!$V$6:$V$899,FCPIS!$B$6:$B$899,$A70,FCPIS!$C$6:$C$899,$B70,FCPIS!$D$6:$D$899,S$4,FCPIS!$E$6:$E$899,$C70)*-1000</f>
        <v>0</v>
      </c>
      <c r="T70" s="339"/>
      <c r="U70" s="347">
        <f t="shared" si="25"/>
        <v>0</v>
      </c>
      <c r="V70" s="348"/>
      <c r="W70" s="349">
        <f t="shared" si="26"/>
        <v>0</v>
      </c>
      <c r="X70" s="348"/>
      <c r="Y70" s="349">
        <f t="shared" si="27"/>
        <v>0</v>
      </c>
      <c r="Z70" s="348"/>
      <c r="AA70" s="349">
        <f>SUMIFS(FCPIS!$T$6:$T$899,FCPIS!$B$6:$B$899,$A70,FCPIS!$C$6:$C$899,$B70,FCPIS!$D$6:$D$899,AA$4,FCPIS!$E$6:$E$899,$C70)*1000</f>
        <v>0</v>
      </c>
      <c r="AB70" s="349">
        <f t="shared" si="28"/>
        <v>0</v>
      </c>
    </row>
    <row r="71" spans="1:28" x14ac:dyDescent="0.2">
      <c r="A71" s="345" t="s">
        <v>935</v>
      </c>
      <c r="B71" s="345" t="s">
        <v>2657</v>
      </c>
      <c r="C71" s="345" t="str">
        <f t="shared" ref="C71:C78" si="29">MID(D71,2,3)</f>
        <v>341</v>
      </c>
      <c r="D71" s="339" t="s">
        <v>766</v>
      </c>
      <c r="E71" s="349">
        <f>SUMIFS(FCPIS!$H$6:$H$899,FCPIS!$B$6:$B$899,$A71,FCPIS!$C$6:$C$899,$B71,FCPIS!$D$6:$D$899,E$4,FCPIS!$E$6:$E$899,$C71)*1000</f>
        <v>87144715.710000008</v>
      </c>
      <c r="F71" s="348"/>
      <c r="G71" s="349">
        <f>SUMIFS(FCPIS!$U$6:$U$899,FCPIS!$B$6:$B$899,$A71,FCPIS!$C$6:$C$899,$B71,FCPIS!$D$6:$D$899,G$4,FCPIS!$E$6:$E$899,$C71)*1000</f>
        <v>0</v>
      </c>
      <c r="H71" s="348"/>
      <c r="I71" s="349">
        <f>SUMIFS(FCPIS!$U$6:$U$899,FCPIS!$B$6:$B$899,$A71,FCPIS!$C$6:$C$899,$B71,FCPIS!$D$6:$D$899,I$4,FCPIS!$E$6:$E$899,$C71)*-1000</f>
        <v>0</v>
      </c>
      <c r="J71" s="348"/>
      <c r="K71" s="349">
        <f>SUMIFS(FCPIS!$U$6:$U$899,FCPIS!$B$6:$B$899,$A71,FCPIS!$C$6:$C$899,$B71,FCPIS!$D$6:$D$899,K$4,FCPIS!$E$6:$E$899,$C71)*1000</f>
        <v>0</v>
      </c>
      <c r="L71" s="348"/>
      <c r="M71" s="349">
        <f t="shared" si="23"/>
        <v>0</v>
      </c>
      <c r="N71" s="348"/>
      <c r="O71" s="349">
        <f t="shared" si="24"/>
        <v>87144715.710000008</v>
      </c>
      <c r="P71" s="348"/>
      <c r="Q71" s="349">
        <f>SUMIFS(FCPIS!$V$6:$V$899,FCPIS!$B$6:$B$899,$A71,FCPIS!$C$6:$C$899,$B71,FCPIS!$D$6:$D$899,Q$4,FCPIS!$E$6:$E$899,$C71)*1000</f>
        <v>87144715.709999993</v>
      </c>
      <c r="R71" s="339"/>
      <c r="S71" s="347">
        <f>SUMIFS(FCPIS!$V$6:$V$899,FCPIS!$B$6:$B$899,$A71,FCPIS!$C$6:$C$899,$B71,FCPIS!$D$6:$D$899,S$4,FCPIS!$E$6:$E$899,$C71)*-1000</f>
        <v>-29066799.741877895</v>
      </c>
      <c r="T71" s="339"/>
      <c r="U71" s="347">
        <f t="shared" si="25"/>
        <v>58077915.968122095</v>
      </c>
      <c r="V71" s="348"/>
      <c r="W71" s="349">
        <f t="shared" si="26"/>
        <v>0</v>
      </c>
      <c r="X71" s="348"/>
      <c r="Y71" s="349">
        <f t="shared" si="27"/>
        <v>-29066799.741877895</v>
      </c>
      <c r="Z71" s="348"/>
      <c r="AA71" s="349">
        <f>SUMIFS(FCPIS!$T$6:$T$899,FCPIS!$B$6:$B$899,$A71,FCPIS!$C$6:$C$899,$B71,FCPIS!$D$6:$D$899,AA$4,FCPIS!$E$6:$E$899,$C71)*1000</f>
        <v>87144715.710000008</v>
      </c>
      <c r="AB71" s="349">
        <f t="shared" si="28"/>
        <v>0</v>
      </c>
    </row>
    <row r="72" spans="1:28" x14ac:dyDescent="0.2">
      <c r="A72" s="345" t="s">
        <v>935</v>
      </c>
      <c r="B72" s="345" t="s">
        <v>2657</v>
      </c>
      <c r="C72" s="345" t="str">
        <f t="shared" si="29"/>
        <v>342</v>
      </c>
      <c r="D72" s="339" t="s">
        <v>767</v>
      </c>
      <c r="E72" s="349">
        <f>SUMIFS(FCPIS!$H$6:$H$899,FCPIS!$B$6:$B$899,$A72,FCPIS!$C$6:$C$899,$B72,FCPIS!$D$6:$D$899,E$4,FCPIS!$E$6:$E$899,$C72)*1000</f>
        <v>63096394.729999892</v>
      </c>
      <c r="F72" s="348"/>
      <c r="G72" s="349">
        <f>SUMIFS(FCPIS!$U$6:$U$899,FCPIS!$B$6:$B$899,$A72,FCPIS!$C$6:$C$899,$B72,FCPIS!$D$6:$D$899,G$4,FCPIS!$E$6:$E$899,$C72)*1000</f>
        <v>19947653.599999998</v>
      </c>
      <c r="H72" s="348"/>
      <c r="I72" s="349">
        <f>SUMIFS(FCPIS!$U$6:$U$899,FCPIS!$B$6:$B$899,$A72,FCPIS!$C$6:$C$899,$B72,FCPIS!$D$6:$D$899,I$4,FCPIS!$E$6:$E$899,$C72)*-1000</f>
        <v>0</v>
      </c>
      <c r="J72" s="348"/>
      <c r="K72" s="349">
        <f>SUMIFS(FCPIS!$U$6:$U$899,FCPIS!$B$6:$B$899,$A72,FCPIS!$C$6:$C$899,$B72,FCPIS!$D$6:$D$899,K$4,FCPIS!$E$6:$E$899,$C72)*1000</f>
        <v>0</v>
      </c>
      <c r="L72" s="348"/>
      <c r="M72" s="349">
        <f t="shared" si="23"/>
        <v>19947653.599999998</v>
      </c>
      <c r="N72" s="348"/>
      <c r="O72" s="349">
        <f t="shared" si="24"/>
        <v>83044048.329999894</v>
      </c>
      <c r="P72" s="348"/>
      <c r="Q72" s="349">
        <f>SUMIFS(FCPIS!$V$6:$V$899,FCPIS!$B$6:$B$899,$A72,FCPIS!$C$6:$C$899,$B72,FCPIS!$D$6:$D$899,Q$4,FCPIS!$E$6:$E$899,$C72)*1000</f>
        <v>75258488.141538352</v>
      </c>
      <c r="R72" s="339"/>
      <c r="S72" s="347">
        <f>SUMIFS(FCPIS!$V$6:$V$899,FCPIS!$B$6:$B$899,$A72,FCPIS!$C$6:$C$899,$B72,FCPIS!$D$6:$D$899,S$4,FCPIS!$E$6:$E$899,$C72)*-1000</f>
        <v>-23346077.102292009</v>
      </c>
      <c r="T72" s="339"/>
      <c r="U72" s="347">
        <f t="shared" si="25"/>
        <v>51912411.039246343</v>
      </c>
      <c r="V72" s="348"/>
      <c r="W72" s="349">
        <f t="shared" si="26"/>
        <v>101949.40422158904</v>
      </c>
      <c r="X72" s="348"/>
      <c r="Y72" s="349">
        <f t="shared" si="27"/>
        <v>-23244127.698070418</v>
      </c>
      <c r="Z72" s="348"/>
      <c r="AA72" s="349">
        <f>SUMIFS(FCPIS!$T$6:$T$899,FCPIS!$B$6:$B$899,$A72,FCPIS!$C$6:$C$899,$B72,FCPIS!$D$6:$D$899,AA$4,FCPIS!$E$6:$E$899,$C72)*1000</f>
        <v>83044048.329999894</v>
      </c>
      <c r="AB72" s="349">
        <f t="shared" si="28"/>
        <v>0</v>
      </c>
    </row>
    <row r="73" spans="1:28" x14ac:dyDescent="0.2">
      <c r="A73" s="345" t="s">
        <v>935</v>
      </c>
      <c r="B73" s="345" t="s">
        <v>2657</v>
      </c>
      <c r="D73" s="339" t="s">
        <v>768</v>
      </c>
      <c r="E73" s="349">
        <f>SUMIFS(FCPIS!$H$6:$H$899,FCPIS!$B$6:$B$899,$A73,FCPIS!$C$6:$C$899,$B73,FCPIS!$D$6:$D$899,E$4,FCPIS!$E$6:$E$899,$C73)*1000</f>
        <v>0</v>
      </c>
      <c r="F73" s="348"/>
      <c r="G73" s="349">
        <f>SUMIFS(FCPIS!$U$6:$U$899,FCPIS!$B$6:$B$899,$A73,FCPIS!$C$6:$C$899,$B73,FCPIS!$D$6:$D$899,G$4,FCPIS!$E$6:$E$899,$C73)*1000</f>
        <v>0</v>
      </c>
      <c r="H73" s="348"/>
      <c r="I73" s="349">
        <f>SUMIFS(FCPIS!$U$6:$U$899,FCPIS!$B$6:$B$899,$A73,FCPIS!$C$6:$C$899,$B73,FCPIS!$D$6:$D$899,I$4,FCPIS!$E$6:$E$899,$C73)*-1000</f>
        <v>0</v>
      </c>
      <c r="J73" s="348"/>
      <c r="K73" s="349">
        <f>SUMIFS(FCPIS!$U$6:$U$899,FCPIS!$B$6:$B$899,$A73,FCPIS!$C$6:$C$899,$B73,FCPIS!$D$6:$D$899,K$4,FCPIS!$E$6:$E$899,$C73)*1000</f>
        <v>0</v>
      </c>
      <c r="L73" s="348"/>
      <c r="M73" s="349">
        <f t="shared" si="23"/>
        <v>0</v>
      </c>
      <c r="N73" s="348"/>
      <c r="O73" s="349">
        <f t="shared" si="24"/>
        <v>0</v>
      </c>
      <c r="P73" s="348"/>
      <c r="Q73" s="349">
        <f>SUMIFS(FCPIS!$V$6:$V$899,FCPIS!$B$6:$B$899,$A73,FCPIS!$C$6:$C$899,$B73,FCPIS!$D$6:$D$899,Q$4,FCPIS!$E$6:$E$899,$C73)*1000</f>
        <v>0</v>
      </c>
      <c r="R73" s="339"/>
      <c r="S73" s="347">
        <f>SUMIFS(FCPIS!$V$6:$V$899,FCPIS!$B$6:$B$899,$A73,FCPIS!$C$6:$C$899,$B73,FCPIS!$D$6:$D$899,S$4,FCPIS!$E$6:$E$899,$C73)*-1000</f>
        <v>0</v>
      </c>
      <c r="T73" s="339"/>
      <c r="U73" s="347">
        <f t="shared" si="25"/>
        <v>0</v>
      </c>
      <c r="V73" s="348"/>
      <c r="W73" s="349">
        <f t="shared" si="26"/>
        <v>0</v>
      </c>
      <c r="X73" s="348"/>
      <c r="Y73" s="349">
        <f t="shared" si="27"/>
        <v>0</v>
      </c>
      <c r="Z73" s="348"/>
      <c r="AA73" s="349">
        <f>SUMIFS(FCPIS!$T$6:$T$899,FCPIS!$B$6:$B$899,$A73,FCPIS!$C$6:$C$899,$B73,FCPIS!$D$6:$D$899,AA$4,FCPIS!$E$6:$E$899,$C73)*1000</f>
        <v>0</v>
      </c>
      <c r="AB73" s="349">
        <f t="shared" si="28"/>
        <v>0</v>
      </c>
    </row>
    <row r="74" spans="1:28" x14ac:dyDescent="0.2">
      <c r="A74" s="345" t="s">
        <v>935</v>
      </c>
      <c r="B74" s="345" t="s">
        <v>2657</v>
      </c>
      <c r="C74" s="345" t="str">
        <f t="shared" si="29"/>
        <v>343</v>
      </c>
      <c r="D74" s="339" t="s">
        <v>769</v>
      </c>
      <c r="E74" s="349">
        <f>SUMIFS(FCPIS!$H$6:$H$899,FCPIS!$B$6:$B$899,$A74,FCPIS!$C$6:$C$899,$B74,FCPIS!$D$6:$D$899,E$4,FCPIS!$E$6:$E$899,$C74)*1000</f>
        <v>665701387.87</v>
      </c>
      <c r="F74" s="348"/>
      <c r="G74" s="349">
        <f>SUMIFS(FCPIS!$U$6:$U$899,FCPIS!$B$6:$B$899,$A74,FCPIS!$C$6:$C$899,$B74,FCPIS!$D$6:$D$899,G$4,FCPIS!$E$6:$E$899,$C74)*1000</f>
        <v>32118507.560000002</v>
      </c>
      <c r="H74" s="348"/>
      <c r="I74" s="349">
        <f>SUMIFS(FCPIS!$U$6:$U$899,FCPIS!$B$6:$B$899,$A74,FCPIS!$C$6:$C$899,$B74,FCPIS!$D$6:$D$899,I$4,FCPIS!$E$6:$E$899,$C74)*-1000</f>
        <v>-4093363.1999999997</v>
      </c>
      <c r="J74" s="348"/>
      <c r="K74" s="349">
        <f>SUMIFS(FCPIS!$U$6:$U$899,FCPIS!$B$6:$B$899,$A74,FCPIS!$C$6:$C$899,$B74,FCPIS!$D$6:$D$899,K$4,FCPIS!$E$6:$E$899,$C74)*1000</f>
        <v>0</v>
      </c>
      <c r="L74" s="348"/>
      <c r="M74" s="349">
        <f t="shared" si="23"/>
        <v>28025144.360000003</v>
      </c>
      <c r="N74" s="348"/>
      <c r="O74" s="349">
        <f t="shared" si="24"/>
        <v>693726532.23000002</v>
      </c>
      <c r="P74" s="348"/>
      <c r="Q74" s="349">
        <f>SUMIFS(FCPIS!$V$6:$V$899,FCPIS!$B$6:$B$899,$A74,FCPIS!$C$6:$C$899,$B74,FCPIS!$D$6:$D$899,Q$4,FCPIS!$E$6:$E$899,$C74)*1000</f>
        <v>679583343.6692307</v>
      </c>
      <c r="R74" s="339"/>
      <c r="S74" s="347">
        <f>SUMIFS(FCPIS!$V$6:$V$899,FCPIS!$B$6:$B$899,$A74,FCPIS!$C$6:$C$899,$B74,FCPIS!$D$6:$D$899,S$4,FCPIS!$E$6:$E$899,$C74)*-1000</f>
        <v>-244625582.55636984</v>
      </c>
      <c r="T74" s="339"/>
      <c r="U74" s="347">
        <f t="shared" si="25"/>
        <v>434957761.11286086</v>
      </c>
      <c r="V74" s="348"/>
      <c r="W74" s="349">
        <f t="shared" si="26"/>
        <v>164152.77585473031</v>
      </c>
      <c r="X74" s="348"/>
      <c r="Y74" s="349">
        <f t="shared" si="27"/>
        <v>-244461429.7805151</v>
      </c>
      <c r="Z74" s="348"/>
      <c r="AA74" s="349">
        <f>SUMIFS(FCPIS!$T$6:$T$899,FCPIS!$B$6:$B$899,$A74,FCPIS!$C$6:$C$899,$B74,FCPIS!$D$6:$D$899,AA$4,FCPIS!$E$6:$E$899,$C74)*1000</f>
        <v>693726532.22999907</v>
      </c>
      <c r="AB74" s="349">
        <f t="shared" si="28"/>
        <v>-9.5367431640625E-7</v>
      </c>
    </row>
    <row r="75" spans="1:28" x14ac:dyDescent="0.2">
      <c r="A75" s="345" t="s">
        <v>935</v>
      </c>
      <c r="B75" s="345" t="s">
        <v>2657</v>
      </c>
      <c r="C75" s="345" t="str">
        <f t="shared" si="29"/>
        <v>344</v>
      </c>
      <c r="D75" s="339" t="s">
        <v>770</v>
      </c>
      <c r="E75" s="349">
        <f>SUMIFS(FCPIS!$H$6:$H$899,FCPIS!$B$6:$B$899,$A75,FCPIS!$C$6:$C$899,$B75,FCPIS!$D$6:$D$899,E$4,FCPIS!$E$6:$E$899,$C75)*1000</f>
        <v>132360727.18999989</v>
      </c>
      <c r="F75" s="348"/>
      <c r="G75" s="349">
        <f>SUMIFS(FCPIS!$U$6:$U$899,FCPIS!$B$6:$B$899,$A75,FCPIS!$C$6:$C$899,$B75,FCPIS!$D$6:$D$899,G$4,FCPIS!$E$6:$E$899,$C75)*1000</f>
        <v>795372.66</v>
      </c>
      <c r="H75" s="348"/>
      <c r="I75" s="349">
        <f>SUMIFS(FCPIS!$U$6:$U$899,FCPIS!$B$6:$B$899,$A75,FCPIS!$C$6:$C$899,$B75,FCPIS!$D$6:$D$899,I$4,FCPIS!$E$6:$E$899,$C75)*-1000</f>
        <v>0</v>
      </c>
      <c r="J75" s="348"/>
      <c r="K75" s="349">
        <f>SUMIFS(FCPIS!$U$6:$U$899,FCPIS!$B$6:$B$899,$A75,FCPIS!$C$6:$C$899,$B75,FCPIS!$D$6:$D$899,K$4,FCPIS!$E$6:$E$899,$C75)*1000</f>
        <v>0</v>
      </c>
      <c r="L75" s="348"/>
      <c r="M75" s="349">
        <f t="shared" si="23"/>
        <v>795372.66</v>
      </c>
      <c r="N75" s="348"/>
      <c r="O75" s="349">
        <f t="shared" si="24"/>
        <v>133156099.84999989</v>
      </c>
      <c r="P75" s="348"/>
      <c r="Q75" s="349">
        <f>SUMIFS(FCPIS!$V$6:$V$899,FCPIS!$B$6:$B$899,$A75,FCPIS!$C$6:$C$899,$B75,FCPIS!$D$6:$D$899,Q$4,FCPIS!$E$6:$E$899,$C75)*1000</f>
        <v>132421909.70230757</v>
      </c>
      <c r="R75" s="339"/>
      <c r="S75" s="347">
        <f>SUMIFS(FCPIS!$V$6:$V$899,FCPIS!$B$6:$B$899,$A75,FCPIS!$C$6:$C$899,$B75,FCPIS!$D$6:$D$899,S$4,FCPIS!$E$6:$E$899,$C75)*-1000</f>
        <v>-49779109.059118785</v>
      </c>
      <c r="T75" s="339"/>
      <c r="U75" s="347">
        <f t="shared" si="25"/>
        <v>82642800.643188775</v>
      </c>
      <c r="V75" s="348"/>
      <c r="W75" s="349">
        <f t="shared" si="26"/>
        <v>4065.0279199324236</v>
      </c>
      <c r="X75" s="348"/>
      <c r="Y75" s="349">
        <f t="shared" si="27"/>
        <v>-49775044.031198852</v>
      </c>
      <c r="Z75" s="348"/>
      <c r="AA75" s="349">
        <f>SUMIFS(FCPIS!$T$6:$T$899,FCPIS!$B$6:$B$899,$A75,FCPIS!$C$6:$C$899,$B75,FCPIS!$D$6:$D$899,AA$4,FCPIS!$E$6:$E$899,$C75)*1000</f>
        <v>133156099.84999987</v>
      </c>
      <c r="AB75" s="349">
        <f t="shared" si="28"/>
        <v>0</v>
      </c>
    </row>
    <row r="76" spans="1:28" x14ac:dyDescent="0.2">
      <c r="A76" s="345" t="s">
        <v>935</v>
      </c>
      <c r="B76" s="345" t="s">
        <v>2657</v>
      </c>
      <c r="C76" s="345" t="str">
        <f t="shared" si="29"/>
        <v>345</v>
      </c>
      <c r="D76" s="339" t="s">
        <v>771</v>
      </c>
      <c r="E76" s="349">
        <f>SUMIFS(FCPIS!$H$6:$H$899,FCPIS!$B$6:$B$899,$A76,FCPIS!$C$6:$C$899,$B76,FCPIS!$D$6:$D$899,E$4,FCPIS!$E$6:$E$899,$C76)*1000</f>
        <v>78896914.949999884</v>
      </c>
      <c r="F76" s="348"/>
      <c r="G76" s="349">
        <f>SUMIFS(FCPIS!$U$6:$U$899,FCPIS!$B$6:$B$899,$A76,FCPIS!$C$6:$C$899,$B76,FCPIS!$D$6:$D$899,G$4,FCPIS!$E$6:$E$899,$C76)*1000</f>
        <v>1477713.5300000005</v>
      </c>
      <c r="H76" s="348"/>
      <c r="I76" s="349">
        <f>SUMIFS(FCPIS!$U$6:$U$899,FCPIS!$B$6:$B$899,$A76,FCPIS!$C$6:$C$899,$B76,FCPIS!$D$6:$D$899,I$4,FCPIS!$E$6:$E$899,$C76)*-1000</f>
        <v>0</v>
      </c>
      <c r="J76" s="348"/>
      <c r="K76" s="349">
        <f>SUMIFS(FCPIS!$U$6:$U$899,FCPIS!$B$6:$B$899,$A76,FCPIS!$C$6:$C$899,$B76,FCPIS!$D$6:$D$899,K$4,FCPIS!$E$6:$E$899,$C76)*1000</f>
        <v>0</v>
      </c>
      <c r="L76" s="348"/>
      <c r="M76" s="349">
        <f t="shared" si="23"/>
        <v>1477713.5300000005</v>
      </c>
      <c r="N76" s="348"/>
      <c r="O76" s="349">
        <f t="shared" si="24"/>
        <v>80374628.479999885</v>
      </c>
      <c r="P76" s="348"/>
      <c r="Q76" s="349">
        <f>SUMIFS(FCPIS!$V$6:$V$899,FCPIS!$B$6:$B$899,$A76,FCPIS!$C$6:$C$899,$B76,FCPIS!$D$6:$D$899,Q$4,FCPIS!$E$6:$E$899,$C76)*1000</f>
        <v>79346381.903076842</v>
      </c>
      <c r="R76" s="339"/>
      <c r="S76" s="347">
        <f>SUMIFS(FCPIS!$V$6:$V$899,FCPIS!$B$6:$B$899,$A76,FCPIS!$C$6:$C$899,$B76,FCPIS!$D$6:$D$899,S$4,FCPIS!$E$6:$E$899,$C76)*-1000</f>
        <v>-31256667.45784511</v>
      </c>
      <c r="T76" s="339"/>
      <c r="U76" s="347">
        <f t="shared" si="25"/>
        <v>48089714.445231736</v>
      </c>
      <c r="V76" s="348"/>
      <c r="W76" s="349">
        <f t="shared" si="26"/>
        <v>7552.3676626147808</v>
      </c>
      <c r="X76" s="348"/>
      <c r="Y76" s="349">
        <f t="shared" si="27"/>
        <v>-31249115.090182494</v>
      </c>
      <c r="Z76" s="348"/>
      <c r="AA76" s="349">
        <f>SUMIFS(FCPIS!$T$6:$T$899,FCPIS!$B$6:$B$899,$A76,FCPIS!$C$6:$C$899,$B76,FCPIS!$D$6:$D$899,AA$4,FCPIS!$E$6:$E$899,$C76)*1000</f>
        <v>80374628.4799999</v>
      </c>
      <c r="AB76" s="349">
        <f t="shared" si="28"/>
        <v>0</v>
      </c>
    </row>
    <row r="77" spans="1:28" x14ac:dyDescent="0.2">
      <c r="A77" s="345" t="s">
        <v>935</v>
      </c>
      <c r="B77" s="345" t="s">
        <v>2657</v>
      </c>
      <c r="D77" s="339" t="s">
        <v>1170</v>
      </c>
      <c r="E77" s="349">
        <f>SUMIFS(FCPIS!$H$6:$H$899,FCPIS!$B$6:$B$899,$A77,FCPIS!$C$6:$C$899,$B77,FCPIS!$D$6:$D$899,E$4,FCPIS!$E$6:$E$899,$C77)*1000</f>
        <v>0</v>
      </c>
      <c r="F77" s="348"/>
      <c r="G77" s="349">
        <f>SUMIFS(FCPIS!$U$6:$U$899,FCPIS!$B$6:$B$899,$A77,FCPIS!$C$6:$C$899,$B77,FCPIS!$D$6:$D$899,G$4,FCPIS!$E$6:$E$899,$C77)*1000</f>
        <v>0</v>
      </c>
      <c r="H77" s="348"/>
      <c r="I77" s="349">
        <f>SUMIFS(FCPIS!$U$6:$U$899,FCPIS!$B$6:$B$899,$A77,FCPIS!$C$6:$C$899,$B77,FCPIS!$D$6:$D$899,I$4,FCPIS!$E$6:$E$899,$C77)*-1000</f>
        <v>0</v>
      </c>
      <c r="J77" s="348"/>
      <c r="K77" s="349">
        <f>SUMIFS(FCPIS!$U$6:$U$899,FCPIS!$B$6:$B$899,$A77,FCPIS!$C$6:$C$899,$B77,FCPIS!$D$6:$D$899,K$4,FCPIS!$E$6:$E$899,$C77)*1000</f>
        <v>0</v>
      </c>
      <c r="L77" s="348"/>
      <c r="M77" s="349">
        <f t="shared" si="23"/>
        <v>0</v>
      </c>
      <c r="N77" s="348"/>
      <c r="O77" s="349">
        <f t="shared" si="24"/>
        <v>0</v>
      </c>
      <c r="P77" s="348"/>
      <c r="Q77" s="349">
        <f>SUMIFS(FCPIS!$V$6:$V$899,FCPIS!$B$6:$B$899,$A77,FCPIS!$C$6:$C$899,$B77,FCPIS!$D$6:$D$899,Q$4,FCPIS!$E$6:$E$899,$C77)*1000</f>
        <v>0</v>
      </c>
      <c r="R77" s="339"/>
      <c r="S77" s="347">
        <f>SUMIFS(FCPIS!$V$6:$V$899,FCPIS!$B$6:$B$899,$A77,FCPIS!$C$6:$C$899,$B77,FCPIS!$D$6:$D$899,S$4,FCPIS!$E$6:$E$899,$C77)*-1000</f>
        <v>0</v>
      </c>
      <c r="T77" s="339"/>
      <c r="U77" s="347">
        <f t="shared" si="25"/>
        <v>0</v>
      </c>
      <c r="V77" s="348"/>
      <c r="W77" s="349">
        <f t="shared" si="26"/>
        <v>0</v>
      </c>
      <c r="X77" s="348"/>
      <c r="Y77" s="349">
        <f t="shared" si="27"/>
        <v>0</v>
      </c>
      <c r="Z77" s="348"/>
      <c r="AA77" s="349">
        <f>SUMIFS(FCPIS!$T$6:$T$899,FCPIS!$B$6:$B$899,$A77,FCPIS!$C$6:$C$899,$B77,FCPIS!$D$6:$D$899,AA$4,FCPIS!$E$6:$E$899,$C77)*1000</f>
        <v>0</v>
      </c>
      <c r="AB77" s="349">
        <f t="shared" si="28"/>
        <v>0</v>
      </c>
    </row>
    <row r="78" spans="1:28" x14ac:dyDescent="0.2">
      <c r="A78" s="345" t="s">
        <v>935</v>
      </c>
      <c r="B78" s="345" t="s">
        <v>2657</v>
      </c>
      <c r="C78" s="345" t="str">
        <f t="shared" si="29"/>
        <v>346</v>
      </c>
      <c r="D78" s="339" t="s">
        <v>772</v>
      </c>
      <c r="E78" s="349">
        <f>SUMIFS(FCPIS!$H$6:$H$899,FCPIS!$B$6:$B$899,$A78,FCPIS!$C$6:$C$899,$B78,FCPIS!$D$6:$D$899,E$4,FCPIS!$E$6:$E$899,$C78)*1000</f>
        <v>10277334.16</v>
      </c>
      <c r="F78" s="348"/>
      <c r="G78" s="349">
        <f>SUMIFS(FCPIS!$U$6:$U$899,FCPIS!$B$6:$B$899,$A78,FCPIS!$C$6:$C$899,$B78,FCPIS!$D$6:$D$899,G$4,FCPIS!$E$6:$E$899,$C78)*1000</f>
        <v>4643940.629999999</v>
      </c>
      <c r="H78" s="348"/>
      <c r="I78" s="349">
        <f>SUMIFS(FCPIS!$U$6:$U$899,FCPIS!$B$6:$B$899,$A78,FCPIS!$C$6:$C$899,$B78,FCPIS!$D$6:$D$899,I$4,FCPIS!$E$6:$E$899,$C78)*-1000</f>
        <v>0</v>
      </c>
      <c r="J78" s="348"/>
      <c r="K78" s="349">
        <f>SUMIFS(FCPIS!$U$6:$U$899,FCPIS!$B$6:$B$899,$A78,FCPIS!$C$6:$C$899,$B78,FCPIS!$D$6:$D$899,K$4,FCPIS!$E$6:$E$899,$C78)*1000</f>
        <v>0</v>
      </c>
      <c r="L78" s="348"/>
      <c r="M78" s="349">
        <f t="shared" si="23"/>
        <v>4643940.629999999</v>
      </c>
      <c r="N78" s="348"/>
      <c r="O78" s="349">
        <f t="shared" si="24"/>
        <v>14921274.789999999</v>
      </c>
      <c r="P78" s="348"/>
      <c r="Q78" s="349">
        <f>SUMIFS(FCPIS!$V$6:$V$899,FCPIS!$B$6:$B$899,$A78,FCPIS!$C$6:$C$899,$B78,FCPIS!$D$6:$D$899,Q$4,FCPIS!$E$6:$E$899,$C78)*1000</f>
        <v>12592466.193846155</v>
      </c>
      <c r="R78" s="339"/>
      <c r="S78" s="347">
        <f>SUMIFS(FCPIS!$V$6:$V$899,FCPIS!$B$6:$B$899,$A78,FCPIS!$C$6:$C$899,$B78,FCPIS!$D$6:$D$899,S$4,FCPIS!$E$6:$E$899,$C78)*-1000</f>
        <v>-4089575.0099738599</v>
      </c>
      <c r="T78" s="339"/>
      <c r="U78" s="347">
        <f t="shared" si="25"/>
        <v>8502891.1838722955</v>
      </c>
      <c r="V78" s="348"/>
      <c r="W78" s="349">
        <f t="shared" si="26"/>
        <v>23734.469725749143</v>
      </c>
      <c r="X78" s="348"/>
      <c r="Y78" s="349">
        <f t="shared" si="27"/>
        <v>-4065840.5402481109</v>
      </c>
      <c r="Z78" s="348"/>
      <c r="AA78" s="349">
        <f>SUMIFS(FCPIS!$T$6:$T$899,FCPIS!$B$6:$B$899,$A78,FCPIS!$C$6:$C$899,$B78,FCPIS!$D$6:$D$899,AA$4,FCPIS!$E$6:$E$899,$C78)*1000</f>
        <v>14921274.790000001</v>
      </c>
      <c r="AB78" s="349">
        <f t="shared" si="28"/>
        <v>0</v>
      </c>
    </row>
    <row r="79" spans="1:28" x14ac:dyDescent="0.2">
      <c r="A79" s="345" t="s">
        <v>935</v>
      </c>
      <c r="B79" s="345" t="s">
        <v>2657</v>
      </c>
      <c r="C79" s="345" t="str">
        <f>MID(D79,2,3)</f>
        <v>347</v>
      </c>
      <c r="D79" s="339" t="s">
        <v>773</v>
      </c>
      <c r="E79" s="353">
        <f>SUMIFS(FCPIS!$H$6:$H$899,FCPIS!$B$6:$B$899,$A79,FCPIS!$C$6:$C$899,$B79,FCPIS!$D$6:$D$899,E$4,FCPIS!$E$6:$E$899,$C79)*1000</f>
        <v>406991.12</v>
      </c>
      <c r="F79" s="348"/>
      <c r="G79" s="353">
        <f>SUMIFS(FCPIS!$U$6:$U$899,FCPIS!$B$6:$B$899,$A79,FCPIS!$C$6:$C$899,$B79,FCPIS!$D$6:$D$899,G$4,FCPIS!$E$6:$E$899,$C79)*1000</f>
        <v>0</v>
      </c>
      <c r="H79" s="348"/>
      <c r="I79" s="353">
        <f>SUMIFS(FCPIS!$U$6:$U$899,FCPIS!$B$6:$B$899,$A79,FCPIS!$C$6:$C$899,$B79,FCPIS!$D$6:$D$899,I$4,FCPIS!$E$6:$E$899,$C79)*-1000</f>
        <v>0</v>
      </c>
      <c r="J79" s="348"/>
      <c r="K79" s="353">
        <f>SUMIFS(FCPIS!$U$6:$U$899,FCPIS!$B$6:$B$899,$A79,FCPIS!$C$6:$C$899,$B79,FCPIS!$D$6:$D$899,K$4,FCPIS!$E$6:$E$899,$C79)*1000</f>
        <v>0</v>
      </c>
      <c r="L79" s="348"/>
      <c r="M79" s="353">
        <f t="shared" si="23"/>
        <v>0</v>
      </c>
      <c r="N79" s="348"/>
      <c r="O79" s="353">
        <f t="shared" si="24"/>
        <v>406991.12</v>
      </c>
      <c r="P79" s="348"/>
      <c r="Q79" s="353">
        <f>SUMIFS(FCPIS!$V$6:$V$899,FCPIS!$B$6:$B$899,$A79,FCPIS!$C$6:$C$899,$B79,FCPIS!$D$6:$D$899,Q$4,FCPIS!$E$6:$E$899,$C79)*1000</f>
        <v>406991.12</v>
      </c>
      <c r="R79" s="339"/>
      <c r="S79" s="354">
        <f>SUMIFS(FCPIS!$V$6:$V$899,FCPIS!$B$6:$B$899,$A79,FCPIS!$C$6:$C$899,$B79,FCPIS!$D$6:$D$899,S$4,FCPIS!$E$6:$E$899,$C79)*-1000</f>
        <v>-89200.422122973207</v>
      </c>
      <c r="T79" s="339"/>
      <c r="U79" s="354">
        <f t="shared" si="25"/>
        <v>317790.6978770268</v>
      </c>
      <c r="V79" s="348"/>
      <c r="W79" s="353">
        <f t="shared" si="26"/>
        <v>0</v>
      </c>
      <c r="X79" s="348"/>
      <c r="Y79" s="353">
        <f t="shared" si="27"/>
        <v>-89200.422122973207</v>
      </c>
      <c r="Z79" s="348"/>
      <c r="AA79" s="353">
        <f>SUMIFS(FCPIS!$T$6:$T$899,FCPIS!$B$6:$B$899,$A79,FCPIS!$C$6:$C$899,$B79,FCPIS!$D$6:$D$899,AA$4,FCPIS!$E$6:$E$899,$C79)*1000</f>
        <v>406991.12</v>
      </c>
      <c r="AB79" s="353">
        <f t="shared" si="28"/>
        <v>0</v>
      </c>
    </row>
    <row r="80" spans="1:28" x14ac:dyDescent="0.2">
      <c r="B80" s="345" t="s">
        <v>2657</v>
      </c>
      <c r="D80" s="339"/>
      <c r="E80" s="349">
        <f>SUM(E69:E79)</f>
        <v>1038787267.1899997</v>
      </c>
      <c r="F80" s="348"/>
      <c r="G80" s="349">
        <f>SUM(G69:G79)</f>
        <v>58983187.979999989</v>
      </c>
      <c r="H80" s="348"/>
      <c r="I80" s="349">
        <f>SUM(I69:I79)</f>
        <v>-4093363.1999999997</v>
      </c>
      <c r="J80" s="348"/>
      <c r="K80" s="349">
        <f>SUM(K69:K79)</f>
        <v>0</v>
      </c>
      <c r="L80" s="348"/>
      <c r="M80" s="349">
        <f>SUM(M69:M79)</f>
        <v>54889824.780000001</v>
      </c>
      <c r="N80" s="348"/>
      <c r="O80" s="349">
        <f>SUM(O69:O79)</f>
        <v>1093677091.9699996</v>
      </c>
      <c r="P80" s="348"/>
      <c r="Q80" s="349">
        <f>SUM(Q69:Q79)</f>
        <v>1067657097.8999996</v>
      </c>
      <c r="R80" s="339"/>
      <c r="S80" s="349">
        <f>SUM(S69:S79)</f>
        <v>-382386192.07841438</v>
      </c>
      <c r="T80" s="339"/>
      <c r="U80" s="349">
        <f>SUM(U69:U79)</f>
        <v>685270905.82158518</v>
      </c>
      <c r="V80" s="348"/>
      <c r="W80" s="352">
        <f>SUMIFS('FC CWIP &amp; RWIP'!$R$40:$R$58,'FC CWIP &amp; RWIP'!$A$40:$A$58,"KY",'FC CWIP &amp; RWIP'!$B$40:$B$58,D$68)*1000</f>
        <v>301454.04538461566</v>
      </c>
      <c r="X80" s="348"/>
      <c r="Y80" s="349">
        <f>SUM(Y69:Y79)</f>
        <v>-382084738.03302968</v>
      </c>
      <c r="Z80" s="348">
        <f>SUM(Z69:Z79)</f>
        <v>0</v>
      </c>
      <c r="AA80" s="349">
        <f>SUM(AA69:AA79)</f>
        <v>1093677091.9699986</v>
      </c>
      <c r="AB80" s="349">
        <f>SUM(AB69:AB79)</f>
        <v>-9.5367431640625E-7</v>
      </c>
    </row>
    <row r="81" spans="1:28" x14ac:dyDescent="0.2">
      <c r="B81" s="345" t="s">
        <v>2657</v>
      </c>
      <c r="D81" s="339"/>
      <c r="E81" s="349"/>
      <c r="F81" s="348"/>
      <c r="G81" s="349"/>
      <c r="H81" s="348"/>
      <c r="I81" s="349"/>
      <c r="J81" s="348"/>
      <c r="K81" s="349"/>
      <c r="L81" s="348"/>
      <c r="M81" s="349"/>
      <c r="N81" s="348"/>
      <c r="O81" s="349"/>
      <c r="P81" s="348"/>
      <c r="Q81" s="349"/>
      <c r="R81" s="339"/>
      <c r="S81" s="339"/>
      <c r="T81" s="339"/>
      <c r="U81" s="339"/>
      <c r="V81" s="348"/>
      <c r="W81" s="349"/>
      <c r="X81" s="348"/>
      <c r="Y81" s="349"/>
      <c r="Z81" s="348"/>
      <c r="AA81" s="349"/>
      <c r="AB81" s="349"/>
    </row>
    <row r="82" spans="1:28" x14ac:dyDescent="0.2">
      <c r="B82" s="345" t="s">
        <v>2657</v>
      </c>
      <c r="D82" s="338" t="s">
        <v>710</v>
      </c>
      <c r="E82" s="344"/>
      <c r="F82" s="346"/>
      <c r="G82" s="344"/>
      <c r="H82" s="346"/>
      <c r="I82" s="344"/>
      <c r="J82" s="346"/>
      <c r="K82" s="344"/>
      <c r="L82" s="346"/>
      <c r="M82" s="344"/>
      <c r="N82" s="346"/>
      <c r="O82" s="344"/>
      <c r="P82" s="346"/>
      <c r="Q82" s="344"/>
      <c r="R82" s="339"/>
      <c r="S82" s="339"/>
      <c r="T82" s="339"/>
      <c r="U82" s="339"/>
      <c r="V82" s="346"/>
      <c r="W82" s="344"/>
      <c r="X82" s="346"/>
      <c r="Y82" s="344"/>
      <c r="Z82" s="346"/>
      <c r="AA82" s="344"/>
      <c r="AB82" s="344"/>
    </row>
    <row r="83" spans="1:28" x14ac:dyDescent="0.2">
      <c r="A83" s="345" t="s">
        <v>935</v>
      </c>
      <c r="B83" s="345" t="s">
        <v>2657</v>
      </c>
      <c r="C83" s="345" t="str">
        <f t="shared" ref="C83:C92" si="30">MID(D83,2,3)</f>
        <v>310</v>
      </c>
      <c r="D83" s="339" t="s">
        <v>775</v>
      </c>
      <c r="E83" s="344">
        <f>SUMIFS(FCPIS!$H$6:$H$899,FCPIS!$B$6:$B$899,$A83,FCPIS!$C$6:$C$899,$B83,FCPIS!$D$6:$D$899,E$4,FCPIS!$E$6:$E$899,$C83)*1000</f>
        <v>24446473.829999901</v>
      </c>
      <c r="F83" s="346"/>
      <c r="G83" s="344">
        <f>SUMIFS(FCPIS!$U$6:$U$899,FCPIS!$B$6:$B$899,$A83,FCPIS!$C$6:$C$899,$B83,FCPIS!$D$6:$D$899,G$4,FCPIS!$E$6:$E$899,$C83)*1000</f>
        <v>0</v>
      </c>
      <c r="H83" s="346"/>
      <c r="I83" s="344">
        <f>SUMIFS(FCPIS!$U$6:$U$899,FCPIS!$B$6:$B$899,$A83,FCPIS!$C$6:$C$899,$B83,FCPIS!$D$6:$D$899,I$4,FCPIS!$E$6:$E$899,$C83)*-1000</f>
        <v>0</v>
      </c>
      <c r="J83" s="346"/>
      <c r="K83" s="344">
        <f>SUMIFS(FCPIS!$U$6:$U$899,FCPIS!$B$6:$B$899,$A83,FCPIS!$C$6:$C$899,$B83,FCPIS!$D$6:$D$899,K$4,FCPIS!$E$6:$E$899,$C83)*1000</f>
        <v>0</v>
      </c>
      <c r="L83" s="346"/>
      <c r="M83" s="344">
        <f t="shared" ref="M83:M94" si="31">SUM(G83:K83)</f>
        <v>0</v>
      </c>
      <c r="N83" s="346"/>
      <c r="O83" s="344">
        <f t="shared" ref="O83:O94" si="32">E83+M83</f>
        <v>24446473.829999901</v>
      </c>
      <c r="P83" s="346"/>
      <c r="Q83" s="344">
        <f>SUMIFS(FCPIS!$V$6:$V$899,FCPIS!$B$6:$B$899,$A83,FCPIS!$C$6:$C$899,$B83,FCPIS!$D$6:$D$899,Q$4,FCPIS!$E$6:$E$899,$C83)*1000</f>
        <v>24446473.829999898</v>
      </c>
      <c r="R83" s="339"/>
      <c r="S83" s="347">
        <f>SUMIFS(FCPIS!$V$6:$V$899,FCPIS!$B$6:$B$899,$A83,FCPIS!$C$6:$C$899,$B83,FCPIS!$D$6:$D$899,S$4,FCPIS!$E$6:$E$899,$C83)*-1000</f>
        <v>0</v>
      </c>
      <c r="T83" s="339"/>
      <c r="U83" s="347">
        <f t="shared" ref="U83:U94" si="33">Q83+S83</f>
        <v>24446473.829999898</v>
      </c>
      <c r="V83" s="346"/>
      <c r="W83" s="344"/>
      <c r="X83" s="346"/>
      <c r="Y83" s="344">
        <f t="shared" ref="Y83:Y94" si="34">S83+W83</f>
        <v>0</v>
      </c>
      <c r="Z83" s="346"/>
      <c r="AA83" s="344">
        <f>SUMIFS(FCPIS!$T$6:$T$899,FCPIS!$B$6:$B$899,$A83,FCPIS!$C$6:$C$899,$B83,FCPIS!$D$6:$D$899,AA$4,FCPIS!$E$6:$E$899,$C83)*1000</f>
        <v>24446473.829999901</v>
      </c>
      <c r="AB83" s="344">
        <f t="shared" ref="AB83:AB94" si="35">AA83-O83</f>
        <v>0</v>
      </c>
    </row>
    <row r="84" spans="1:28" x14ac:dyDescent="0.2">
      <c r="A84" s="345" t="s">
        <v>935</v>
      </c>
      <c r="B84" s="345" t="s">
        <v>2657</v>
      </c>
      <c r="C84" s="345" t="str">
        <f t="shared" si="30"/>
        <v>311</v>
      </c>
      <c r="D84" s="339" t="s">
        <v>776</v>
      </c>
      <c r="E84" s="344">
        <f>SUMIFS(FCPIS!$H$6:$H$899,FCPIS!$B$6:$B$899,$A84,FCPIS!$C$6:$C$899,$B84,FCPIS!$D$6:$D$899,E$4,FCPIS!$E$6:$E$899,$C84)*1000</f>
        <v>358084548.74999905</v>
      </c>
      <c r="F84" s="346"/>
      <c r="G84" s="344">
        <f>SUMIFS(FCPIS!$U$6:$U$899,FCPIS!$B$6:$B$899,$A84,FCPIS!$C$6:$C$899,$B84,FCPIS!$D$6:$D$899,G$4,FCPIS!$E$6:$E$899,$C84)*1000</f>
        <v>3237735.46</v>
      </c>
      <c r="H84" s="346"/>
      <c r="I84" s="344">
        <f>SUMIFS(FCPIS!$U$6:$U$899,FCPIS!$B$6:$B$899,$A84,FCPIS!$C$6:$C$899,$B84,FCPIS!$D$6:$D$899,I$4,FCPIS!$E$6:$E$899,$C84)*-1000</f>
        <v>-10675505.010000002</v>
      </c>
      <c r="J84" s="346"/>
      <c r="K84" s="344">
        <f>SUMIFS(FCPIS!$U$6:$U$899,FCPIS!$B$6:$B$899,$A84,FCPIS!$C$6:$C$899,$B84,FCPIS!$D$6:$D$899,K$4,FCPIS!$E$6:$E$899,$C84)*1000</f>
        <v>0</v>
      </c>
      <c r="L84" s="346"/>
      <c r="M84" s="344">
        <f t="shared" si="31"/>
        <v>-7437769.5500000017</v>
      </c>
      <c r="N84" s="346"/>
      <c r="O84" s="344">
        <f t="shared" si="32"/>
        <v>350646779.19999903</v>
      </c>
      <c r="P84" s="346"/>
      <c r="Q84" s="344">
        <f>SUMIFS(FCPIS!$V$6:$V$899,FCPIS!$B$6:$B$899,$A84,FCPIS!$C$6:$C$899,$B84,FCPIS!$D$6:$D$899,Q$4,FCPIS!$E$6:$E$899,$C84)*1000</f>
        <v>356223563.11461449</v>
      </c>
      <c r="R84" s="339"/>
      <c r="S84" s="347">
        <f>SUMIFS(FCPIS!$V$6:$V$899,FCPIS!$B$6:$B$899,$A84,FCPIS!$C$6:$C$899,$B84,FCPIS!$D$6:$D$899,S$4,FCPIS!$E$6:$E$899,$C84)*-1000</f>
        <v>-193777390.96866056</v>
      </c>
      <c r="T84" s="339"/>
      <c r="U84" s="347">
        <f t="shared" si="33"/>
        <v>162446172.14595392</v>
      </c>
      <c r="V84" s="346"/>
      <c r="W84" s="344">
        <f t="shared" ref="W84:W94" si="36">G84/(G$95-G$83)*W$95</f>
        <v>151815.83543442033</v>
      </c>
      <c r="X84" s="346"/>
      <c r="Y84" s="344">
        <f t="shared" si="34"/>
        <v>-193625575.13322616</v>
      </c>
      <c r="Z84" s="346"/>
      <c r="AA84" s="344">
        <f>SUMIFS(FCPIS!$T$6:$T$899,FCPIS!$B$6:$B$899,$A84,FCPIS!$C$6:$C$899,$B84,FCPIS!$D$6:$D$899,AA$4,FCPIS!$E$6:$E$899,$C84)*1000</f>
        <v>350646779.19999897</v>
      </c>
      <c r="AB84" s="344">
        <f t="shared" si="35"/>
        <v>0</v>
      </c>
    </row>
    <row r="85" spans="1:28" x14ac:dyDescent="0.2">
      <c r="A85" s="345" t="s">
        <v>935</v>
      </c>
      <c r="B85" s="345" t="s">
        <v>2657</v>
      </c>
      <c r="D85" s="339" t="s">
        <v>777</v>
      </c>
      <c r="E85" s="344">
        <f>SUMIFS(FCPIS!$H$6:$H$899,FCPIS!$B$6:$B$899,$A85,FCPIS!$C$6:$C$899,$B85,FCPIS!$D$6:$D$899,E$4,FCPIS!$E$6:$E$899,$C85)*1000</f>
        <v>0</v>
      </c>
      <c r="F85" s="346"/>
      <c r="G85" s="344">
        <f>SUMIFS(FCPIS!$U$6:$U$899,FCPIS!$B$6:$B$899,$A85,FCPIS!$C$6:$C$899,$B85,FCPIS!$D$6:$D$899,G$4,FCPIS!$E$6:$E$899,$C85)*1000</f>
        <v>0</v>
      </c>
      <c r="H85" s="346"/>
      <c r="I85" s="344">
        <f>SUMIFS(FCPIS!$U$6:$U$899,FCPIS!$B$6:$B$899,$A85,FCPIS!$C$6:$C$899,$B85,FCPIS!$D$6:$D$899,I$4,FCPIS!$E$6:$E$899,$C85)*-1000</f>
        <v>0</v>
      </c>
      <c r="J85" s="346"/>
      <c r="K85" s="344">
        <f>SUMIFS(FCPIS!$U$6:$U$899,FCPIS!$B$6:$B$899,$A85,FCPIS!$C$6:$C$899,$B85,FCPIS!$D$6:$D$899,K$4,FCPIS!$E$6:$E$899,$C85)*1000</f>
        <v>0</v>
      </c>
      <c r="L85" s="346"/>
      <c r="M85" s="344">
        <f t="shared" si="31"/>
        <v>0</v>
      </c>
      <c r="N85" s="346"/>
      <c r="O85" s="344">
        <f t="shared" si="32"/>
        <v>0</v>
      </c>
      <c r="P85" s="346"/>
      <c r="Q85" s="344">
        <f>SUMIFS(FCPIS!$V$6:$V$899,FCPIS!$B$6:$B$899,$A85,FCPIS!$C$6:$C$899,$B85,FCPIS!$D$6:$D$899,Q$4,FCPIS!$E$6:$E$899,$C85)*1000</f>
        <v>0</v>
      </c>
      <c r="R85" s="339"/>
      <c r="S85" s="347">
        <f>SUMIFS(FCPIS!$V$6:$V$899,FCPIS!$B$6:$B$899,$A85,FCPIS!$C$6:$C$899,$B85,FCPIS!$D$6:$D$899,S$4,FCPIS!$E$6:$E$899,$C85)*-1000</f>
        <v>0</v>
      </c>
      <c r="T85" s="339"/>
      <c r="U85" s="347">
        <f t="shared" si="33"/>
        <v>0</v>
      </c>
      <c r="V85" s="346"/>
      <c r="W85" s="344">
        <f t="shared" si="36"/>
        <v>0</v>
      </c>
      <c r="X85" s="346"/>
      <c r="Y85" s="344">
        <f t="shared" si="34"/>
        <v>0</v>
      </c>
      <c r="Z85" s="346"/>
      <c r="AA85" s="344">
        <f>SUMIFS(FCPIS!$T$6:$T$899,FCPIS!$B$6:$B$899,$A85,FCPIS!$C$6:$C$899,$B85,FCPIS!$D$6:$D$899,AA$4,FCPIS!$E$6:$E$899,$C85)*1000</f>
        <v>0</v>
      </c>
      <c r="AB85" s="344">
        <f t="shared" si="35"/>
        <v>0</v>
      </c>
    </row>
    <row r="86" spans="1:28" x14ac:dyDescent="0.2">
      <c r="A86" s="345" t="s">
        <v>935</v>
      </c>
      <c r="B86" s="345" t="s">
        <v>2657</v>
      </c>
      <c r="C86" s="345" t="str">
        <f t="shared" si="30"/>
        <v>312</v>
      </c>
      <c r="D86" s="339" t="s">
        <v>778</v>
      </c>
      <c r="E86" s="344">
        <f>SUMIFS(FCPIS!$H$6:$H$899,FCPIS!$B$6:$B$899,$A86,FCPIS!$C$6:$C$899,$B86,FCPIS!$D$6:$D$899,E$4,FCPIS!$E$6:$E$899,$C86)*1000</f>
        <v>4065908922.21</v>
      </c>
      <c r="F86" s="346"/>
      <c r="G86" s="344">
        <f>SUMIFS(FCPIS!$U$6:$U$899,FCPIS!$B$6:$B$899,$A86,FCPIS!$C$6:$C$899,$B86,FCPIS!$D$6:$D$899,G$4,FCPIS!$E$6:$E$899,$C86)*1000</f>
        <v>315389915.43999976</v>
      </c>
      <c r="H86" s="346"/>
      <c r="I86" s="344">
        <f>SUMIFS(FCPIS!$U$6:$U$899,FCPIS!$B$6:$B$899,$A86,FCPIS!$C$6:$C$899,$B86,FCPIS!$D$6:$D$899,I$4,FCPIS!$E$6:$E$899,$C86)*-1000</f>
        <v>-16499907.68</v>
      </c>
      <c r="J86" s="346"/>
      <c r="K86" s="344">
        <f>SUMIFS(FCPIS!$U$6:$U$899,FCPIS!$B$6:$B$899,$A86,FCPIS!$C$6:$C$899,$B86,FCPIS!$D$6:$D$899,K$4,FCPIS!$E$6:$E$899,$C86)*1000</f>
        <v>0</v>
      </c>
      <c r="L86" s="346"/>
      <c r="M86" s="344">
        <f t="shared" si="31"/>
        <v>298890007.75999975</v>
      </c>
      <c r="N86" s="346"/>
      <c r="O86" s="344">
        <f t="shared" si="32"/>
        <v>4364798929.9699993</v>
      </c>
      <c r="P86" s="346"/>
      <c r="Q86" s="344">
        <f>SUMIFS(FCPIS!$V$6:$V$899,FCPIS!$B$6:$B$899,$A86,FCPIS!$C$6:$C$899,$B86,FCPIS!$D$6:$D$899,Q$4,FCPIS!$E$6:$E$899,$C86)*1000</f>
        <v>4268165562.7046151</v>
      </c>
      <c r="R86" s="339"/>
      <c r="S86" s="347">
        <f>SUMIFS(FCPIS!$V$6:$V$899,FCPIS!$B$6:$B$899,$A86,FCPIS!$C$6:$C$899,$B86,FCPIS!$D$6:$D$899,S$4,FCPIS!$E$6:$E$899,$C86)*-1000</f>
        <v>-1303668210.9751284</v>
      </c>
      <c r="T86" s="339"/>
      <c r="U86" s="347">
        <f t="shared" si="33"/>
        <v>2964497351.7294865</v>
      </c>
      <c r="V86" s="346"/>
      <c r="W86" s="344">
        <f t="shared" si="36"/>
        <v>14788479.198394652</v>
      </c>
      <c r="X86" s="346"/>
      <c r="Y86" s="344">
        <f t="shared" si="34"/>
        <v>-1288879731.7767339</v>
      </c>
      <c r="Z86" s="346"/>
      <c r="AA86" s="344">
        <f>SUMIFS(FCPIS!$T$6:$T$899,FCPIS!$B$6:$B$899,$A86,FCPIS!$C$6:$C$899,$B86,FCPIS!$D$6:$D$899,AA$4,FCPIS!$E$6:$E$899,$C86)*1000</f>
        <v>4364798929.9699993</v>
      </c>
      <c r="AB86" s="344">
        <f t="shared" si="35"/>
        <v>0</v>
      </c>
    </row>
    <row r="87" spans="1:28" x14ac:dyDescent="0.2">
      <c r="A87" s="345" t="s">
        <v>935</v>
      </c>
      <c r="B87" s="345" t="s">
        <v>2657</v>
      </c>
      <c r="D87" s="339" t="s">
        <v>779</v>
      </c>
      <c r="E87" s="344">
        <f>SUMIFS(FCPIS!$H$6:$H$899,FCPIS!$B$6:$B$899,$A87,FCPIS!$C$6:$C$899,$B87,FCPIS!$D$6:$D$899,E$4,FCPIS!$E$6:$E$899,$C87)*1000</f>
        <v>0</v>
      </c>
      <c r="F87" s="346"/>
      <c r="G87" s="344">
        <f>SUMIFS(FCPIS!$U$6:$U$899,FCPIS!$B$6:$B$899,$A87,FCPIS!$C$6:$C$899,$B87,FCPIS!$D$6:$D$899,G$4,FCPIS!$E$6:$E$899,$C87)*1000</f>
        <v>0</v>
      </c>
      <c r="H87" s="346"/>
      <c r="I87" s="344">
        <f>SUMIFS(FCPIS!$U$6:$U$899,FCPIS!$B$6:$B$899,$A87,FCPIS!$C$6:$C$899,$B87,FCPIS!$D$6:$D$899,I$4,FCPIS!$E$6:$E$899,$C87)*-1000</f>
        <v>0</v>
      </c>
      <c r="J87" s="346"/>
      <c r="K87" s="344">
        <f>SUMIFS(FCPIS!$U$6:$U$899,FCPIS!$B$6:$B$899,$A87,FCPIS!$C$6:$C$899,$B87,FCPIS!$D$6:$D$899,K$4,FCPIS!$E$6:$E$899,$C87)*1000</f>
        <v>0</v>
      </c>
      <c r="L87" s="346"/>
      <c r="M87" s="344">
        <f t="shared" si="31"/>
        <v>0</v>
      </c>
      <c r="N87" s="346"/>
      <c r="O87" s="344">
        <f t="shared" si="32"/>
        <v>0</v>
      </c>
      <c r="P87" s="346"/>
      <c r="Q87" s="344">
        <f>SUMIFS(FCPIS!$V$6:$V$899,FCPIS!$B$6:$B$899,$A87,FCPIS!$C$6:$C$899,$B87,FCPIS!$D$6:$D$899,Q$4,FCPIS!$E$6:$E$899,$C87)*1000</f>
        <v>0</v>
      </c>
      <c r="R87" s="339"/>
      <c r="S87" s="347">
        <f>SUMIFS(FCPIS!$V$6:$V$899,FCPIS!$B$6:$B$899,$A87,FCPIS!$C$6:$C$899,$B87,FCPIS!$D$6:$D$899,S$4,FCPIS!$E$6:$E$899,$C87)*-1000</f>
        <v>0</v>
      </c>
      <c r="T87" s="339"/>
      <c r="U87" s="347">
        <f t="shared" si="33"/>
        <v>0</v>
      </c>
      <c r="V87" s="346"/>
      <c r="W87" s="344">
        <f t="shared" si="36"/>
        <v>0</v>
      </c>
      <c r="X87" s="346"/>
      <c r="Y87" s="344">
        <f t="shared" si="34"/>
        <v>0</v>
      </c>
      <c r="Z87" s="346"/>
      <c r="AA87" s="344">
        <f>SUMIFS(FCPIS!$T$6:$T$899,FCPIS!$B$6:$B$899,$A87,FCPIS!$C$6:$C$899,$B87,FCPIS!$D$6:$D$899,AA$4,FCPIS!$E$6:$E$899,$C87)*1000</f>
        <v>0</v>
      </c>
      <c r="AB87" s="344">
        <f t="shared" si="35"/>
        <v>0</v>
      </c>
    </row>
    <row r="88" spans="1:28" x14ac:dyDescent="0.2">
      <c r="A88" s="345" t="s">
        <v>935</v>
      </c>
      <c r="B88" s="345" t="s">
        <v>2657</v>
      </c>
      <c r="C88" s="345" t="str">
        <f t="shared" si="30"/>
        <v>314</v>
      </c>
      <c r="D88" s="339" t="s">
        <v>780</v>
      </c>
      <c r="E88" s="344">
        <f>SUMIFS(FCPIS!$H$6:$H$899,FCPIS!$B$6:$B$899,$A88,FCPIS!$C$6:$C$899,$B88,FCPIS!$D$6:$D$899,E$4,FCPIS!$E$6:$E$899,$C88)*1000</f>
        <v>330028893.44999999</v>
      </c>
      <c r="F88" s="346"/>
      <c r="G88" s="344">
        <f>SUMIFS(FCPIS!$U$6:$U$899,FCPIS!$B$6:$B$899,$A88,FCPIS!$C$6:$C$899,$B88,FCPIS!$D$6:$D$899,G$4,FCPIS!$E$6:$E$899,$C88)*1000</f>
        <v>10197328.979999989</v>
      </c>
      <c r="H88" s="346"/>
      <c r="I88" s="344">
        <f>SUMIFS(FCPIS!$U$6:$U$899,FCPIS!$B$6:$B$899,$A88,FCPIS!$C$6:$C$899,$B88,FCPIS!$D$6:$D$899,I$4,FCPIS!$E$6:$E$899,$C88)*-1000</f>
        <v>-7294506.6399999997</v>
      </c>
      <c r="J88" s="346"/>
      <c r="K88" s="344">
        <f>SUMIFS(FCPIS!$U$6:$U$899,FCPIS!$B$6:$B$899,$A88,FCPIS!$C$6:$C$899,$B88,FCPIS!$D$6:$D$899,K$4,FCPIS!$E$6:$E$899,$C88)*1000</f>
        <v>0</v>
      </c>
      <c r="L88" s="346"/>
      <c r="M88" s="344">
        <f t="shared" si="31"/>
        <v>2902822.3399999896</v>
      </c>
      <c r="N88" s="346"/>
      <c r="O88" s="344">
        <f t="shared" si="32"/>
        <v>332931715.78999996</v>
      </c>
      <c r="P88" s="346"/>
      <c r="Q88" s="344">
        <f>SUMIFS(FCPIS!$V$6:$V$899,FCPIS!$B$6:$B$899,$A88,FCPIS!$C$6:$C$899,$B88,FCPIS!$D$6:$D$899,Q$4,FCPIS!$E$6:$E$899,$C88)*1000</f>
        <v>334308154.73461533</v>
      </c>
      <c r="R88" s="339"/>
      <c r="S88" s="347">
        <f>SUMIFS(FCPIS!$V$6:$V$899,FCPIS!$B$6:$B$899,$A88,FCPIS!$C$6:$C$899,$B88,FCPIS!$D$6:$D$899,S$4,FCPIS!$E$6:$E$899,$C88)*-1000</f>
        <v>-147411521.45997161</v>
      </c>
      <c r="T88" s="339"/>
      <c r="U88" s="347">
        <f t="shared" si="33"/>
        <v>186896633.27464372</v>
      </c>
      <c r="V88" s="346"/>
      <c r="W88" s="344">
        <f t="shared" si="36"/>
        <v>478147.77872504859</v>
      </c>
      <c r="X88" s="346"/>
      <c r="Y88" s="344">
        <f t="shared" si="34"/>
        <v>-146933373.68124655</v>
      </c>
      <c r="Z88" s="346"/>
      <c r="AA88" s="344">
        <f>SUMIFS(FCPIS!$T$6:$T$899,FCPIS!$B$6:$B$899,$A88,FCPIS!$C$6:$C$899,$B88,FCPIS!$D$6:$D$899,AA$4,FCPIS!$E$6:$E$899,$C88)*1000</f>
        <v>332931715.78999996</v>
      </c>
      <c r="AB88" s="344">
        <f t="shared" si="35"/>
        <v>0</v>
      </c>
    </row>
    <row r="89" spans="1:28" x14ac:dyDescent="0.2">
      <c r="A89" s="345" t="s">
        <v>935</v>
      </c>
      <c r="B89" s="345" t="s">
        <v>2657</v>
      </c>
      <c r="D89" s="339" t="s">
        <v>781</v>
      </c>
      <c r="E89" s="344">
        <f>SUMIFS(FCPIS!$H$6:$H$899,FCPIS!$B$6:$B$899,$A89,FCPIS!$C$6:$C$899,$B89,FCPIS!$D$6:$D$899,E$4,FCPIS!$E$6:$E$899,$C89)*1000</f>
        <v>0</v>
      </c>
      <c r="F89" s="346"/>
      <c r="G89" s="344">
        <f>SUMIFS(FCPIS!$U$6:$U$899,FCPIS!$B$6:$B$899,$A89,FCPIS!$C$6:$C$899,$B89,FCPIS!$D$6:$D$899,G$4,FCPIS!$E$6:$E$899,$C89)*1000</f>
        <v>0</v>
      </c>
      <c r="H89" s="346"/>
      <c r="I89" s="344">
        <f>SUMIFS(FCPIS!$U$6:$U$899,FCPIS!$B$6:$B$899,$A89,FCPIS!$C$6:$C$899,$B89,FCPIS!$D$6:$D$899,I$4,FCPIS!$E$6:$E$899,$C89)*-1000</f>
        <v>0</v>
      </c>
      <c r="J89" s="346"/>
      <c r="K89" s="344">
        <f>SUMIFS(FCPIS!$U$6:$U$899,FCPIS!$B$6:$B$899,$A89,FCPIS!$C$6:$C$899,$B89,FCPIS!$D$6:$D$899,K$4,FCPIS!$E$6:$E$899,$C89)*1000</f>
        <v>0</v>
      </c>
      <c r="L89" s="346"/>
      <c r="M89" s="344">
        <f t="shared" si="31"/>
        <v>0</v>
      </c>
      <c r="N89" s="346"/>
      <c r="O89" s="344">
        <f t="shared" si="32"/>
        <v>0</v>
      </c>
      <c r="P89" s="346"/>
      <c r="Q89" s="344">
        <f>SUMIFS(FCPIS!$V$6:$V$899,FCPIS!$B$6:$B$899,$A89,FCPIS!$C$6:$C$899,$B89,FCPIS!$D$6:$D$899,Q$4,FCPIS!$E$6:$E$899,$C89)*1000</f>
        <v>0</v>
      </c>
      <c r="R89" s="339"/>
      <c r="S89" s="347">
        <f>SUMIFS(FCPIS!$V$6:$V$899,FCPIS!$B$6:$B$899,$A89,FCPIS!$C$6:$C$899,$B89,FCPIS!$D$6:$D$899,S$4,FCPIS!$E$6:$E$899,$C89)*-1000</f>
        <v>0</v>
      </c>
      <c r="T89" s="339"/>
      <c r="U89" s="347">
        <f t="shared" si="33"/>
        <v>0</v>
      </c>
      <c r="V89" s="346"/>
      <c r="W89" s="344">
        <f t="shared" si="36"/>
        <v>0</v>
      </c>
      <c r="X89" s="346"/>
      <c r="Y89" s="344">
        <f t="shared" si="34"/>
        <v>0</v>
      </c>
      <c r="Z89" s="346"/>
      <c r="AA89" s="344">
        <f>SUMIFS(FCPIS!$T$6:$T$899,FCPIS!$B$6:$B$899,$A89,FCPIS!$C$6:$C$899,$B89,FCPIS!$D$6:$D$899,AA$4,FCPIS!$E$6:$E$899,$C89)*1000</f>
        <v>0</v>
      </c>
      <c r="AB89" s="344">
        <f t="shared" si="35"/>
        <v>0</v>
      </c>
    </row>
    <row r="90" spans="1:28" x14ac:dyDescent="0.2">
      <c r="A90" s="345" t="s">
        <v>935</v>
      </c>
      <c r="B90" s="345" t="s">
        <v>2657</v>
      </c>
      <c r="C90" s="345" t="str">
        <f t="shared" si="30"/>
        <v>315</v>
      </c>
      <c r="D90" s="339" t="s">
        <v>782</v>
      </c>
      <c r="E90" s="344">
        <f>SUMIFS(FCPIS!$H$6:$H$899,FCPIS!$B$6:$B$899,$A90,FCPIS!$C$6:$C$899,$B90,FCPIS!$D$6:$D$899,E$4,FCPIS!$E$6:$E$899,$C90)*1000</f>
        <v>250294530.19000003</v>
      </c>
      <c r="F90" s="346"/>
      <c r="G90" s="344">
        <f>SUMIFS(FCPIS!$U$6:$U$899,FCPIS!$B$6:$B$899,$A90,FCPIS!$C$6:$C$899,$B90,FCPIS!$D$6:$D$899,G$4,FCPIS!$E$6:$E$899,$C90)*1000</f>
        <v>7955975.3500000006</v>
      </c>
      <c r="H90" s="346"/>
      <c r="I90" s="344">
        <f>SUMIFS(FCPIS!$U$6:$U$899,FCPIS!$B$6:$B$899,$A90,FCPIS!$C$6:$C$899,$B90,FCPIS!$D$6:$D$899,I$4,FCPIS!$E$6:$E$899,$C90)*-1000</f>
        <v>-1058983.8</v>
      </c>
      <c r="J90" s="346"/>
      <c r="K90" s="344">
        <f>SUMIFS(FCPIS!$U$6:$U$899,FCPIS!$B$6:$B$899,$A90,FCPIS!$C$6:$C$899,$B90,FCPIS!$D$6:$D$899,K$4,FCPIS!$E$6:$E$899,$C90)*1000</f>
        <v>0</v>
      </c>
      <c r="L90" s="346"/>
      <c r="M90" s="344">
        <f t="shared" si="31"/>
        <v>6896991.5500000007</v>
      </c>
      <c r="N90" s="346"/>
      <c r="O90" s="344">
        <f t="shared" si="32"/>
        <v>257191521.74000004</v>
      </c>
      <c r="P90" s="346"/>
      <c r="Q90" s="344">
        <f>SUMIFS(FCPIS!$V$6:$V$899,FCPIS!$B$6:$B$899,$A90,FCPIS!$C$6:$C$899,$B90,FCPIS!$D$6:$D$899,Q$4,FCPIS!$E$6:$E$899,$C90)*1000</f>
        <v>253631737.58153844</v>
      </c>
      <c r="R90" s="339"/>
      <c r="S90" s="347">
        <f>SUMIFS(FCPIS!$V$6:$V$899,FCPIS!$B$6:$B$899,$A90,FCPIS!$C$6:$C$899,$B90,FCPIS!$D$6:$D$899,S$4,FCPIS!$E$6:$E$899,$C90)*-1000</f>
        <v>-116987039.26112391</v>
      </c>
      <c r="T90" s="339"/>
      <c r="U90" s="347">
        <f t="shared" si="33"/>
        <v>136644698.32041454</v>
      </c>
      <c r="V90" s="346"/>
      <c r="W90" s="344">
        <f t="shared" si="36"/>
        <v>373051.80098188273</v>
      </c>
      <c r="X90" s="346"/>
      <c r="Y90" s="344">
        <f t="shared" si="34"/>
        <v>-116613987.46014203</v>
      </c>
      <c r="Z90" s="346"/>
      <c r="AA90" s="344">
        <f>SUMIFS(FCPIS!$T$6:$T$899,FCPIS!$B$6:$B$899,$A90,FCPIS!$C$6:$C$899,$B90,FCPIS!$D$6:$D$899,AA$4,FCPIS!$E$6:$E$899,$C90)*1000</f>
        <v>257191521.74000001</v>
      </c>
      <c r="AB90" s="344">
        <f t="shared" si="35"/>
        <v>0</v>
      </c>
    </row>
    <row r="91" spans="1:28" x14ac:dyDescent="0.2">
      <c r="A91" s="345" t="s">
        <v>935</v>
      </c>
      <c r="B91" s="345" t="s">
        <v>2657</v>
      </c>
      <c r="D91" s="339" t="s">
        <v>1171</v>
      </c>
      <c r="E91" s="344">
        <f>SUMIFS(FCPIS!$H$6:$H$899,FCPIS!$B$6:$B$899,$A91,FCPIS!$C$6:$C$899,$B91,FCPIS!$D$6:$D$899,E$4,FCPIS!$E$6:$E$899,$C91)*1000</f>
        <v>0</v>
      </c>
      <c r="F91" s="346"/>
      <c r="G91" s="344">
        <f>SUMIFS(FCPIS!$U$6:$U$899,FCPIS!$B$6:$B$899,$A91,FCPIS!$C$6:$C$899,$B91,FCPIS!$D$6:$D$899,G$4,FCPIS!$E$6:$E$899,$C91)*1000</f>
        <v>0</v>
      </c>
      <c r="H91" s="346"/>
      <c r="I91" s="344">
        <f>SUMIFS(FCPIS!$U$6:$U$899,FCPIS!$B$6:$B$899,$A91,FCPIS!$C$6:$C$899,$B91,FCPIS!$D$6:$D$899,I$4,FCPIS!$E$6:$E$899,$C91)*-1000</f>
        <v>0</v>
      </c>
      <c r="J91" s="346"/>
      <c r="K91" s="344">
        <f>SUMIFS(FCPIS!$U$6:$U$899,FCPIS!$B$6:$B$899,$A91,FCPIS!$C$6:$C$899,$B91,FCPIS!$D$6:$D$899,K$4,FCPIS!$E$6:$E$899,$C91)*1000</f>
        <v>0</v>
      </c>
      <c r="L91" s="346"/>
      <c r="M91" s="344">
        <f t="shared" si="31"/>
        <v>0</v>
      </c>
      <c r="N91" s="346"/>
      <c r="O91" s="344">
        <f t="shared" si="32"/>
        <v>0</v>
      </c>
      <c r="P91" s="346"/>
      <c r="Q91" s="344">
        <f>SUMIFS(FCPIS!$V$6:$V$899,FCPIS!$B$6:$B$899,$A91,FCPIS!$C$6:$C$899,$B91,FCPIS!$D$6:$D$899,Q$4,FCPIS!$E$6:$E$899,$C91)*1000</f>
        <v>0</v>
      </c>
      <c r="R91" s="339"/>
      <c r="S91" s="347">
        <f>SUMIFS(FCPIS!$V$6:$V$899,FCPIS!$B$6:$B$899,$A91,FCPIS!$C$6:$C$899,$B91,FCPIS!$D$6:$D$899,S$4,FCPIS!$E$6:$E$899,$C91)*-1000</f>
        <v>0</v>
      </c>
      <c r="T91" s="339"/>
      <c r="U91" s="347">
        <f t="shared" si="33"/>
        <v>0</v>
      </c>
      <c r="V91" s="346"/>
      <c r="W91" s="344">
        <f t="shared" si="36"/>
        <v>0</v>
      </c>
      <c r="X91" s="346"/>
      <c r="Y91" s="344">
        <f t="shared" si="34"/>
        <v>0</v>
      </c>
      <c r="Z91" s="346"/>
      <c r="AA91" s="344">
        <f>SUMIFS(FCPIS!$T$6:$T$899,FCPIS!$B$6:$B$899,$A91,FCPIS!$C$6:$C$899,$B91,FCPIS!$D$6:$D$899,AA$4,FCPIS!$E$6:$E$899,$C91)*1000</f>
        <v>0</v>
      </c>
      <c r="AB91" s="344">
        <f t="shared" si="35"/>
        <v>0</v>
      </c>
    </row>
    <row r="92" spans="1:28" x14ac:dyDescent="0.2">
      <c r="A92" s="345" t="s">
        <v>935</v>
      </c>
      <c r="B92" s="345" t="s">
        <v>2657</v>
      </c>
      <c r="C92" s="345" t="str">
        <f t="shared" si="30"/>
        <v>316</v>
      </c>
      <c r="D92" s="339" t="s">
        <v>783</v>
      </c>
      <c r="E92" s="344">
        <f>SUMIFS(FCPIS!$H$6:$H$899,FCPIS!$B$6:$B$899,$A92,FCPIS!$C$6:$C$899,$B92,FCPIS!$D$6:$D$899,E$4,FCPIS!$E$6:$E$899,$C92)*1000</f>
        <v>39678536.539999902</v>
      </c>
      <c r="F92" s="346"/>
      <c r="G92" s="344">
        <f>SUMIFS(FCPIS!$U$6:$U$899,FCPIS!$B$6:$B$899,$A92,FCPIS!$C$6:$C$899,$B92,FCPIS!$D$6:$D$899,G$4,FCPIS!$E$6:$E$899,$C92)*1000</f>
        <v>7139814.2899999889</v>
      </c>
      <c r="H92" s="346"/>
      <c r="I92" s="344">
        <f>SUMIFS(FCPIS!$U$6:$U$899,FCPIS!$B$6:$B$899,$A92,FCPIS!$C$6:$C$899,$B92,FCPIS!$D$6:$D$899,I$4,FCPIS!$E$6:$E$899,$C92)*-1000</f>
        <v>-536312.27</v>
      </c>
      <c r="J92" s="346"/>
      <c r="K92" s="344">
        <f>SUMIFS(FCPIS!$U$6:$U$899,FCPIS!$B$6:$B$899,$A92,FCPIS!$C$6:$C$899,$B92,FCPIS!$D$6:$D$899,K$4,FCPIS!$E$6:$E$899,$C92)*1000</f>
        <v>0</v>
      </c>
      <c r="L92" s="346"/>
      <c r="M92" s="344">
        <f t="shared" si="31"/>
        <v>6603502.0199999884</v>
      </c>
      <c r="N92" s="346"/>
      <c r="O92" s="344">
        <f t="shared" si="32"/>
        <v>46282038.559999891</v>
      </c>
      <c r="P92" s="346"/>
      <c r="Q92" s="344">
        <f>SUMIFS(FCPIS!$V$6:$V$899,FCPIS!$B$6:$B$899,$A92,FCPIS!$C$6:$C$899,$B92,FCPIS!$D$6:$D$899,Q$4,FCPIS!$E$6:$E$899,$C92)*1000</f>
        <v>43360171.782307617</v>
      </c>
      <c r="R92" s="339"/>
      <c r="S92" s="347">
        <f>SUMIFS(FCPIS!$V$6:$V$899,FCPIS!$B$6:$B$899,$A92,FCPIS!$C$6:$C$899,$B92,FCPIS!$D$6:$D$899,S$4,FCPIS!$E$6:$E$899,$C92)*-1000</f>
        <v>-17137719.851145133</v>
      </c>
      <c r="T92" s="339"/>
      <c r="U92" s="347">
        <f t="shared" si="33"/>
        <v>26222451.931162484</v>
      </c>
      <c r="V92" s="346"/>
      <c r="W92" s="344">
        <f t="shared" si="36"/>
        <v>334782.40723315947</v>
      </c>
      <c r="X92" s="346"/>
      <c r="Y92" s="344">
        <f t="shared" si="34"/>
        <v>-16802937.443911973</v>
      </c>
      <c r="Z92" s="346"/>
      <c r="AA92" s="344">
        <f>SUMIFS(FCPIS!$T$6:$T$899,FCPIS!$B$6:$B$899,$A92,FCPIS!$C$6:$C$899,$B92,FCPIS!$D$6:$D$899,AA$4,FCPIS!$E$6:$E$899,$C92)*1000</f>
        <v>46282038.560000002</v>
      </c>
      <c r="AB92" s="344">
        <f t="shared" si="35"/>
        <v>1.1175870895385742E-7</v>
      </c>
    </row>
    <row r="93" spans="1:28" x14ac:dyDescent="0.2">
      <c r="A93" s="345" t="s">
        <v>935</v>
      </c>
      <c r="B93" s="345" t="s">
        <v>2657</v>
      </c>
      <c r="C93" s="345" t="str">
        <f>MID(D93,2,3)</f>
        <v>317</v>
      </c>
      <c r="D93" s="339" t="s">
        <v>784</v>
      </c>
      <c r="E93" s="344">
        <f>SUMIFS(FCPIS!$H$6:$H$899,FCPIS!$B$6:$B$899,$A93,FCPIS!$C$6:$C$899,$B93,FCPIS!$D$6:$D$899,E$4,FCPIS!$E$6:$E$899,$C93)*1000</f>
        <v>197376730.81</v>
      </c>
      <c r="F93" s="346"/>
      <c r="G93" s="344">
        <f>SUMIFS(FCPIS!$U$6:$U$899,FCPIS!$B$6:$B$899,$A93,FCPIS!$C$6:$C$899,$B93,FCPIS!$D$6:$D$899,G$4,FCPIS!$E$6:$E$899,$C93)*1000</f>
        <v>0</v>
      </c>
      <c r="H93" s="346"/>
      <c r="I93" s="344">
        <f>SUMIFS(FCPIS!$U$6:$U$899,FCPIS!$B$6:$B$899,$A93,FCPIS!$C$6:$C$899,$B93,FCPIS!$D$6:$D$899,I$4,FCPIS!$E$6:$E$899,$C93)*-1000</f>
        <v>-61964754.82</v>
      </c>
      <c r="J93" s="346"/>
      <c r="K93" s="344">
        <f>SUMIFS(FCPIS!$U$6:$U$899,FCPIS!$B$6:$B$899,$A93,FCPIS!$C$6:$C$899,$B93,FCPIS!$D$6:$D$899,K$4,FCPIS!$E$6:$E$899,$C93)*1000</f>
        <v>0</v>
      </c>
      <c r="L93" s="346"/>
      <c r="M93" s="344">
        <f t="shared" si="31"/>
        <v>-61964754.82</v>
      </c>
      <c r="N93" s="346"/>
      <c r="O93" s="344">
        <f t="shared" si="32"/>
        <v>135411975.99000001</v>
      </c>
      <c r="P93" s="346"/>
      <c r="Q93" s="344">
        <f>SUMIFS(FCPIS!$V$6:$V$899,FCPIS!$B$6:$B$899,$A93,FCPIS!$C$6:$C$899,$B93,FCPIS!$D$6:$D$899,Q$4,FCPIS!$E$6:$E$899,$C93)*1000</f>
        <v>178310652.40384617</v>
      </c>
      <c r="R93" s="339"/>
      <c r="S93" s="347">
        <f>SUMIFS(FCPIS!$V$6:$V$899,FCPIS!$B$6:$B$899,$A93,FCPIS!$C$6:$C$899,$B93,FCPIS!$D$6:$D$899,S$4,FCPIS!$E$6:$E$899,$C93)*-1000</f>
        <v>-129629568.28234208</v>
      </c>
      <c r="T93" s="339"/>
      <c r="U93" s="347">
        <f>Q93+S93</f>
        <v>48681084.121504098</v>
      </c>
      <c r="V93" s="346"/>
      <c r="W93" s="344">
        <f t="shared" si="36"/>
        <v>0</v>
      </c>
      <c r="X93" s="346"/>
      <c r="Y93" s="344">
        <f>S93+W93</f>
        <v>-129629568.28234208</v>
      </c>
      <c r="Z93" s="346"/>
      <c r="AA93" s="344">
        <f>SUMIFS(FCPIS!$T$6:$T$899,FCPIS!$B$6:$B$899,$A93,FCPIS!$C$6:$C$899,$B93,FCPIS!$D$6:$D$899,AA$4,FCPIS!$E$6:$E$899,$C93)*1000</f>
        <v>135411975.99000001</v>
      </c>
      <c r="AB93" s="344">
        <f t="shared" si="35"/>
        <v>0</v>
      </c>
    </row>
    <row r="94" spans="1:28" x14ac:dyDescent="0.2">
      <c r="A94" s="345" t="s">
        <v>935</v>
      </c>
      <c r="B94" s="345" t="s">
        <v>2657</v>
      </c>
      <c r="D94" s="339" t="s">
        <v>1460</v>
      </c>
      <c r="E94" s="353">
        <f>SUMIFS(FCPIS!$H$6:$H$899,FCPIS!$B$6:$B$899,$A94,FCPIS!$C$6:$C$899,$B94,FCPIS!$D$6:$D$899,E$4,FCPIS!$E$6:$E$899,$C94)*1000</f>
        <v>0</v>
      </c>
      <c r="F94" s="348"/>
      <c r="G94" s="353">
        <f>SUMIFS(FCPIS!$U$6:$U$899,FCPIS!$B$6:$B$899,$A94,FCPIS!$C$6:$C$899,$B94,FCPIS!$D$6:$D$899,G$4,FCPIS!$E$6:$E$899,$C94)*1000</f>
        <v>0</v>
      </c>
      <c r="H94" s="348"/>
      <c r="I94" s="353">
        <f>SUMIFS(FCPIS!$U$6:$U$899,FCPIS!$B$6:$B$899,$A94,FCPIS!$C$6:$C$899,$B94,FCPIS!$D$6:$D$899,I$4,FCPIS!$E$6:$E$899,$C94)*-1000</f>
        <v>0</v>
      </c>
      <c r="J94" s="348"/>
      <c r="K94" s="353">
        <f>SUMIFS(FCPIS!$U$6:$U$899,FCPIS!$B$6:$B$899,$A94,FCPIS!$C$6:$C$899,$B94,FCPIS!$D$6:$D$899,K$4,FCPIS!$E$6:$E$899,$C94)*1000</f>
        <v>0</v>
      </c>
      <c r="L94" s="348"/>
      <c r="M94" s="353">
        <f t="shared" si="31"/>
        <v>0</v>
      </c>
      <c r="N94" s="348"/>
      <c r="O94" s="353">
        <f t="shared" si="32"/>
        <v>0</v>
      </c>
      <c r="P94" s="348"/>
      <c r="Q94" s="353">
        <f>SUMIFS(FCPIS!$V$6:$V$899,FCPIS!$B$6:$B$899,$A94,FCPIS!$C$6:$C$899,$B94,FCPIS!$D$6:$D$899,Q$4,FCPIS!$E$6:$E$899,$C94)*1000</f>
        <v>0</v>
      </c>
      <c r="R94" s="339"/>
      <c r="S94" s="354">
        <f>SUMIFS(FCPIS!$V$6:$V$899,FCPIS!$B$6:$B$899,$A94,FCPIS!$C$6:$C$899,$B94,FCPIS!$D$6:$D$899,S$4,FCPIS!$E$6:$E$899,$C94)*-1000</f>
        <v>0</v>
      </c>
      <c r="T94" s="339"/>
      <c r="U94" s="354">
        <f t="shared" si="33"/>
        <v>0</v>
      </c>
      <c r="V94" s="348"/>
      <c r="W94" s="353">
        <f t="shared" si="36"/>
        <v>0</v>
      </c>
      <c r="X94" s="348"/>
      <c r="Y94" s="353">
        <f t="shared" si="34"/>
        <v>0</v>
      </c>
      <c r="Z94" s="348"/>
      <c r="AA94" s="353">
        <f>SUMIFS(FCPIS!$T$6:$T$899,FCPIS!$B$6:$B$899,$A94,FCPIS!$C$6:$C$899,$B94,FCPIS!$D$6:$D$899,AA$4,FCPIS!$E$6:$E$899,$C94)*1000</f>
        <v>0</v>
      </c>
      <c r="AB94" s="353">
        <f t="shared" si="35"/>
        <v>0</v>
      </c>
    </row>
    <row r="95" spans="1:28" x14ac:dyDescent="0.2">
      <c r="B95" s="345" t="s">
        <v>2657</v>
      </c>
      <c r="D95" s="339"/>
      <c r="E95" s="349">
        <f>SUM(E83:E94)</f>
        <v>5265818635.7799988</v>
      </c>
      <c r="F95" s="348"/>
      <c r="G95" s="349">
        <f>SUM(G83:G94)</f>
        <v>343920769.51999974</v>
      </c>
      <c r="H95" s="348"/>
      <c r="I95" s="349">
        <f>SUM(I83:I94)</f>
        <v>-98029970.219999999</v>
      </c>
      <c r="J95" s="348"/>
      <c r="K95" s="349">
        <f>SUM(K83:K94)</f>
        <v>0</v>
      </c>
      <c r="L95" s="348"/>
      <c r="M95" s="349">
        <f>SUM(M83:M94)</f>
        <v>245890799.29999971</v>
      </c>
      <c r="N95" s="348"/>
      <c r="O95" s="349">
        <f>SUM(O83:O94)</f>
        <v>5511709435.0799971</v>
      </c>
      <c r="P95" s="348"/>
      <c r="Q95" s="349">
        <f>SUM(Q83:Q94)</f>
        <v>5458446316.151536</v>
      </c>
      <c r="R95" s="339"/>
      <c r="S95" s="349">
        <f>SUM(S83:S94)</f>
        <v>-1908611450.7983718</v>
      </c>
      <c r="T95" s="339"/>
      <c r="U95" s="349">
        <f>SUM(U83:U94)</f>
        <v>3549834865.3531656</v>
      </c>
      <c r="V95" s="348"/>
      <c r="W95" s="352">
        <f>SUMIFS('FC CWIP &amp; RWIP'!$R$40:$R$58,'FC CWIP &amp; RWIP'!$A$40:$A$58,"KY",'FC CWIP &amp; RWIP'!$B$40:$B$58,D$82)*1000</f>
        <v>16126277.020769164</v>
      </c>
      <c r="X95" s="348"/>
      <c r="Y95" s="349">
        <f>SUM(Y83:Y94)</f>
        <v>-1892485173.7776027</v>
      </c>
      <c r="Z95" s="348">
        <f>SUM(Z83:Z94)</f>
        <v>0</v>
      </c>
      <c r="AA95" s="349">
        <f>SUM(AA83:AA94)</f>
        <v>5511709435.079998</v>
      </c>
      <c r="AB95" s="349">
        <f>SUM(AB83:AB94)</f>
        <v>1.1175870895385742E-7</v>
      </c>
    </row>
    <row r="96" spans="1:28" x14ac:dyDescent="0.2">
      <c r="B96" s="345" t="s">
        <v>2657</v>
      </c>
      <c r="C96" s="345" t="str">
        <f t="shared" ref="C96:C108" si="37">MID(D96,2,3)</f>
        <v/>
      </c>
      <c r="D96" s="339"/>
      <c r="E96" s="349"/>
      <c r="F96" s="348"/>
      <c r="G96" s="349"/>
      <c r="H96" s="348"/>
      <c r="I96" s="349"/>
      <c r="J96" s="348"/>
      <c r="K96" s="349"/>
      <c r="L96" s="348"/>
      <c r="M96" s="349"/>
      <c r="N96" s="348"/>
      <c r="O96" s="349"/>
      <c r="P96" s="348"/>
      <c r="Q96" s="349"/>
      <c r="R96" s="339"/>
      <c r="S96" s="339"/>
      <c r="T96" s="339"/>
      <c r="U96" s="339"/>
      <c r="V96" s="348"/>
      <c r="W96" s="349"/>
      <c r="X96" s="348"/>
      <c r="Y96" s="349"/>
      <c r="Z96" s="348"/>
      <c r="AA96" s="349"/>
      <c r="AB96" s="349"/>
    </row>
    <row r="97" spans="1:28" x14ac:dyDescent="0.2">
      <c r="B97" s="345" t="s">
        <v>2657</v>
      </c>
      <c r="D97" s="338" t="s">
        <v>915</v>
      </c>
      <c r="E97" s="349"/>
      <c r="F97" s="348"/>
      <c r="G97" s="349"/>
      <c r="H97" s="348"/>
      <c r="I97" s="349"/>
      <c r="J97" s="348"/>
      <c r="K97" s="349"/>
      <c r="L97" s="348"/>
      <c r="M97" s="349"/>
      <c r="N97" s="348"/>
      <c r="O97" s="349"/>
      <c r="P97" s="348"/>
      <c r="Q97" s="349"/>
      <c r="R97" s="339"/>
      <c r="S97" s="339"/>
      <c r="T97" s="339"/>
      <c r="U97" s="339"/>
      <c r="V97" s="348"/>
      <c r="W97" s="349"/>
      <c r="X97" s="348"/>
      <c r="Y97" s="349"/>
      <c r="Z97" s="348"/>
      <c r="AA97" s="349"/>
      <c r="AB97" s="349"/>
    </row>
    <row r="98" spans="1:28" x14ac:dyDescent="0.2">
      <c r="A98" s="345" t="s">
        <v>935</v>
      </c>
      <c r="B98" s="345" t="s">
        <v>2657</v>
      </c>
      <c r="C98" s="345" t="str">
        <f t="shared" si="37"/>
        <v>350</v>
      </c>
      <c r="D98" s="339" t="s">
        <v>786</v>
      </c>
      <c r="E98" s="349">
        <f>SUMIFS(FCPIS!$H$6:$H$899,FCPIS!$B$6:$B$899,$A98,FCPIS!$C$6:$C$899,$B98,FCPIS!$D$6:$D$899,E$4,FCPIS!$E$6:$E$899,$C98)*1000</f>
        <v>29761602.98</v>
      </c>
      <c r="F98" s="348"/>
      <c r="G98" s="349">
        <f>SUMIFS(FCPIS!$U$6:$U$899,FCPIS!$B$6:$B$899,$A98,FCPIS!$C$6:$C$899,$B98,FCPIS!$D$6:$D$899,G$4,FCPIS!$E$6:$E$899,$C98)*1000</f>
        <v>0</v>
      </c>
      <c r="H98" s="348"/>
      <c r="I98" s="349">
        <f>SUMIFS(FCPIS!$U$6:$U$899,FCPIS!$B$6:$B$899,$A98,FCPIS!$C$6:$C$899,$B98,FCPIS!$D$6:$D$899,I$4,FCPIS!$E$6:$E$899,$C98)*-1000</f>
        <v>0</v>
      </c>
      <c r="J98" s="348"/>
      <c r="K98" s="349">
        <f>SUMIFS(FCPIS!$U$6:$U$899,FCPIS!$B$6:$B$899,$A98,FCPIS!$C$6:$C$899,$B98,FCPIS!$D$6:$D$899,K$4,FCPIS!$E$6:$E$899,$C98)*1000</f>
        <v>0</v>
      </c>
      <c r="L98" s="348"/>
      <c r="M98" s="349">
        <f t="shared" ref="M98:M111" si="38">SUM(G98:K98)</f>
        <v>0</v>
      </c>
      <c r="N98" s="348"/>
      <c r="O98" s="349">
        <f t="shared" ref="O98:O111" si="39">E98+M98</f>
        <v>29761602.98</v>
      </c>
      <c r="P98" s="348"/>
      <c r="Q98" s="349">
        <f>SUMIFS(FCPIS!$V$6:$V$899,FCPIS!$B$6:$B$899,$A98,FCPIS!$C$6:$C$899,$B98,FCPIS!$D$6:$D$899,Q$4,FCPIS!$E$6:$E$899,$C98)*1000</f>
        <v>29761602.980000008</v>
      </c>
      <c r="R98" s="339"/>
      <c r="S98" s="347">
        <f>SUMIFS(FCPIS!$V$6:$V$899,FCPIS!$B$6:$B$899,$A98,FCPIS!$C$6:$C$899,$B98,FCPIS!$D$6:$D$899,S$4,FCPIS!$E$6:$E$899,$C98)*-1000</f>
        <v>-16081345.866699899</v>
      </c>
      <c r="T98" s="339"/>
      <c r="U98" s="347">
        <f t="shared" ref="U98:U111" si="40">Q98+S98</f>
        <v>13680257.113300109</v>
      </c>
      <c r="V98" s="348"/>
      <c r="W98" s="344">
        <f t="shared" ref="W98:W111" si="41">G98/G$112*W$112</f>
        <v>0</v>
      </c>
      <c r="X98" s="346"/>
      <c r="Y98" s="344">
        <f t="shared" ref="Y98:Y111" si="42">S98+W98</f>
        <v>-16081345.866699899</v>
      </c>
      <c r="Z98" s="346"/>
      <c r="AA98" s="344">
        <f>SUMIFS(FCPIS!$T$6:$T$899,FCPIS!$B$6:$B$899,$A98,FCPIS!$C$6:$C$899,$B98,FCPIS!$D$6:$D$899,AA$4,FCPIS!$E$6:$E$899,$C98)*1000</f>
        <v>29761602.98</v>
      </c>
      <c r="AB98" s="344">
        <f t="shared" ref="AB98:AB111" si="43">AA98-O98</f>
        <v>0</v>
      </c>
    </row>
    <row r="99" spans="1:28" x14ac:dyDescent="0.2">
      <c r="A99" s="345" t="s">
        <v>935</v>
      </c>
      <c r="B99" s="345" t="s">
        <v>2657</v>
      </c>
      <c r="D99" s="339" t="s">
        <v>787</v>
      </c>
      <c r="E99" s="349">
        <f>SUMIFS(FCPIS!$H$6:$H$899,FCPIS!$B$6:$B$899,$A99,FCPIS!$C$6:$C$899,$B99,FCPIS!$D$6:$D$899,E$4,FCPIS!$E$6:$E$899,$C99)*1000</f>
        <v>0</v>
      </c>
      <c r="F99" s="348"/>
      <c r="G99" s="349">
        <f>SUMIFS(FCPIS!$U$6:$U$899,FCPIS!$B$6:$B$899,$A99,FCPIS!$C$6:$C$899,$B99,FCPIS!$D$6:$D$899,G$4,FCPIS!$E$6:$E$899,$C99)*1000</f>
        <v>0</v>
      </c>
      <c r="H99" s="348"/>
      <c r="I99" s="349">
        <f>SUMIFS(FCPIS!$U$6:$U$899,FCPIS!$B$6:$B$899,$A99,FCPIS!$C$6:$C$899,$B99,FCPIS!$D$6:$D$899,I$4,FCPIS!$E$6:$E$899,$C99)*-1000</f>
        <v>0</v>
      </c>
      <c r="J99" s="348"/>
      <c r="K99" s="349">
        <f>SUMIFS(FCPIS!$U$6:$U$899,FCPIS!$B$6:$B$899,$A99,FCPIS!$C$6:$C$899,$B99,FCPIS!$D$6:$D$899,K$4,FCPIS!$E$6:$E$899,$C99)*1000</f>
        <v>0</v>
      </c>
      <c r="L99" s="348"/>
      <c r="M99" s="349">
        <f t="shared" si="38"/>
        <v>0</v>
      </c>
      <c r="N99" s="348"/>
      <c r="O99" s="349">
        <f t="shared" si="39"/>
        <v>0</v>
      </c>
      <c r="P99" s="348"/>
      <c r="Q99" s="349">
        <f>SUMIFS(FCPIS!$V$6:$V$899,FCPIS!$B$6:$B$899,$A99,FCPIS!$C$6:$C$899,$B99,FCPIS!$D$6:$D$899,Q$4,FCPIS!$E$6:$E$899,$C99)*1000</f>
        <v>0</v>
      </c>
      <c r="R99" s="339"/>
      <c r="S99" s="347">
        <f>SUMIFS(FCPIS!$V$6:$V$899,FCPIS!$B$6:$B$899,$A99,FCPIS!$C$6:$C$899,$B99,FCPIS!$D$6:$D$899,S$4,FCPIS!$E$6:$E$899,$C99)*-1000</f>
        <v>0</v>
      </c>
      <c r="T99" s="339"/>
      <c r="U99" s="347">
        <f t="shared" si="40"/>
        <v>0</v>
      </c>
      <c r="V99" s="348"/>
      <c r="W99" s="349">
        <f t="shared" si="41"/>
        <v>0</v>
      </c>
      <c r="X99" s="348"/>
      <c r="Y99" s="349">
        <f t="shared" si="42"/>
        <v>0</v>
      </c>
      <c r="Z99" s="348"/>
      <c r="AA99" s="349">
        <f>SUMIFS(FCPIS!$T$6:$T$899,FCPIS!$B$6:$B$899,$A99,FCPIS!$C$6:$C$899,$B99,FCPIS!$D$6:$D$899,AA$4,FCPIS!$E$6:$E$899,$C99)*1000</f>
        <v>0</v>
      </c>
      <c r="AB99" s="349">
        <f t="shared" si="43"/>
        <v>0</v>
      </c>
    </row>
    <row r="100" spans="1:28" x14ac:dyDescent="0.2">
      <c r="A100" s="345" t="s">
        <v>935</v>
      </c>
      <c r="B100" s="345" t="s">
        <v>2657</v>
      </c>
      <c r="C100" s="345" t="str">
        <f t="shared" si="37"/>
        <v>352</v>
      </c>
      <c r="D100" s="339" t="s">
        <v>788</v>
      </c>
      <c r="E100" s="349">
        <f>SUMIFS(FCPIS!$H$6:$H$899,FCPIS!$B$6:$B$899,$A100,FCPIS!$C$6:$C$899,$B100,FCPIS!$D$6:$D$899,E$4,FCPIS!$E$6:$E$899,$C100)*1000</f>
        <v>27882895.739999998</v>
      </c>
      <c r="F100" s="348"/>
      <c r="G100" s="349">
        <f>SUMIFS(FCPIS!$U$6:$U$899,FCPIS!$B$6:$B$899,$A100,FCPIS!$C$6:$C$899,$B100,FCPIS!$D$6:$D$899,G$4,FCPIS!$E$6:$E$899,$C100)*1000</f>
        <v>77789.48</v>
      </c>
      <c r="H100" s="348"/>
      <c r="I100" s="349">
        <f>SUMIFS(FCPIS!$U$6:$U$899,FCPIS!$B$6:$B$899,$A100,FCPIS!$C$6:$C$899,$B100,FCPIS!$D$6:$D$899,I$4,FCPIS!$E$6:$E$899,$C100)*-1000</f>
        <v>0</v>
      </c>
      <c r="J100" s="348"/>
      <c r="K100" s="349">
        <f>SUMIFS(FCPIS!$U$6:$U$899,FCPIS!$B$6:$B$899,$A100,FCPIS!$C$6:$C$899,$B100,FCPIS!$D$6:$D$899,K$4,FCPIS!$E$6:$E$899,$C100)*1000</f>
        <v>0</v>
      </c>
      <c r="L100" s="348"/>
      <c r="M100" s="349">
        <f t="shared" si="38"/>
        <v>77789.48</v>
      </c>
      <c r="N100" s="348"/>
      <c r="O100" s="349">
        <f t="shared" si="39"/>
        <v>27960685.219999999</v>
      </c>
      <c r="P100" s="348"/>
      <c r="Q100" s="349">
        <f>SUMIFS(FCPIS!$V$6:$V$899,FCPIS!$B$6:$B$899,$A100,FCPIS!$C$6:$C$899,$B100,FCPIS!$D$6:$D$899,Q$4,FCPIS!$E$6:$E$899,$C100)*1000</f>
        <v>27924782.383076929</v>
      </c>
      <c r="R100" s="339"/>
      <c r="S100" s="347">
        <f>SUMIFS(FCPIS!$V$6:$V$899,FCPIS!$B$6:$B$899,$A100,FCPIS!$C$6:$C$899,$B100,FCPIS!$D$6:$D$899,S$4,FCPIS!$E$6:$E$899,$C100)*-1000</f>
        <v>-7223319.4254928697</v>
      </c>
      <c r="T100" s="339"/>
      <c r="U100" s="347">
        <f t="shared" si="40"/>
        <v>20701462.957584061</v>
      </c>
      <c r="V100" s="348"/>
      <c r="W100" s="349">
        <f t="shared" si="41"/>
        <v>1437.1376054365944</v>
      </c>
      <c r="X100" s="348"/>
      <c r="Y100" s="349">
        <f t="shared" si="42"/>
        <v>-7221882.2878874335</v>
      </c>
      <c r="Z100" s="348"/>
      <c r="AA100" s="349">
        <f>SUMIFS(FCPIS!$T$6:$T$899,FCPIS!$B$6:$B$899,$A100,FCPIS!$C$6:$C$899,$B100,FCPIS!$D$6:$D$899,AA$4,FCPIS!$E$6:$E$899,$C100)*1000</f>
        <v>27960685.219999999</v>
      </c>
      <c r="AB100" s="349">
        <f t="shared" si="43"/>
        <v>0</v>
      </c>
    </row>
    <row r="101" spans="1:28" x14ac:dyDescent="0.2">
      <c r="A101" s="345" t="s">
        <v>935</v>
      </c>
      <c r="B101" s="345" t="s">
        <v>2657</v>
      </c>
      <c r="D101" s="339" t="s">
        <v>789</v>
      </c>
      <c r="E101" s="349">
        <f>SUMIFS(FCPIS!$H$6:$H$899,FCPIS!$B$6:$B$899,$A101,FCPIS!$C$6:$C$899,$B101,FCPIS!$D$6:$D$899,E$4,FCPIS!$E$6:$E$899,$C101)*1000</f>
        <v>0</v>
      </c>
      <c r="F101" s="348"/>
      <c r="G101" s="349">
        <f>SUMIFS(FCPIS!$U$6:$U$899,FCPIS!$B$6:$B$899,$A101,FCPIS!$C$6:$C$899,$B101,FCPIS!$D$6:$D$899,G$4,FCPIS!$E$6:$E$899,$C101)*1000</f>
        <v>0</v>
      </c>
      <c r="H101" s="348"/>
      <c r="I101" s="349">
        <f>SUMIFS(FCPIS!$U$6:$U$899,FCPIS!$B$6:$B$899,$A101,FCPIS!$C$6:$C$899,$B101,FCPIS!$D$6:$D$899,I$4,FCPIS!$E$6:$E$899,$C101)*-1000</f>
        <v>0</v>
      </c>
      <c r="J101" s="348"/>
      <c r="K101" s="349">
        <f>SUMIFS(FCPIS!$U$6:$U$899,FCPIS!$B$6:$B$899,$A101,FCPIS!$C$6:$C$899,$B101,FCPIS!$D$6:$D$899,K$4,FCPIS!$E$6:$E$899,$C101)*1000</f>
        <v>0</v>
      </c>
      <c r="L101" s="348"/>
      <c r="M101" s="349">
        <f t="shared" si="38"/>
        <v>0</v>
      </c>
      <c r="N101" s="348"/>
      <c r="O101" s="349">
        <f t="shared" si="39"/>
        <v>0</v>
      </c>
      <c r="P101" s="348"/>
      <c r="Q101" s="349">
        <f>SUMIFS(FCPIS!$V$6:$V$899,FCPIS!$B$6:$B$899,$A101,FCPIS!$C$6:$C$899,$B101,FCPIS!$D$6:$D$899,Q$4,FCPIS!$E$6:$E$899,$C101)*1000</f>
        <v>0</v>
      </c>
      <c r="R101" s="339"/>
      <c r="S101" s="347">
        <f>SUMIFS(FCPIS!$V$6:$V$899,FCPIS!$B$6:$B$899,$A101,FCPIS!$C$6:$C$899,$B101,FCPIS!$D$6:$D$899,S$4,FCPIS!$E$6:$E$899,$C101)*-1000</f>
        <v>0</v>
      </c>
      <c r="T101" s="339"/>
      <c r="U101" s="347">
        <f t="shared" si="40"/>
        <v>0</v>
      </c>
      <c r="V101" s="348"/>
      <c r="W101" s="349">
        <f t="shared" si="41"/>
        <v>0</v>
      </c>
      <c r="X101" s="348"/>
      <c r="Y101" s="349">
        <f t="shared" si="42"/>
        <v>0</v>
      </c>
      <c r="Z101" s="348"/>
      <c r="AA101" s="349">
        <f>SUMIFS(FCPIS!$T$6:$T$899,FCPIS!$B$6:$B$899,$A101,FCPIS!$C$6:$C$899,$B101,FCPIS!$D$6:$D$899,AA$4,FCPIS!$E$6:$E$899,$C101)*1000</f>
        <v>0</v>
      </c>
      <c r="AB101" s="349">
        <f t="shared" si="43"/>
        <v>0</v>
      </c>
    </row>
    <row r="102" spans="1:28" x14ac:dyDescent="0.2">
      <c r="A102" s="345" t="s">
        <v>935</v>
      </c>
      <c r="B102" s="345" t="s">
        <v>2657</v>
      </c>
      <c r="C102" s="345" t="str">
        <f t="shared" si="37"/>
        <v>353</v>
      </c>
      <c r="D102" s="339" t="s">
        <v>790</v>
      </c>
      <c r="E102" s="349">
        <f>SUMIFS(FCPIS!$H$6:$H$899,FCPIS!$B$6:$B$899,$A102,FCPIS!$C$6:$C$899,$B102,FCPIS!$D$6:$D$899,E$4,FCPIS!$E$6:$E$899,$C102)*1000</f>
        <v>334204652.36999899</v>
      </c>
      <c r="F102" s="348"/>
      <c r="G102" s="349">
        <f>SUMIFS(FCPIS!$U$6:$U$899,FCPIS!$B$6:$B$899,$A102,FCPIS!$C$6:$C$899,$B102,FCPIS!$D$6:$D$899,G$4,FCPIS!$E$6:$E$899,$C102)*1000</f>
        <v>29430696.049999904</v>
      </c>
      <c r="H102" s="348"/>
      <c r="I102" s="349">
        <f>SUMIFS(FCPIS!$U$6:$U$899,FCPIS!$B$6:$B$899,$A102,FCPIS!$C$6:$C$899,$B102,FCPIS!$D$6:$D$899,I$4,FCPIS!$E$6:$E$899,$C102)*-1000</f>
        <v>-1544773.4200000002</v>
      </c>
      <c r="J102" s="348"/>
      <c r="K102" s="349">
        <f>SUMIFS(FCPIS!$U$6:$U$899,FCPIS!$B$6:$B$899,$A102,FCPIS!$C$6:$C$899,$B102,FCPIS!$D$6:$D$899,K$4,FCPIS!$E$6:$E$899,$C102)*1000</f>
        <v>0</v>
      </c>
      <c r="L102" s="348"/>
      <c r="M102" s="349">
        <f t="shared" si="38"/>
        <v>27885922.629999902</v>
      </c>
      <c r="N102" s="348"/>
      <c r="O102" s="349">
        <f t="shared" si="39"/>
        <v>362090574.99999887</v>
      </c>
      <c r="P102" s="348"/>
      <c r="Q102" s="349">
        <f>SUMIFS(FCPIS!$V$6:$V$899,FCPIS!$B$6:$B$899,$A102,FCPIS!$C$6:$C$899,$B102,FCPIS!$D$6:$D$899,Q$4,FCPIS!$E$6:$E$899,$C102)*1000</f>
        <v>346201154.94461435</v>
      </c>
      <c r="R102" s="339"/>
      <c r="S102" s="347">
        <f>SUMIFS(FCPIS!$V$6:$V$899,FCPIS!$B$6:$B$899,$A102,FCPIS!$C$6:$C$899,$B102,FCPIS!$D$6:$D$899,S$4,FCPIS!$E$6:$E$899,$C102)*-1000</f>
        <v>-77346711.524703845</v>
      </c>
      <c r="T102" s="339"/>
      <c r="U102" s="347">
        <f t="shared" si="40"/>
        <v>268854443.41991049</v>
      </c>
      <c r="V102" s="348"/>
      <c r="W102" s="349">
        <f t="shared" si="41"/>
        <v>543723.39354407694</v>
      </c>
      <c r="X102" s="348"/>
      <c r="Y102" s="349">
        <f t="shared" si="42"/>
        <v>-76802988.131159768</v>
      </c>
      <c r="Z102" s="348"/>
      <c r="AA102" s="349">
        <f>SUMIFS(FCPIS!$T$6:$T$899,FCPIS!$B$6:$B$899,$A102,FCPIS!$C$6:$C$899,$B102,FCPIS!$D$6:$D$899,AA$4,FCPIS!$E$6:$E$899,$C102)*1000</f>
        <v>362090574.99999899</v>
      </c>
      <c r="AB102" s="349">
        <f t="shared" si="43"/>
        <v>0</v>
      </c>
    </row>
    <row r="103" spans="1:28" x14ac:dyDescent="0.2">
      <c r="A103" s="345" t="s">
        <v>935</v>
      </c>
      <c r="B103" s="345" t="s">
        <v>2657</v>
      </c>
      <c r="D103" s="339" t="s">
        <v>805</v>
      </c>
      <c r="E103" s="349">
        <f>SUMIFS(FCPIS!$H$6:$H$899,FCPIS!$B$6:$B$899,$A103,FCPIS!$C$6:$C$899,$B103,FCPIS!$D$6:$D$899,E$4,FCPIS!$E$6:$E$899,$C103)*1000</f>
        <v>0</v>
      </c>
      <c r="F103" s="348"/>
      <c r="G103" s="349">
        <f>SUMIFS(FCPIS!$U$6:$U$899,FCPIS!$B$6:$B$899,$A103,FCPIS!$C$6:$C$899,$B103,FCPIS!$D$6:$D$899,G$4,FCPIS!$E$6:$E$899,$C103)*1000</f>
        <v>0</v>
      </c>
      <c r="H103" s="348"/>
      <c r="I103" s="349">
        <f>SUMIFS(FCPIS!$U$6:$U$899,FCPIS!$B$6:$B$899,$A103,FCPIS!$C$6:$C$899,$B103,FCPIS!$D$6:$D$899,I$4,FCPIS!$E$6:$E$899,$C103)*-1000</f>
        <v>0</v>
      </c>
      <c r="J103" s="348"/>
      <c r="K103" s="349">
        <f>SUMIFS(FCPIS!$U$6:$U$899,FCPIS!$B$6:$B$899,$A103,FCPIS!$C$6:$C$899,$B103,FCPIS!$D$6:$D$899,K$4,FCPIS!$E$6:$E$899,$C103)*1000</f>
        <v>0</v>
      </c>
      <c r="L103" s="348"/>
      <c r="M103" s="349">
        <f t="shared" si="38"/>
        <v>0</v>
      </c>
      <c r="N103" s="348"/>
      <c r="O103" s="349">
        <f t="shared" si="39"/>
        <v>0</v>
      </c>
      <c r="P103" s="348"/>
      <c r="Q103" s="349">
        <f>SUMIFS(FCPIS!$V$6:$V$899,FCPIS!$B$6:$B$899,$A103,FCPIS!$C$6:$C$899,$B103,FCPIS!$D$6:$D$899,Q$4,FCPIS!$E$6:$E$899,$C103)*1000</f>
        <v>0</v>
      </c>
      <c r="R103" s="339"/>
      <c r="S103" s="347">
        <f>SUMIFS(FCPIS!$V$6:$V$899,FCPIS!$B$6:$B$899,$A103,FCPIS!$C$6:$C$899,$B103,FCPIS!$D$6:$D$899,S$4,FCPIS!$E$6:$E$899,$C103)*-1000</f>
        <v>0</v>
      </c>
      <c r="T103" s="339"/>
      <c r="U103" s="347">
        <f t="shared" si="40"/>
        <v>0</v>
      </c>
      <c r="V103" s="348"/>
      <c r="W103" s="349">
        <f t="shared" si="41"/>
        <v>0</v>
      </c>
      <c r="X103" s="348"/>
      <c r="Y103" s="349">
        <f t="shared" si="42"/>
        <v>0</v>
      </c>
      <c r="Z103" s="348"/>
      <c r="AA103" s="349">
        <f>SUMIFS(FCPIS!$T$6:$T$899,FCPIS!$B$6:$B$899,$A103,FCPIS!$C$6:$C$899,$B103,FCPIS!$D$6:$D$899,AA$4,FCPIS!$E$6:$E$899,$C103)*1000</f>
        <v>0</v>
      </c>
      <c r="AB103" s="349">
        <f t="shared" si="43"/>
        <v>0</v>
      </c>
    </row>
    <row r="104" spans="1:28" x14ac:dyDescent="0.2">
      <c r="A104" s="345" t="s">
        <v>935</v>
      </c>
      <c r="B104" s="345" t="s">
        <v>2657</v>
      </c>
      <c r="D104" s="339" t="s">
        <v>806</v>
      </c>
      <c r="E104" s="349">
        <f>SUMIFS(FCPIS!$H$6:$H$899,FCPIS!$B$6:$B$899,$A104,FCPIS!$C$6:$C$899,$B104,FCPIS!$D$6:$D$899,E$4,FCPIS!$E$6:$E$899,$C104)*1000</f>
        <v>0</v>
      </c>
      <c r="F104" s="348"/>
      <c r="G104" s="349">
        <f>SUMIFS(FCPIS!$U$6:$U$899,FCPIS!$B$6:$B$899,$A104,FCPIS!$C$6:$C$899,$B104,FCPIS!$D$6:$D$899,G$4,FCPIS!$E$6:$E$899,$C104)*1000</f>
        <v>0</v>
      </c>
      <c r="H104" s="348"/>
      <c r="I104" s="349">
        <f>SUMIFS(FCPIS!$U$6:$U$899,FCPIS!$B$6:$B$899,$A104,FCPIS!$C$6:$C$899,$B104,FCPIS!$D$6:$D$899,I$4,FCPIS!$E$6:$E$899,$C104)*-1000</f>
        <v>0</v>
      </c>
      <c r="J104" s="348"/>
      <c r="K104" s="349">
        <f>SUMIFS(FCPIS!$U$6:$U$899,FCPIS!$B$6:$B$899,$A104,FCPIS!$C$6:$C$899,$B104,FCPIS!$D$6:$D$899,K$4,FCPIS!$E$6:$E$899,$C104)*1000</f>
        <v>0</v>
      </c>
      <c r="L104" s="348"/>
      <c r="M104" s="349">
        <f t="shared" si="38"/>
        <v>0</v>
      </c>
      <c r="N104" s="348"/>
      <c r="O104" s="349">
        <f t="shared" si="39"/>
        <v>0</v>
      </c>
      <c r="P104" s="348"/>
      <c r="Q104" s="349">
        <f>SUMIFS(FCPIS!$V$6:$V$899,FCPIS!$B$6:$B$899,$A104,FCPIS!$C$6:$C$899,$B104,FCPIS!$D$6:$D$899,Q$4,FCPIS!$E$6:$E$899,$C104)*1000</f>
        <v>0</v>
      </c>
      <c r="R104" s="339"/>
      <c r="S104" s="347">
        <f>SUMIFS(FCPIS!$V$6:$V$899,FCPIS!$B$6:$B$899,$A104,FCPIS!$C$6:$C$899,$B104,FCPIS!$D$6:$D$899,S$4,FCPIS!$E$6:$E$899,$C104)*-1000</f>
        <v>0</v>
      </c>
      <c r="T104" s="339"/>
      <c r="U104" s="347">
        <f t="shared" si="40"/>
        <v>0</v>
      </c>
      <c r="V104" s="348"/>
      <c r="W104" s="349">
        <f t="shared" si="41"/>
        <v>0</v>
      </c>
      <c r="X104" s="348"/>
      <c r="Y104" s="349">
        <f t="shared" si="42"/>
        <v>0</v>
      </c>
      <c r="Z104" s="348"/>
      <c r="AA104" s="349">
        <f>SUMIFS(FCPIS!$T$6:$T$899,FCPIS!$B$6:$B$899,$A104,FCPIS!$C$6:$C$899,$B104,FCPIS!$D$6:$D$899,AA$4,FCPIS!$E$6:$E$899,$C104)*1000</f>
        <v>0</v>
      </c>
      <c r="AB104" s="349">
        <f t="shared" si="43"/>
        <v>0</v>
      </c>
    </row>
    <row r="105" spans="1:28" x14ac:dyDescent="0.2">
      <c r="A105" s="345" t="s">
        <v>935</v>
      </c>
      <c r="B105" s="345" t="s">
        <v>2657</v>
      </c>
      <c r="C105" s="345" t="str">
        <f t="shared" si="37"/>
        <v>354</v>
      </c>
      <c r="D105" s="339" t="s">
        <v>807</v>
      </c>
      <c r="E105" s="349">
        <f>SUMIFS(FCPIS!$H$6:$H$899,FCPIS!$B$6:$B$899,$A105,FCPIS!$C$6:$C$899,$B105,FCPIS!$D$6:$D$899,E$4,FCPIS!$E$6:$E$899,$C105)*1000</f>
        <v>70852012.849999994</v>
      </c>
      <c r="F105" s="348"/>
      <c r="G105" s="349">
        <f>SUMIFS(FCPIS!$U$6:$U$899,FCPIS!$B$6:$B$899,$A105,FCPIS!$C$6:$C$899,$B105,FCPIS!$D$6:$D$899,G$4,FCPIS!$E$6:$E$899,$C105)*1000</f>
        <v>0</v>
      </c>
      <c r="H105" s="348"/>
      <c r="I105" s="349">
        <f>SUMIFS(FCPIS!$U$6:$U$899,FCPIS!$B$6:$B$899,$A105,FCPIS!$C$6:$C$899,$B105,FCPIS!$D$6:$D$899,I$4,FCPIS!$E$6:$E$899,$C105)*-1000</f>
        <v>0</v>
      </c>
      <c r="J105" s="348"/>
      <c r="K105" s="349">
        <f>SUMIFS(FCPIS!$U$6:$U$899,FCPIS!$B$6:$B$899,$A105,FCPIS!$C$6:$C$899,$B105,FCPIS!$D$6:$D$899,K$4,FCPIS!$E$6:$E$899,$C105)*1000</f>
        <v>0</v>
      </c>
      <c r="L105" s="348"/>
      <c r="M105" s="349">
        <f t="shared" si="38"/>
        <v>0</v>
      </c>
      <c r="N105" s="348"/>
      <c r="O105" s="349">
        <f t="shared" si="39"/>
        <v>70852012.849999994</v>
      </c>
      <c r="P105" s="348"/>
      <c r="Q105" s="349">
        <f>SUMIFS(FCPIS!$V$6:$V$899,FCPIS!$B$6:$B$899,$A105,FCPIS!$C$6:$C$899,$B105,FCPIS!$D$6:$D$899,Q$4,FCPIS!$E$6:$E$899,$C105)*1000</f>
        <v>70852012.850000024</v>
      </c>
      <c r="R105" s="339"/>
      <c r="S105" s="347">
        <f>SUMIFS(FCPIS!$V$6:$V$899,FCPIS!$B$6:$B$899,$A105,FCPIS!$C$6:$C$899,$B105,FCPIS!$D$6:$D$899,S$4,FCPIS!$E$6:$E$899,$C105)*-1000</f>
        <v>-48312213.502831891</v>
      </c>
      <c r="T105" s="339"/>
      <c r="U105" s="347">
        <f t="shared" si="40"/>
        <v>22539799.347168133</v>
      </c>
      <c r="V105" s="348"/>
      <c r="W105" s="349">
        <f t="shared" si="41"/>
        <v>0</v>
      </c>
      <c r="X105" s="348"/>
      <c r="Y105" s="349">
        <f t="shared" si="42"/>
        <v>-48312213.502831891</v>
      </c>
      <c r="Z105" s="348"/>
      <c r="AA105" s="349">
        <f>SUMIFS(FCPIS!$T$6:$T$899,FCPIS!$B$6:$B$899,$A105,FCPIS!$C$6:$C$899,$B105,FCPIS!$D$6:$D$899,AA$4,FCPIS!$E$6:$E$899,$C105)*1000</f>
        <v>70852012.849999994</v>
      </c>
      <c r="AB105" s="349">
        <f t="shared" si="43"/>
        <v>0</v>
      </c>
    </row>
    <row r="106" spans="1:28" x14ac:dyDescent="0.2">
      <c r="A106" s="345" t="s">
        <v>935</v>
      </c>
      <c r="B106" s="345" t="s">
        <v>2657</v>
      </c>
      <c r="C106" s="345" t="str">
        <f t="shared" si="37"/>
        <v>355</v>
      </c>
      <c r="D106" s="339" t="s">
        <v>808</v>
      </c>
      <c r="E106" s="349">
        <f>SUMIFS(FCPIS!$H$6:$H$899,FCPIS!$B$6:$B$899,$A106,FCPIS!$C$6:$C$899,$B106,FCPIS!$D$6:$D$899,E$4,FCPIS!$E$6:$E$899,$C106)*1000</f>
        <v>389488916.93000001</v>
      </c>
      <c r="F106" s="348"/>
      <c r="G106" s="349">
        <f>SUMIFS(FCPIS!$U$6:$U$899,FCPIS!$B$6:$B$899,$A106,FCPIS!$C$6:$C$899,$B106,FCPIS!$D$6:$D$899,G$4,FCPIS!$E$6:$E$899,$C106)*1000</f>
        <v>60660276.249999911</v>
      </c>
      <c r="H106" s="348"/>
      <c r="I106" s="349">
        <f>SUMIFS(FCPIS!$U$6:$U$899,FCPIS!$B$6:$B$899,$A106,FCPIS!$C$6:$C$899,$B106,FCPIS!$D$6:$D$899,I$4,FCPIS!$E$6:$E$899,$C106)*-1000</f>
        <v>-2202126.2999999989</v>
      </c>
      <c r="J106" s="348"/>
      <c r="K106" s="349">
        <f>SUMIFS(FCPIS!$U$6:$U$899,FCPIS!$B$6:$B$899,$A106,FCPIS!$C$6:$C$899,$B106,FCPIS!$D$6:$D$899,K$4,FCPIS!$E$6:$E$899,$C106)*1000</f>
        <v>0</v>
      </c>
      <c r="L106" s="348"/>
      <c r="M106" s="349">
        <f t="shared" si="38"/>
        <v>58458149.949999914</v>
      </c>
      <c r="N106" s="348"/>
      <c r="O106" s="349">
        <f t="shared" si="39"/>
        <v>447947066.87999994</v>
      </c>
      <c r="P106" s="348"/>
      <c r="Q106" s="349">
        <f>SUMIFS(FCPIS!$V$6:$V$899,FCPIS!$B$6:$B$899,$A106,FCPIS!$C$6:$C$899,$B106,FCPIS!$D$6:$D$899,Q$4,FCPIS!$E$6:$E$899,$C106)*1000</f>
        <v>418267516.76538432</v>
      </c>
      <c r="R106" s="339"/>
      <c r="S106" s="347">
        <f>SUMIFS(FCPIS!$V$6:$V$899,FCPIS!$B$6:$B$899,$A106,FCPIS!$C$6:$C$899,$B106,FCPIS!$D$6:$D$899,S$4,FCPIS!$E$6:$E$899,$C106)*-1000</f>
        <v>-75874871.374986127</v>
      </c>
      <c r="T106" s="339"/>
      <c r="U106" s="347">
        <f t="shared" si="40"/>
        <v>342392645.3903982</v>
      </c>
      <c r="V106" s="348"/>
      <c r="W106" s="349">
        <f t="shared" si="41"/>
        <v>1120680.6390150338</v>
      </c>
      <c r="X106" s="348"/>
      <c r="Y106" s="349">
        <f t="shared" si="42"/>
        <v>-74754190.735971093</v>
      </c>
      <c r="Z106" s="348"/>
      <c r="AA106" s="349">
        <f>SUMIFS(FCPIS!$T$6:$T$899,FCPIS!$B$6:$B$899,$A106,FCPIS!$C$6:$C$899,$B106,FCPIS!$D$6:$D$899,AA$4,FCPIS!$E$6:$E$899,$C106)*1000</f>
        <v>447947066.88</v>
      </c>
      <c r="AB106" s="349">
        <f t="shared" si="43"/>
        <v>0</v>
      </c>
    </row>
    <row r="107" spans="1:28" x14ac:dyDescent="0.2">
      <c r="A107" s="345" t="s">
        <v>935</v>
      </c>
      <c r="B107" s="345" t="s">
        <v>2657</v>
      </c>
      <c r="C107" s="345" t="str">
        <f t="shared" si="37"/>
        <v>356</v>
      </c>
      <c r="D107" s="339" t="s">
        <v>809</v>
      </c>
      <c r="E107" s="349">
        <f>SUMIFS(FCPIS!$H$6:$H$899,FCPIS!$B$6:$B$899,$A107,FCPIS!$C$6:$C$899,$B107,FCPIS!$D$6:$D$899,E$4,FCPIS!$E$6:$E$899,$C107)*1000</f>
        <v>170842024.10999998</v>
      </c>
      <c r="F107" s="348"/>
      <c r="G107" s="349">
        <f>SUMIFS(FCPIS!$U$6:$U$899,FCPIS!$B$6:$B$899,$A107,FCPIS!$C$6:$C$899,$B107,FCPIS!$D$6:$D$899,G$4,FCPIS!$E$6:$E$899,$C107)*1000</f>
        <v>5349940.4599999906</v>
      </c>
      <c r="H107" s="348"/>
      <c r="I107" s="349">
        <f>SUMIFS(FCPIS!$U$6:$U$899,FCPIS!$B$6:$B$899,$A107,FCPIS!$C$6:$C$899,$B107,FCPIS!$D$6:$D$899,I$4,FCPIS!$E$6:$E$899,$C107)*-1000</f>
        <v>-1253759.97</v>
      </c>
      <c r="J107" s="348"/>
      <c r="K107" s="349">
        <f>SUMIFS(FCPIS!$U$6:$U$899,FCPIS!$B$6:$B$899,$A107,FCPIS!$C$6:$C$899,$B107,FCPIS!$D$6:$D$899,K$4,FCPIS!$E$6:$E$899,$C107)*1000</f>
        <v>0</v>
      </c>
      <c r="L107" s="348"/>
      <c r="M107" s="349">
        <f t="shared" si="38"/>
        <v>4096180.4899999909</v>
      </c>
      <c r="N107" s="348"/>
      <c r="O107" s="349">
        <f t="shared" si="39"/>
        <v>174938204.59999996</v>
      </c>
      <c r="P107" s="348"/>
      <c r="Q107" s="349">
        <f>SUMIFS(FCPIS!$V$6:$V$899,FCPIS!$B$6:$B$899,$A107,FCPIS!$C$6:$C$899,$B107,FCPIS!$D$6:$D$899,Q$4,FCPIS!$E$6:$E$899,$C107)*1000</f>
        <v>170909204.44230768</v>
      </c>
      <c r="R107" s="339"/>
      <c r="S107" s="347">
        <f>SUMIFS(FCPIS!$V$6:$V$899,FCPIS!$B$6:$B$899,$A107,FCPIS!$C$6:$C$899,$B107,FCPIS!$D$6:$D$899,S$4,FCPIS!$E$6:$E$899,$C107)*-1000</f>
        <v>-107824650.79410361</v>
      </c>
      <c r="T107" s="339"/>
      <c r="U107" s="347">
        <f t="shared" si="40"/>
        <v>63084553.648204073</v>
      </c>
      <c r="V107" s="348"/>
      <c r="W107" s="349">
        <f t="shared" si="41"/>
        <v>98838.565599265334</v>
      </c>
      <c r="X107" s="348"/>
      <c r="Y107" s="349">
        <f t="shared" si="42"/>
        <v>-107725812.22850434</v>
      </c>
      <c r="Z107" s="348"/>
      <c r="AA107" s="349">
        <f>SUMIFS(FCPIS!$T$6:$T$899,FCPIS!$B$6:$B$899,$A107,FCPIS!$C$6:$C$899,$B107,FCPIS!$D$6:$D$899,AA$4,FCPIS!$E$6:$E$899,$C107)*1000</f>
        <v>174938204.59999999</v>
      </c>
      <c r="AB107" s="349">
        <f t="shared" si="43"/>
        <v>0</v>
      </c>
    </row>
    <row r="108" spans="1:28" x14ac:dyDescent="0.2">
      <c r="A108" s="345" t="s">
        <v>935</v>
      </c>
      <c r="B108" s="345" t="s">
        <v>2657</v>
      </c>
      <c r="C108" s="345" t="str">
        <f t="shared" si="37"/>
        <v>357</v>
      </c>
      <c r="D108" s="339" t="s">
        <v>810</v>
      </c>
      <c r="E108" s="349">
        <f>SUMIFS(FCPIS!$H$6:$H$899,FCPIS!$B$6:$B$899,$A108,FCPIS!$C$6:$C$899,$B108,FCPIS!$D$6:$D$899,E$4,FCPIS!$E$6:$E$899,$C108)*1000</f>
        <v>448760.26</v>
      </c>
      <c r="F108" s="348"/>
      <c r="G108" s="349">
        <f>SUMIFS(FCPIS!$U$6:$U$899,FCPIS!$B$6:$B$899,$A108,FCPIS!$C$6:$C$899,$B108,FCPIS!$D$6:$D$899,G$4,FCPIS!$E$6:$E$899,$C108)*1000</f>
        <v>0</v>
      </c>
      <c r="H108" s="348"/>
      <c r="I108" s="349">
        <f>SUMIFS(FCPIS!$U$6:$U$899,FCPIS!$B$6:$B$899,$A108,FCPIS!$C$6:$C$899,$B108,FCPIS!$D$6:$D$899,I$4,FCPIS!$E$6:$E$899,$C108)*-1000</f>
        <v>0</v>
      </c>
      <c r="J108" s="348"/>
      <c r="K108" s="349">
        <f>SUMIFS(FCPIS!$U$6:$U$899,FCPIS!$B$6:$B$899,$A108,FCPIS!$C$6:$C$899,$B108,FCPIS!$D$6:$D$899,K$4,FCPIS!$E$6:$E$899,$C108)*1000</f>
        <v>0</v>
      </c>
      <c r="L108" s="348"/>
      <c r="M108" s="349">
        <f t="shared" si="38"/>
        <v>0</v>
      </c>
      <c r="N108" s="348"/>
      <c r="O108" s="349">
        <f t="shared" si="39"/>
        <v>448760.26</v>
      </c>
      <c r="P108" s="348"/>
      <c r="Q108" s="349">
        <f>SUMIFS(FCPIS!$V$6:$V$899,FCPIS!$B$6:$B$899,$A108,FCPIS!$C$6:$C$899,$B108,FCPIS!$D$6:$D$899,Q$4,FCPIS!$E$6:$E$899,$C108)*1000</f>
        <v>448760.26</v>
      </c>
      <c r="R108" s="339"/>
      <c r="S108" s="347">
        <f>SUMIFS(FCPIS!$V$6:$V$899,FCPIS!$B$6:$B$899,$A108,FCPIS!$C$6:$C$899,$B108,FCPIS!$D$6:$D$899,S$4,FCPIS!$E$6:$E$899,$C108)*-1000</f>
        <v>-262726.76922719897</v>
      </c>
      <c r="T108" s="339"/>
      <c r="U108" s="347">
        <f t="shared" si="40"/>
        <v>186033.49077280104</v>
      </c>
      <c r="V108" s="348"/>
      <c r="W108" s="349">
        <f t="shared" si="41"/>
        <v>0</v>
      </c>
      <c r="X108" s="348"/>
      <c r="Y108" s="349">
        <f t="shared" si="42"/>
        <v>-262726.76922719897</v>
      </c>
      <c r="Z108" s="348"/>
      <c r="AA108" s="349">
        <f>SUMIFS(FCPIS!$T$6:$T$899,FCPIS!$B$6:$B$899,$A108,FCPIS!$C$6:$C$899,$B108,FCPIS!$D$6:$D$899,AA$4,FCPIS!$E$6:$E$899,$C108)*1000</f>
        <v>448760.26</v>
      </c>
      <c r="AB108" s="349">
        <f t="shared" si="43"/>
        <v>0</v>
      </c>
    </row>
    <row r="109" spans="1:28" x14ac:dyDescent="0.2">
      <c r="A109" s="345" t="s">
        <v>935</v>
      </c>
      <c r="B109" s="345" t="s">
        <v>2657</v>
      </c>
      <c r="C109" s="345" t="str">
        <f>MID(D109,2,3)</f>
        <v>358</v>
      </c>
      <c r="D109" s="339" t="s">
        <v>811</v>
      </c>
      <c r="E109" s="349">
        <f>SUMIFS(FCPIS!$H$6:$H$899,FCPIS!$B$6:$B$899,$A109,FCPIS!$C$6:$C$899,$B109,FCPIS!$D$6:$D$899,E$4,FCPIS!$E$6:$E$899,$C109)*1000</f>
        <v>1299592.55</v>
      </c>
      <c r="F109" s="348"/>
      <c r="G109" s="349">
        <f>SUMIFS(FCPIS!$U$6:$U$899,FCPIS!$B$6:$B$899,$A109,FCPIS!$C$6:$C$899,$B109,FCPIS!$D$6:$D$899,G$4,FCPIS!$E$6:$E$899,$C109)*1000</f>
        <v>9555819.6100000013</v>
      </c>
      <c r="H109" s="348"/>
      <c r="I109" s="349">
        <f>SUMIFS(FCPIS!$U$6:$U$899,FCPIS!$B$6:$B$899,$A109,FCPIS!$C$6:$C$899,$B109,FCPIS!$D$6:$D$899,I$4,FCPIS!$E$6:$E$899,$C109)*-1000</f>
        <v>0</v>
      </c>
      <c r="J109" s="348"/>
      <c r="K109" s="349">
        <f>SUMIFS(FCPIS!$U$6:$U$899,FCPIS!$B$6:$B$899,$A109,FCPIS!$C$6:$C$899,$B109,FCPIS!$D$6:$D$899,K$4,FCPIS!$E$6:$E$899,$C109)*1000</f>
        <v>0</v>
      </c>
      <c r="L109" s="348"/>
      <c r="M109" s="349">
        <f t="shared" si="38"/>
        <v>9555819.6100000013</v>
      </c>
      <c r="N109" s="348"/>
      <c r="O109" s="349">
        <f t="shared" si="39"/>
        <v>10855412.160000002</v>
      </c>
      <c r="P109" s="348"/>
      <c r="Q109" s="349">
        <f>SUMIFS(FCPIS!$V$6:$V$899,FCPIS!$B$6:$B$899,$A109,FCPIS!$C$6:$C$899,$B109,FCPIS!$D$6:$D$899,Q$4,FCPIS!$E$6:$E$899,$C109)*1000</f>
        <v>4862479.0115384609</v>
      </c>
      <c r="R109" s="339"/>
      <c r="S109" s="347">
        <f>SUMIFS(FCPIS!$V$6:$V$899,FCPIS!$B$6:$B$899,$A109,FCPIS!$C$6:$C$899,$B109,FCPIS!$D$6:$D$899,S$4,FCPIS!$E$6:$E$899,$C109)*-1000</f>
        <v>-922862.56198079884</v>
      </c>
      <c r="T109" s="339"/>
      <c r="U109" s="347">
        <f t="shared" si="40"/>
        <v>3939616.449557662</v>
      </c>
      <c r="V109" s="348"/>
      <c r="W109" s="349">
        <f t="shared" si="41"/>
        <v>176540.93731311039</v>
      </c>
      <c r="X109" s="348"/>
      <c r="Y109" s="349">
        <f t="shared" si="42"/>
        <v>-746321.62466768851</v>
      </c>
      <c r="Z109" s="348"/>
      <c r="AA109" s="349">
        <f>SUMIFS(FCPIS!$T$6:$T$899,FCPIS!$B$6:$B$899,$A109,FCPIS!$C$6:$C$899,$B109,FCPIS!$D$6:$D$899,AA$4,FCPIS!$E$6:$E$899,$C109)*1000</f>
        <v>10855412.16</v>
      </c>
      <c r="AB109" s="349">
        <f t="shared" si="43"/>
        <v>0</v>
      </c>
    </row>
    <row r="110" spans="1:28" x14ac:dyDescent="0.2">
      <c r="A110" s="345" t="s">
        <v>935</v>
      </c>
      <c r="B110" s="345" t="s">
        <v>2657</v>
      </c>
      <c r="C110" s="345" t="str">
        <f>MID(D110,2,3)</f>
        <v>359</v>
      </c>
      <c r="D110" s="339" t="s">
        <v>812</v>
      </c>
      <c r="E110" s="349">
        <f>SUMIFS(FCPIS!$H$6:$H$899,FCPIS!$B$6:$B$899,$A110,FCPIS!$C$6:$C$899,$B110,FCPIS!$D$6:$D$899,E$4,FCPIS!$E$6:$E$899,$C110)*1000</f>
        <v>551323.88</v>
      </c>
      <c r="F110" s="348"/>
      <c r="G110" s="349">
        <f>SUMIFS(FCPIS!$U$6:$U$899,FCPIS!$B$6:$B$899,$A110,FCPIS!$C$6:$C$899,$B110,FCPIS!$D$6:$D$899,G$4,FCPIS!$E$6:$E$899,$C110)*1000</f>
        <v>0</v>
      </c>
      <c r="H110" s="348"/>
      <c r="I110" s="349">
        <f>SUMIFS(FCPIS!$U$6:$U$899,FCPIS!$B$6:$B$899,$A110,FCPIS!$C$6:$C$899,$B110,FCPIS!$D$6:$D$899,I$4,FCPIS!$E$6:$E$899,$C110)*-1000</f>
        <v>0</v>
      </c>
      <c r="J110" s="348"/>
      <c r="K110" s="349">
        <f>SUMIFS(FCPIS!$U$6:$U$899,FCPIS!$B$6:$B$899,$A110,FCPIS!$C$6:$C$899,$B110,FCPIS!$D$6:$D$899,K$4,FCPIS!$E$6:$E$899,$C110)*1000</f>
        <v>0</v>
      </c>
      <c r="L110" s="348"/>
      <c r="M110" s="349">
        <f t="shared" si="38"/>
        <v>0</v>
      </c>
      <c r="N110" s="348"/>
      <c r="O110" s="349">
        <f t="shared" si="39"/>
        <v>551323.88</v>
      </c>
      <c r="P110" s="348"/>
      <c r="Q110" s="349">
        <f>SUMIFS(FCPIS!$V$6:$V$899,FCPIS!$B$6:$B$899,$A110,FCPIS!$C$6:$C$899,$B110,FCPIS!$D$6:$D$899,Q$4,FCPIS!$E$6:$E$899,$C110)*1000</f>
        <v>551323.88</v>
      </c>
      <c r="R110" s="339"/>
      <c r="S110" s="347">
        <f>SUMIFS(FCPIS!$V$6:$V$899,FCPIS!$B$6:$B$899,$A110,FCPIS!$C$6:$C$899,$B110,FCPIS!$D$6:$D$899,S$4,FCPIS!$E$6:$E$899,$C110)*-1000</f>
        <v>-106084.96225518781</v>
      </c>
      <c r="T110" s="339"/>
      <c r="U110" s="347">
        <f t="shared" si="40"/>
        <v>445238.91774481221</v>
      </c>
      <c r="V110" s="348"/>
      <c r="W110" s="349">
        <f t="shared" si="41"/>
        <v>0</v>
      </c>
      <c r="X110" s="348"/>
      <c r="Y110" s="349">
        <f t="shared" si="42"/>
        <v>-106084.96225518781</v>
      </c>
      <c r="Z110" s="348"/>
      <c r="AA110" s="349">
        <f>SUMIFS(FCPIS!$T$6:$T$899,FCPIS!$B$6:$B$899,$A110,FCPIS!$C$6:$C$899,$B110,FCPIS!$D$6:$D$899,AA$4,FCPIS!$E$6:$E$899,$C110)*1000</f>
        <v>551323.88</v>
      </c>
      <c r="AB110" s="349">
        <f t="shared" si="43"/>
        <v>0</v>
      </c>
    </row>
    <row r="111" spans="1:28" x14ac:dyDescent="0.2">
      <c r="A111" s="345" t="s">
        <v>935</v>
      </c>
      <c r="B111" s="345" t="s">
        <v>2657</v>
      </c>
      <c r="D111" s="339" t="s">
        <v>813</v>
      </c>
      <c r="E111" s="353">
        <f>SUMIFS(FCPIS!$H$6:$H$899,FCPIS!$B$6:$B$899,$A111,FCPIS!$C$6:$C$899,$B111,FCPIS!$D$6:$D$899,E$4,FCPIS!$E$6:$E$899,$C111)*1000</f>
        <v>0</v>
      </c>
      <c r="F111" s="348"/>
      <c r="G111" s="353">
        <f>SUMIFS(FCPIS!$U$6:$U$899,FCPIS!$B$6:$B$899,$A111,FCPIS!$C$6:$C$899,$B111,FCPIS!$D$6:$D$899,G$4,FCPIS!$E$6:$E$899,$C111)*1000</f>
        <v>0</v>
      </c>
      <c r="H111" s="348"/>
      <c r="I111" s="353">
        <f>SUMIFS(FCPIS!$U$6:$U$899,FCPIS!$B$6:$B$899,$A111,FCPIS!$C$6:$C$899,$B111,FCPIS!$D$6:$D$899,I$4,FCPIS!$E$6:$E$899,$C111)*-1000</f>
        <v>0</v>
      </c>
      <c r="J111" s="348"/>
      <c r="K111" s="353">
        <f>SUMIFS(FCPIS!$U$6:$U$899,FCPIS!$B$6:$B$899,$A111,FCPIS!$C$6:$C$899,$B111,FCPIS!$D$6:$D$899,K$4,FCPIS!$E$6:$E$899,$C111)*1000</f>
        <v>0</v>
      </c>
      <c r="L111" s="348"/>
      <c r="M111" s="353">
        <f t="shared" si="38"/>
        <v>0</v>
      </c>
      <c r="N111" s="348"/>
      <c r="O111" s="353">
        <f t="shared" si="39"/>
        <v>0</v>
      </c>
      <c r="P111" s="348"/>
      <c r="Q111" s="353">
        <f>SUMIFS(FCPIS!$V$6:$V$899,FCPIS!$B$6:$B$899,$A111,FCPIS!$C$6:$C$899,$B111,FCPIS!$D$6:$D$899,Q$4,FCPIS!$E$6:$E$899,$C111)*1000</f>
        <v>0</v>
      </c>
      <c r="R111" s="339"/>
      <c r="S111" s="354">
        <f>SUMIFS(FCPIS!$V$6:$V$899,FCPIS!$B$6:$B$899,$A111,FCPIS!$C$6:$C$899,$B111,FCPIS!$D$6:$D$899,S$4,FCPIS!$E$6:$E$899,$C111)*-1000</f>
        <v>0</v>
      </c>
      <c r="T111" s="339"/>
      <c r="U111" s="354">
        <f t="shared" si="40"/>
        <v>0</v>
      </c>
      <c r="V111" s="348"/>
      <c r="W111" s="353">
        <f t="shared" si="41"/>
        <v>0</v>
      </c>
      <c r="X111" s="348"/>
      <c r="Y111" s="353">
        <f t="shared" si="42"/>
        <v>0</v>
      </c>
      <c r="Z111" s="348"/>
      <c r="AA111" s="353">
        <f>SUMIFS(FCPIS!$T$6:$T$899,FCPIS!$B$6:$B$899,$A111,FCPIS!$C$6:$C$899,$B111,FCPIS!$D$6:$D$899,AA$4,FCPIS!$E$6:$E$899,$C111)*1000</f>
        <v>0</v>
      </c>
      <c r="AB111" s="353">
        <f t="shared" si="43"/>
        <v>0</v>
      </c>
    </row>
    <row r="112" spans="1:28" x14ac:dyDescent="0.2">
      <c r="B112" s="345" t="s">
        <v>2657</v>
      </c>
      <c r="D112" s="339"/>
      <c r="E112" s="349">
        <f>SUM(E98:E111)</f>
        <v>1025331781.6699989</v>
      </c>
      <c r="F112" s="348"/>
      <c r="G112" s="349">
        <f>SUM(G98:G111)</f>
        <v>105074521.84999982</v>
      </c>
      <c r="H112" s="348"/>
      <c r="I112" s="349">
        <f>SUM(I98:I111)</f>
        <v>-5000659.6899999985</v>
      </c>
      <c r="J112" s="348"/>
      <c r="K112" s="349">
        <f>SUM(K98:K111)</f>
        <v>0</v>
      </c>
      <c r="L112" s="348"/>
      <c r="M112" s="349">
        <f>SUM(M98:M111)</f>
        <v>100073862.15999982</v>
      </c>
      <c r="N112" s="348"/>
      <c r="O112" s="349">
        <f>SUM(O98:O111)</f>
        <v>1125405643.829999</v>
      </c>
      <c r="P112" s="348"/>
      <c r="Q112" s="349">
        <f>SUM(Q98:Q111)</f>
        <v>1069778837.5169219</v>
      </c>
      <c r="R112" s="339"/>
      <c r="S112" s="349">
        <f>SUM(S98:S111)</f>
        <v>-333954786.7822814</v>
      </c>
      <c r="T112" s="339"/>
      <c r="U112" s="349">
        <f>SUM(U98:U111)</f>
        <v>735824050.73464036</v>
      </c>
      <c r="V112" s="348"/>
      <c r="W112" s="352">
        <f>SUMIFS('FC CWIP &amp; RWIP'!$R$40:$R$58,'FC CWIP &amp; RWIP'!$A$40:$A$58,"KY",'FC CWIP &amp; RWIP'!$B$40:$B$58,D$97)*1000</f>
        <v>1941220.6730769232</v>
      </c>
      <c r="X112" s="348"/>
      <c r="Y112" s="349">
        <f>SUM(Y98:Y111)</f>
        <v>-332013566.10920453</v>
      </c>
      <c r="Z112" s="348">
        <f>SUM(Z98:Z111)</f>
        <v>0</v>
      </c>
      <c r="AA112" s="349">
        <f>SUM(AA98:AA111)</f>
        <v>1125405643.8299992</v>
      </c>
      <c r="AB112" s="349">
        <f>SUM(AB98:AB111)</f>
        <v>0</v>
      </c>
    </row>
    <row r="113" spans="1:28" x14ac:dyDescent="0.2">
      <c r="B113" s="345" t="s">
        <v>2657</v>
      </c>
      <c r="D113" s="339"/>
      <c r="E113" s="349"/>
      <c r="F113" s="346"/>
      <c r="G113" s="349"/>
      <c r="H113" s="346"/>
      <c r="I113" s="349"/>
      <c r="J113" s="346"/>
      <c r="K113" s="349"/>
      <c r="L113" s="346"/>
      <c r="M113" s="349"/>
      <c r="N113" s="346"/>
      <c r="O113" s="349"/>
      <c r="P113" s="346"/>
      <c r="Q113" s="349"/>
      <c r="R113" s="339"/>
      <c r="S113" s="339"/>
      <c r="T113" s="339"/>
      <c r="U113" s="339"/>
      <c r="V113" s="346"/>
      <c r="W113" s="349"/>
      <c r="X113" s="346"/>
      <c r="Y113" s="349"/>
      <c r="Z113" s="346"/>
      <c r="AA113" s="349"/>
      <c r="AB113" s="349"/>
    </row>
    <row r="114" spans="1:28" x14ac:dyDescent="0.2">
      <c r="B114" s="345" t="s">
        <v>2657</v>
      </c>
      <c r="D114" s="339"/>
      <c r="E114" s="344"/>
      <c r="F114" s="346"/>
      <c r="G114" s="344"/>
      <c r="H114" s="346"/>
      <c r="I114" s="344"/>
      <c r="J114" s="346"/>
      <c r="K114" s="344"/>
      <c r="L114" s="346"/>
      <c r="M114" s="344"/>
      <c r="N114" s="346"/>
      <c r="O114" s="344"/>
      <c r="P114" s="346"/>
      <c r="Q114" s="344"/>
      <c r="R114" s="339"/>
      <c r="S114" s="339"/>
      <c r="T114" s="339"/>
      <c r="U114" s="339"/>
      <c r="V114" s="346"/>
      <c r="W114" s="344"/>
      <c r="X114" s="346"/>
      <c r="Y114" s="344"/>
      <c r="Z114" s="346"/>
      <c r="AA114" s="344"/>
      <c r="AB114" s="344"/>
    </row>
    <row r="115" spans="1:28" ht="13.5" thickBot="1" x14ac:dyDescent="0.25">
      <c r="A115" s="736"/>
      <c r="B115" s="345" t="s">
        <v>2657</v>
      </c>
      <c r="C115" s="736"/>
      <c r="D115" s="338" t="s">
        <v>1340</v>
      </c>
      <c r="E115" s="355">
        <f>SUM(E28,E48,E59,E66,E80,E95,E112)</f>
        <v>9551057830.7199955</v>
      </c>
      <c r="F115" s="348"/>
      <c r="G115" s="355">
        <f>SUM(G28,G48,G59,G66,G80,G95,G112)</f>
        <v>677634829.50999928</v>
      </c>
      <c r="H115" s="348"/>
      <c r="I115" s="355">
        <f>SUM(I28,I48,I59,I66,I80,I95,I112)</f>
        <v>-144148515.96999997</v>
      </c>
      <c r="J115" s="348"/>
      <c r="K115" s="355">
        <f>SUM(K28,K48,K59,K66,K80,K95,K112)</f>
        <v>0</v>
      </c>
      <c r="L115" s="348"/>
      <c r="M115" s="355">
        <f>SUM(M28,M48,M59,M66,M80,M95,M112)</f>
        <v>533486313.53999937</v>
      </c>
      <c r="N115" s="348"/>
      <c r="O115" s="355">
        <f>SUM(O28,O48,O59,O66,O80,O95,O112)</f>
        <v>10084544144.259995</v>
      </c>
      <c r="P115" s="348"/>
      <c r="Q115" s="355">
        <f>SUM(Q28,Q48,Q59,Q66,Q80,Q95,Q112)</f>
        <v>9884400048.7130737</v>
      </c>
      <c r="R115" s="339"/>
      <c r="S115" s="355">
        <f>SUM(S28,S48,S59,S66,S80,S95,S112)</f>
        <v>-3439020198.1531234</v>
      </c>
      <c r="T115" s="339"/>
      <c r="U115" s="355">
        <f>SUM(U28,U48,U59,U66,U80,U95,U112)</f>
        <v>6445379850.5599499</v>
      </c>
      <c r="V115" s="348"/>
      <c r="W115" s="355">
        <f>SUM(W28,W48,W59,W66,W80,W95,W112)</f>
        <v>19059481.049230706</v>
      </c>
      <c r="X115" s="348"/>
      <c r="Y115" s="355">
        <f>SUM(Y28,Y48,Y59,Y66,Y80,Y95,Y112)</f>
        <v>-3419960717.1038923</v>
      </c>
      <c r="Z115" s="348"/>
      <c r="AA115" s="355">
        <f>SUM(AA28,AA48,AA59,AA66,AA80,AA95,AA112)</f>
        <v>10084544144.259996</v>
      </c>
      <c r="AB115" s="355">
        <f>SUM(AB28,AB48,AB59,AB66,AB80,AB95,AB112)</f>
        <v>2.5704503059387207E-7</v>
      </c>
    </row>
    <row r="116" spans="1:28" ht="13.5" thickTop="1" x14ac:dyDescent="0.2">
      <c r="A116" s="736"/>
      <c r="B116" s="736"/>
      <c r="C116" s="736"/>
      <c r="D116" s="200"/>
      <c r="E116" s="737"/>
      <c r="F116" s="738"/>
      <c r="G116" s="737"/>
      <c r="H116" s="738"/>
      <c r="I116" s="737"/>
      <c r="J116" s="738"/>
      <c r="K116" s="737"/>
      <c r="L116" s="738"/>
      <c r="M116" s="737"/>
      <c r="N116" s="738"/>
      <c r="O116" s="737"/>
      <c r="P116" s="738"/>
      <c r="Q116" s="737"/>
      <c r="V116" s="348"/>
      <c r="W116" s="739"/>
      <c r="X116" s="348"/>
      <c r="Y116" s="739"/>
      <c r="Z116" s="348"/>
      <c r="AA116" s="739"/>
      <c r="AB116" s="739"/>
    </row>
    <row r="117" spans="1:28" x14ac:dyDescent="0.2">
      <c r="A117" s="736"/>
      <c r="B117" s="736"/>
      <c r="C117" s="736"/>
      <c r="F117" s="741"/>
      <c r="H117" s="741"/>
      <c r="J117" s="741"/>
      <c r="L117" s="741"/>
      <c r="N117" s="741"/>
      <c r="P117" s="741"/>
      <c r="V117" s="346"/>
      <c r="X117" s="346"/>
      <c r="Z117" s="346"/>
    </row>
    <row r="118" spans="1:28" s="736" customFormat="1" x14ac:dyDescent="0.2">
      <c r="D118" s="743"/>
      <c r="E118" s="737"/>
      <c r="F118" s="738"/>
      <c r="G118" s="737"/>
      <c r="H118" s="738"/>
      <c r="I118" s="737"/>
      <c r="J118" s="738"/>
      <c r="K118" s="737"/>
      <c r="L118" s="738"/>
      <c r="M118" s="737"/>
      <c r="N118" s="738"/>
      <c r="O118" s="737"/>
      <c r="P118" s="738"/>
      <c r="Q118" s="737"/>
      <c r="V118" s="348"/>
      <c r="W118" s="739"/>
      <c r="X118" s="348"/>
      <c r="Y118" s="739"/>
      <c r="Z118" s="348"/>
      <c r="AA118" s="739"/>
      <c r="AB118" s="739"/>
    </row>
    <row r="119" spans="1:28" s="736" customFormat="1" x14ac:dyDescent="0.2">
      <c r="D119" s="743"/>
      <c r="E119" s="737"/>
      <c r="F119" s="738"/>
      <c r="G119" s="737"/>
      <c r="H119" s="738"/>
      <c r="I119" s="737"/>
      <c r="J119" s="738"/>
      <c r="K119" s="737"/>
      <c r="L119" s="738"/>
      <c r="M119" s="737"/>
      <c r="N119" s="738"/>
      <c r="O119" s="737"/>
      <c r="P119" s="738"/>
      <c r="Q119" s="737"/>
      <c r="V119" s="348"/>
      <c r="W119" s="739"/>
      <c r="X119" s="348"/>
      <c r="Y119" s="739"/>
      <c r="Z119" s="348"/>
      <c r="AA119" s="739"/>
      <c r="AB119" s="739"/>
    </row>
    <row r="120" spans="1:28" s="736" customFormat="1" x14ac:dyDescent="0.2">
      <c r="E120" s="737"/>
      <c r="F120" s="738"/>
      <c r="G120" s="737"/>
      <c r="H120" s="738"/>
      <c r="I120" s="737"/>
      <c r="J120" s="738"/>
      <c r="K120" s="737"/>
      <c r="L120" s="738"/>
      <c r="M120" s="737"/>
      <c r="N120" s="738"/>
      <c r="O120" s="737"/>
      <c r="P120" s="738"/>
      <c r="Q120" s="737"/>
      <c r="V120" s="348"/>
      <c r="W120" s="739"/>
      <c r="X120" s="348"/>
      <c r="Y120" s="739"/>
      <c r="Z120" s="348"/>
      <c r="AA120" s="739"/>
      <c r="AB120" s="739"/>
    </row>
    <row r="121" spans="1:28" s="736" customFormat="1" x14ac:dyDescent="0.2">
      <c r="E121" s="737"/>
      <c r="F121" s="738"/>
      <c r="G121" s="737"/>
      <c r="H121" s="738"/>
      <c r="I121" s="737"/>
      <c r="J121" s="738"/>
      <c r="K121" s="737"/>
      <c r="L121" s="738"/>
      <c r="M121" s="737"/>
      <c r="N121" s="738"/>
      <c r="O121" s="737"/>
      <c r="P121" s="738"/>
      <c r="Q121" s="737"/>
      <c r="V121" s="348"/>
      <c r="W121" s="739"/>
      <c r="X121" s="348"/>
      <c r="Y121" s="739"/>
      <c r="Z121" s="348"/>
      <c r="AA121" s="739"/>
      <c r="AB121" s="739"/>
    </row>
    <row r="122" spans="1:28" s="736" customFormat="1" x14ac:dyDescent="0.2">
      <c r="E122" s="737"/>
      <c r="F122" s="738"/>
      <c r="G122" s="737"/>
      <c r="H122" s="738"/>
      <c r="I122" s="737"/>
      <c r="J122" s="738"/>
      <c r="K122" s="737"/>
      <c r="L122" s="738"/>
      <c r="M122" s="737"/>
      <c r="N122" s="738"/>
      <c r="O122" s="737"/>
      <c r="P122" s="738"/>
      <c r="Q122" s="737"/>
      <c r="V122" s="348"/>
      <c r="W122" s="739"/>
      <c r="X122" s="348"/>
      <c r="Y122" s="739"/>
      <c r="Z122" s="348"/>
      <c r="AA122" s="739"/>
      <c r="AB122" s="739"/>
    </row>
    <row r="123" spans="1:28" s="736" customFormat="1" x14ac:dyDescent="0.2">
      <c r="E123" s="737"/>
      <c r="F123" s="738"/>
      <c r="G123" s="737"/>
      <c r="H123" s="738"/>
      <c r="I123" s="737"/>
      <c r="J123" s="738"/>
      <c r="K123" s="737"/>
      <c r="L123" s="738"/>
      <c r="M123" s="737"/>
      <c r="N123" s="738"/>
      <c r="O123" s="737"/>
      <c r="P123" s="738"/>
      <c r="Q123" s="737"/>
      <c r="V123" s="348"/>
      <c r="W123" s="739"/>
      <c r="X123" s="348"/>
      <c r="Y123" s="739"/>
      <c r="Z123" s="348"/>
      <c r="AA123" s="739"/>
      <c r="AB123" s="739"/>
    </row>
    <row r="124" spans="1:28" s="736" customFormat="1" x14ac:dyDescent="0.2">
      <c r="E124" s="737"/>
      <c r="F124" s="738"/>
      <c r="G124" s="737"/>
      <c r="H124" s="738"/>
      <c r="I124" s="737"/>
      <c r="J124" s="738"/>
      <c r="K124" s="737"/>
      <c r="L124" s="738"/>
      <c r="M124" s="737"/>
      <c r="N124" s="738"/>
      <c r="O124" s="737"/>
      <c r="P124" s="738"/>
      <c r="Q124" s="737"/>
      <c r="V124" s="348"/>
      <c r="W124" s="739"/>
      <c r="X124" s="348"/>
      <c r="Y124" s="739"/>
      <c r="Z124" s="348"/>
      <c r="AA124" s="739"/>
      <c r="AB124" s="739"/>
    </row>
    <row r="125" spans="1:28" s="736" customFormat="1" x14ac:dyDescent="0.2">
      <c r="E125" s="737"/>
      <c r="F125" s="738"/>
      <c r="G125" s="737"/>
      <c r="H125" s="738"/>
      <c r="I125" s="737"/>
      <c r="J125" s="738"/>
      <c r="K125" s="737"/>
      <c r="L125" s="738"/>
      <c r="M125" s="737"/>
      <c r="N125" s="738"/>
      <c r="O125" s="737"/>
      <c r="P125" s="738"/>
      <c r="Q125" s="737"/>
      <c r="V125" s="348"/>
      <c r="W125" s="739"/>
      <c r="X125" s="348"/>
      <c r="Y125" s="739"/>
      <c r="Z125" s="348"/>
      <c r="AA125" s="739"/>
      <c r="AB125" s="739"/>
    </row>
    <row r="126" spans="1:28" s="736" customFormat="1" x14ac:dyDescent="0.2">
      <c r="E126" s="737"/>
      <c r="F126" s="738"/>
      <c r="G126" s="737"/>
      <c r="H126" s="738"/>
      <c r="I126" s="737"/>
      <c r="J126" s="738"/>
      <c r="K126" s="737"/>
      <c r="L126" s="738"/>
      <c r="M126" s="737"/>
      <c r="N126" s="738"/>
      <c r="O126" s="737"/>
      <c r="P126" s="738"/>
      <c r="Q126" s="737"/>
      <c r="V126" s="348"/>
      <c r="W126" s="739"/>
      <c r="X126" s="348"/>
      <c r="Y126" s="739"/>
      <c r="Z126" s="348"/>
      <c r="AA126" s="739"/>
      <c r="AB126" s="739"/>
    </row>
    <row r="127" spans="1:28" s="736" customFormat="1" x14ac:dyDescent="0.2">
      <c r="E127" s="737"/>
      <c r="F127" s="738"/>
      <c r="G127" s="737"/>
      <c r="H127" s="738"/>
      <c r="I127" s="737"/>
      <c r="J127" s="738"/>
      <c r="K127" s="737"/>
      <c r="L127" s="738"/>
      <c r="M127" s="737"/>
      <c r="N127" s="738"/>
      <c r="O127" s="737"/>
      <c r="P127" s="738"/>
      <c r="Q127" s="737"/>
      <c r="V127" s="348"/>
      <c r="W127" s="739"/>
      <c r="X127" s="348"/>
      <c r="Y127" s="739"/>
      <c r="Z127" s="348"/>
      <c r="AA127" s="739"/>
      <c r="AB127" s="739"/>
    </row>
    <row r="128" spans="1:28" s="736" customFormat="1" x14ac:dyDescent="0.2">
      <c r="E128" s="737"/>
      <c r="F128" s="738"/>
      <c r="G128" s="737"/>
      <c r="H128" s="738"/>
      <c r="I128" s="737"/>
      <c r="J128" s="738"/>
      <c r="K128" s="737"/>
      <c r="L128" s="738"/>
      <c r="M128" s="737"/>
      <c r="N128" s="738"/>
      <c r="O128" s="737"/>
      <c r="P128" s="738"/>
      <c r="Q128" s="737"/>
      <c r="V128" s="348"/>
      <c r="W128" s="739"/>
      <c r="X128" s="348"/>
      <c r="Y128" s="739"/>
      <c r="Z128" s="348"/>
      <c r="AA128" s="739"/>
      <c r="AB128" s="739"/>
    </row>
    <row r="129" spans="4:28" s="736" customFormat="1" x14ac:dyDescent="0.2">
      <c r="E129" s="737"/>
      <c r="F129" s="738"/>
      <c r="G129" s="737"/>
      <c r="H129" s="738"/>
      <c r="I129" s="737"/>
      <c r="J129" s="738"/>
      <c r="K129" s="737"/>
      <c r="L129" s="738"/>
      <c r="M129" s="737"/>
      <c r="N129" s="738"/>
      <c r="O129" s="737"/>
      <c r="P129" s="738"/>
      <c r="Q129" s="737"/>
      <c r="V129" s="348"/>
      <c r="W129" s="739"/>
      <c r="X129" s="348"/>
      <c r="Y129" s="739"/>
      <c r="Z129" s="348"/>
      <c r="AA129" s="739"/>
      <c r="AB129" s="739"/>
    </row>
    <row r="130" spans="4:28" s="736" customFormat="1" x14ac:dyDescent="0.2">
      <c r="E130" s="737"/>
      <c r="F130" s="738"/>
      <c r="G130" s="737"/>
      <c r="H130" s="738"/>
      <c r="I130" s="737"/>
      <c r="J130" s="738"/>
      <c r="K130" s="737"/>
      <c r="L130" s="738"/>
      <c r="M130" s="737"/>
      <c r="N130" s="738"/>
      <c r="O130" s="737"/>
      <c r="P130" s="738"/>
      <c r="Q130" s="737"/>
      <c r="V130" s="348"/>
      <c r="W130" s="739"/>
      <c r="X130" s="348"/>
      <c r="Y130" s="739"/>
      <c r="Z130" s="348"/>
      <c r="AA130" s="739"/>
      <c r="AB130" s="739"/>
    </row>
    <row r="131" spans="4:28" s="736" customFormat="1" x14ac:dyDescent="0.2">
      <c r="E131" s="737"/>
      <c r="F131" s="738"/>
      <c r="G131" s="737"/>
      <c r="H131" s="738"/>
      <c r="I131" s="737"/>
      <c r="J131" s="738"/>
      <c r="K131" s="737"/>
      <c r="L131" s="738"/>
      <c r="M131" s="737"/>
      <c r="N131" s="738"/>
      <c r="O131" s="737"/>
      <c r="P131" s="738"/>
      <c r="Q131" s="737"/>
      <c r="V131" s="348"/>
      <c r="W131" s="739"/>
      <c r="X131" s="348"/>
      <c r="Y131" s="739"/>
      <c r="Z131" s="348"/>
      <c r="AA131" s="739"/>
      <c r="AB131" s="739"/>
    </row>
    <row r="132" spans="4:28" s="736" customFormat="1" x14ac:dyDescent="0.2">
      <c r="D132" s="743"/>
      <c r="E132" s="737"/>
      <c r="F132" s="738"/>
      <c r="G132" s="737"/>
      <c r="H132" s="738"/>
      <c r="I132" s="737"/>
      <c r="J132" s="738"/>
      <c r="K132" s="737"/>
      <c r="L132" s="738"/>
      <c r="M132" s="737"/>
      <c r="N132" s="738"/>
      <c r="O132" s="737"/>
      <c r="P132" s="738"/>
      <c r="Q132" s="737"/>
      <c r="V132" s="348"/>
      <c r="W132" s="739"/>
      <c r="X132" s="348"/>
      <c r="Y132" s="739"/>
      <c r="Z132" s="348"/>
      <c r="AA132" s="739"/>
      <c r="AB132" s="739"/>
    </row>
    <row r="133" spans="4:28" s="736" customFormat="1" x14ac:dyDescent="0.2">
      <c r="E133" s="737"/>
      <c r="F133" s="738"/>
      <c r="G133" s="737"/>
      <c r="H133" s="738"/>
      <c r="I133" s="737"/>
      <c r="J133" s="738"/>
      <c r="K133" s="737"/>
      <c r="L133" s="738"/>
      <c r="M133" s="737"/>
      <c r="N133" s="738"/>
      <c r="O133" s="737"/>
      <c r="P133" s="738"/>
      <c r="Q133" s="737"/>
      <c r="V133" s="348"/>
      <c r="W133" s="739"/>
      <c r="X133" s="348"/>
      <c r="Y133" s="739"/>
      <c r="Z133" s="348"/>
      <c r="AA133" s="739"/>
      <c r="AB133" s="739"/>
    </row>
    <row r="134" spans="4:28" s="736" customFormat="1" x14ac:dyDescent="0.2">
      <c r="E134" s="737"/>
      <c r="F134" s="738"/>
      <c r="G134" s="737"/>
      <c r="H134" s="738"/>
      <c r="I134" s="737"/>
      <c r="J134" s="738"/>
      <c r="K134" s="737"/>
      <c r="L134" s="738"/>
      <c r="M134" s="737"/>
      <c r="N134" s="738"/>
      <c r="O134" s="737"/>
      <c r="P134" s="738"/>
      <c r="Q134" s="737"/>
      <c r="V134" s="348"/>
      <c r="W134" s="739"/>
      <c r="X134" s="348"/>
      <c r="Y134" s="739"/>
      <c r="Z134" s="348"/>
      <c r="AA134" s="739"/>
      <c r="AB134" s="739"/>
    </row>
    <row r="135" spans="4:28" s="736" customFormat="1" x14ac:dyDescent="0.2">
      <c r="E135" s="737"/>
      <c r="F135" s="738"/>
      <c r="G135" s="737"/>
      <c r="H135" s="738"/>
      <c r="I135" s="737"/>
      <c r="J135" s="738"/>
      <c r="K135" s="737"/>
      <c r="L135" s="738"/>
      <c r="M135" s="737"/>
      <c r="N135" s="738"/>
      <c r="O135" s="737"/>
      <c r="P135" s="738"/>
      <c r="Q135" s="737"/>
      <c r="V135" s="348"/>
      <c r="W135" s="739"/>
      <c r="X135" s="348"/>
      <c r="Y135" s="739"/>
      <c r="Z135" s="348"/>
      <c r="AA135" s="739"/>
      <c r="AB135" s="739"/>
    </row>
    <row r="136" spans="4:28" s="736" customFormat="1" x14ac:dyDescent="0.2">
      <c r="E136" s="737"/>
      <c r="F136" s="738"/>
      <c r="G136" s="737"/>
      <c r="H136" s="738"/>
      <c r="I136" s="737"/>
      <c r="J136" s="738"/>
      <c r="K136" s="737"/>
      <c r="L136" s="738"/>
      <c r="M136" s="737"/>
      <c r="N136" s="738"/>
      <c r="O136" s="737"/>
      <c r="P136" s="738"/>
      <c r="Q136" s="737"/>
      <c r="V136" s="348"/>
      <c r="W136" s="739"/>
      <c r="X136" s="348"/>
      <c r="Y136" s="739"/>
      <c r="Z136" s="348"/>
      <c r="AA136" s="739"/>
      <c r="AB136" s="739"/>
    </row>
    <row r="137" spans="4:28" s="736" customFormat="1" x14ac:dyDescent="0.2">
      <c r="E137" s="737"/>
      <c r="F137" s="738"/>
      <c r="G137" s="737"/>
      <c r="H137" s="738"/>
      <c r="I137" s="737"/>
      <c r="J137" s="738"/>
      <c r="K137" s="737"/>
      <c r="L137" s="738"/>
      <c r="M137" s="737"/>
      <c r="N137" s="738"/>
      <c r="O137" s="737"/>
      <c r="P137" s="738"/>
      <c r="Q137" s="737"/>
      <c r="V137" s="348"/>
      <c r="W137" s="739"/>
      <c r="X137" s="348"/>
      <c r="Y137" s="739"/>
      <c r="Z137" s="348"/>
      <c r="AA137" s="739"/>
      <c r="AB137" s="739"/>
    </row>
    <row r="138" spans="4:28" s="736" customFormat="1" x14ac:dyDescent="0.2">
      <c r="E138" s="737"/>
      <c r="F138" s="738"/>
      <c r="G138" s="737"/>
      <c r="H138" s="738"/>
      <c r="I138" s="737"/>
      <c r="J138" s="738"/>
      <c r="K138" s="737"/>
      <c r="L138" s="738"/>
      <c r="M138" s="737"/>
      <c r="N138" s="738"/>
      <c r="O138" s="737"/>
      <c r="P138" s="738"/>
      <c r="Q138" s="737"/>
      <c r="V138" s="348"/>
      <c r="W138" s="739"/>
      <c r="X138" s="348"/>
      <c r="Y138" s="739"/>
      <c r="Z138" s="348"/>
      <c r="AA138" s="739"/>
      <c r="AB138" s="739"/>
    </row>
    <row r="139" spans="4:28" s="736" customFormat="1" x14ac:dyDescent="0.2">
      <c r="E139" s="737"/>
      <c r="F139" s="738"/>
      <c r="G139" s="737"/>
      <c r="H139" s="738"/>
      <c r="I139" s="737"/>
      <c r="J139" s="738"/>
      <c r="K139" s="737"/>
      <c r="L139" s="738"/>
      <c r="M139" s="737"/>
      <c r="N139" s="738"/>
      <c r="O139" s="737"/>
      <c r="P139" s="738"/>
      <c r="Q139" s="737"/>
      <c r="V139" s="348"/>
      <c r="W139" s="739"/>
      <c r="X139" s="348"/>
      <c r="Y139" s="739"/>
      <c r="Z139" s="348"/>
      <c r="AA139" s="739"/>
      <c r="AB139" s="739"/>
    </row>
    <row r="140" spans="4:28" s="736" customFormat="1" x14ac:dyDescent="0.2">
      <c r="E140" s="737"/>
      <c r="F140" s="738"/>
      <c r="G140" s="737"/>
      <c r="H140" s="738"/>
      <c r="I140" s="737"/>
      <c r="J140" s="738"/>
      <c r="K140" s="737"/>
      <c r="L140" s="738"/>
      <c r="M140" s="737"/>
      <c r="N140" s="738"/>
      <c r="O140" s="737"/>
      <c r="P140" s="738"/>
      <c r="Q140" s="737"/>
      <c r="V140" s="348"/>
      <c r="W140" s="739"/>
      <c r="X140" s="348"/>
      <c r="Y140" s="739"/>
      <c r="Z140" s="348"/>
      <c r="AA140" s="739"/>
      <c r="AB140" s="739"/>
    </row>
    <row r="141" spans="4:28" s="736" customFormat="1" x14ac:dyDescent="0.2">
      <c r="E141" s="737"/>
      <c r="F141" s="738"/>
      <c r="G141" s="737"/>
      <c r="H141" s="738"/>
      <c r="I141" s="737"/>
      <c r="J141" s="738"/>
      <c r="K141" s="737"/>
      <c r="L141" s="738"/>
      <c r="M141" s="737"/>
      <c r="N141" s="738"/>
      <c r="O141" s="737"/>
      <c r="P141" s="738"/>
      <c r="Q141" s="737"/>
      <c r="V141" s="348"/>
      <c r="W141" s="739"/>
      <c r="X141" s="348"/>
      <c r="Y141" s="739"/>
      <c r="Z141" s="348"/>
      <c r="AA141" s="739"/>
      <c r="AB141" s="739"/>
    </row>
    <row r="142" spans="4:28" s="736" customFormat="1" x14ac:dyDescent="0.2">
      <c r="D142" s="743"/>
      <c r="E142" s="737"/>
      <c r="F142" s="738"/>
      <c r="G142" s="737"/>
      <c r="H142" s="738"/>
      <c r="I142" s="737"/>
      <c r="J142" s="738"/>
      <c r="K142" s="737"/>
      <c r="L142" s="738"/>
      <c r="M142" s="737"/>
      <c r="N142" s="738"/>
      <c r="O142" s="737"/>
      <c r="P142" s="738"/>
      <c r="Q142" s="737"/>
      <c r="V142" s="348"/>
      <c r="W142" s="739"/>
      <c r="X142" s="348"/>
      <c r="Y142" s="739"/>
      <c r="Z142" s="348"/>
      <c r="AA142" s="739"/>
      <c r="AB142" s="739"/>
    </row>
    <row r="143" spans="4:28" s="736" customFormat="1" x14ac:dyDescent="0.2">
      <c r="E143" s="737"/>
      <c r="F143" s="738"/>
      <c r="G143" s="737"/>
      <c r="H143" s="738"/>
      <c r="I143" s="737"/>
      <c r="J143" s="738"/>
      <c r="K143" s="737"/>
      <c r="L143" s="738"/>
      <c r="M143" s="737"/>
      <c r="N143" s="738"/>
      <c r="O143" s="737"/>
      <c r="P143" s="738"/>
      <c r="Q143" s="737"/>
      <c r="V143" s="348"/>
      <c r="W143" s="739"/>
      <c r="X143" s="348"/>
      <c r="Y143" s="739"/>
      <c r="Z143" s="348"/>
      <c r="AA143" s="739"/>
      <c r="AB143" s="739"/>
    </row>
    <row r="144" spans="4:28" s="736" customFormat="1" x14ac:dyDescent="0.2">
      <c r="E144" s="737"/>
      <c r="F144" s="738"/>
      <c r="G144" s="737"/>
      <c r="H144" s="738"/>
      <c r="I144" s="737"/>
      <c r="J144" s="738"/>
      <c r="K144" s="737"/>
      <c r="L144" s="738"/>
      <c r="M144" s="737"/>
      <c r="N144" s="738"/>
      <c r="O144" s="737"/>
      <c r="P144" s="738"/>
      <c r="Q144" s="737"/>
      <c r="V144" s="348"/>
      <c r="W144" s="739"/>
      <c r="X144" s="348"/>
      <c r="Y144" s="739"/>
      <c r="Z144" s="348"/>
      <c r="AA144" s="739"/>
      <c r="AB144" s="739"/>
    </row>
    <row r="145" spans="4:28" s="736" customFormat="1" x14ac:dyDescent="0.2">
      <c r="E145" s="737"/>
      <c r="F145" s="738"/>
      <c r="G145" s="737"/>
      <c r="H145" s="738"/>
      <c r="I145" s="737"/>
      <c r="J145" s="738"/>
      <c r="K145" s="737"/>
      <c r="L145" s="738"/>
      <c r="M145" s="737"/>
      <c r="N145" s="738"/>
      <c r="O145" s="737"/>
      <c r="P145" s="738"/>
      <c r="Q145" s="737"/>
      <c r="V145" s="348"/>
      <c r="W145" s="739"/>
      <c r="X145" s="348"/>
      <c r="Y145" s="739"/>
      <c r="Z145" s="348"/>
      <c r="AA145" s="739"/>
      <c r="AB145" s="739"/>
    </row>
    <row r="146" spans="4:28" s="736" customFormat="1" x14ac:dyDescent="0.2">
      <c r="E146" s="737"/>
      <c r="F146" s="738"/>
      <c r="G146" s="737"/>
      <c r="H146" s="738"/>
      <c r="I146" s="737"/>
      <c r="J146" s="738"/>
      <c r="K146" s="737"/>
      <c r="L146" s="738"/>
      <c r="M146" s="737"/>
      <c r="N146" s="738"/>
      <c r="O146" s="737"/>
      <c r="P146" s="738"/>
      <c r="Q146" s="737"/>
      <c r="V146" s="348"/>
      <c r="W146" s="739"/>
      <c r="X146" s="348"/>
      <c r="Y146" s="739"/>
      <c r="Z146" s="348"/>
      <c r="AA146" s="739"/>
      <c r="AB146" s="739"/>
    </row>
    <row r="147" spans="4:28" s="736" customFormat="1" x14ac:dyDescent="0.2">
      <c r="E147" s="737"/>
      <c r="F147" s="738"/>
      <c r="G147" s="737"/>
      <c r="H147" s="738"/>
      <c r="I147" s="737"/>
      <c r="J147" s="738"/>
      <c r="K147" s="737"/>
      <c r="L147" s="738"/>
      <c r="M147" s="737"/>
      <c r="N147" s="738"/>
      <c r="O147" s="737"/>
      <c r="P147" s="738"/>
      <c r="Q147" s="737"/>
      <c r="V147" s="348"/>
      <c r="W147" s="739"/>
      <c r="X147" s="348"/>
      <c r="Y147" s="739"/>
      <c r="Z147" s="348"/>
      <c r="AA147" s="739"/>
      <c r="AB147" s="739"/>
    </row>
    <row r="148" spans="4:28" s="736" customFormat="1" x14ac:dyDescent="0.2">
      <c r="E148" s="737"/>
      <c r="F148" s="738"/>
      <c r="G148" s="737"/>
      <c r="H148" s="738"/>
      <c r="I148" s="737"/>
      <c r="J148" s="738"/>
      <c r="K148" s="737"/>
      <c r="L148" s="738"/>
      <c r="M148" s="737"/>
      <c r="N148" s="738"/>
      <c r="O148" s="737"/>
      <c r="P148" s="738"/>
      <c r="Q148" s="737"/>
      <c r="V148" s="348"/>
      <c r="W148" s="739"/>
      <c r="X148" s="348"/>
      <c r="Y148" s="739"/>
      <c r="Z148" s="348"/>
      <c r="AA148" s="739"/>
      <c r="AB148" s="739"/>
    </row>
    <row r="149" spans="4:28" s="736" customFormat="1" x14ac:dyDescent="0.2">
      <c r="E149" s="737"/>
      <c r="F149" s="738"/>
      <c r="G149" s="737"/>
      <c r="H149" s="738"/>
      <c r="I149" s="737"/>
      <c r="J149" s="738"/>
      <c r="K149" s="737"/>
      <c r="L149" s="738"/>
      <c r="M149" s="737"/>
      <c r="N149" s="738"/>
      <c r="O149" s="737"/>
      <c r="P149" s="738"/>
      <c r="Q149" s="737"/>
      <c r="V149" s="348"/>
      <c r="W149" s="739"/>
      <c r="X149" s="348"/>
      <c r="Y149" s="739"/>
      <c r="Z149" s="348"/>
      <c r="AA149" s="739"/>
      <c r="AB149" s="739"/>
    </row>
    <row r="150" spans="4:28" s="736" customFormat="1" x14ac:dyDescent="0.2">
      <c r="E150" s="737"/>
      <c r="F150" s="738"/>
      <c r="G150" s="737"/>
      <c r="H150" s="738"/>
      <c r="I150" s="737"/>
      <c r="J150" s="738"/>
      <c r="K150" s="737"/>
      <c r="L150" s="738"/>
      <c r="M150" s="737"/>
      <c r="N150" s="738"/>
      <c r="O150" s="737"/>
      <c r="P150" s="738"/>
      <c r="Q150" s="737"/>
      <c r="V150" s="348"/>
      <c r="W150" s="739"/>
      <c r="X150" s="348"/>
      <c r="Y150" s="739"/>
      <c r="Z150" s="348"/>
      <c r="AA150" s="739"/>
      <c r="AB150" s="739"/>
    </row>
    <row r="151" spans="4:28" s="736" customFormat="1" x14ac:dyDescent="0.2">
      <c r="D151" s="743"/>
      <c r="E151" s="737"/>
      <c r="F151" s="738"/>
      <c r="G151" s="737"/>
      <c r="H151" s="738"/>
      <c r="I151" s="737"/>
      <c r="J151" s="738"/>
      <c r="K151" s="737"/>
      <c r="L151" s="738"/>
      <c r="M151" s="737"/>
      <c r="N151" s="738"/>
      <c r="O151" s="737"/>
      <c r="P151" s="738"/>
      <c r="Q151" s="737"/>
      <c r="V151" s="348"/>
      <c r="W151" s="739"/>
      <c r="X151" s="348"/>
      <c r="Y151" s="739"/>
      <c r="Z151" s="348"/>
      <c r="AA151" s="739"/>
      <c r="AB151" s="739"/>
    </row>
    <row r="152" spans="4:28" s="736" customFormat="1" x14ac:dyDescent="0.2">
      <c r="E152" s="737"/>
      <c r="F152" s="738"/>
      <c r="G152" s="737"/>
      <c r="H152" s="738"/>
      <c r="I152" s="737"/>
      <c r="J152" s="738"/>
      <c r="K152" s="737"/>
      <c r="L152" s="738"/>
      <c r="M152" s="737"/>
      <c r="N152" s="738"/>
      <c r="O152" s="737"/>
      <c r="P152" s="738"/>
      <c r="Q152" s="737"/>
      <c r="V152" s="348"/>
      <c r="W152" s="739"/>
      <c r="X152" s="348"/>
      <c r="Y152" s="739"/>
      <c r="Z152" s="348"/>
      <c r="AA152" s="739"/>
      <c r="AB152" s="739"/>
    </row>
    <row r="153" spans="4:28" s="736" customFormat="1" x14ac:dyDescent="0.2">
      <c r="E153" s="737"/>
      <c r="F153" s="738"/>
      <c r="G153" s="737"/>
      <c r="H153" s="738"/>
      <c r="I153" s="737"/>
      <c r="J153" s="738"/>
      <c r="K153" s="737"/>
      <c r="L153" s="738"/>
      <c r="M153" s="737"/>
      <c r="N153" s="738"/>
      <c r="O153" s="737"/>
      <c r="P153" s="738"/>
      <c r="Q153" s="737"/>
      <c r="V153" s="348"/>
      <c r="W153" s="739"/>
      <c r="X153" s="348"/>
      <c r="Y153" s="739"/>
      <c r="Z153" s="348"/>
      <c r="AA153" s="739"/>
      <c r="AB153" s="739"/>
    </row>
    <row r="154" spans="4:28" s="736" customFormat="1" x14ac:dyDescent="0.2">
      <c r="E154" s="737"/>
      <c r="F154" s="738"/>
      <c r="G154" s="737"/>
      <c r="H154" s="738"/>
      <c r="I154" s="737"/>
      <c r="J154" s="738"/>
      <c r="K154" s="737"/>
      <c r="L154" s="738"/>
      <c r="M154" s="737"/>
      <c r="N154" s="738"/>
      <c r="O154" s="737"/>
      <c r="P154" s="738"/>
      <c r="Q154" s="737"/>
      <c r="V154" s="348"/>
      <c r="W154" s="739"/>
      <c r="X154" s="348"/>
      <c r="Y154" s="739"/>
      <c r="Z154" s="348"/>
      <c r="AA154" s="739"/>
      <c r="AB154" s="739"/>
    </row>
    <row r="155" spans="4:28" s="736" customFormat="1" x14ac:dyDescent="0.2">
      <c r="E155" s="737"/>
      <c r="F155" s="738"/>
      <c r="G155" s="737"/>
      <c r="H155" s="738"/>
      <c r="I155" s="737"/>
      <c r="J155" s="738"/>
      <c r="K155" s="737"/>
      <c r="L155" s="738"/>
      <c r="M155" s="737"/>
      <c r="N155" s="738"/>
      <c r="O155" s="737"/>
      <c r="P155" s="738"/>
      <c r="Q155" s="737"/>
      <c r="V155" s="348"/>
      <c r="W155" s="739"/>
      <c r="X155" s="348"/>
      <c r="Y155" s="739"/>
      <c r="Z155" s="348"/>
      <c r="AA155" s="739"/>
      <c r="AB155" s="739"/>
    </row>
    <row r="156" spans="4:28" s="736" customFormat="1" x14ac:dyDescent="0.2">
      <c r="D156" s="743"/>
      <c r="E156" s="737"/>
      <c r="F156" s="738"/>
      <c r="G156" s="737"/>
      <c r="H156" s="738"/>
      <c r="I156" s="737"/>
      <c r="J156" s="738"/>
      <c r="K156" s="737"/>
      <c r="L156" s="738"/>
      <c r="M156" s="737"/>
      <c r="N156" s="738"/>
      <c r="O156" s="737"/>
      <c r="P156" s="738"/>
      <c r="Q156" s="737"/>
      <c r="V156" s="348"/>
      <c r="W156" s="739"/>
      <c r="X156" s="348"/>
      <c r="Y156" s="739"/>
      <c r="Z156" s="348"/>
      <c r="AA156" s="739"/>
      <c r="AB156" s="739"/>
    </row>
    <row r="157" spans="4:28" s="736" customFormat="1" x14ac:dyDescent="0.2">
      <c r="E157" s="737"/>
      <c r="F157" s="738"/>
      <c r="G157" s="737"/>
      <c r="H157" s="738"/>
      <c r="I157" s="737"/>
      <c r="J157" s="738"/>
      <c r="K157" s="737"/>
      <c r="L157" s="738"/>
      <c r="M157" s="737"/>
      <c r="N157" s="738"/>
      <c r="O157" s="737"/>
      <c r="P157" s="738"/>
      <c r="Q157" s="737"/>
      <c r="V157" s="348"/>
      <c r="W157" s="739"/>
      <c r="X157" s="348"/>
      <c r="Y157" s="739"/>
      <c r="Z157" s="348"/>
      <c r="AA157" s="739"/>
      <c r="AB157" s="739"/>
    </row>
    <row r="158" spans="4:28" s="736" customFormat="1" x14ac:dyDescent="0.2">
      <c r="E158" s="737"/>
      <c r="F158" s="738"/>
      <c r="G158" s="737"/>
      <c r="H158" s="738"/>
      <c r="I158" s="737"/>
      <c r="J158" s="738"/>
      <c r="K158" s="737"/>
      <c r="L158" s="738"/>
      <c r="M158" s="737"/>
      <c r="N158" s="738"/>
      <c r="O158" s="737"/>
      <c r="P158" s="738"/>
      <c r="Q158" s="737"/>
      <c r="V158" s="348"/>
      <c r="W158" s="739"/>
      <c r="X158" s="348"/>
      <c r="Y158" s="739"/>
      <c r="Z158" s="348"/>
      <c r="AA158" s="739"/>
      <c r="AB158" s="739"/>
    </row>
    <row r="159" spans="4:28" s="736" customFormat="1" x14ac:dyDescent="0.2">
      <c r="E159" s="737"/>
      <c r="F159" s="738"/>
      <c r="G159" s="737"/>
      <c r="H159" s="738"/>
      <c r="I159" s="737"/>
      <c r="J159" s="738"/>
      <c r="K159" s="737"/>
      <c r="L159" s="738"/>
      <c r="M159" s="737"/>
      <c r="N159" s="738"/>
      <c r="O159" s="737"/>
      <c r="P159" s="738"/>
      <c r="Q159" s="737"/>
      <c r="V159" s="348"/>
      <c r="W159" s="739"/>
      <c r="X159" s="348"/>
      <c r="Y159" s="739"/>
      <c r="Z159" s="348"/>
      <c r="AA159" s="739"/>
      <c r="AB159" s="739"/>
    </row>
    <row r="160" spans="4:28" s="736" customFormat="1" x14ac:dyDescent="0.2">
      <c r="E160" s="737"/>
      <c r="F160" s="738"/>
      <c r="G160" s="737"/>
      <c r="H160" s="738"/>
      <c r="I160" s="737"/>
      <c r="J160" s="738"/>
      <c r="K160" s="737"/>
      <c r="L160" s="738"/>
      <c r="M160" s="737"/>
      <c r="N160" s="738"/>
      <c r="O160" s="737"/>
      <c r="P160" s="738"/>
      <c r="Q160" s="737"/>
      <c r="V160" s="348"/>
      <c r="W160" s="739"/>
      <c r="X160" s="348"/>
      <c r="Y160" s="739"/>
      <c r="Z160" s="348"/>
      <c r="AA160" s="739"/>
      <c r="AB160" s="739"/>
    </row>
    <row r="161" spans="4:28" s="736" customFormat="1" x14ac:dyDescent="0.2">
      <c r="E161" s="737"/>
      <c r="F161" s="738"/>
      <c r="G161" s="737"/>
      <c r="H161" s="738"/>
      <c r="I161" s="737"/>
      <c r="J161" s="738"/>
      <c r="K161" s="737"/>
      <c r="L161" s="738"/>
      <c r="M161" s="737"/>
      <c r="N161" s="738"/>
      <c r="O161" s="737"/>
      <c r="P161" s="738"/>
      <c r="Q161" s="737"/>
      <c r="V161" s="348"/>
      <c r="W161" s="739"/>
      <c r="X161" s="348"/>
      <c r="Y161" s="739"/>
      <c r="Z161" s="348"/>
      <c r="AA161" s="739"/>
      <c r="AB161" s="739"/>
    </row>
    <row r="162" spans="4:28" s="736" customFormat="1" x14ac:dyDescent="0.2">
      <c r="E162" s="737"/>
      <c r="F162" s="738"/>
      <c r="G162" s="737"/>
      <c r="H162" s="738"/>
      <c r="I162" s="737"/>
      <c r="J162" s="738"/>
      <c r="K162" s="737"/>
      <c r="L162" s="738"/>
      <c r="M162" s="737"/>
      <c r="N162" s="738"/>
      <c r="O162" s="737"/>
      <c r="P162" s="738"/>
      <c r="Q162" s="737"/>
      <c r="V162" s="348"/>
      <c r="W162" s="739"/>
      <c r="X162" s="348"/>
      <c r="Y162" s="739"/>
      <c r="Z162" s="348"/>
      <c r="AA162" s="739"/>
      <c r="AB162" s="739"/>
    </row>
    <row r="163" spans="4:28" s="736" customFormat="1" x14ac:dyDescent="0.2">
      <c r="E163" s="737"/>
      <c r="F163" s="738"/>
      <c r="G163" s="737"/>
      <c r="H163" s="738"/>
      <c r="I163" s="737"/>
      <c r="J163" s="738"/>
      <c r="K163" s="737"/>
      <c r="L163" s="738"/>
      <c r="M163" s="737"/>
      <c r="N163" s="738"/>
      <c r="O163" s="737"/>
      <c r="P163" s="738"/>
      <c r="Q163" s="737"/>
      <c r="V163" s="348"/>
      <c r="W163" s="739"/>
      <c r="X163" s="348"/>
      <c r="Y163" s="739"/>
      <c r="Z163" s="348"/>
      <c r="AA163" s="739"/>
      <c r="AB163" s="739"/>
    </row>
    <row r="164" spans="4:28" s="736" customFormat="1" x14ac:dyDescent="0.2">
      <c r="E164" s="737"/>
      <c r="F164" s="738"/>
      <c r="G164" s="737"/>
      <c r="H164" s="738"/>
      <c r="I164" s="737"/>
      <c r="J164" s="738"/>
      <c r="K164" s="737"/>
      <c r="L164" s="738"/>
      <c r="M164" s="737"/>
      <c r="N164" s="738"/>
      <c r="O164" s="737"/>
      <c r="P164" s="738"/>
      <c r="Q164" s="737"/>
      <c r="V164" s="348"/>
      <c r="W164" s="739"/>
      <c r="X164" s="348"/>
      <c r="Y164" s="739"/>
      <c r="Z164" s="348"/>
      <c r="AA164" s="739"/>
      <c r="AB164" s="739"/>
    </row>
    <row r="165" spans="4:28" s="736" customFormat="1" x14ac:dyDescent="0.2">
      <c r="D165" s="743"/>
      <c r="E165" s="737"/>
      <c r="F165" s="738"/>
      <c r="G165" s="737"/>
      <c r="H165" s="738"/>
      <c r="I165" s="737"/>
      <c r="J165" s="738"/>
      <c r="K165" s="737"/>
      <c r="L165" s="738"/>
      <c r="M165" s="737"/>
      <c r="N165" s="738"/>
      <c r="O165" s="737"/>
      <c r="P165" s="738"/>
      <c r="Q165" s="737"/>
      <c r="V165" s="348"/>
      <c r="W165" s="739"/>
      <c r="X165" s="348"/>
      <c r="Y165" s="739"/>
      <c r="Z165" s="348"/>
      <c r="AA165" s="739"/>
      <c r="AB165" s="739"/>
    </row>
    <row r="166" spans="4:28" s="736" customFormat="1" x14ac:dyDescent="0.2">
      <c r="E166" s="737"/>
      <c r="F166" s="738"/>
      <c r="G166" s="737"/>
      <c r="H166" s="738"/>
      <c r="I166" s="737"/>
      <c r="J166" s="738"/>
      <c r="K166" s="737"/>
      <c r="L166" s="738"/>
      <c r="M166" s="737"/>
      <c r="N166" s="738"/>
      <c r="O166" s="737"/>
      <c r="P166" s="738"/>
      <c r="Q166" s="737"/>
      <c r="V166" s="348"/>
      <c r="W166" s="739"/>
      <c r="X166" s="348"/>
      <c r="Y166" s="739"/>
      <c r="Z166" s="348"/>
      <c r="AA166" s="739"/>
      <c r="AB166" s="739"/>
    </row>
    <row r="167" spans="4:28" s="736" customFormat="1" x14ac:dyDescent="0.2">
      <c r="E167" s="737"/>
      <c r="F167" s="738"/>
      <c r="G167" s="737"/>
      <c r="H167" s="738"/>
      <c r="I167" s="737"/>
      <c r="J167" s="738"/>
      <c r="K167" s="737"/>
      <c r="L167" s="738"/>
      <c r="M167" s="737"/>
      <c r="N167" s="738"/>
      <c r="O167" s="737"/>
      <c r="P167" s="738"/>
      <c r="Q167" s="737"/>
      <c r="V167" s="348"/>
      <c r="W167" s="739"/>
      <c r="X167" s="348"/>
      <c r="Y167" s="739"/>
      <c r="Z167" s="348"/>
      <c r="AA167" s="739"/>
      <c r="AB167" s="739"/>
    </row>
    <row r="168" spans="4:28" s="736" customFormat="1" x14ac:dyDescent="0.2">
      <c r="E168" s="737"/>
      <c r="F168" s="738"/>
      <c r="G168" s="737"/>
      <c r="H168" s="738"/>
      <c r="I168" s="737"/>
      <c r="J168" s="738"/>
      <c r="K168" s="737"/>
      <c r="L168" s="738"/>
      <c r="M168" s="737"/>
      <c r="N168" s="738"/>
      <c r="O168" s="737"/>
      <c r="P168" s="738"/>
      <c r="Q168" s="737"/>
      <c r="V168" s="348"/>
      <c r="W168" s="739"/>
      <c r="X168" s="348"/>
      <c r="Y168" s="739"/>
      <c r="Z168" s="348"/>
      <c r="AA168" s="739"/>
      <c r="AB168" s="739"/>
    </row>
    <row r="169" spans="4:28" s="736" customFormat="1" x14ac:dyDescent="0.2">
      <c r="E169" s="737"/>
      <c r="F169" s="738"/>
      <c r="G169" s="737"/>
      <c r="H169" s="738"/>
      <c r="I169" s="737"/>
      <c r="J169" s="738"/>
      <c r="K169" s="737"/>
      <c r="L169" s="738"/>
      <c r="M169" s="737"/>
      <c r="N169" s="738"/>
      <c r="O169" s="737"/>
      <c r="P169" s="738"/>
      <c r="Q169" s="737"/>
      <c r="V169" s="348"/>
      <c r="W169" s="739"/>
      <c r="X169" s="348"/>
      <c r="Y169" s="739"/>
      <c r="Z169" s="348"/>
      <c r="AA169" s="739"/>
      <c r="AB169" s="739"/>
    </row>
    <row r="170" spans="4:28" s="736" customFormat="1" x14ac:dyDescent="0.2">
      <c r="E170" s="737"/>
      <c r="F170" s="738"/>
      <c r="G170" s="737"/>
      <c r="H170" s="738"/>
      <c r="I170" s="737"/>
      <c r="J170" s="738"/>
      <c r="K170" s="737"/>
      <c r="L170" s="738"/>
      <c r="M170" s="737"/>
      <c r="N170" s="738"/>
      <c r="O170" s="737"/>
      <c r="P170" s="738"/>
      <c r="Q170" s="737"/>
      <c r="V170" s="348"/>
      <c r="W170" s="739"/>
      <c r="X170" s="348"/>
      <c r="Y170" s="739"/>
      <c r="Z170" s="348"/>
      <c r="AA170" s="739"/>
      <c r="AB170" s="739"/>
    </row>
    <row r="171" spans="4:28" s="736" customFormat="1" x14ac:dyDescent="0.2">
      <c r="E171" s="737"/>
      <c r="F171" s="738"/>
      <c r="G171" s="737"/>
      <c r="H171" s="738"/>
      <c r="I171" s="737"/>
      <c r="J171" s="738"/>
      <c r="K171" s="737"/>
      <c r="L171" s="738"/>
      <c r="M171" s="737"/>
      <c r="N171" s="738"/>
      <c r="O171" s="737"/>
      <c r="P171" s="738"/>
      <c r="Q171" s="737"/>
      <c r="V171" s="348"/>
      <c r="W171" s="739"/>
      <c r="X171" s="348"/>
      <c r="Y171" s="739"/>
      <c r="Z171" s="348"/>
      <c r="AA171" s="739"/>
      <c r="AB171" s="739"/>
    </row>
    <row r="172" spans="4:28" s="736" customFormat="1" x14ac:dyDescent="0.2">
      <c r="E172" s="737"/>
      <c r="F172" s="738"/>
      <c r="G172" s="737"/>
      <c r="H172" s="738"/>
      <c r="I172" s="737"/>
      <c r="J172" s="738"/>
      <c r="K172" s="737"/>
      <c r="L172" s="738"/>
      <c r="M172" s="737"/>
      <c r="N172" s="738"/>
      <c r="O172" s="737"/>
      <c r="P172" s="738"/>
      <c r="Q172" s="737"/>
      <c r="V172" s="348"/>
      <c r="W172" s="739"/>
      <c r="X172" s="348"/>
      <c r="Y172" s="739"/>
      <c r="Z172" s="348"/>
      <c r="AA172" s="739"/>
      <c r="AB172" s="739"/>
    </row>
    <row r="173" spans="4:28" s="736" customFormat="1" x14ac:dyDescent="0.2">
      <c r="D173" s="743"/>
      <c r="E173" s="737"/>
      <c r="F173" s="738"/>
      <c r="G173" s="737"/>
      <c r="H173" s="738"/>
      <c r="I173" s="737"/>
      <c r="J173" s="738"/>
      <c r="K173" s="737"/>
      <c r="L173" s="738"/>
      <c r="M173" s="737"/>
      <c r="N173" s="738"/>
      <c r="O173" s="737"/>
      <c r="P173" s="738"/>
      <c r="Q173" s="737"/>
      <c r="V173" s="348"/>
      <c r="W173" s="739"/>
      <c r="X173" s="348"/>
      <c r="Y173" s="739"/>
      <c r="Z173" s="348"/>
      <c r="AA173" s="739"/>
      <c r="AB173" s="739"/>
    </row>
    <row r="174" spans="4:28" s="736" customFormat="1" x14ac:dyDescent="0.2">
      <c r="E174" s="737"/>
      <c r="F174" s="738"/>
      <c r="G174" s="737"/>
      <c r="H174" s="738"/>
      <c r="I174" s="737"/>
      <c r="J174" s="738"/>
      <c r="K174" s="737"/>
      <c r="L174" s="738"/>
      <c r="M174" s="737"/>
      <c r="N174" s="738"/>
      <c r="O174" s="737"/>
      <c r="P174" s="738"/>
      <c r="Q174" s="737"/>
      <c r="V174" s="348"/>
      <c r="W174" s="739"/>
      <c r="X174" s="348"/>
      <c r="Y174" s="739"/>
      <c r="Z174" s="348"/>
      <c r="AA174" s="739"/>
      <c r="AB174" s="739"/>
    </row>
    <row r="175" spans="4:28" s="736" customFormat="1" x14ac:dyDescent="0.2">
      <c r="E175" s="737"/>
      <c r="F175" s="738"/>
      <c r="G175" s="737"/>
      <c r="H175" s="738"/>
      <c r="I175" s="737"/>
      <c r="J175" s="738"/>
      <c r="K175" s="737"/>
      <c r="L175" s="738"/>
      <c r="M175" s="737"/>
      <c r="N175" s="738"/>
      <c r="O175" s="737"/>
      <c r="P175" s="738"/>
      <c r="Q175" s="737"/>
      <c r="V175" s="348"/>
      <c r="W175" s="739"/>
      <c r="X175" s="348"/>
      <c r="Y175" s="739"/>
      <c r="Z175" s="348"/>
      <c r="AA175" s="739"/>
      <c r="AB175" s="739"/>
    </row>
    <row r="176" spans="4:28" s="736" customFormat="1" x14ac:dyDescent="0.2">
      <c r="E176" s="737"/>
      <c r="F176" s="738"/>
      <c r="G176" s="737"/>
      <c r="H176" s="738"/>
      <c r="I176" s="737"/>
      <c r="J176" s="738"/>
      <c r="K176" s="737"/>
      <c r="L176" s="738"/>
      <c r="M176" s="737"/>
      <c r="N176" s="738"/>
      <c r="O176" s="737"/>
      <c r="P176" s="738"/>
      <c r="Q176" s="737"/>
      <c r="R176" s="351"/>
      <c r="V176" s="348"/>
      <c r="W176" s="739"/>
      <c r="X176" s="348"/>
      <c r="Y176" s="739"/>
      <c r="Z176" s="348"/>
      <c r="AA176" s="739"/>
      <c r="AB176" s="739"/>
    </row>
    <row r="177" spans="1:28" s="736" customFormat="1" x14ac:dyDescent="0.2">
      <c r="E177" s="737"/>
      <c r="F177" s="738"/>
      <c r="G177" s="737"/>
      <c r="H177" s="738"/>
      <c r="I177" s="737"/>
      <c r="J177" s="738"/>
      <c r="K177" s="737"/>
      <c r="L177" s="738"/>
      <c r="M177" s="737"/>
      <c r="N177" s="738"/>
      <c r="O177" s="737"/>
      <c r="P177" s="738"/>
      <c r="Q177" s="737"/>
      <c r="R177" s="351"/>
      <c r="V177" s="348"/>
      <c r="W177" s="739"/>
      <c r="X177" s="348"/>
      <c r="Y177" s="739"/>
      <c r="Z177" s="348"/>
      <c r="AA177" s="739"/>
      <c r="AB177" s="739"/>
    </row>
    <row r="178" spans="1:28" s="736" customFormat="1" x14ac:dyDescent="0.2">
      <c r="E178" s="737"/>
      <c r="F178" s="738"/>
      <c r="G178" s="737"/>
      <c r="H178" s="738"/>
      <c r="I178" s="737"/>
      <c r="J178" s="738"/>
      <c r="K178" s="737"/>
      <c r="L178" s="738"/>
      <c r="M178" s="737"/>
      <c r="N178" s="738"/>
      <c r="O178" s="737"/>
      <c r="P178" s="738"/>
      <c r="Q178" s="737"/>
      <c r="R178" s="351"/>
      <c r="V178" s="348"/>
      <c r="W178" s="739"/>
      <c r="X178" s="348"/>
      <c r="Y178" s="739"/>
      <c r="Z178" s="348"/>
      <c r="AA178" s="739"/>
      <c r="AB178" s="739"/>
    </row>
    <row r="179" spans="1:28" s="736" customFormat="1" x14ac:dyDescent="0.2">
      <c r="E179" s="737"/>
      <c r="F179" s="738"/>
      <c r="G179" s="737"/>
      <c r="H179" s="738"/>
      <c r="I179" s="737"/>
      <c r="J179" s="738"/>
      <c r="K179" s="737"/>
      <c r="L179" s="738"/>
      <c r="M179" s="737"/>
      <c r="N179" s="738"/>
      <c r="O179" s="737"/>
      <c r="P179" s="738"/>
      <c r="Q179" s="737"/>
      <c r="R179" s="351"/>
      <c r="V179" s="348"/>
      <c r="W179" s="739"/>
      <c r="X179" s="348"/>
      <c r="Y179" s="739"/>
      <c r="Z179" s="348"/>
      <c r="AA179" s="739"/>
      <c r="AB179" s="739"/>
    </row>
    <row r="180" spans="1:28" s="736" customFormat="1" x14ac:dyDescent="0.2">
      <c r="E180" s="737"/>
      <c r="F180" s="738"/>
      <c r="G180" s="737"/>
      <c r="H180" s="738"/>
      <c r="I180" s="737"/>
      <c r="J180" s="738"/>
      <c r="K180" s="737"/>
      <c r="L180" s="738"/>
      <c r="M180" s="737"/>
      <c r="N180" s="738"/>
      <c r="O180" s="737"/>
      <c r="P180" s="738"/>
      <c r="Q180" s="737"/>
      <c r="V180" s="348"/>
      <c r="W180" s="739"/>
      <c r="X180" s="348"/>
      <c r="Y180" s="739"/>
      <c r="Z180" s="348"/>
      <c r="AA180" s="739"/>
      <c r="AB180" s="739"/>
    </row>
    <row r="181" spans="1:28" s="736" customFormat="1" x14ac:dyDescent="0.2">
      <c r="E181" s="737"/>
      <c r="F181" s="738"/>
      <c r="G181" s="737"/>
      <c r="H181" s="738"/>
      <c r="I181" s="737"/>
      <c r="J181" s="738"/>
      <c r="K181" s="737"/>
      <c r="L181" s="738"/>
      <c r="M181" s="737"/>
      <c r="N181" s="738"/>
      <c r="O181" s="737"/>
      <c r="P181" s="738"/>
      <c r="Q181" s="737"/>
      <c r="V181" s="348"/>
      <c r="W181" s="739"/>
      <c r="X181" s="348"/>
      <c r="Y181" s="739"/>
      <c r="Z181" s="348"/>
      <c r="AA181" s="739"/>
      <c r="AB181" s="739"/>
    </row>
    <row r="182" spans="1:28" s="736" customFormat="1" x14ac:dyDescent="0.2">
      <c r="E182" s="737"/>
      <c r="F182" s="738"/>
      <c r="G182" s="737"/>
      <c r="H182" s="738"/>
      <c r="I182" s="737"/>
      <c r="J182" s="738"/>
      <c r="K182" s="737"/>
      <c r="L182" s="738"/>
      <c r="M182" s="737"/>
      <c r="N182" s="738"/>
      <c r="O182" s="737"/>
      <c r="P182" s="738"/>
      <c r="Q182" s="737"/>
      <c r="V182" s="348"/>
      <c r="W182" s="739"/>
      <c r="X182" s="348"/>
      <c r="Y182" s="739"/>
      <c r="Z182" s="348"/>
      <c r="AA182" s="739"/>
      <c r="AB182" s="739"/>
    </row>
    <row r="183" spans="1:28" s="736" customFormat="1" x14ac:dyDescent="0.2">
      <c r="D183" s="743"/>
      <c r="E183" s="737"/>
      <c r="F183" s="738"/>
      <c r="G183" s="737"/>
      <c r="H183" s="738"/>
      <c r="I183" s="737"/>
      <c r="J183" s="738"/>
      <c r="K183" s="737"/>
      <c r="L183" s="738"/>
      <c r="M183" s="737"/>
      <c r="N183" s="738"/>
      <c r="O183" s="737"/>
      <c r="P183" s="738"/>
      <c r="Q183" s="737"/>
      <c r="V183" s="348"/>
      <c r="W183" s="739"/>
      <c r="X183" s="348"/>
      <c r="Y183" s="739"/>
      <c r="Z183" s="348"/>
      <c r="AA183" s="739"/>
      <c r="AB183" s="739"/>
    </row>
    <row r="184" spans="1:28" s="736" customFormat="1" x14ac:dyDescent="0.2">
      <c r="A184" s="345"/>
      <c r="B184" s="345"/>
      <c r="C184" s="345"/>
      <c r="E184" s="737"/>
      <c r="F184" s="738"/>
      <c r="G184" s="737"/>
      <c r="H184" s="738"/>
      <c r="I184" s="737"/>
      <c r="J184" s="738"/>
      <c r="K184" s="737"/>
      <c r="L184" s="738"/>
      <c r="M184" s="737"/>
      <c r="N184" s="738"/>
      <c r="O184" s="737"/>
      <c r="P184" s="738"/>
      <c r="Q184" s="737"/>
      <c r="V184" s="348"/>
      <c r="W184" s="739"/>
      <c r="X184" s="348"/>
      <c r="Y184" s="739"/>
      <c r="Z184" s="348"/>
      <c r="AA184" s="739"/>
      <c r="AB184" s="739"/>
    </row>
    <row r="185" spans="1:28" s="736" customFormat="1" x14ac:dyDescent="0.2">
      <c r="A185" s="345"/>
      <c r="B185" s="345"/>
      <c r="C185" s="345"/>
      <c r="E185" s="737"/>
      <c r="F185" s="738"/>
      <c r="G185" s="737"/>
      <c r="H185" s="738"/>
      <c r="I185" s="737"/>
      <c r="J185" s="738"/>
      <c r="K185" s="737"/>
      <c r="L185" s="738"/>
      <c r="M185" s="737"/>
      <c r="N185" s="738"/>
      <c r="O185" s="737"/>
      <c r="P185" s="738"/>
      <c r="Q185" s="737"/>
      <c r="V185" s="348"/>
      <c r="W185" s="739"/>
      <c r="X185" s="348"/>
      <c r="Y185" s="739"/>
      <c r="Z185" s="348"/>
      <c r="AA185" s="739"/>
      <c r="AB185" s="739"/>
    </row>
    <row r="186" spans="1:28" s="736" customFormat="1" x14ac:dyDescent="0.2">
      <c r="A186" s="345"/>
      <c r="B186" s="345"/>
      <c r="C186" s="345"/>
      <c r="D186" s="743"/>
      <c r="E186" s="737"/>
      <c r="F186" s="738"/>
      <c r="G186" s="737"/>
      <c r="H186" s="738"/>
      <c r="I186" s="737"/>
      <c r="J186" s="738"/>
      <c r="K186" s="737"/>
      <c r="L186" s="738"/>
      <c r="M186" s="737"/>
      <c r="N186" s="738"/>
      <c r="O186" s="737"/>
      <c r="P186" s="738"/>
      <c r="Q186" s="737"/>
      <c r="V186" s="348"/>
      <c r="W186" s="739"/>
      <c r="X186" s="348"/>
      <c r="Y186" s="739"/>
      <c r="Z186" s="348"/>
      <c r="AA186" s="739"/>
      <c r="AB186" s="739"/>
    </row>
    <row r="187" spans="1:28" x14ac:dyDescent="0.2">
      <c r="F187" s="741"/>
      <c r="H187" s="741"/>
      <c r="J187" s="741"/>
      <c r="L187" s="741"/>
      <c r="N187" s="741"/>
      <c r="P187" s="741"/>
      <c r="V187" s="346"/>
      <c r="X187" s="346"/>
      <c r="Z187" s="346"/>
    </row>
    <row r="188" spans="1:28" x14ac:dyDescent="0.2">
      <c r="F188" s="741"/>
      <c r="H188" s="741"/>
      <c r="J188" s="741"/>
      <c r="L188" s="741"/>
      <c r="N188" s="741"/>
      <c r="P188" s="741"/>
      <c r="V188" s="346"/>
      <c r="X188" s="346"/>
      <c r="Z188" s="346"/>
    </row>
    <row r="189" spans="1:28" x14ac:dyDescent="0.2">
      <c r="D189" s="561" t="s">
        <v>716</v>
      </c>
      <c r="E189" s="561"/>
      <c r="F189" s="561"/>
      <c r="G189" s="561"/>
      <c r="H189" s="561"/>
      <c r="I189" s="561"/>
      <c r="J189" s="561"/>
      <c r="K189" s="561"/>
      <c r="L189" s="561"/>
      <c r="M189" s="561"/>
      <c r="N189" s="561"/>
      <c r="O189" s="561"/>
      <c r="P189" s="561"/>
      <c r="Q189" s="561"/>
      <c r="R189" s="561"/>
      <c r="S189" s="561"/>
      <c r="T189" s="561"/>
      <c r="U189" s="561"/>
      <c r="V189" s="558"/>
      <c r="W189" s="558"/>
      <c r="X189" s="558"/>
      <c r="Y189" s="558"/>
      <c r="Z189" s="558"/>
      <c r="AA189" s="558"/>
      <c r="AB189" s="558"/>
    </row>
    <row r="190" spans="1:28" x14ac:dyDescent="0.2">
      <c r="D190" s="561" t="s">
        <v>1375</v>
      </c>
      <c r="E190" s="561"/>
      <c r="F190" s="561"/>
      <c r="G190" s="561"/>
      <c r="H190" s="561"/>
      <c r="I190" s="561"/>
      <c r="J190" s="561"/>
      <c r="K190" s="561"/>
      <c r="L190" s="561"/>
      <c r="M190" s="561"/>
      <c r="N190" s="561"/>
      <c r="O190" s="561"/>
      <c r="P190" s="561"/>
      <c r="Q190" s="561"/>
      <c r="R190" s="561"/>
      <c r="S190" s="561"/>
      <c r="T190" s="561"/>
      <c r="U190" s="561"/>
      <c r="V190" s="558"/>
      <c r="W190" s="558"/>
      <c r="X190" s="558"/>
      <c r="Y190" s="558"/>
      <c r="Z190" s="558"/>
      <c r="AA190" s="558"/>
      <c r="AB190" s="558"/>
    </row>
    <row r="191" spans="1:28" x14ac:dyDescent="0.2">
      <c r="D191" s="562" t="str">
        <f>D$3</f>
        <v>FORECAST PERIOD: APRIL 2020</v>
      </c>
      <c r="E191" s="563"/>
      <c r="F191" s="563"/>
      <c r="G191" s="563"/>
      <c r="H191" s="563"/>
      <c r="I191" s="563"/>
      <c r="J191" s="563"/>
      <c r="K191" s="563"/>
      <c r="L191" s="563"/>
      <c r="M191" s="563"/>
      <c r="N191" s="563"/>
      <c r="O191" s="563"/>
      <c r="P191" s="563"/>
      <c r="Q191" s="563"/>
      <c r="R191" s="563"/>
      <c r="S191" s="563"/>
      <c r="T191" s="563"/>
      <c r="U191" s="563"/>
      <c r="V191" s="559"/>
      <c r="W191" s="559"/>
      <c r="X191" s="559"/>
      <c r="Y191" s="559"/>
      <c r="Z191" s="559"/>
      <c r="AA191" s="559"/>
      <c r="AB191" s="559"/>
    </row>
    <row r="192" spans="1:28" x14ac:dyDescent="0.2">
      <c r="D192" s="723"/>
      <c r="E192" s="723"/>
      <c r="F192" s="723"/>
      <c r="G192" s="723"/>
      <c r="H192" s="723"/>
      <c r="I192" s="723"/>
      <c r="J192" s="723"/>
      <c r="K192" s="723"/>
      <c r="L192" s="723"/>
      <c r="M192" s="723"/>
      <c r="N192" s="723"/>
      <c r="O192" s="723"/>
      <c r="P192" s="723"/>
      <c r="Q192" s="723"/>
      <c r="R192" s="339"/>
      <c r="S192" s="339"/>
      <c r="T192" s="339"/>
      <c r="U192" s="339"/>
      <c r="V192" s="723"/>
      <c r="W192" s="723"/>
      <c r="X192" s="723"/>
      <c r="Y192" s="723"/>
      <c r="Z192" s="723"/>
      <c r="AA192" s="560" t="s">
        <v>2305</v>
      </c>
      <c r="AB192" s="560"/>
    </row>
    <row r="193" spans="1:28" ht="15" x14ac:dyDescent="0.25">
      <c r="D193" s="723"/>
      <c r="E193" s="560" t="str">
        <f>E5</f>
        <v>May 1 2019</v>
      </c>
      <c r="F193" s="560"/>
      <c r="G193" s="560"/>
      <c r="H193" s="560"/>
      <c r="I193" s="560"/>
      <c r="J193" s="560"/>
      <c r="K193" s="560"/>
      <c r="L193" s="560"/>
      <c r="M193" s="560"/>
      <c r="N193" s="560"/>
      <c r="O193" s="560" t="str">
        <f>O5</f>
        <v>Apr 30 2020</v>
      </c>
      <c r="P193" s="560"/>
      <c r="Q193" s="560" t="str">
        <f>Q5</f>
        <v>13 Month Average</v>
      </c>
      <c r="R193" s="338"/>
      <c r="S193" s="338"/>
      <c r="T193" s="338"/>
      <c r="U193" s="734" t="s">
        <v>103</v>
      </c>
      <c r="V193" s="560"/>
      <c r="W193" s="734" t="s">
        <v>103</v>
      </c>
      <c r="X193" s="560"/>
      <c r="Y193" s="734" t="s">
        <v>103</v>
      </c>
      <c r="Z193" s="560"/>
      <c r="AA193" s="560" t="str">
        <f>AA5</f>
        <v>Apr 30 2020</v>
      </c>
      <c r="AB193" s="733"/>
    </row>
    <row r="194" spans="1:28" ht="15" x14ac:dyDescent="0.25">
      <c r="D194" s="339"/>
      <c r="E194" s="340" t="s">
        <v>717</v>
      </c>
      <c r="F194" s="339"/>
      <c r="G194" s="344"/>
      <c r="H194" s="339"/>
      <c r="I194" s="344"/>
      <c r="J194" s="339"/>
      <c r="K194" s="340" t="s">
        <v>718</v>
      </c>
      <c r="L194" s="339"/>
      <c r="M194" s="344"/>
      <c r="N194" s="339"/>
      <c r="O194" s="340" t="s">
        <v>719</v>
      </c>
      <c r="P194" s="339"/>
      <c r="Q194" s="340" t="s">
        <v>719</v>
      </c>
      <c r="R194" s="339"/>
      <c r="S194" s="734" t="s">
        <v>103</v>
      </c>
      <c r="T194" s="339"/>
      <c r="U194" s="568" t="s">
        <v>1341</v>
      </c>
      <c r="V194" s="339"/>
      <c r="W194" s="568" t="s">
        <v>1235</v>
      </c>
      <c r="X194" s="339"/>
      <c r="Y194" s="568" t="s">
        <v>1342</v>
      </c>
      <c r="Z194" s="339"/>
      <c r="AA194" s="340" t="s">
        <v>719</v>
      </c>
      <c r="AB194" s="340"/>
    </row>
    <row r="195" spans="1:28" x14ac:dyDescent="0.2">
      <c r="D195" s="339"/>
      <c r="E195" s="341" t="s">
        <v>720</v>
      </c>
      <c r="F195" s="339"/>
      <c r="G195" s="341" t="s">
        <v>721</v>
      </c>
      <c r="H195" s="339"/>
      <c r="I195" s="341" t="s">
        <v>722</v>
      </c>
      <c r="J195" s="339"/>
      <c r="K195" s="341" t="s">
        <v>723</v>
      </c>
      <c r="L195" s="339"/>
      <c r="M195" s="341" t="s">
        <v>724</v>
      </c>
      <c r="N195" s="339"/>
      <c r="O195" s="341" t="s">
        <v>720</v>
      </c>
      <c r="P195" s="339"/>
      <c r="Q195" s="341" t="s">
        <v>720</v>
      </c>
      <c r="R195" s="339"/>
      <c r="S195" s="341" t="s">
        <v>1342</v>
      </c>
      <c r="T195" s="339"/>
      <c r="U195" s="341" t="s">
        <v>1343</v>
      </c>
      <c r="V195" s="339"/>
      <c r="W195" s="341" t="s">
        <v>880</v>
      </c>
      <c r="X195" s="339"/>
      <c r="Y195" s="341" t="s">
        <v>2306</v>
      </c>
      <c r="Z195" s="339"/>
      <c r="AA195" s="341" t="s">
        <v>720</v>
      </c>
      <c r="AB195" s="341" t="s">
        <v>1592</v>
      </c>
    </row>
    <row r="196" spans="1:28" x14ac:dyDescent="0.2">
      <c r="D196" s="338" t="s">
        <v>1337</v>
      </c>
      <c r="E196" s="342"/>
      <c r="F196" s="339"/>
      <c r="G196" s="342"/>
      <c r="H196" s="339"/>
      <c r="I196" s="342"/>
      <c r="J196" s="339"/>
      <c r="K196" s="342"/>
      <c r="L196" s="339"/>
      <c r="M196" s="342"/>
      <c r="N196" s="339"/>
      <c r="O196" s="342"/>
      <c r="P196" s="339"/>
      <c r="Q196" s="342"/>
      <c r="R196" s="339"/>
      <c r="S196" s="339"/>
      <c r="T196" s="339"/>
      <c r="U196" s="339"/>
      <c r="V196" s="339"/>
      <c r="W196" s="342"/>
      <c r="X196" s="339"/>
      <c r="Y196" s="342"/>
      <c r="Z196" s="339"/>
      <c r="AA196" s="342"/>
      <c r="AB196" s="342"/>
    </row>
    <row r="197" spans="1:28" x14ac:dyDescent="0.2">
      <c r="D197" s="338" t="s">
        <v>1338</v>
      </c>
      <c r="E197" s="344"/>
      <c r="F197" s="339"/>
      <c r="G197" s="344"/>
      <c r="H197" s="339"/>
      <c r="I197" s="344"/>
      <c r="J197" s="339"/>
      <c r="K197" s="344"/>
      <c r="L197" s="339"/>
      <c r="M197" s="344"/>
      <c r="N197" s="339"/>
      <c r="O197" s="344"/>
      <c r="P197" s="339"/>
      <c r="Q197" s="344"/>
      <c r="R197" s="339"/>
      <c r="S197" s="339"/>
      <c r="T197" s="339"/>
      <c r="U197" s="339"/>
      <c r="V197" s="339"/>
      <c r="W197" s="344"/>
      <c r="X197" s="339"/>
      <c r="Y197" s="344"/>
      <c r="Z197" s="339"/>
      <c r="AA197" s="344"/>
      <c r="AB197" s="344"/>
    </row>
    <row r="198" spans="1:28" x14ac:dyDescent="0.2">
      <c r="D198" s="338" t="s">
        <v>450</v>
      </c>
      <c r="E198" s="344"/>
      <c r="F198" s="368"/>
      <c r="G198" s="344"/>
      <c r="H198" s="368"/>
      <c r="I198" s="344"/>
      <c r="J198" s="368"/>
      <c r="K198" s="344"/>
      <c r="L198" s="368"/>
      <c r="M198" s="344"/>
      <c r="N198" s="368"/>
      <c r="O198" s="344"/>
      <c r="P198" s="368"/>
      <c r="Q198" s="344"/>
      <c r="R198" s="368"/>
      <c r="S198" s="339"/>
      <c r="T198" s="339"/>
      <c r="U198" s="339"/>
      <c r="V198" s="368"/>
      <c r="W198" s="344"/>
      <c r="X198" s="368"/>
      <c r="Y198" s="344"/>
      <c r="Z198" s="368"/>
      <c r="AA198" s="344"/>
      <c r="AB198" s="344"/>
    </row>
    <row r="199" spans="1:28" x14ac:dyDescent="0.2">
      <c r="A199" s="345" t="s">
        <v>937</v>
      </c>
      <c r="B199" s="345" t="s">
        <v>2657</v>
      </c>
      <c r="C199" s="345" t="str">
        <f t="shared" ref="C199:C209" si="44">MID(D199,2,3)</f>
        <v>360</v>
      </c>
      <c r="D199" s="339" t="s">
        <v>726</v>
      </c>
      <c r="E199" s="344">
        <f>SUMIFS(FCPIS!$H$6:$H$899,FCPIS!$B$6:$B$899,$A199,FCPIS!$C$6:$C$899,$B199,FCPIS!$D$6:$D$899,E$4,FCPIS!$E$6:$E$899,$C199)*1000</f>
        <v>313284.18999999901</v>
      </c>
      <c r="F199" s="368"/>
      <c r="G199" s="344">
        <f>SUMIFS(FCPIS!$U$6:$U$899,FCPIS!$B$6:$B$899,$A199,FCPIS!$C$6:$C$899,$B199,FCPIS!$D$6:$D$899,G$4,FCPIS!$E$6:$E$899,$C199)*1000</f>
        <v>0</v>
      </c>
      <c r="H199" s="368"/>
      <c r="I199" s="344">
        <f>SUMIFS(FCPIS!$U$6:$U$899,FCPIS!$B$6:$B$899,$A199,FCPIS!$C$6:$C$899,$B199,FCPIS!$D$6:$D$899,I$4,FCPIS!$E$6:$E$899,$C199)*-1000</f>
        <v>0</v>
      </c>
      <c r="J199" s="368"/>
      <c r="K199" s="344">
        <f>SUMIFS(FCPIS!$U$6:$U$899,FCPIS!$B$6:$B$899,$A199,FCPIS!$C$6:$C$899,$B199,FCPIS!$D$6:$D$899,K$4,FCPIS!$E$6:$E$899,$C199)*1000</f>
        <v>0</v>
      </c>
      <c r="L199" s="368"/>
      <c r="M199" s="344">
        <f t="shared" ref="M199:M212" si="45">SUM(G199:K199)</f>
        <v>0</v>
      </c>
      <c r="N199" s="368"/>
      <c r="O199" s="344">
        <f t="shared" ref="O199:O212" si="46">E199+M199</f>
        <v>313284.18999999901</v>
      </c>
      <c r="P199" s="368"/>
      <c r="Q199" s="344">
        <f>SUMIFS(FCPIS!$V$6:$V$899,FCPIS!$B$6:$B$899,$A199,FCPIS!$C$6:$C$899,$B199,FCPIS!$D$6:$D$899,Q$4,FCPIS!$E$6:$E$899,$C199)*1000</f>
        <v>313284.18999999901</v>
      </c>
      <c r="R199" s="368"/>
      <c r="S199" s="347">
        <f>SUMIFS(FCPIS!$V$6:$V$899,FCPIS!$B$6:$B$899,$A199,FCPIS!$C$6:$C$899,$B199,FCPIS!$D$6:$D$899,S$4,FCPIS!$E$6:$E$899,$C199)*-1000</f>
        <v>-70156.848949279869</v>
      </c>
      <c r="T199" s="339"/>
      <c r="U199" s="347">
        <f t="shared" ref="U199:U212" si="47">Q199+S199</f>
        <v>243127.34105071914</v>
      </c>
      <c r="V199" s="368"/>
      <c r="W199" s="349">
        <f t="shared" ref="W199:W212" si="48">G199/G$213*W$213</f>
        <v>0</v>
      </c>
      <c r="X199" s="348"/>
      <c r="Y199" s="349">
        <f t="shared" ref="Y199:Y212" si="49">S199+W199</f>
        <v>-70156.848949279869</v>
      </c>
      <c r="Z199" s="348"/>
      <c r="AA199" s="349">
        <f>SUMIFS(FCPIS!$T$6:$T$899,FCPIS!$B$6:$B$899,$A199,FCPIS!$C$6:$C$899,$B199,FCPIS!$D$6:$D$899,AA$4,FCPIS!$E$6:$E$899,$C199)*1000</f>
        <v>313284.18999999901</v>
      </c>
      <c r="AB199" s="349">
        <f t="shared" ref="AB199:AB212" si="50">AA199-O199</f>
        <v>0</v>
      </c>
    </row>
    <row r="200" spans="1:28" x14ac:dyDescent="0.2">
      <c r="A200" s="345" t="s">
        <v>937</v>
      </c>
      <c r="B200" s="345" t="s">
        <v>2657</v>
      </c>
      <c r="D200" s="339" t="s">
        <v>727</v>
      </c>
      <c r="E200" s="344">
        <f>SUMIFS(FCPIS!$H$6:$H$899,FCPIS!$B$6:$B$899,$A200,FCPIS!$C$6:$C$899,$B200,FCPIS!$D$6:$D$899,E$4,FCPIS!$E$6:$E$899,$C200)*1000</f>
        <v>0</v>
      </c>
      <c r="F200" s="368"/>
      <c r="G200" s="344">
        <f>SUMIFS(FCPIS!$U$6:$U$899,FCPIS!$B$6:$B$899,$A200,FCPIS!$C$6:$C$899,$B200,FCPIS!$D$6:$D$899,G$4,FCPIS!$E$6:$E$899,$C200)*1000</f>
        <v>0</v>
      </c>
      <c r="H200" s="368"/>
      <c r="I200" s="344">
        <f>SUMIFS(FCPIS!$U$6:$U$899,FCPIS!$B$6:$B$899,$A200,FCPIS!$C$6:$C$899,$B200,FCPIS!$D$6:$D$899,I$4,FCPIS!$E$6:$E$899,$C200)*-1000</f>
        <v>0</v>
      </c>
      <c r="J200" s="368"/>
      <c r="K200" s="344">
        <f>SUMIFS(FCPIS!$U$6:$U$899,FCPIS!$B$6:$B$899,$A200,FCPIS!$C$6:$C$899,$B200,FCPIS!$D$6:$D$899,K$4,FCPIS!$E$6:$E$899,$C200)*1000</f>
        <v>0</v>
      </c>
      <c r="L200" s="368"/>
      <c r="M200" s="344">
        <f t="shared" si="45"/>
        <v>0</v>
      </c>
      <c r="N200" s="368"/>
      <c r="O200" s="344">
        <f t="shared" si="46"/>
        <v>0</v>
      </c>
      <c r="P200" s="368"/>
      <c r="Q200" s="344">
        <f>SUMIFS(FCPIS!$V$6:$V$899,FCPIS!$B$6:$B$899,$A200,FCPIS!$C$6:$C$899,$B200,FCPIS!$D$6:$D$899,Q$4,FCPIS!$E$6:$E$899,$C200)*1000</f>
        <v>0</v>
      </c>
      <c r="R200" s="368"/>
      <c r="S200" s="347">
        <f>SUMIFS(FCPIS!$V$6:$V$899,FCPIS!$B$6:$B$899,$A200,FCPIS!$C$6:$C$899,$B200,FCPIS!$D$6:$D$899,S$4,FCPIS!$E$6:$E$899,$C200)*-1000</f>
        <v>0</v>
      </c>
      <c r="T200" s="339"/>
      <c r="U200" s="347">
        <f t="shared" si="47"/>
        <v>0</v>
      </c>
      <c r="V200" s="368"/>
      <c r="W200" s="344">
        <f t="shared" si="48"/>
        <v>0</v>
      </c>
      <c r="X200" s="368"/>
      <c r="Y200" s="344">
        <f t="shared" si="49"/>
        <v>0</v>
      </c>
      <c r="Z200" s="368"/>
      <c r="AA200" s="344">
        <f>SUMIFS(FCPIS!$T$6:$T$899,FCPIS!$B$6:$B$899,$A200,FCPIS!$C$6:$C$899,$B200,FCPIS!$D$6:$D$899,AA$4,FCPIS!$E$6:$E$899,$C200)*1000</f>
        <v>0</v>
      </c>
      <c r="AB200" s="344">
        <f t="shared" si="50"/>
        <v>0</v>
      </c>
    </row>
    <row r="201" spans="1:28" x14ac:dyDescent="0.2">
      <c r="A201" s="345" t="s">
        <v>937</v>
      </c>
      <c r="B201" s="345" t="s">
        <v>2657</v>
      </c>
      <c r="C201" s="345" t="str">
        <f t="shared" si="44"/>
        <v>361</v>
      </c>
      <c r="D201" s="339" t="s">
        <v>728</v>
      </c>
      <c r="E201" s="344">
        <f>SUMIFS(FCPIS!$H$6:$H$899,FCPIS!$B$6:$B$899,$A201,FCPIS!$C$6:$C$899,$B201,FCPIS!$D$6:$D$899,E$4,FCPIS!$E$6:$E$899,$C201)*1000</f>
        <v>767594.02</v>
      </c>
      <c r="F201" s="368"/>
      <c r="G201" s="344">
        <f>SUMIFS(FCPIS!$U$6:$U$899,FCPIS!$B$6:$B$899,$A201,FCPIS!$C$6:$C$899,$B201,FCPIS!$D$6:$D$899,G$4,FCPIS!$E$6:$E$899,$C201)*1000</f>
        <v>0</v>
      </c>
      <c r="H201" s="368"/>
      <c r="I201" s="344">
        <f>SUMIFS(FCPIS!$U$6:$U$899,FCPIS!$B$6:$B$899,$A201,FCPIS!$C$6:$C$899,$B201,FCPIS!$D$6:$D$899,I$4,FCPIS!$E$6:$E$899,$C201)*-1000</f>
        <v>0</v>
      </c>
      <c r="J201" s="368"/>
      <c r="K201" s="344">
        <f>SUMIFS(FCPIS!$U$6:$U$899,FCPIS!$B$6:$B$899,$A201,FCPIS!$C$6:$C$899,$B201,FCPIS!$D$6:$D$899,K$4,FCPIS!$E$6:$E$899,$C201)*1000</f>
        <v>0</v>
      </c>
      <c r="L201" s="368"/>
      <c r="M201" s="344">
        <f t="shared" si="45"/>
        <v>0</v>
      </c>
      <c r="N201" s="368"/>
      <c r="O201" s="344">
        <f t="shared" si="46"/>
        <v>767594.02</v>
      </c>
      <c r="P201" s="368"/>
      <c r="Q201" s="344">
        <f>SUMIFS(FCPIS!$V$6:$V$899,FCPIS!$B$6:$B$899,$A201,FCPIS!$C$6:$C$899,$B201,FCPIS!$D$6:$D$899,Q$4,FCPIS!$E$6:$E$899,$C201)*1000</f>
        <v>767594.02000000025</v>
      </c>
      <c r="R201" s="368"/>
      <c r="S201" s="347">
        <f>SUMIFS(FCPIS!$V$6:$V$899,FCPIS!$B$6:$B$899,$A201,FCPIS!$C$6:$C$899,$B201,FCPIS!$D$6:$D$899,S$4,FCPIS!$E$6:$E$899,$C201)*-1000</f>
        <v>-160643.47550830001</v>
      </c>
      <c r="T201" s="339"/>
      <c r="U201" s="347">
        <f t="shared" si="47"/>
        <v>606950.54449170025</v>
      </c>
      <c r="V201" s="368"/>
      <c r="W201" s="344">
        <f t="shared" si="48"/>
        <v>0</v>
      </c>
      <c r="X201" s="368"/>
      <c r="Y201" s="344">
        <f t="shared" si="49"/>
        <v>-160643.47550830001</v>
      </c>
      <c r="Z201" s="368"/>
      <c r="AA201" s="344">
        <f>SUMIFS(FCPIS!$T$6:$T$899,FCPIS!$B$6:$B$899,$A201,FCPIS!$C$6:$C$899,$B201,FCPIS!$D$6:$D$899,AA$4,FCPIS!$E$6:$E$899,$C201)*1000</f>
        <v>767594.02</v>
      </c>
      <c r="AB201" s="344">
        <f t="shared" si="50"/>
        <v>0</v>
      </c>
    </row>
    <row r="202" spans="1:28" x14ac:dyDescent="0.2">
      <c r="A202" s="345" t="s">
        <v>937</v>
      </c>
      <c r="B202" s="345" t="s">
        <v>2657</v>
      </c>
      <c r="C202" s="345" t="str">
        <f t="shared" si="44"/>
        <v>362</v>
      </c>
      <c r="D202" s="339" t="s">
        <v>729</v>
      </c>
      <c r="E202" s="344">
        <f>SUMIFS(FCPIS!$H$6:$H$899,FCPIS!$B$6:$B$899,$A202,FCPIS!$C$6:$C$899,$B202,FCPIS!$D$6:$D$899,E$4,FCPIS!$E$6:$E$899,$C202)*1000</f>
        <v>8513231.9299999997</v>
      </c>
      <c r="F202" s="368"/>
      <c r="G202" s="344">
        <f>SUMIFS(FCPIS!$U$6:$U$899,FCPIS!$B$6:$B$899,$A202,FCPIS!$C$6:$C$899,$B202,FCPIS!$D$6:$D$899,G$4,FCPIS!$E$6:$E$899,$C202)*1000</f>
        <v>0</v>
      </c>
      <c r="H202" s="368"/>
      <c r="I202" s="344">
        <f>SUMIFS(FCPIS!$U$6:$U$899,FCPIS!$B$6:$B$899,$A202,FCPIS!$C$6:$C$899,$B202,FCPIS!$D$6:$D$899,I$4,FCPIS!$E$6:$E$899,$C202)*-1000</f>
        <v>0</v>
      </c>
      <c r="J202" s="368"/>
      <c r="K202" s="344">
        <f>SUMIFS(FCPIS!$U$6:$U$899,FCPIS!$B$6:$B$899,$A202,FCPIS!$C$6:$C$899,$B202,FCPIS!$D$6:$D$899,K$4,FCPIS!$E$6:$E$899,$C202)*1000</f>
        <v>0</v>
      </c>
      <c r="L202" s="368"/>
      <c r="M202" s="344">
        <f t="shared" si="45"/>
        <v>0</v>
      </c>
      <c r="N202" s="368"/>
      <c r="O202" s="344">
        <f t="shared" si="46"/>
        <v>8513231.9299999997</v>
      </c>
      <c r="P202" s="368"/>
      <c r="Q202" s="344">
        <f>SUMIFS(FCPIS!$V$6:$V$899,FCPIS!$B$6:$B$899,$A202,FCPIS!$C$6:$C$899,$B202,FCPIS!$D$6:$D$899,Q$4,FCPIS!$E$6:$E$899,$C202)*1000</f>
        <v>8513231.9299999978</v>
      </c>
      <c r="R202" s="368"/>
      <c r="S202" s="347">
        <f>SUMIFS(FCPIS!$V$6:$V$899,FCPIS!$B$6:$B$899,$A202,FCPIS!$C$6:$C$899,$B202,FCPIS!$D$6:$D$899,S$4,FCPIS!$E$6:$E$899,$C202)*-1000</f>
        <v>-3473443.6582832006</v>
      </c>
      <c r="T202" s="339"/>
      <c r="U202" s="347">
        <f t="shared" si="47"/>
        <v>5039788.2717167977</v>
      </c>
      <c r="V202" s="368"/>
      <c r="W202" s="344">
        <f t="shared" si="48"/>
        <v>0</v>
      </c>
      <c r="X202" s="368"/>
      <c r="Y202" s="344">
        <f t="shared" si="49"/>
        <v>-3473443.6582832006</v>
      </c>
      <c r="Z202" s="368"/>
      <c r="AA202" s="344">
        <f>SUMIFS(FCPIS!$T$6:$T$899,FCPIS!$B$6:$B$899,$A202,FCPIS!$C$6:$C$899,$B202,FCPIS!$D$6:$D$899,AA$4,FCPIS!$E$6:$E$899,$C202)*1000</f>
        <v>8513231.9299999997</v>
      </c>
      <c r="AB202" s="344">
        <f t="shared" si="50"/>
        <v>0</v>
      </c>
    </row>
    <row r="203" spans="1:28" x14ac:dyDescent="0.2">
      <c r="A203" s="345" t="s">
        <v>937</v>
      </c>
      <c r="B203" s="345" t="s">
        <v>2657</v>
      </c>
      <c r="C203" s="345" t="str">
        <f t="shared" si="44"/>
        <v>364</v>
      </c>
      <c r="D203" s="339" t="s">
        <v>730</v>
      </c>
      <c r="E203" s="344">
        <f>SUMIFS(FCPIS!$H$6:$H$899,FCPIS!$B$6:$B$899,$A203,FCPIS!$C$6:$C$899,$B203,FCPIS!$D$6:$D$899,E$4,FCPIS!$E$6:$E$899,$C203)*1000</f>
        <v>30518263.470000003</v>
      </c>
      <c r="F203" s="368"/>
      <c r="G203" s="344">
        <f>SUMIFS(FCPIS!$U$6:$U$899,FCPIS!$B$6:$B$899,$A203,FCPIS!$C$6:$C$899,$B203,FCPIS!$D$6:$D$899,G$4,FCPIS!$E$6:$E$899,$C203)*1000</f>
        <v>366674.23999999987</v>
      </c>
      <c r="H203" s="368"/>
      <c r="I203" s="344">
        <f>SUMIFS(FCPIS!$U$6:$U$899,FCPIS!$B$6:$B$899,$A203,FCPIS!$C$6:$C$899,$B203,FCPIS!$D$6:$D$899,I$4,FCPIS!$E$6:$E$899,$C203)*-1000</f>
        <v>0</v>
      </c>
      <c r="J203" s="368"/>
      <c r="K203" s="344">
        <f>SUMIFS(FCPIS!$U$6:$U$899,FCPIS!$B$6:$B$899,$A203,FCPIS!$C$6:$C$899,$B203,FCPIS!$D$6:$D$899,K$4,FCPIS!$E$6:$E$899,$C203)*1000</f>
        <v>0</v>
      </c>
      <c r="L203" s="368"/>
      <c r="M203" s="344">
        <f t="shared" si="45"/>
        <v>366674.23999999987</v>
      </c>
      <c r="N203" s="368"/>
      <c r="O203" s="344">
        <f t="shared" si="46"/>
        <v>30884937.710000001</v>
      </c>
      <c r="P203" s="368"/>
      <c r="Q203" s="344">
        <f>SUMIFS(FCPIS!$V$6:$V$899,FCPIS!$B$6:$B$899,$A203,FCPIS!$C$6:$C$899,$B203,FCPIS!$D$6:$D$899,Q$4,FCPIS!$E$6:$E$899,$C203)*1000</f>
        <v>30706197.12153846</v>
      </c>
      <c r="R203" s="368"/>
      <c r="S203" s="347">
        <f>SUMIFS(FCPIS!$V$6:$V$899,FCPIS!$B$6:$B$899,$A203,FCPIS!$C$6:$C$899,$B203,FCPIS!$D$6:$D$899,S$4,FCPIS!$E$6:$E$899,$C203)*-1000</f>
        <v>-13753439.994679704</v>
      </c>
      <c r="T203" s="339"/>
      <c r="U203" s="347">
        <f t="shared" si="47"/>
        <v>16952757.126858756</v>
      </c>
      <c r="V203" s="368"/>
      <c r="W203" s="344">
        <f t="shared" si="48"/>
        <v>282.47464947510542</v>
      </c>
      <c r="X203" s="368"/>
      <c r="Y203" s="344">
        <f t="shared" si="49"/>
        <v>-13753157.520030228</v>
      </c>
      <c r="Z203" s="368"/>
      <c r="AA203" s="344">
        <f>SUMIFS(FCPIS!$T$6:$T$899,FCPIS!$B$6:$B$899,$A203,FCPIS!$C$6:$C$899,$B203,FCPIS!$D$6:$D$899,AA$4,FCPIS!$E$6:$E$899,$C203)*1000</f>
        <v>30884937.709999997</v>
      </c>
      <c r="AB203" s="344">
        <f t="shared" si="50"/>
        <v>0</v>
      </c>
    </row>
    <row r="204" spans="1:28" x14ac:dyDescent="0.2">
      <c r="A204" s="345" t="s">
        <v>937</v>
      </c>
      <c r="B204" s="345" t="s">
        <v>2657</v>
      </c>
      <c r="C204" s="345" t="str">
        <f t="shared" si="44"/>
        <v>365</v>
      </c>
      <c r="D204" s="339" t="s">
        <v>731</v>
      </c>
      <c r="E204" s="344">
        <f>SUMIFS(FCPIS!$H$6:$H$899,FCPIS!$B$6:$B$899,$A204,FCPIS!$C$6:$C$899,$B204,FCPIS!$D$6:$D$899,E$4,FCPIS!$E$6:$E$899,$C204)*1000</f>
        <v>28401346.409999996</v>
      </c>
      <c r="F204" s="368"/>
      <c r="G204" s="344">
        <f>SUMIFS(FCPIS!$U$6:$U$899,FCPIS!$B$6:$B$899,$A204,FCPIS!$C$6:$C$899,$B204,FCPIS!$D$6:$D$899,G$4,FCPIS!$E$6:$E$899,$C204)*1000</f>
        <v>1582915.7899999989</v>
      </c>
      <c r="H204" s="368"/>
      <c r="I204" s="344">
        <f>SUMIFS(FCPIS!$U$6:$U$899,FCPIS!$B$6:$B$899,$A204,FCPIS!$C$6:$C$899,$B204,FCPIS!$D$6:$D$899,I$4,FCPIS!$E$6:$E$899,$C204)*-1000</f>
        <v>0</v>
      </c>
      <c r="J204" s="368"/>
      <c r="K204" s="344">
        <f>SUMIFS(FCPIS!$U$6:$U$899,FCPIS!$B$6:$B$899,$A204,FCPIS!$C$6:$C$899,$B204,FCPIS!$D$6:$D$899,K$4,FCPIS!$E$6:$E$899,$C204)*1000</f>
        <v>0</v>
      </c>
      <c r="L204" s="368"/>
      <c r="M204" s="344">
        <f t="shared" si="45"/>
        <v>1582915.7899999989</v>
      </c>
      <c r="N204" s="368"/>
      <c r="O204" s="344">
        <f t="shared" si="46"/>
        <v>29984262.199999996</v>
      </c>
      <c r="P204" s="368"/>
      <c r="Q204" s="344">
        <f>SUMIFS(FCPIS!$V$6:$V$899,FCPIS!$B$6:$B$899,$A204,FCPIS!$C$6:$C$899,$B204,FCPIS!$D$6:$D$899,Q$4,FCPIS!$E$6:$E$899,$C204)*1000</f>
        <v>29286126.640769172</v>
      </c>
      <c r="R204" s="368"/>
      <c r="S204" s="347">
        <f>SUMIFS(FCPIS!$V$6:$V$899,FCPIS!$B$6:$B$899,$A204,FCPIS!$C$6:$C$899,$B204,FCPIS!$D$6:$D$899,S$4,FCPIS!$E$6:$E$899,$C204)*-1000</f>
        <v>-9077064.7294941489</v>
      </c>
      <c r="T204" s="339"/>
      <c r="U204" s="347">
        <f t="shared" si="47"/>
        <v>20209061.911275022</v>
      </c>
      <c r="V204" s="368"/>
      <c r="W204" s="344">
        <f t="shared" si="48"/>
        <v>1219.4300393964395</v>
      </c>
      <c r="X204" s="368"/>
      <c r="Y204" s="344">
        <f t="shared" si="49"/>
        <v>-9075845.2994547524</v>
      </c>
      <c r="Z204" s="368"/>
      <c r="AA204" s="344">
        <f>SUMIFS(FCPIS!$T$6:$T$899,FCPIS!$B$6:$B$899,$A204,FCPIS!$C$6:$C$899,$B204,FCPIS!$D$6:$D$899,AA$4,FCPIS!$E$6:$E$899,$C204)*1000</f>
        <v>29984262.199999899</v>
      </c>
      <c r="AB204" s="344">
        <f t="shared" si="50"/>
        <v>-9.6857547760009766E-8</v>
      </c>
    </row>
    <row r="205" spans="1:28" x14ac:dyDescent="0.2">
      <c r="A205" s="345" t="s">
        <v>937</v>
      </c>
      <c r="B205" s="345" t="s">
        <v>2657</v>
      </c>
      <c r="C205" s="345" t="str">
        <f t="shared" si="44"/>
        <v>366</v>
      </c>
      <c r="D205" s="339" t="s">
        <v>732</v>
      </c>
      <c r="E205" s="344">
        <f>SUMIFS(FCPIS!$H$6:$H$899,FCPIS!$B$6:$B$899,$A205,FCPIS!$C$6:$C$899,$B205,FCPIS!$D$6:$D$899,E$4,FCPIS!$E$6:$E$899,$C205)*1000</f>
        <v>0</v>
      </c>
      <c r="F205" s="368"/>
      <c r="G205" s="344">
        <f>SUMIFS(FCPIS!$U$6:$U$899,FCPIS!$B$6:$B$899,$A205,FCPIS!$C$6:$C$899,$B205,FCPIS!$D$6:$D$899,G$4,FCPIS!$E$6:$E$899,$C205)*1000</f>
        <v>0</v>
      </c>
      <c r="H205" s="368"/>
      <c r="I205" s="344">
        <f>SUMIFS(FCPIS!$U$6:$U$899,FCPIS!$B$6:$B$899,$A205,FCPIS!$C$6:$C$899,$B205,FCPIS!$D$6:$D$899,I$4,FCPIS!$E$6:$E$899,$C205)*-1000</f>
        <v>0</v>
      </c>
      <c r="J205" s="368"/>
      <c r="K205" s="344">
        <f>SUMIFS(FCPIS!$U$6:$U$899,FCPIS!$B$6:$B$899,$A205,FCPIS!$C$6:$C$899,$B205,FCPIS!$D$6:$D$899,K$4,FCPIS!$E$6:$E$899,$C205)*1000</f>
        <v>0</v>
      </c>
      <c r="L205" s="368"/>
      <c r="M205" s="344">
        <f t="shared" si="45"/>
        <v>0</v>
      </c>
      <c r="N205" s="368"/>
      <c r="O205" s="344">
        <f t="shared" si="46"/>
        <v>0</v>
      </c>
      <c r="P205" s="368"/>
      <c r="Q205" s="344">
        <f>SUMIFS(FCPIS!$V$6:$V$899,FCPIS!$B$6:$B$899,$A205,FCPIS!$C$6:$C$899,$B205,FCPIS!$D$6:$D$899,Q$4,FCPIS!$E$6:$E$899,$C205)*1000</f>
        <v>0</v>
      </c>
      <c r="R205" s="368"/>
      <c r="S205" s="347">
        <f>SUMIFS(FCPIS!$V$6:$V$899,FCPIS!$B$6:$B$899,$A205,FCPIS!$C$6:$C$899,$B205,FCPIS!$D$6:$D$899,S$4,FCPIS!$E$6:$E$899,$C205)*-1000</f>
        <v>0</v>
      </c>
      <c r="T205" s="339"/>
      <c r="U205" s="347">
        <f t="shared" si="47"/>
        <v>0</v>
      </c>
      <c r="V205" s="368"/>
      <c r="W205" s="344">
        <f t="shared" si="48"/>
        <v>0</v>
      </c>
      <c r="X205" s="368"/>
      <c r="Y205" s="344">
        <f t="shared" si="49"/>
        <v>0</v>
      </c>
      <c r="Z205" s="368"/>
      <c r="AA205" s="344">
        <f>SUMIFS(FCPIS!$T$6:$T$899,FCPIS!$B$6:$B$899,$A205,FCPIS!$C$6:$C$899,$B205,FCPIS!$D$6:$D$899,AA$4,FCPIS!$E$6:$E$899,$C205)*1000</f>
        <v>0</v>
      </c>
      <c r="AB205" s="344">
        <f t="shared" si="50"/>
        <v>0</v>
      </c>
    </row>
    <row r="206" spans="1:28" x14ac:dyDescent="0.2">
      <c r="A206" s="345" t="s">
        <v>937</v>
      </c>
      <c r="B206" s="345" t="s">
        <v>2657</v>
      </c>
      <c r="C206" s="345" t="str">
        <f t="shared" si="44"/>
        <v>367</v>
      </c>
      <c r="D206" s="339" t="s">
        <v>733</v>
      </c>
      <c r="E206" s="344">
        <f>SUMIFS(FCPIS!$H$6:$H$899,FCPIS!$B$6:$B$899,$A206,FCPIS!$C$6:$C$899,$B206,FCPIS!$D$6:$D$899,E$4,FCPIS!$E$6:$E$899,$C206)*1000</f>
        <v>4856862.9000000004</v>
      </c>
      <c r="F206" s="368"/>
      <c r="G206" s="344">
        <f>SUMIFS(FCPIS!$U$6:$U$899,FCPIS!$B$6:$B$899,$A206,FCPIS!$C$6:$C$899,$B206,FCPIS!$D$6:$D$899,G$4,FCPIS!$E$6:$E$899,$C206)*1000</f>
        <v>517430.07</v>
      </c>
      <c r="H206" s="368"/>
      <c r="I206" s="344">
        <f>SUMIFS(FCPIS!$U$6:$U$899,FCPIS!$B$6:$B$899,$A206,FCPIS!$C$6:$C$899,$B206,FCPIS!$D$6:$D$899,I$4,FCPIS!$E$6:$E$899,$C206)*-1000</f>
        <v>0</v>
      </c>
      <c r="J206" s="368"/>
      <c r="K206" s="344">
        <f>SUMIFS(FCPIS!$U$6:$U$899,FCPIS!$B$6:$B$899,$A206,FCPIS!$C$6:$C$899,$B206,FCPIS!$D$6:$D$899,K$4,FCPIS!$E$6:$E$899,$C206)*1000</f>
        <v>0</v>
      </c>
      <c r="L206" s="368"/>
      <c r="M206" s="344">
        <f t="shared" si="45"/>
        <v>517430.07</v>
      </c>
      <c r="N206" s="368"/>
      <c r="O206" s="344">
        <f t="shared" si="46"/>
        <v>5374292.9700000007</v>
      </c>
      <c r="P206" s="368"/>
      <c r="Q206" s="344">
        <f>SUMIFS(FCPIS!$V$6:$V$899,FCPIS!$B$6:$B$899,$A206,FCPIS!$C$6:$C$899,$B206,FCPIS!$D$6:$D$899,Q$4,FCPIS!$E$6:$E$899,$C206)*1000</f>
        <v>5120978.2023076899</v>
      </c>
      <c r="R206" s="368"/>
      <c r="S206" s="347">
        <f>SUMIFS(FCPIS!$V$6:$V$899,FCPIS!$B$6:$B$899,$A206,FCPIS!$C$6:$C$899,$B206,FCPIS!$D$6:$D$899,S$4,FCPIS!$E$6:$E$899,$C206)*-1000</f>
        <v>-829841.70782233786</v>
      </c>
      <c r="T206" s="339"/>
      <c r="U206" s="347">
        <f t="shared" si="47"/>
        <v>4291136.4944853522</v>
      </c>
      <c r="V206" s="368"/>
      <c r="W206" s="344">
        <f t="shared" si="48"/>
        <v>398.61234225542904</v>
      </c>
      <c r="X206" s="368"/>
      <c r="Y206" s="344">
        <f t="shared" si="49"/>
        <v>-829443.09548008244</v>
      </c>
      <c r="Z206" s="368"/>
      <c r="AA206" s="344">
        <f>SUMIFS(FCPIS!$T$6:$T$899,FCPIS!$B$6:$B$899,$A206,FCPIS!$C$6:$C$899,$B206,FCPIS!$D$6:$D$899,AA$4,FCPIS!$E$6:$E$899,$C206)*1000</f>
        <v>5374292.9699999904</v>
      </c>
      <c r="AB206" s="344">
        <f t="shared" si="50"/>
        <v>-1.0244548320770264E-8</v>
      </c>
    </row>
    <row r="207" spans="1:28" x14ac:dyDescent="0.2">
      <c r="A207" s="345" t="s">
        <v>937</v>
      </c>
      <c r="B207" s="345" t="s">
        <v>2657</v>
      </c>
      <c r="C207" s="345" t="str">
        <f t="shared" si="44"/>
        <v>368</v>
      </c>
      <c r="D207" s="339" t="s">
        <v>734</v>
      </c>
      <c r="E207" s="344">
        <f>SUMIFS(FCPIS!$H$6:$H$899,FCPIS!$B$6:$B$899,$A207,FCPIS!$C$6:$C$899,$B207,FCPIS!$D$6:$D$899,E$4,FCPIS!$E$6:$E$899,$C207)*1000</f>
        <v>11144005.789999999</v>
      </c>
      <c r="F207" s="368"/>
      <c r="G207" s="344">
        <f>SUMIFS(FCPIS!$U$6:$U$899,FCPIS!$B$6:$B$899,$A207,FCPIS!$C$6:$C$899,$B207,FCPIS!$D$6:$D$899,G$4,FCPIS!$E$6:$E$899,$C207)*1000</f>
        <v>57827.12000000001</v>
      </c>
      <c r="H207" s="368"/>
      <c r="I207" s="344">
        <f>SUMIFS(FCPIS!$U$6:$U$899,FCPIS!$B$6:$B$899,$A207,FCPIS!$C$6:$C$899,$B207,FCPIS!$D$6:$D$899,I$4,FCPIS!$E$6:$E$899,$C207)*-1000</f>
        <v>0</v>
      </c>
      <c r="J207" s="368"/>
      <c r="K207" s="344">
        <f>SUMIFS(FCPIS!$U$6:$U$899,FCPIS!$B$6:$B$899,$A207,FCPIS!$C$6:$C$899,$B207,FCPIS!$D$6:$D$899,K$4,FCPIS!$E$6:$E$899,$C207)*1000</f>
        <v>0</v>
      </c>
      <c r="L207" s="368"/>
      <c r="M207" s="344">
        <f t="shared" si="45"/>
        <v>57827.12000000001</v>
      </c>
      <c r="N207" s="368"/>
      <c r="O207" s="344">
        <f t="shared" si="46"/>
        <v>11201832.909999998</v>
      </c>
      <c r="P207" s="368"/>
      <c r="Q207" s="344">
        <f>SUMIFS(FCPIS!$V$6:$V$899,FCPIS!$B$6:$B$899,$A207,FCPIS!$C$6:$C$899,$B207,FCPIS!$D$6:$D$899,Q$4,FCPIS!$E$6:$E$899,$C207)*1000</f>
        <v>11174524.039230768</v>
      </c>
      <c r="R207" s="368"/>
      <c r="S207" s="347">
        <f>SUMIFS(FCPIS!$V$6:$V$899,FCPIS!$B$6:$B$899,$A207,FCPIS!$C$6:$C$899,$B207,FCPIS!$D$6:$D$899,S$4,FCPIS!$E$6:$E$899,$C207)*-1000</f>
        <v>-5687178.6358622694</v>
      </c>
      <c r="T207" s="339"/>
      <c r="U207" s="347">
        <f t="shared" si="47"/>
        <v>5487345.4033684982</v>
      </c>
      <c r="V207" s="368"/>
      <c r="W207" s="344">
        <f t="shared" si="48"/>
        <v>44.548249291127917</v>
      </c>
      <c r="X207" s="368"/>
      <c r="Y207" s="344">
        <f t="shared" si="49"/>
        <v>-5687134.0876129782</v>
      </c>
      <c r="Z207" s="368"/>
      <c r="AA207" s="344">
        <f>SUMIFS(FCPIS!$T$6:$T$899,FCPIS!$B$6:$B$899,$A207,FCPIS!$C$6:$C$899,$B207,FCPIS!$D$6:$D$899,AA$4,FCPIS!$E$6:$E$899,$C207)*1000</f>
        <v>11201832.909999998</v>
      </c>
      <c r="AB207" s="344">
        <f t="shared" si="50"/>
        <v>0</v>
      </c>
    </row>
    <row r="208" spans="1:28" x14ac:dyDescent="0.2">
      <c r="A208" s="345" t="s">
        <v>937</v>
      </c>
      <c r="B208" s="345" t="s">
        <v>2657</v>
      </c>
      <c r="C208" s="345" t="str">
        <f t="shared" si="44"/>
        <v>369</v>
      </c>
      <c r="D208" s="339" t="s">
        <v>735</v>
      </c>
      <c r="E208" s="344">
        <f>SUMIFS(FCPIS!$H$6:$H$899,FCPIS!$B$6:$B$899,$A208,FCPIS!$C$6:$C$899,$B208,FCPIS!$D$6:$D$899,E$4,FCPIS!$E$6:$E$899,$C208)*1000</f>
        <v>5852947.5300000003</v>
      </c>
      <c r="F208" s="368"/>
      <c r="G208" s="344">
        <f>SUMIFS(FCPIS!$U$6:$U$899,FCPIS!$B$6:$B$899,$A208,FCPIS!$C$6:$C$899,$B208,FCPIS!$D$6:$D$899,G$4,FCPIS!$E$6:$E$899,$C208)*1000</f>
        <v>0</v>
      </c>
      <c r="H208" s="368"/>
      <c r="I208" s="344">
        <f>SUMIFS(FCPIS!$U$6:$U$899,FCPIS!$B$6:$B$899,$A208,FCPIS!$C$6:$C$899,$B208,FCPIS!$D$6:$D$899,I$4,FCPIS!$E$6:$E$899,$C208)*-1000</f>
        <v>0</v>
      </c>
      <c r="J208" s="368"/>
      <c r="K208" s="344">
        <f>SUMIFS(FCPIS!$U$6:$U$899,FCPIS!$B$6:$B$899,$A208,FCPIS!$C$6:$C$899,$B208,FCPIS!$D$6:$D$899,K$4,FCPIS!$E$6:$E$899,$C208)*1000</f>
        <v>0</v>
      </c>
      <c r="L208" s="368"/>
      <c r="M208" s="344">
        <f t="shared" si="45"/>
        <v>0</v>
      </c>
      <c r="N208" s="368"/>
      <c r="O208" s="344">
        <f t="shared" si="46"/>
        <v>5852947.5300000003</v>
      </c>
      <c r="P208" s="368"/>
      <c r="Q208" s="344">
        <f>SUMIFS(FCPIS!$V$6:$V$899,FCPIS!$B$6:$B$899,$A208,FCPIS!$C$6:$C$899,$B208,FCPIS!$D$6:$D$899,Q$4,FCPIS!$E$6:$E$899,$C208)*1000</f>
        <v>5852947.5299999993</v>
      </c>
      <c r="R208" s="368"/>
      <c r="S208" s="347">
        <f>SUMIFS(FCPIS!$V$6:$V$899,FCPIS!$B$6:$B$899,$A208,FCPIS!$C$6:$C$899,$B208,FCPIS!$D$6:$D$899,S$4,FCPIS!$E$6:$E$899,$C208)*-1000</f>
        <v>-4440060.4196640002</v>
      </c>
      <c r="T208" s="339"/>
      <c r="U208" s="347">
        <f t="shared" si="47"/>
        <v>1412887.1103359992</v>
      </c>
      <c r="V208" s="368"/>
      <c r="W208" s="344">
        <f t="shared" si="48"/>
        <v>0</v>
      </c>
      <c r="X208" s="368"/>
      <c r="Y208" s="344">
        <f t="shared" si="49"/>
        <v>-4440060.4196640002</v>
      </c>
      <c r="Z208" s="368"/>
      <c r="AA208" s="344">
        <f>SUMIFS(FCPIS!$T$6:$T$899,FCPIS!$B$6:$B$899,$A208,FCPIS!$C$6:$C$899,$B208,FCPIS!$D$6:$D$899,AA$4,FCPIS!$E$6:$E$899,$C208)*1000</f>
        <v>5852947.5300000003</v>
      </c>
      <c r="AB208" s="344">
        <f t="shared" si="50"/>
        <v>0</v>
      </c>
    </row>
    <row r="209" spans="1:28" x14ac:dyDescent="0.2">
      <c r="A209" s="345" t="s">
        <v>937</v>
      </c>
      <c r="B209" s="345" t="s">
        <v>2657</v>
      </c>
      <c r="C209" s="345" t="str">
        <f t="shared" si="44"/>
        <v>370</v>
      </c>
      <c r="D209" s="339" t="s">
        <v>736</v>
      </c>
      <c r="E209" s="344">
        <f>SUMIFS(FCPIS!$H$6:$H$899,FCPIS!$B$6:$B$899,$A209,FCPIS!$C$6:$C$899,$B209,FCPIS!$D$6:$D$899,E$4,FCPIS!$E$6:$E$899,$C209)*1000</f>
        <v>3783545.2</v>
      </c>
      <c r="F209" s="368"/>
      <c r="G209" s="344">
        <f>SUMIFS(FCPIS!$U$6:$U$899,FCPIS!$B$6:$B$899,$A209,FCPIS!$C$6:$C$899,$B209,FCPIS!$D$6:$D$899,G$4,FCPIS!$E$6:$E$899,$C209)*1000</f>
        <v>0</v>
      </c>
      <c r="H209" s="368"/>
      <c r="I209" s="344">
        <f>SUMIFS(FCPIS!$U$6:$U$899,FCPIS!$B$6:$B$899,$A209,FCPIS!$C$6:$C$899,$B209,FCPIS!$D$6:$D$899,I$4,FCPIS!$E$6:$E$899,$C209)*-1000</f>
        <v>0</v>
      </c>
      <c r="J209" s="368"/>
      <c r="K209" s="344">
        <f>SUMIFS(FCPIS!$U$6:$U$899,FCPIS!$B$6:$B$899,$A209,FCPIS!$C$6:$C$899,$B209,FCPIS!$D$6:$D$899,K$4,FCPIS!$E$6:$E$899,$C209)*1000</f>
        <v>0</v>
      </c>
      <c r="L209" s="368"/>
      <c r="M209" s="344">
        <f t="shared" si="45"/>
        <v>0</v>
      </c>
      <c r="N209" s="368"/>
      <c r="O209" s="344">
        <f t="shared" si="46"/>
        <v>3783545.2</v>
      </c>
      <c r="P209" s="368"/>
      <c r="Q209" s="344">
        <f>SUMIFS(FCPIS!$V$6:$V$899,FCPIS!$B$6:$B$899,$A209,FCPIS!$C$6:$C$899,$B209,FCPIS!$D$6:$D$899,Q$4,FCPIS!$E$6:$E$899,$C209)*1000</f>
        <v>3783545.2</v>
      </c>
      <c r="R209" s="368"/>
      <c r="S209" s="347">
        <f>SUMIFS(FCPIS!$V$6:$V$899,FCPIS!$B$6:$B$899,$A209,FCPIS!$C$6:$C$899,$B209,FCPIS!$D$6:$D$899,S$4,FCPIS!$E$6:$E$899,$C209)*-1000</f>
        <v>-2815344.5974719897</v>
      </c>
      <c r="T209" s="339"/>
      <c r="U209" s="347">
        <f t="shared" si="47"/>
        <v>968200.6025280105</v>
      </c>
      <c r="V209" s="368"/>
      <c r="W209" s="344">
        <f t="shared" si="48"/>
        <v>0</v>
      </c>
      <c r="X209" s="368"/>
      <c r="Y209" s="344">
        <f t="shared" si="49"/>
        <v>-2815344.5974719897</v>
      </c>
      <c r="Z209" s="368"/>
      <c r="AA209" s="344">
        <f>SUMIFS(FCPIS!$T$6:$T$899,FCPIS!$B$6:$B$899,$A209,FCPIS!$C$6:$C$899,$B209,FCPIS!$D$6:$D$899,AA$4,FCPIS!$E$6:$E$899,$C209)*1000</f>
        <v>3783545.2</v>
      </c>
      <c r="AB209" s="344">
        <f t="shared" si="50"/>
        <v>0</v>
      </c>
    </row>
    <row r="210" spans="1:28" x14ac:dyDescent="0.2">
      <c r="A210" s="345" t="s">
        <v>937</v>
      </c>
      <c r="B210" s="345" t="s">
        <v>2657</v>
      </c>
      <c r="D210" s="339" t="s">
        <v>1471</v>
      </c>
      <c r="E210" s="344">
        <f>SUMIFS(FCPIS!$H$6:$H$899,FCPIS!$B$6:$B$899,$A210,FCPIS!$C$6:$C$899,$B210,FCPIS!$D$6:$D$899,E$4,FCPIS!$E$6:$E$899,$C210)*1000</f>
        <v>0</v>
      </c>
      <c r="F210" s="368"/>
      <c r="G210" s="344">
        <f>SUMIFS(FCPIS!$U$6:$U$899,FCPIS!$B$6:$B$899,$A210,FCPIS!$C$6:$C$899,$B210,FCPIS!$D$6:$D$899,G$4,FCPIS!$E$6:$E$899,$C210)*1000</f>
        <v>0</v>
      </c>
      <c r="H210" s="368"/>
      <c r="I210" s="344">
        <f>SUMIFS(FCPIS!$U$6:$U$899,FCPIS!$B$6:$B$899,$A210,FCPIS!$C$6:$C$899,$B210,FCPIS!$D$6:$D$899,I$4,FCPIS!$E$6:$E$899,$C210)*-1000</f>
        <v>0</v>
      </c>
      <c r="J210" s="368"/>
      <c r="K210" s="344">
        <f>SUMIFS(FCPIS!$U$6:$U$899,FCPIS!$B$6:$B$899,$A210,FCPIS!$C$6:$C$899,$B210,FCPIS!$D$6:$D$899,K$4,FCPIS!$E$6:$E$899,$C210)*1000</f>
        <v>0</v>
      </c>
      <c r="L210" s="368"/>
      <c r="M210" s="344">
        <f t="shared" si="45"/>
        <v>0</v>
      </c>
      <c r="N210" s="368"/>
      <c r="O210" s="344">
        <f t="shared" si="46"/>
        <v>0</v>
      </c>
      <c r="P210" s="368"/>
      <c r="Q210" s="344">
        <f>SUMIFS(FCPIS!$V$6:$V$899,FCPIS!$B$6:$B$899,$A210,FCPIS!$C$6:$C$899,$B210,FCPIS!$D$6:$D$899,Q$4,FCPIS!$E$6:$E$899,$C210)*1000</f>
        <v>0</v>
      </c>
      <c r="R210" s="368"/>
      <c r="S210" s="347">
        <f>SUMIFS(FCPIS!$V$6:$V$899,FCPIS!$B$6:$B$899,$A210,FCPIS!$C$6:$C$899,$B210,FCPIS!$D$6:$D$899,S$4,FCPIS!$E$6:$E$899,$C210)*-1000</f>
        <v>0</v>
      </c>
      <c r="T210" s="339"/>
      <c r="U210" s="347">
        <f>Q210+S210</f>
        <v>0</v>
      </c>
      <c r="V210" s="368"/>
      <c r="W210" s="344">
        <f t="shared" si="48"/>
        <v>0</v>
      </c>
      <c r="X210" s="368"/>
      <c r="Y210" s="344">
        <f>S210+W210</f>
        <v>0</v>
      </c>
      <c r="Z210" s="368"/>
      <c r="AA210" s="344">
        <f>SUMIFS(FCPIS!$T$6:$T$899,FCPIS!$B$6:$B$899,$A210,FCPIS!$C$6:$C$899,$B210,FCPIS!$D$6:$D$899,AA$4,FCPIS!$E$6:$E$899,$C210)*1000</f>
        <v>0</v>
      </c>
      <c r="AB210" s="344">
        <f t="shared" si="50"/>
        <v>0</v>
      </c>
    </row>
    <row r="211" spans="1:28" x14ac:dyDescent="0.2">
      <c r="A211" s="345" t="s">
        <v>937</v>
      </c>
      <c r="B211" s="345" t="s">
        <v>2657</v>
      </c>
      <c r="C211" s="345" t="str">
        <f>MID(D211,2,3)</f>
        <v>371</v>
      </c>
      <c r="D211" s="339" t="s">
        <v>737</v>
      </c>
      <c r="E211" s="344">
        <f>SUMIFS(FCPIS!$H$6:$H$899,FCPIS!$B$6:$B$899,$A211,FCPIS!$C$6:$C$899,$B211,FCPIS!$D$6:$D$899,E$4,FCPIS!$E$6:$E$899,$C211)*1000</f>
        <v>0</v>
      </c>
      <c r="F211" s="369"/>
      <c r="G211" s="344">
        <f>SUMIFS(FCPIS!$U$6:$U$899,FCPIS!$B$6:$B$899,$A211,FCPIS!$C$6:$C$899,$B211,FCPIS!$D$6:$D$899,G$4,FCPIS!$E$6:$E$899,$C211)*1000</f>
        <v>0</v>
      </c>
      <c r="H211" s="369"/>
      <c r="I211" s="344">
        <f>SUMIFS(FCPIS!$U$6:$U$899,FCPIS!$B$6:$B$899,$A211,FCPIS!$C$6:$C$899,$B211,FCPIS!$D$6:$D$899,I$4,FCPIS!$E$6:$E$899,$C211)*-1000</f>
        <v>0</v>
      </c>
      <c r="J211" s="369"/>
      <c r="K211" s="344">
        <f>SUMIFS(FCPIS!$U$6:$U$899,FCPIS!$B$6:$B$899,$A211,FCPIS!$C$6:$C$899,$B211,FCPIS!$D$6:$D$899,K$4,FCPIS!$E$6:$E$899,$C211)*1000</f>
        <v>0</v>
      </c>
      <c r="L211" s="369"/>
      <c r="M211" s="349">
        <f t="shared" si="45"/>
        <v>0</v>
      </c>
      <c r="N211" s="369"/>
      <c r="O211" s="349">
        <f t="shared" si="46"/>
        <v>0</v>
      </c>
      <c r="P211" s="369"/>
      <c r="Q211" s="349">
        <f>SUMIFS(FCPIS!$V$6:$V$899,FCPIS!$B$6:$B$899,$A211,FCPIS!$C$6:$C$899,$B211,FCPIS!$D$6:$D$899,Q$4,FCPIS!$E$6:$E$899,$C211)*1000</f>
        <v>0</v>
      </c>
      <c r="R211" s="368"/>
      <c r="S211" s="347">
        <f>SUMIFS(FCPIS!$V$6:$V$899,FCPIS!$B$6:$B$899,$A211,FCPIS!$C$6:$C$899,$B211,FCPIS!$D$6:$D$899,S$4,FCPIS!$E$6:$E$899,$C211)*-1000</f>
        <v>0</v>
      </c>
      <c r="T211" s="339"/>
      <c r="U211" s="347">
        <f t="shared" si="47"/>
        <v>0</v>
      </c>
      <c r="V211" s="369"/>
      <c r="W211" s="344">
        <f t="shared" si="48"/>
        <v>0</v>
      </c>
      <c r="X211" s="369"/>
      <c r="Y211" s="344">
        <f t="shared" si="49"/>
        <v>0</v>
      </c>
      <c r="Z211" s="369"/>
      <c r="AA211" s="344">
        <f>SUMIFS(FCPIS!$T$6:$T$899,FCPIS!$B$6:$B$899,$A211,FCPIS!$C$6:$C$899,$B211,FCPIS!$D$6:$D$899,AA$4,FCPIS!$E$6:$E$899,$C211)*1000</f>
        <v>0</v>
      </c>
      <c r="AB211" s="344">
        <f t="shared" si="50"/>
        <v>0</v>
      </c>
    </row>
    <row r="212" spans="1:28" x14ac:dyDescent="0.2">
      <c r="A212" s="345" t="s">
        <v>937</v>
      </c>
      <c r="B212" s="345" t="s">
        <v>2657</v>
      </c>
      <c r="C212" s="345" t="str">
        <f>MID(D212,2,3)</f>
        <v>373</v>
      </c>
      <c r="D212" s="339" t="s">
        <v>738</v>
      </c>
      <c r="E212" s="353">
        <f>SUMIFS(FCPIS!$H$6:$H$899,FCPIS!$B$6:$B$899,$A212,FCPIS!$C$6:$C$899,$B212,FCPIS!$D$6:$D$899,E$4,FCPIS!$E$6:$E$899,$C212)*1000</f>
        <v>3888961.6999999997</v>
      </c>
      <c r="F212" s="369"/>
      <c r="G212" s="353">
        <f>SUMIFS(FCPIS!$U$6:$U$899,FCPIS!$B$6:$B$899,$A212,FCPIS!$C$6:$C$899,$B212,FCPIS!$D$6:$D$899,G$4,FCPIS!$E$6:$E$899,$C212)*1000</f>
        <v>203753.51000000004</v>
      </c>
      <c r="H212" s="369"/>
      <c r="I212" s="353">
        <f>SUMIFS(FCPIS!$U$6:$U$899,FCPIS!$B$6:$B$899,$A212,FCPIS!$C$6:$C$899,$B212,FCPIS!$D$6:$D$899,I$4,FCPIS!$E$6:$E$899,$C212)*-1000</f>
        <v>0</v>
      </c>
      <c r="J212" s="369"/>
      <c r="K212" s="353">
        <f>SUMIFS(FCPIS!$U$6:$U$899,FCPIS!$B$6:$B$899,$A212,FCPIS!$C$6:$C$899,$B212,FCPIS!$D$6:$D$899,K$4,FCPIS!$E$6:$E$899,$C212)*1000</f>
        <v>0</v>
      </c>
      <c r="L212" s="369"/>
      <c r="M212" s="353">
        <f t="shared" si="45"/>
        <v>203753.51000000004</v>
      </c>
      <c r="N212" s="369"/>
      <c r="O212" s="353">
        <f t="shared" si="46"/>
        <v>4092715.21</v>
      </c>
      <c r="P212" s="369"/>
      <c r="Q212" s="353">
        <f>SUMIFS(FCPIS!$V$6:$V$899,FCPIS!$B$6:$B$899,$A212,FCPIS!$C$6:$C$899,$B212,FCPIS!$D$6:$D$899,Q$4,FCPIS!$E$6:$E$899,$C212)*1000</f>
        <v>3991840.8323076926</v>
      </c>
      <c r="R212" s="368"/>
      <c r="S212" s="354">
        <f>SUMIFS(FCPIS!$V$6:$V$899,FCPIS!$B$6:$B$899,$A212,FCPIS!$C$6:$C$899,$B212,FCPIS!$D$6:$D$899,S$4,FCPIS!$E$6:$E$899,$C212)*-1000</f>
        <v>-1938542.9325283768</v>
      </c>
      <c r="T212" s="339"/>
      <c r="U212" s="354">
        <f t="shared" si="47"/>
        <v>2053297.8997793158</v>
      </c>
      <c r="V212" s="369"/>
      <c r="W212" s="353">
        <f t="shared" si="48"/>
        <v>156.96548881255586</v>
      </c>
      <c r="X212" s="369"/>
      <c r="Y212" s="353">
        <f t="shared" si="49"/>
        <v>-1938385.9670395642</v>
      </c>
      <c r="Z212" s="369"/>
      <c r="AA212" s="353">
        <f>SUMIFS(FCPIS!$T$6:$T$899,FCPIS!$B$6:$B$899,$A212,FCPIS!$C$6:$C$899,$B212,FCPIS!$D$6:$D$899,AA$4,FCPIS!$E$6:$E$899,$C212)*1000</f>
        <v>4092715.21</v>
      </c>
      <c r="AB212" s="353">
        <f t="shared" si="50"/>
        <v>0</v>
      </c>
    </row>
    <row r="213" spans="1:28" x14ac:dyDescent="0.2">
      <c r="B213" s="345" t="s">
        <v>2657</v>
      </c>
      <c r="D213" s="339"/>
      <c r="E213" s="349">
        <f>SUM(E199:E212)</f>
        <v>98040043.140000015</v>
      </c>
      <c r="F213" s="369"/>
      <c r="G213" s="349">
        <f>SUM(G199:G212)</f>
        <v>2728600.7299999991</v>
      </c>
      <c r="H213" s="369"/>
      <c r="I213" s="349">
        <f>SUM(I199:I212)</f>
        <v>0</v>
      </c>
      <c r="J213" s="369"/>
      <c r="K213" s="349">
        <f>SUM(K199:K212)</f>
        <v>0</v>
      </c>
      <c r="L213" s="369"/>
      <c r="M213" s="349">
        <f>SUM(M199:M212)</f>
        <v>2728600.7299999991</v>
      </c>
      <c r="N213" s="369"/>
      <c r="O213" s="349">
        <f>SUM(O199:O212)</f>
        <v>100768643.86999999</v>
      </c>
      <c r="P213" s="369"/>
      <c r="Q213" s="349">
        <f>SUM(Q199:Q212)</f>
        <v>99510269.70615378</v>
      </c>
      <c r="R213" s="368"/>
      <c r="S213" s="349">
        <f>SUM(S199:S212)</f>
        <v>-42245717.000263609</v>
      </c>
      <c r="T213" s="339"/>
      <c r="U213" s="349">
        <f>SUM(U199:U212)</f>
        <v>57264552.705890164</v>
      </c>
      <c r="V213" s="369"/>
      <c r="W213" s="352">
        <f>SUMIFS('FC CWIP &amp; RWIP'!$R$40:$R$58,'FC CWIP &amp; RWIP'!$A$40:$A$58,"VA",'FC CWIP &amp; RWIP'!$B$40:$B$58,D$198)*1000</f>
        <v>2102.0307692306578</v>
      </c>
      <c r="X213" s="369"/>
      <c r="Y213" s="349">
        <f>SUM(Y199:Y212)</f>
        <v>-42243614.969494373</v>
      </c>
      <c r="Z213" s="369">
        <f>SUM(Z199:Z212)</f>
        <v>0</v>
      </c>
      <c r="AA213" s="349">
        <f>SUM(AA199:AA212)</f>
        <v>100768643.86999987</v>
      </c>
      <c r="AB213" s="349">
        <f>SUM(AB199:AB212)</f>
        <v>-1.0710209608078003E-7</v>
      </c>
    </row>
    <row r="214" spans="1:28" x14ac:dyDescent="0.2">
      <c r="B214" s="345" t="s">
        <v>2657</v>
      </c>
      <c r="D214" s="339"/>
      <c r="E214" s="349"/>
      <c r="F214" s="369"/>
      <c r="G214" s="349"/>
      <c r="H214" s="369"/>
      <c r="I214" s="349"/>
      <c r="J214" s="369"/>
      <c r="K214" s="349"/>
      <c r="L214" s="369"/>
      <c r="M214" s="349"/>
      <c r="N214" s="369"/>
      <c r="O214" s="349"/>
      <c r="P214" s="369"/>
      <c r="Q214" s="349"/>
      <c r="R214" s="368"/>
      <c r="S214" s="339"/>
      <c r="T214" s="339"/>
      <c r="U214" s="339"/>
      <c r="V214" s="369"/>
      <c r="W214" s="349"/>
      <c r="X214" s="369"/>
      <c r="Y214" s="349"/>
      <c r="Z214" s="369"/>
      <c r="AA214" s="349"/>
      <c r="AB214" s="349"/>
    </row>
    <row r="215" spans="1:28" x14ac:dyDescent="0.2">
      <c r="B215" s="345" t="s">
        <v>2657</v>
      </c>
      <c r="D215" s="338" t="s">
        <v>100</v>
      </c>
      <c r="E215" s="349"/>
      <c r="F215" s="369"/>
      <c r="G215" s="349"/>
      <c r="H215" s="369"/>
      <c r="I215" s="349"/>
      <c r="J215" s="369"/>
      <c r="K215" s="349"/>
      <c r="L215" s="369"/>
      <c r="M215" s="349"/>
      <c r="N215" s="369"/>
      <c r="O215" s="349"/>
      <c r="P215" s="369"/>
      <c r="Q215" s="349"/>
      <c r="R215" s="368"/>
      <c r="S215" s="339"/>
      <c r="T215" s="339"/>
      <c r="U215" s="339"/>
      <c r="V215" s="369"/>
      <c r="W215" s="349"/>
      <c r="X215" s="369"/>
      <c r="Y215" s="349"/>
      <c r="Z215" s="369"/>
      <c r="AA215" s="349"/>
      <c r="AB215" s="349"/>
    </row>
    <row r="216" spans="1:28" x14ac:dyDescent="0.2">
      <c r="A216" s="345" t="s">
        <v>937</v>
      </c>
      <c r="B216" s="345" t="s">
        <v>2657</v>
      </c>
      <c r="C216" s="345" t="str">
        <f>MID(D216,2,3)</f>
        <v>389</v>
      </c>
      <c r="D216" s="339" t="s">
        <v>741</v>
      </c>
      <c r="E216" s="349">
        <f>SUMIFS(FCPIS!$H$6:$H$899,FCPIS!$B$6:$B$899,$A216,FCPIS!$C$6:$C$899,$B216,FCPIS!$D$6:$D$899,E$4,FCPIS!$E$6:$E$899,$C216)*1000</f>
        <v>987247.71</v>
      </c>
      <c r="F216" s="369"/>
      <c r="G216" s="349">
        <f>SUMIFS(FCPIS!$U$6:$U$899,FCPIS!$B$6:$B$899,$A216,FCPIS!$C$6:$C$899,$B216,FCPIS!$D$6:$D$899,G$4,FCPIS!$E$6:$E$899,$C216)*1000</f>
        <v>0</v>
      </c>
      <c r="H216" s="369"/>
      <c r="I216" s="349">
        <f>SUMIFS(FCPIS!$U$6:$U$899,FCPIS!$B$6:$B$899,$A216,FCPIS!$C$6:$C$899,$B216,FCPIS!$D$6:$D$899,I$4,FCPIS!$E$6:$E$899,$C216)*-1000</f>
        <v>0</v>
      </c>
      <c r="J216" s="369"/>
      <c r="K216" s="349">
        <f>SUMIFS(FCPIS!$U$6:$U$899,FCPIS!$B$6:$B$899,$A216,FCPIS!$C$6:$C$899,$B216,FCPIS!$D$6:$D$899,K$4,FCPIS!$E$6:$E$899,$C216)*1000</f>
        <v>0</v>
      </c>
      <c r="L216" s="369"/>
      <c r="M216" s="349">
        <f t="shared" ref="M216:M228" si="51">SUM(G216:K216)</f>
        <v>0</v>
      </c>
      <c r="N216" s="369"/>
      <c r="O216" s="349">
        <f t="shared" ref="O216:O228" si="52">E216+M216</f>
        <v>987247.71</v>
      </c>
      <c r="P216" s="369"/>
      <c r="Q216" s="349">
        <f>SUMIFS(FCPIS!$V$6:$V$899,FCPIS!$B$6:$B$899,$A216,FCPIS!$C$6:$C$899,$B216,FCPIS!$D$6:$D$899,Q$4,FCPIS!$E$6:$E$899,$C216)*1000</f>
        <v>987247.70999999973</v>
      </c>
      <c r="R216" s="368"/>
      <c r="S216" s="347">
        <f>SUMIFS(FCPIS!$V$6:$V$899,FCPIS!$B$6:$B$899,$A216,FCPIS!$C$6:$C$899,$B216,FCPIS!$D$6:$D$899,S$4,FCPIS!$E$6:$E$899,$C216)*-1000</f>
        <v>0</v>
      </c>
      <c r="T216" s="339"/>
      <c r="U216" s="347">
        <f t="shared" ref="U216:U228" si="53">Q216+S216</f>
        <v>987247.70999999973</v>
      </c>
      <c r="V216" s="369"/>
      <c r="W216" s="349">
        <f t="shared" ref="W216:W228" si="54">G216/G$229*W$229</f>
        <v>0</v>
      </c>
      <c r="X216" s="348"/>
      <c r="Y216" s="349">
        <f t="shared" ref="Y216:Y228" si="55">S216+W216</f>
        <v>0</v>
      </c>
      <c r="Z216" s="348"/>
      <c r="AA216" s="349">
        <f>SUMIFS(FCPIS!$T$6:$T$899,FCPIS!$B$6:$B$899,$A216,FCPIS!$C$6:$C$899,$B216,FCPIS!$D$6:$D$899,AA$4,FCPIS!$E$6:$E$899,$C216)*1000</f>
        <v>987247.71</v>
      </c>
      <c r="AB216" s="349">
        <f t="shared" ref="AB216:AB228" si="56">AA216-O216</f>
        <v>0</v>
      </c>
    </row>
    <row r="217" spans="1:28" x14ac:dyDescent="0.2">
      <c r="A217" s="345" t="s">
        <v>937</v>
      </c>
      <c r="B217" s="345" t="s">
        <v>2657</v>
      </c>
      <c r="C217" s="345" t="str">
        <f t="shared" ref="C217:C222" si="57">MID(D217,2,3)</f>
        <v>390</v>
      </c>
      <c r="D217" s="339" t="s">
        <v>742</v>
      </c>
      <c r="E217" s="349">
        <f>SUMIFS(FCPIS!$H$6:$H$899,FCPIS!$B$6:$B$899,$A217,FCPIS!$C$6:$C$899,$B217,FCPIS!$D$6:$D$899,E$4,FCPIS!$E$6:$E$899,$C217)*1000</f>
        <v>1160904.06</v>
      </c>
      <c r="F217" s="369"/>
      <c r="G217" s="349">
        <f>SUMIFS(FCPIS!$U$6:$U$899,FCPIS!$B$6:$B$899,$A217,FCPIS!$C$6:$C$899,$B217,FCPIS!$D$6:$D$899,G$4,FCPIS!$E$6:$E$899,$C217)*1000</f>
        <v>4728720.1400000015</v>
      </c>
      <c r="H217" s="369"/>
      <c r="I217" s="349">
        <f>SUMIFS(FCPIS!$U$6:$U$899,FCPIS!$B$6:$B$899,$A217,FCPIS!$C$6:$C$899,$B217,FCPIS!$D$6:$D$899,I$4,FCPIS!$E$6:$E$899,$C217)*-1000</f>
        <v>0</v>
      </c>
      <c r="J217" s="369"/>
      <c r="K217" s="349">
        <f>SUMIFS(FCPIS!$U$6:$U$899,FCPIS!$B$6:$B$899,$A217,FCPIS!$C$6:$C$899,$B217,FCPIS!$D$6:$D$899,K$4,FCPIS!$E$6:$E$899,$C217)*1000</f>
        <v>0</v>
      </c>
      <c r="L217" s="369"/>
      <c r="M217" s="349">
        <f t="shared" si="51"/>
        <v>4728720.1400000015</v>
      </c>
      <c r="N217" s="369"/>
      <c r="O217" s="349">
        <f t="shared" si="52"/>
        <v>5889624.2000000011</v>
      </c>
      <c r="P217" s="369"/>
      <c r="Q217" s="349">
        <f>SUMIFS(FCPIS!$V$6:$V$899,FCPIS!$B$6:$B$899,$A217,FCPIS!$C$6:$C$899,$B217,FCPIS!$D$6:$D$899,Q$4,FCPIS!$E$6:$E$899,$C217)*1000</f>
        <v>4828946.3476923062</v>
      </c>
      <c r="R217" s="368"/>
      <c r="S217" s="347">
        <f>SUMIFS(FCPIS!$V$6:$V$899,FCPIS!$B$6:$B$899,$A217,FCPIS!$C$6:$C$899,$B217,FCPIS!$D$6:$D$899,S$4,FCPIS!$E$6:$E$899,$C217)*-1000</f>
        <v>-430349.47030706092</v>
      </c>
      <c r="T217" s="339"/>
      <c r="U217" s="347">
        <f t="shared" si="53"/>
        <v>4398596.8773852456</v>
      </c>
      <c r="V217" s="369"/>
      <c r="W217" s="349">
        <f t="shared" si="54"/>
        <v>0</v>
      </c>
      <c r="X217" s="369"/>
      <c r="Y217" s="349">
        <f t="shared" si="55"/>
        <v>-430349.47030706092</v>
      </c>
      <c r="Z217" s="369"/>
      <c r="AA217" s="349">
        <f>SUMIFS(FCPIS!$T$6:$T$899,FCPIS!$B$6:$B$899,$A217,FCPIS!$C$6:$C$899,$B217,FCPIS!$D$6:$D$899,AA$4,FCPIS!$E$6:$E$899,$C217)*1000</f>
        <v>5889624.2000000002</v>
      </c>
      <c r="AB217" s="349">
        <f t="shared" si="56"/>
        <v>0</v>
      </c>
    </row>
    <row r="218" spans="1:28" x14ac:dyDescent="0.2">
      <c r="A218" s="345" t="s">
        <v>937</v>
      </c>
      <c r="B218" s="345" t="s">
        <v>2657</v>
      </c>
      <c r="D218" s="339" t="s">
        <v>814</v>
      </c>
      <c r="E218" s="349">
        <f>SUMIFS(FCPIS!$H$6:$H$899,FCPIS!$B$6:$B$899,$A218,FCPIS!$C$6:$C$899,$B218,FCPIS!$D$6:$D$899,E$4,FCPIS!$E$6:$E$899,$C218)*1000</f>
        <v>0</v>
      </c>
      <c r="F218" s="369"/>
      <c r="G218" s="349">
        <f>SUMIFS(FCPIS!$U$6:$U$899,FCPIS!$B$6:$B$899,$A218,FCPIS!$C$6:$C$899,$B218,FCPIS!$D$6:$D$899,G$4,FCPIS!$E$6:$E$899,$C218)*1000</f>
        <v>0</v>
      </c>
      <c r="H218" s="369"/>
      <c r="I218" s="349">
        <f>SUMIFS(FCPIS!$U$6:$U$899,FCPIS!$B$6:$B$899,$A218,FCPIS!$C$6:$C$899,$B218,FCPIS!$D$6:$D$899,I$4,FCPIS!$E$6:$E$899,$C218)*-1000</f>
        <v>0</v>
      </c>
      <c r="J218" s="369"/>
      <c r="K218" s="349">
        <f>SUMIFS(FCPIS!$U$6:$U$899,FCPIS!$B$6:$B$899,$A218,FCPIS!$C$6:$C$899,$B218,FCPIS!$D$6:$D$899,K$4,FCPIS!$E$6:$E$899,$C218)*1000</f>
        <v>0</v>
      </c>
      <c r="L218" s="369"/>
      <c r="M218" s="349">
        <f t="shared" si="51"/>
        <v>0</v>
      </c>
      <c r="N218" s="369"/>
      <c r="O218" s="349">
        <f t="shared" si="52"/>
        <v>0</v>
      </c>
      <c r="P218" s="369"/>
      <c r="Q218" s="349">
        <f>SUMIFS(FCPIS!$V$6:$V$899,FCPIS!$B$6:$B$899,$A218,FCPIS!$C$6:$C$899,$B218,FCPIS!$D$6:$D$899,Q$4,FCPIS!$E$6:$E$899,$C218)*1000</f>
        <v>0</v>
      </c>
      <c r="R218" s="368"/>
      <c r="S218" s="347">
        <f>SUMIFS(FCPIS!$V$6:$V$899,FCPIS!$B$6:$B$899,$A218,FCPIS!$C$6:$C$899,$B218,FCPIS!$D$6:$D$899,S$4,FCPIS!$E$6:$E$899,$C218)*-1000</f>
        <v>0</v>
      </c>
      <c r="T218" s="339"/>
      <c r="U218" s="347">
        <f t="shared" si="53"/>
        <v>0</v>
      </c>
      <c r="V218" s="369"/>
      <c r="W218" s="349">
        <f t="shared" si="54"/>
        <v>0</v>
      </c>
      <c r="X218" s="369"/>
      <c r="Y218" s="349">
        <f t="shared" si="55"/>
        <v>0</v>
      </c>
      <c r="Z218" s="369"/>
      <c r="AA218" s="349">
        <f>SUMIFS(FCPIS!$T$6:$T$899,FCPIS!$B$6:$B$899,$A218,FCPIS!$C$6:$C$899,$B218,FCPIS!$D$6:$D$899,AA$4,FCPIS!$E$6:$E$899,$C218)*1000</f>
        <v>0</v>
      </c>
      <c r="AB218" s="349">
        <f t="shared" si="56"/>
        <v>0</v>
      </c>
    </row>
    <row r="219" spans="1:28" x14ac:dyDescent="0.2">
      <c r="A219" s="345" t="s">
        <v>937</v>
      </c>
      <c r="B219" s="345" t="s">
        <v>2657</v>
      </c>
      <c r="C219" s="345" t="str">
        <f t="shared" si="57"/>
        <v>391</v>
      </c>
      <c r="D219" s="339" t="s">
        <v>744</v>
      </c>
      <c r="E219" s="349">
        <f>SUMIFS(FCPIS!$H$6:$H$899,FCPIS!$B$6:$B$899,$A219,FCPIS!$C$6:$C$899,$B219,FCPIS!$D$6:$D$899,E$4,FCPIS!$E$6:$E$899,$C219)*1000</f>
        <v>0</v>
      </c>
      <c r="F219" s="369"/>
      <c r="G219" s="349">
        <f>SUMIFS(FCPIS!$U$6:$U$899,FCPIS!$B$6:$B$899,$A219,FCPIS!$C$6:$C$899,$B219,FCPIS!$D$6:$D$899,G$4,FCPIS!$E$6:$E$899,$C219)*1000</f>
        <v>0</v>
      </c>
      <c r="H219" s="369"/>
      <c r="I219" s="349">
        <f>SUMIFS(FCPIS!$U$6:$U$899,FCPIS!$B$6:$B$899,$A219,FCPIS!$C$6:$C$899,$B219,FCPIS!$D$6:$D$899,I$4,FCPIS!$E$6:$E$899,$C219)*-1000</f>
        <v>0</v>
      </c>
      <c r="J219" s="369"/>
      <c r="K219" s="349">
        <f>SUMIFS(FCPIS!$U$6:$U$899,FCPIS!$B$6:$B$899,$A219,FCPIS!$C$6:$C$899,$B219,FCPIS!$D$6:$D$899,K$4,FCPIS!$E$6:$E$899,$C219)*1000</f>
        <v>0</v>
      </c>
      <c r="L219" s="369"/>
      <c r="M219" s="349">
        <f t="shared" si="51"/>
        <v>0</v>
      </c>
      <c r="N219" s="369"/>
      <c r="O219" s="349">
        <f t="shared" si="52"/>
        <v>0</v>
      </c>
      <c r="P219" s="369"/>
      <c r="Q219" s="349">
        <f>SUMIFS(FCPIS!$V$6:$V$899,FCPIS!$B$6:$B$899,$A219,FCPIS!$C$6:$C$899,$B219,FCPIS!$D$6:$D$899,Q$4,FCPIS!$E$6:$E$899,$C219)*1000</f>
        <v>0</v>
      </c>
      <c r="R219" s="368"/>
      <c r="S219" s="347">
        <f>SUMIFS(FCPIS!$V$6:$V$899,FCPIS!$B$6:$B$899,$A219,FCPIS!$C$6:$C$899,$B219,FCPIS!$D$6:$D$899,S$4,FCPIS!$E$6:$E$899,$C219)*-1000</f>
        <v>308.65000000000003</v>
      </c>
      <c r="T219" s="339"/>
      <c r="U219" s="347">
        <f t="shared" si="53"/>
        <v>308.65000000000003</v>
      </c>
      <c r="V219" s="369"/>
      <c r="W219" s="349">
        <f t="shared" si="54"/>
        <v>0</v>
      </c>
      <c r="X219" s="369"/>
      <c r="Y219" s="349">
        <f t="shared" si="55"/>
        <v>308.65000000000003</v>
      </c>
      <c r="Z219" s="369"/>
      <c r="AA219" s="349">
        <f>SUMIFS(FCPIS!$T$6:$T$899,FCPIS!$B$6:$B$899,$A219,FCPIS!$C$6:$C$899,$B219,FCPIS!$D$6:$D$899,AA$4,FCPIS!$E$6:$E$899,$C219)*1000</f>
        <v>0</v>
      </c>
      <c r="AB219" s="349">
        <f t="shared" si="56"/>
        <v>0</v>
      </c>
    </row>
    <row r="220" spans="1:28" x14ac:dyDescent="0.2">
      <c r="A220" s="345" t="s">
        <v>937</v>
      </c>
      <c r="B220" s="345" t="s">
        <v>2657</v>
      </c>
      <c r="D220" s="339" t="s">
        <v>1344</v>
      </c>
      <c r="E220" s="349">
        <f>SUMIFS(FCPIS!$H$6:$H$899,FCPIS!$B$6:$B$899,$A220,FCPIS!$C$6:$C$899,$B220,FCPIS!$D$6:$D$899,E$4,FCPIS!$E$6:$E$899,$C220)*1000</f>
        <v>0</v>
      </c>
      <c r="F220" s="369"/>
      <c r="G220" s="349">
        <f>SUMIFS(FCPIS!$U$6:$U$899,FCPIS!$B$6:$B$899,$A220,FCPIS!$C$6:$C$899,$B220,FCPIS!$D$6:$D$899,G$4,FCPIS!$E$6:$E$899,$C220)*1000</f>
        <v>0</v>
      </c>
      <c r="H220" s="369"/>
      <c r="I220" s="349">
        <f>SUMIFS(FCPIS!$U$6:$U$899,FCPIS!$B$6:$B$899,$A220,FCPIS!$C$6:$C$899,$B220,FCPIS!$D$6:$D$899,I$4,FCPIS!$E$6:$E$899,$C220)*-1000</f>
        <v>0</v>
      </c>
      <c r="J220" s="369"/>
      <c r="K220" s="349">
        <f>SUMIFS(FCPIS!$U$6:$U$899,FCPIS!$B$6:$B$899,$A220,FCPIS!$C$6:$C$899,$B220,FCPIS!$D$6:$D$899,K$4,FCPIS!$E$6:$E$899,$C220)*1000</f>
        <v>0</v>
      </c>
      <c r="L220" s="369"/>
      <c r="M220" s="349">
        <f t="shared" si="51"/>
        <v>0</v>
      </c>
      <c r="N220" s="369"/>
      <c r="O220" s="349">
        <f t="shared" si="52"/>
        <v>0</v>
      </c>
      <c r="P220" s="369"/>
      <c r="Q220" s="349">
        <f>SUMIFS(FCPIS!$V$6:$V$899,FCPIS!$B$6:$B$899,$A220,FCPIS!$C$6:$C$899,$B220,FCPIS!$D$6:$D$899,Q$4,FCPIS!$E$6:$E$899,$C220)*1000</f>
        <v>0</v>
      </c>
      <c r="R220" s="368"/>
      <c r="S220" s="347">
        <f>SUMIFS(FCPIS!$V$6:$V$899,FCPIS!$B$6:$B$899,$A220,FCPIS!$C$6:$C$899,$B220,FCPIS!$D$6:$D$899,S$4,FCPIS!$E$6:$E$899,$C220)*-1000</f>
        <v>0</v>
      </c>
      <c r="T220" s="339"/>
      <c r="U220" s="347">
        <f t="shared" si="53"/>
        <v>0</v>
      </c>
      <c r="V220" s="369"/>
      <c r="W220" s="349">
        <f t="shared" si="54"/>
        <v>0</v>
      </c>
      <c r="X220" s="369"/>
      <c r="Y220" s="349">
        <f t="shared" si="55"/>
        <v>0</v>
      </c>
      <c r="Z220" s="369"/>
      <c r="AA220" s="349">
        <f>SUMIFS(FCPIS!$T$6:$T$899,FCPIS!$B$6:$B$899,$A220,FCPIS!$C$6:$C$899,$B220,FCPIS!$D$6:$D$899,AA$4,FCPIS!$E$6:$E$899,$C220)*1000</f>
        <v>0</v>
      </c>
      <c r="AB220" s="349">
        <f t="shared" si="56"/>
        <v>0</v>
      </c>
    </row>
    <row r="221" spans="1:28" x14ac:dyDescent="0.2">
      <c r="A221" s="345" t="s">
        <v>937</v>
      </c>
      <c r="B221" s="345" t="s">
        <v>2657</v>
      </c>
      <c r="C221" s="345" t="str">
        <f t="shared" si="57"/>
        <v>392</v>
      </c>
      <c r="D221" s="339" t="s">
        <v>1362</v>
      </c>
      <c r="E221" s="349">
        <f>SUMIFS(FCPIS!$H$6:$H$899,FCPIS!$B$6:$B$899,$A221,FCPIS!$C$6:$C$899,$B221,FCPIS!$D$6:$D$899,E$4,FCPIS!$E$6:$E$899,$C221)*1000</f>
        <v>14946.400000000001</v>
      </c>
      <c r="F221" s="369"/>
      <c r="G221" s="349">
        <f>SUMIFS(FCPIS!$U$6:$U$899,FCPIS!$B$6:$B$899,$A221,FCPIS!$C$6:$C$899,$B221,FCPIS!$D$6:$D$899,G$4,FCPIS!$E$6:$E$899,$C221)*1000</f>
        <v>0</v>
      </c>
      <c r="H221" s="369"/>
      <c r="I221" s="349">
        <f>SUMIFS(FCPIS!$U$6:$U$899,FCPIS!$B$6:$B$899,$A221,FCPIS!$C$6:$C$899,$B221,FCPIS!$D$6:$D$899,I$4,FCPIS!$E$6:$E$899,$C221)*-1000</f>
        <v>0</v>
      </c>
      <c r="J221" s="369"/>
      <c r="K221" s="349">
        <f>SUMIFS(FCPIS!$U$6:$U$899,FCPIS!$B$6:$B$899,$A221,FCPIS!$C$6:$C$899,$B221,FCPIS!$D$6:$D$899,K$4,FCPIS!$E$6:$E$899,$C221)*1000</f>
        <v>0</v>
      </c>
      <c r="L221" s="369"/>
      <c r="M221" s="349">
        <f t="shared" si="51"/>
        <v>0</v>
      </c>
      <c r="N221" s="369"/>
      <c r="O221" s="349">
        <f t="shared" si="52"/>
        <v>14946.400000000001</v>
      </c>
      <c r="P221" s="369"/>
      <c r="Q221" s="349">
        <f>SUMIFS(FCPIS!$V$6:$V$899,FCPIS!$B$6:$B$899,$A221,FCPIS!$C$6:$C$899,$B221,FCPIS!$D$6:$D$899,Q$4,FCPIS!$E$6:$E$899,$C221)*1000</f>
        <v>14946.400000000001</v>
      </c>
      <c r="R221" s="368"/>
      <c r="S221" s="347">
        <f>SUMIFS(FCPIS!$V$6:$V$899,FCPIS!$B$6:$B$899,$A221,FCPIS!$C$6:$C$899,$B221,FCPIS!$D$6:$D$899,S$4,FCPIS!$E$6:$E$899,$C221)*-1000</f>
        <v>-503.02210672000001</v>
      </c>
      <c r="T221" s="339"/>
      <c r="U221" s="347">
        <f t="shared" si="53"/>
        <v>14443.377893280001</v>
      </c>
      <c r="V221" s="369"/>
      <c r="W221" s="349">
        <f t="shared" si="54"/>
        <v>0</v>
      </c>
      <c r="X221" s="369"/>
      <c r="Y221" s="349">
        <f t="shared" si="55"/>
        <v>-503.02210672000001</v>
      </c>
      <c r="Z221" s="369"/>
      <c r="AA221" s="349">
        <f>SUMIFS(FCPIS!$T$6:$T$899,FCPIS!$B$6:$B$899,$A221,FCPIS!$C$6:$C$899,$B221,FCPIS!$D$6:$D$899,AA$4,FCPIS!$E$6:$E$899,$C221)*1000</f>
        <v>14946.400000000001</v>
      </c>
      <c r="AB221" s="349">
        <f t="shared" si="56"/>
        <v>0</v>
      </c>
    </row>
    <row r="222" spans="1:28" x14ac:dyDescent="0.2">
      <c r="A222" s="345" t="s">
        <v>937</v>
      </c>
      <c r="B222" s="345" t="s">
        <v>2657</v>
      </c>
      <c r="C222" s="345" t="str">
        <f t="shared" si="57"/>
        <v>393</v>
      </c>
      <c r="D222" s="339" t="s">
        <v>748</v>
      </c>
      <c r="E222" s="349">
        <f>SUMIFS(FCPIS!$H$6:$H$899,FCPIS!$B$6:$B$899,$A222,FCPIS!$C$6:$C$899,$B222,FCPIS!$D$6:$D$899,E$4,FCPIS!$E$6:$E$899,$C222)*1000</f>
        <v>876.55000000000007</v>
      </c>
      <c r="F222" s="369"/>
      <c r="G222" s="349">
        <f>SUMIFS(FCPIS!$U$6:$U$899,FCPIS!$B$6:$B$899,$A222,FCPIS!$C$6:$C$899,$B222,FCPIS!$D$6:$D$899,G$4,FCPIS!$E$6:$E$899,$C222)*1000</f>
        <v>0</v>
      </c>
      <c r="H222" s="369"/>
      <c r="I222" s="349">
        <f>SUMIFS(FCPIS!$U$6:$U$899,FCPIS!$B$6:$B$899,$A222,FCPIS!$C$6:$C$899,$B222,FCPIS!$D$6:$D$899,I$4,FCPIS!$E$6:$E$899,$C222)*-1000</f>
        <v>0</v>
      </c>
      <c r="J222" s="369"/>
      <c r="K222" s="349">
        <f>SUMIFS(FCPIS!$U$6:$U$899,FCPIS!$B$6:$B$899,$A222,FCPIS!$C$6:$C$899,$B222,FCPIS!$D$6:$D$899,K$4,FCPIS!$E$6:$E$899,$C222)*1000</f>
        <v>0</v>
      </c>
      <c r="L222" s="369"/>
      <c r="M222" s="349">
        <f t="shared" si="51"/>
        <v>0</v>
      </c>
      <c r="N222" s="369"/>
      <c r="O222" s="349">
        <f t="shared" si="52"/>
        <v>876.55000000000007</v>
      </c>
      <c r="P222" s="369"/>
      <c r="Q222" s="349">
        <f>SUMIFS(FCPIS!$V$6:$V$899,FCPIS!$B$6:$B$899,$A222,FCPIS!$C$6:$C$899,$B222,FCPIS!$D$6:$D$899,Q$4,FCPIS!$E$6:$E$899,$C222)*1000</f>
        <v>876.55000000000007</v>
      </c>
      <c r="R222" s="368"/>
      <c r="S222" s="347">
        <f>SUMIFS(FCPIS!$V$6:$V$899,FCPIS!$B$6:$B$899,$A222,FCPIS!$C$6:$C$899,$B222,FCPIS!$D$6:$D$899,S$4,FCPIS!$E$6:$E$899,$C222)*-1000</f>
        <v>-241.37957500399904</v>
      </c>
      <c r="T222" s="339"/>
      <c r="U222" s="347">
        <f t="shared" si="53"/>
        <v>635.17042499600097</v>
      </c>
      <c r="V222" s="369"/>
      <c r="W222" s="349">
        <f t="shared" si="54"/>
        <v>0</v>
      </c>
      <c r="X222" s="369"/>
      <c r="Y222" s="349">
        <f t="shared" si="55"/>
        <v>-241.37957500399904</v>
      </c>
      <c r="Z222" s="369"/>
      <c r="AA222" s="349">
        <f>SUMIFS(FCPIS!$T$6:$T$899,FCPIS!$B$6:$B$899,$A222,FCPIS!$C$6:$C$899,$B222,FCPIS!$D$6:$D$899,AA$4,FCPIS!$E$6:$E$899,$C222)*1000</f>
        <v>876.55000000000007</v>
      </c>
      <c r="AB222" s="349">
        <f t="shared" si="56"/>
        <v>0</v>
      </c>
    </row>
    <row r="223" spans="1:28" x14ac:dyDescent="0.2">
      <c r="A223" s="345" t="s">
        <v>937</v>
      </c>
      <c r="B223" s="345" t="s">
        <v>2657</v>
      </c>
      <c r="C223" s="345" t="str">
        <f>MID(D223,2,3)</f>
        <v>394</v>
      </c>
      <c r="D223" s="339" t="s">
        <v>749</v>
      </c>
      <c r="E223" s="349">
        <f>SUMIFS(FCPIS!$H$6:$H$899,FCPIS!$B$6:$B$899,$A223,FCPIS!$C$6:$C$899,$B223,FCPIS!$D$6:$D$899,E$4,FCPIS!$E$6:$E$899,$C223)*1000</f>
        <v>680439.67999999993</v>
      </c>
      <c r="F223" s="369"/>
      <c r="G223" s="349">
        <f>SUMIFS(FCPIS!$U$6:$U$899,FCPIS!$B$6:$B$899,$A223,FCPIS!$C$6:$C$899,$B223,FCPIS!$D$6:$D$899,G$4,FCPIS!$E$6:$E$899,$C223)*1000</f>
        <v>39404.870000000003</v>
      </c>
      <c r="H223" s="369"/>
      <c r="I223" s="349">
        <f>SUMIFS(FCPIS!$U$6:$U$899,FCPIS!$B$6:$B$899,$A223,FCPIS!$C$6:$C$899,$B223,FCPIS!$D$6:$D$899,I$4,FCPIS!$E$6:$E$899,$C223)*-1000</f>
        <v>-12996.19999999999</v>
      </c>
      <c r="J223" s="369"/>
      <c r="K223" s="349">
        <f>SUMIFS(FCPIS!$U$6:$U$899,FCPIS!$B$6:$B$899,$A223,FCPIS!$C$6:$C$899,$B223,FCPIS!$D$6:$D$899,K$4,FCPIS!$E$6:$E$899,$C223)*1000</f>
        <v>0</v>
      </c>
      <c r="L223" s="369"/>
      <c r="M223" s="349">
        <f t="shared" si="51"/>
        <v>26408.670000000013</v>
      </c>
      <c r="N223" s="369"/>
      <c r="O223" s="349">
        <f t="shared" si="52"/>
        <v>706848.35</v>
      </c>
      <c r="P223" s="369"/>
      <c r="Q223" s="349">
        <f>SUMIFS(FCPIS!$V$6:$V$899,FCPIS!$B$6:$B$899,$A223,FCPIS!$C$6:$C$899,$B223,FCPIS!$D$6:$D$899,Q$4,FCPIS!$E$6:$E$899,$C223)*1000</f>
        <v>696188.62923076923</v>
      </c>
      <c r="R223" s="368"/>
      <c r="S223" s="347">
        <f>SUMIFS(FCPIS!$V$6:$V$899,FCPIS!$B$6:$B$899,$A223,FCPIS!$C$6:$C$899,$B223,FCPIS!$D$6:$D$899,S$4,FCPIS!$E$6:$E$899,$C223)*-1000</f>
        <v>-235348.30880038464</v>
      </c>
      <c r="T223" s="339"/>
      <c r="U223" s="347">
        <f t="shared" si="53"/>
        <v>460840.3204303846</v>
      </c>
      <c r="V223" s="369"/>
      <c r="W223" s="349">
        <f t="shared" si="54"/>
        <v>0</v>
      </c>
      <c r="X223" s="369"/>
      <c r="Y223" s="349">
        <f t="shared" si="55"/>
        <v>-235348.30880038464</v>
      </c>
      <c r="Z223" s="369"/>
      <c r="AA223" s="349">
        <f>SUMIFS(FCPIS!$T$6:$T$899,FCPIS!$B$6:$B$899,$A223,FCPIS!$C$6:$C$899,$B223,FCPIS!$D$6:$D$899,AA$4,FCPIS!$E$6:$E$899,$C223)*1000</f>
        <v>706848.35</v>
      </c>
      <c r="AB223" s="349">
        <f t="shared" si="56"/>
        <v>0</v>
      </c>
    </row>
    <row r="224" spans="1:28" x14ac:dyDescent="0.2">
      <c r="A224" s="345" t="s">
        <v>937</v>
      </c>
      <c r="B224" s="345" t="s">
        <v>2657</v>
      </c>
      <c r="C224" s="345" t="str">
        <f>MID(D224,2,3)</f>
        <v>395</v>
      </c>
      <c r="D224" s="339" t="s">
        <v>750</v>
      </c>
      <c r="E224" s="349">
        <f>SUMIFS(FCPIS!$H$6:$H$899,FCPIS!$B$6:$B$899,$A224,FCPIS!$C$6:$C$899,$B224,FCPIS!$D$6:$D$899,E$4,FCPIS!$E$6:$E$899,$C224)*1000</f>
        <v>0</v>
      </c>
      <c r="F224" s="369"/>
      <c r="G224" s="349">
        <f>SUMIFS(FCPIS!$U$6:$U$899,FCPIS!$B$6:$B$899,$A224,FCPIS!$C$6:$C$899,$B224,FCPIS!$D$6:$D$899,G$4,FCPIS!$E$6:$E$899,$C224)*1000</f>
        <v>0</v>
      </c>
      <c r="H224" s="369"/>
      <c r="I224" s="349">
        <f>SUMIFS(FCPIS!$U$6:$U$899,FCPIS!$B$6:$B$899,$A224,FCPIS!$C$6:$C$899,$B224,FCPIS!$D$6:$D$899,I$4,FCPIS!$E$6:$E$899,$C224)*-1000</f>
        <v>0</v>
      </c>
      <c r="J224" s="369"/>
      <c r="K224" s="349">
        <f>SUMIFS(FCPIS!$U$6:$U$899,FCPIS!$B$6:$B$899,$A224,FCPIS!$C$6:$C$899,$B224,FCPIS!$D$6:$D$899,K$4,FCPIS!$E$6:$E$899,$C224)*1000</f>
        <v>0</v>
      </c>
      <c r="L224" s="369"/>
      <c r="M224" s="349">
        <f t="shared" si="51"/>
        <v>0</v>
      </c>
      <c r="N224" s="369"/>
      <c r="O224" s="349">
        <f t="shared" si="52"/>
        <v>0</v>
      </c>
      <c r="P224" s="369"/>
      <c r="Q224" s="349">
        <f>SUMIFS(FCPIS!$V$6:$V$899,FCPIS!$B$6:$B$899,$A224,FCPIS!$C$6:$C$899,$B224,FCPIS!$D$6:$D$899,Q$4,FCPIS!$E$6:$E$899,$C224)*1000</f>
        <v>0</v>
      </c>
      <c r="R224" s="368"/>
      <c r="S224" s="347">
        <f>SUMIFS(FCPIS!$V$6:$V$899,FCPIS!$B$6:$B$899,$A224,FCPIS!$C$6:$C$899,$B224,FCPIS!$D$6:$D$899,S$4,FCPIS!$E$6:$E$899,$C224)*-1000</f>
        <v>0</v>
      </c>
      <c r="T224" s="339"/>
      <c r="U224" s="347">
        <f t="shared" si="53"/>
        <v>0</v>
      </c>
      <c r="V224" s="369"/>
      <c r="W224" s="349">
        <f t="shared" si="54"/>
        <v>0</v>
      </c>
      <c r="X224" s="369"/>
      <c r="Y224" s="349">
        <f t="shared" si="55"/>
        <v>0</v>
      </c>
      <c r="Z224" s="369"/>
      <c r="AA224" s="349">
        <f>SUMIFS(FCPIS!$T$6:$T$899,FCPIS!$B$6:$B$899,$A224,FCPIS!$C$6:$C$899,$B224,FCPIS!$D$6:$D$899,AA$4,FCPIS!$E$6:$E$899,$C224)*1000</f>
        <v>0</v>
      </c>
      <c r="AB224" s="349">
        <f t="shared" si="56"/>
        <v>0</v>
      </c>
    </row>
    <row r="225" spans="1:28" x14ac:dyDescent="0.2">
      <c r="A225" s="345" t="s">
        <v>937</v>
      </c>
      <c r="B225" s="345" t="s">
        <v>2657</v>
      </c>
      <c r="C225" s="345" t="str">
        <f>MID(D225,2,3)</f>
        <v>396</v>
      </c>
      <c r="D225" s="339" t="s">
        <v>1459</v>
      </c>
      <c r="E225" s="349">
        <f>SUMIFS(FCPIS!$H$6:$H$899,FCPIS!$B$6:$B$899,$A225,FCPIS!$C$6:$C$899,$B225,FCPIS!$D$6:$D$899,E$4,FCPIS!$E$6:$E$899,$C225)*1000</f>
        <v>282277.26</v>
      </c>
      <c r="F225" s="369"/>
      <c r="G225" s="349">
        <f>SUMIFS(FCPIS!$U$6:$U$899,FCPIS!$B$6:$B$899,$A225,FCPIS!$C$6:$C$899,$B225,FCPIS!$D$6:$D$899,G$4,FCPIS!$E$6:$E$899,$C225)*1000</f>
        <v>0</v>
      </c>
      <c r="H225" s="369"/>
      <c r="I225" s="349">
        <f>SUMIFS(FCPIS!$U$6:$U$899,FCPIS!$B$6:$B$899,$A225,FCPIS!$C$6:$C$899,$B225,FCPIS!$D$6:$D$899,I$4,FCPIS!$E$6:$E$899,$C225)*-1000</f>
        <v>0</v>
      </c>
      <c r="J225" s="369"/>
      <c r="K225" s="349">
        <f>SUMIFS(FCPIS!$U$6:$U$899,FCPIS!$B$6:$B$899,$A225,FCPIS!$C$6:$C$899,$B225,FCPIS!$D$6:$D$899,K$4,FCPIS!$E$6:$E$899,$C225)*1000</f>
        <v>0</v>
      </c>
      <c r="L225" s="369"/>
      <c r="M225" s="349">
        <f t="shared" si="51"/>
        <v>0</v>
      </c>
      <c r="N225" s="369"/>
      <c r="O225" s="349">
        <f t="shared" si="52"/>
        <v>282277.26</v>
      </c>
      <c r="P225" s="369"/>
      <c r="Q225" s="349">
        <f>SUMIFS(FCPIS!$V$6:$V$899,FCPIS!$B$6:$B$899,$A225,FCPIS!$C$6:$C$899,$B225,FCPIS!$D$6:$D$899,Q$4,FCPIS!$E$6:$E$899,$C225)*1000</f>
        <v>282277.25999999995</v>
      </c>
      <c r="R225" s="368"/>
      <c r="S225" s="347">
        <f>SUMIFS(FCPIS!$V$6:$V$899,FCPIS!$B$6:$B$899,$A225,FCPIS!$C$6:$C$899,$B225,FCPIS!$D$6:$D$899,S$4,FCPIS!$E$6:$E$899,$C225)*-1000</f>
        <v>-143508.34692800001</v>
      </c>
      <c r="T225" s="339"/>
      <c r="U225" s="347">
        <f t="shared" si="53"/>
        <v>138768.91307199994</v>
      </c>
      <c r="V225" s="369"/>
      <c r="W225" s="349">
        <f t="shared" si="54"/>
        <v>0</v>
      </c>
      <c r="X225" s="369"/>
      <c r="Y225" s="349">
        <f t="shared" si="55"/>
        <v>-143508.34692800001</v>
      </c>
      <c r="Z225" s="369"/>
      <c r="AA225" s="349">
        <f>SUMIFS(FCPIS!$T$6:$T$899,FCPIS!$B$6:$B$899,$A225,FCPIS!$C$6:$C$899,$B225,FCPIS!$D$6:$D$899,AA$4,FCPIS!$E$6:$E$899,$C225)*1000</f>
        <v>282277.26</v>
      </c>
      <c r="AB225" s="349">
        <f t="shared" si="56"/>
        <v>0</v>
      </c>
    </row>
    <row r="226" spans="1:28" x14ac:dyDescent="0.2">
      <c r="A226" s="345" t="s">
        <v>937</v>
      </c>
      <c r="B226" s="345" t="s">
        <v>2657</v>
      </c>
      <c r="C226" s="345" t="str">
        <f>MID(D226,2,3)</f>
        <v>397</v>
      </c>
      <c r="D226" s="339" t="s">
        <v>1414</v>
      </c>
      <c r="E226" s="349">
        <f>SUMIFS(FCPIS!$H$6:$H$899,FCPIS!$B$6:$B$899,$A226,FCPIS!$C$6:$C$899,$B226,FCPIS!$D$6:$D$899,E$4,FCPIS!$E$6:$E$899,$C226)*1000</f>
        <v>980098.61</v>
      </c>
      <c r="F226" s="369"/>
      <c r="G226" s="349">
        <f>SUMIFS(FCPIS!$U$6:$U$899,FCPIS!$B$6:$B$899,$A226,FCPIS!$C$6:$C$899,$B226,FCPIS!$D$6:$D$899,G$4,FCPIS!$E$6:$E$899,$C226)*1000</f>
        <v>0</v>
      </c>
      <c r="H226" s="369"/>
      <c r="I226" s="349">
        <f>SUMIFS(FCPIS!$U$6:$U$899,FCPIS!$B$6:$B$899,$A226,FCPIS!$C$6:$C$899,$B226,FCPIS!$D$6:$D$899,I$4,FCPIS!$E$6:$E$899,$C226)*-1000</f>
        <v>0</v>
      </c>
      <c r="J226" s="369"/>
      <c r="K226" s="349">
        <f>SUMIFS(FCPIS!$U$6:$U$899,FCPIS!$B$6:$B$899,$A226,FCPIS!$C$6:$C$899,$B226,FCPIS!$D$6:$D$899,K$4,FCPIS!$E$6:$E$899,$C226)*1000</f>
        <v>0</v>
      </c>
      <c r="L226" s="369"/>
      <c r="M226" s="349">
        <f t="shared" si="51"/>
        <v>0</v>
      </c>
      <c r="N226" s="369"/>
      <c r="O226" s="349">
        <f t="shared" si="52"/>
        <v>980098.61</v>
      </c>
      <c r="P226" s="369"/>
      <c r="Q226" s="349">
        <f>SUMIFS(FCPIS!$V$6:$V$899,FCPIS!$B$6:$B$899,$A226,FCPIS!$C$6:$C$899,$B226,FCPIS!$D$6:$D$899,Q$4,FCPIS!$E$6:$E$899,$C226)*1000</f>
        <v>980098.61000000034</v>
      </c>
      <c r="R226" s="368"/>
      <c r="S226" s="347">
        <f>SUMIFS(FCPIS!$V$6:$V$899,FCPIS!$B$6:$B$899,$A226,FCPIS!$C$6:$C$899,$B226,FCPIS!$D$6:$D$899,S$4,FCPIS!$E$6:$E$899,$C226)*-1000</f>
        <v>-764942.31415999995</v>
      </c>
      <c r="T226" s="339"/>
      <c r="U226" s="347">
        <f t="shared" si="53"/>
        <v>215156.29584000038</v>
      </c>
      <c r="V226" s="369"/>
      <c r="W226" s="349">
        <f t="shared" si="54"/>
        <v>0</v>
      </c>
      <c r="X226" s="369"/>
      <c r="Y226" s="349">
        <f t="shared" si="55"/>
        <v>-764942.31415999995</v>
      </c>
      <c r="Z226" s="369"/>
      <c r="AA226" s="349">
        <f>SUMIFS(FCPIS!$T$6:$T$899,FCPIS!$B$6:$B$899,$A226,FCPIS!$C$6:$C$899,$B226,FCPIS!$D$6:$D$899,AA$4,FCPIS!$E$6:$E$899,$C226)*1000</f>
        <v>980098.61</v>
      </c>
      <c r="AB226" s="349">
        <f t="shared" si="56"/>
        <v>0</v>
      </c>
    </row>
    <row r="227" spans="1:28" x14ac:dyDescent="0.2">
      <c r="A227" s="345" t="s">
        <v>937</v>
      </c>
      <c r="B227" s="345" t="s">
        <v>2657</v>
      </c>
      <c r="D227" s="339" t="s">
        <v>1415</v>
      </c>
      <c r="E227" s="349">
        <f>SUMIFS(FCPIS!$H$6:$H$899,FCPIS!$B$6:$B$899,$A227,FCPIS!$C$6:$C$899,$B227,FCPIS!$D$6:$D$899,E$4,FCPIS!$E$6:$E$899,$C227)*1000</f>
        <v>0</v>
      </c>
      <c r="F227" s="369"/>
      <c r="G227" s="349">
        <f>SUMIFS(FCPIS!$U$6:$U$899,FCPIS!$B$6:$B$899,$A227,FCPIS!$C$6:$C$899,$B227,FCPIS!$D$6:$D$899,G$4,FCPIS!$E$6:$E$899,$C227)*1000</f>
        <v>0</v>
      </c>
      <c r="H227" s="369"/>
      <c r="I227" s="349">
        <f>SUMIFS(FCPIS!$U$6:$U$899,FCPIS!$B$6:$B$899,$A227,FCPIS!$C$6:$C$899,$B227,FCPIS!$D$6:$D$899,I$4,FCPIS!$E$6:$E$899,$C227)*-1000</f>
        <v>0</v>
      </c>
      <c r="J227" s="369"/>
      <c r="K227" s="349">
        <f>SUMIFS(FCPIS!$U$6:$U$899,FCPIS!$B$6:$B$899,$A227,FCPIS!$C$6:$C$899,$B227,FCPIS!$D$6:$D$899,K$4,FCPIS!$E$6:$E$899,$C227)*1000</f>
        <v>0</v>
      </c>
      <c r="L227" s="369"/>
      <c r="M227" s="349">
        <f t="shared" si="51"/>
        <v>0</v>
      </c>
      <c r="N227" s="369"/>
      <c r="O227" s="349">
        <f t="shared" si="52"/>
        <v>0</v>
      </c>
      <c r="P227" s="369"/>
      <c r="Q227" s="349">
        <f>SUMIFS(FCPIS!$V$6:$V$899,FCPIS!$B$6:$B$899,$A227,FCPIS!$C$6:$C$899,$B227,FCPIS!$D$6:$D$899,Q$4,FCPIS!$E$6:$E$899,$C227)*1000</f>
        <v>0</v>
      </c>
      <c r="R227" s="368"/>
      <c r="S227" s="347">
        <f>SUMIFS(FCPIS!$V$6:$V$899,FCPIS!$B$6:$B$899,$A227,FCPIS!$C$6:$C$899,$B227,FCPIS!$D$6:$D$899,S$4,FCPIS!$E$6:$E$899,$C227)*-1000</f>
        <v>0</v>
      </c>
      <c r="T227" s="339"/>
      <c r="U227" s="347">
        <f t="shared" si="53"/>
        <v>0</v>
      </c>
      <c r="V227" s="369"/>
      <c r="W227" s="349">
        <f t="shared" si="54"/>
        <v>0</v>
      </c>
      <c r="X227" s="369"/>
      <c r="Y227" s="349">
        <f t="shared" si="55"/>
        <v>0</v>
      </c>
      <c r="Z227" s="369"/>
      <c r="AA227" s="349">
        <f>SUMIFS(FCPIS!$T$6:$T$899,FCPIS!$B$6:$B$899,$A227,FCPIS!$C$6:$C$899,$B227,FCPIS!$D$6:$D$899,AA$4,FCPIS!$E$6:$E$899,$C227)*1000</f>
        <v>0</v>
      </c>
      <c r="AB227" s="349">
        <f t="shared" si="56"/>
        <v>0</v>
      </c>
    </row>
    <row r="228" spans="1:28" x14ac:dyDescent="0.2">
      <c r="A228" s="345" t="s">
        <v>937</v>
      </c>
      <c r="B228" s="345" t="s">
        <v>2657</v>
      </c>
      <c r="C228" s="345" t="str">
        <f>MID(D228,2,3)</f>
        <v>398</v>
      </c>
      <c r="D228" s="339" t="s">
        <v>751</v>
      </c>
      <c r="E228" s="353">
        <f>SUMIFS(FCPIS!$H$6:$H$899,FCPIS!$B$6:$B$899,$A228,FCPIS!$C$6:$C$899,$B228,FCPIS!$D$6:$D$899,E$4,FCPIS!$E$6:$E$899,$C228)*1000</f>
        <v>0</v>
      </c>
      <c r="F228" s="369"/>
      <c r="G228" s="353">
        <f>SUMIFS(FCPIS!$U$6:$U$899,FCPIS!$B$6:$B$899,$A228,FCPIS!$C$6:$C$899,$B228,FCPIS!$D$6:$D$899,G$4,FCPIS!$E$6:$E$899,$C228)*1000</f>
        <v>0</v>
      </c>
      <c r="H228" s="369"/>
      <c r="I228" s="353">
        <f>SUMIFS(FCPIS!$U$6:$U$899,FCPIS!$B$6:$B$899,$A228,FCPIS!$C$6:$C$899,$B228,FCPIS!$D$6:$D$899,I$4,FCPIS!$E$6:$E$899,$C228)*-1000</f>
        <v>0</v>
      </c>
      <c r="J228" s="369"/>
      <c r="K228" s="353">
        <f>SUMIFS(FCPIS!$U$6:$U$899,FCPIS!$B$6:$B$899,$A228,FCPIS!$C$6:$C$899,$B228,FCPIS!$D$6:$D$899,K$4,FCPIS!$E$6:$E$899,$C228)*1000</f>
        <v>0</v>
      </c>
      <c r="L228" s="369"/>
      <c r="M228" s="353">
        <f t="shared" si="51"/>
        <v>0</v>
      </c>
      <c r="N228" s="369"/>
      <c r="O228" s="353">
        <f t="shared" si="52"/>
        <v>0</v>
      </c>
      <c r="P228" s="369"/>
      <c r="Q228" s="353">
        <f>SUMIFS(FCPIS!$V$6:$V$899,FCPIS!$B$6:$B$899,$A228,FCPIS!$C$6:$C$899,$B228,FCPIS!$D$6:$D$899,Q$4,FCPIS!$E$6:$E$899,$C228)*1000</f>
        <v>0</v>
      </c>
      <c r="R228" s="368"/>
      <c r="S228" s="354">
        <f>SUMIFS(FCPIS!$V$6:$V$899,FCPIS!$B$6:$B$899,$A228,FCPIS!$C$6:$C$899,$B228,FCPIS!$D$6:$D$899,S$4,FCPIS!$E$6:$E$899,$C228)*-1000</f>
        <v>0</v>
      </c>
      <c r="T228" s="339"/>
      <c r="U228" s="354">
        <f t="shared" si="53"/>
        <v>0</v>
      </c>
      <c r="V228" s="369"/>
      <c r="W228" s="353">
        <f t="shared" si="54"/>
        <v>0</v>
      </c>
      <c r="X228" s="369"/>
      <c r="Y228" s="353">
        <f t="shared" si="55"/>
        <v>0</v>
      </c>
      <c r="Z228" s="369"/>
      <c r="AA228" s="353">
        <f>SUMIFS(FCPIS!$T$6:$T$899,FCPIS!$B$6:$B$899,$A228,FCPIS!$C$6:$C$899,$B228,FCPIS!$D$6:$D$899,AA$4,FCPIS!$E$6:$E$899,$C228)*1000</f>
        <v>0</v>
      </c>
      <c r="AB228" s="353">
        <f t="shared" si="56"/>
        <v>0</v>
      </c>
    </row>
    <row r="229" spans="1:28" x14ac:dyDescent="0.2">
      <c r="B229" s="345" t="s">
        <v>2657</v>
      </c>
      <c r="D229" s="339"/>
      <c r="E229" s="349">
        <f>SUM(E216:E228)</f>
        <v>4106790.2699999991</v>
      </c>
      <c r="F229" s="369"/>
      <c r="G229" s="349">
        <f>SUM(G216:G228)</f>
        <v>4768125.0100000016</v>
      </c>
      <c r="H229" s="369"/>
      <c r="I229" s="349">
        <f>SUM(I216:I228)</f>
        <v>-12996.19999999999</v>
      </c>
      <c r="J229" s="369"/>
      <c r="K229" s="349">
        <f>SUM(K216:K228)</f>
        <v>0</v>
      </c>
      <c r="L229" s="369"/>
      <c r="M229" s="349">
        <f>SUM(M216:M228)</f>
        <v>4755128.8100000015</v>
      </c>
      <c r="N229" s="369"/>
      <c r="O229" s="349">
        <f>SUM(O216:O228)</f>
        <v>8861919.0800000001</v>
      </c>
      <c r="P229" s="369"/>
      <c r="Q229" s="349">
        <f>SUM(Q216:Q228)</f>
        <v>7790581.5069230758</v>
      </c>
      <c r="R229" s="368"/>
      <c r="S229" s="349">
        <f>SUM(S216:S228)</f>
        <v>-1574584.1918771695</v>
      </c>
      <c r="T229" s="339"/>
      <c r="U229" s="349">
        <f>SUM(U216:U228)</f>
        <v>6215997.3150459081</v>
      </c>
      <c r="V229" s="369"/>
      <c r="W229" s="352">
        <f>SUMIFS('FC CWIP &amp; RWIP'!$R$40:$R$58,'FC CWIP &amp; RWIP'!$A$40:$A$58,"VA",'FC CWIP &amp; RWIP'!$B$40:$B$58,D$215)*1000</f>
        <v>0</v>
      </c>
      <c r="X229" s="369"/>
      <c r="Y229" s="349">
        <f>SUM(Y216:Y228)</f>
        <v>-1574584.1918771695</v>
      </c>
      <c r="Z229" s="369">
        <f>SUM(Z216:Z228)</f>
        <v>0</v>
      </c>
      <c r="AA229" s="349">
        <f>SUM(AA216:AA228)</f>
        <v>8861919.0800000001</v>
      </c>
      <c r="AB229" s="349">
        <f>SUM(AB216:AB228)</f>
        <v>0</v>
      </c>
    </row>
    <row r="230" spans="1:28" x14ac:dyDescent="0.2">
      <c r="B230" s="345" t="s">
        <v>2657</v>
      </c>
      <c r="D230" s="339"/>
      <c r="E230" s="349"/>
      <c r="F230" s="369"/>
      <c r="G230" s="349"/>
      <c r="H230" s="369"/>
      <c r="I230" s="349"/>
      <c r="J230" s="369"/>
      <c r="K230" s="349"/>
      <c r="L230" s="369"/>
      <c r="M230" s="349"/>
      <c r="N230" s="369"/>
      <c r="O230" s="349"/>
      <c r="P230" s="369"/>
      <c r="Q230" s="349"/>
      <c r="R230" s="368"/>
      <c r="S230" s="339"/>
      <c r="T230" s="339"/>
      <c r="U230" s="339"/>
      <c r="V230" s="369"/>
      <c r="W230" s="349"/>
      <c r="X230" s="369"/>
      <c r="Y230" s="349"/>
      <c r="Z230" s="369"/>
      <c r="AA230" s="349"/>
      <c r="AB230" s="349"/>
    </row>
    <row r="231" spans="1:28" x14ac:dyDescent="0.2">
      <c r="B231" s="345" t="s">
        <v>2657</v>
      </c>
      <c r="D231" s="338" t="s">
        <v>2661</v>
      </c>
      <c r="E231" s="349"/>
      <c r="F231" s="369"/>
      <c r="G231" s="349"/>
      <c r="H231" s="369"/>
      <c r="I231" s="349"/>
      <c r="J231" s="369"/>
      <c r="K231" s="349"/>
      <c r="L231" s="369"/>
      <c r="M231" s="349"/>
      <c r="N231" s="369"/>
      <c r="O231" s="349"/>
      <c r="P231" s="369"/>
      <c r="Q231" s="349"/>
      <c r="R231" s="368"/>
      <c r="S231" s="339"/>
      <c r="T231" s="339"/>
      <c r="U231" s="339"/>
      <c r="V231" s="369"/>
      <c r="W231" s="349"/>
      <c r="X231" s="369"/>
      <c r="Y231" s="349"/>
      <c r="Z231" s="369"/>
      <c r="AA231" s="349"/>
      <c r="AB231" s="349"/>
    </row>
    <row r="232" spans="1:28" x14ac:dyDescent="0.2">
      <c r="A232" s="345" t="s">
        <v>937</v>
      </c>
      <c r="B232" s="345" t="s">
        <v>2657</v>
      </c>
      <c r="C232" s="345" t="str">
        <f>MID(D232,2,3)</f>
        <v>301</v>
      </c>
      <c r="D232" s="339" t="s">
        <v>761</v>
      </c>
      <c r="E232" s="353">
        <f>SUMIFS(FCPIS!$H$6:$H$899,FCPIS!$B$6:$B$899,$A232,FCPIS!$C$6:$C$899,$B232,FCPIS!$D$6:$D$899,E$4,FCPIS!$E$6:$E$899,$C232)*1000</f>
        <v>5338.69</v>
      </c>
      <c r="F232" s="369"/>
      <c r="G232" s="353">
        <f>SUMIFS(FCPIS!$U$6:$U$899,FCPIS!$B$6:$B$899,$A232,FCPIS!$C$6:$C$899,$B232,FCPIS!$D$6:$D$899,G$4,FCPIS!$E$6:$E$899,$C232)*1000</f>
        <v>0</v>
      </c>
      <c r="H232" s="369"/>
      <c r="I232" s="353">
        <f>SUMIFS(FCPIS!$U$6:$U$899,FCPIS!$B$6:$B$899,$A232,FCPIS!$C$6:$C$899,$B232,FCPIS!$D$6:$D$899,I$4,FCPIS!$E$6:$E$899,$C232)*-1000</f>
        <v>0</v>
      </c>
      <c r="J232" s="369"/>
      <c r="K232" s="353">
        <f>SUMIFS(FCPIS!$U$6:$U$899,FCPIS!$B$6:$B$899,$A232,FCPIS!$C$6:$C$899,$B232,FCPIS!$D$6:$D$899,K$4,FCPIS!$E$6:$E$899,$C232)*1000</f>
        <v>0</v>
      </c>
      <c r="L232" s="369"/>
      <c r="M232" s="353">
        <f>SUM(G232:K232)</f>
        <v>0</v>
      </c>
      <c r="N232" s="369"/>
      <c r="O232" s="353">
        <f>E232+M232</f>
        <v>5338.69</v>
      </c>
      <c r="P232" s="369"/>
      <c r="Q232" s="353">
        <f>SUMIFS(FCPIS!$V$6:$V$899,FCPIS!$B$6:$B$899,$A232,FCPIS!$C$6:$C$899,$B232,FCPIS!$D$6:$D$899,Q$4,FCPIS!$E$6:$E$899,$C232)*1000</f>
        <v>5338.69</v>
      </c>
      <c r="R232" s="368"/>
      <c r="S232" s="354">
        <f>SUMIFS(FCPIS!$V$6:$V$899,FCPIS!$B$6:$B$899,$A232,FCPIS!$C$6:$C$899,$B232,FCPIS!$D$6:$D$899,S$4,FCPIS!$E$6:$E$899,$C232)*-1000</f>
        <v>0</v>
      </c>
      <c r="T232" s="339"/>
      <c r="U232" s="354">
        <f>Q232+S232</f>
        <v>5338.69</v>
      </c>
      <c r="V232" s="369"/>
      <c r="W232" s="353"/>
      <c r="X232" s="369"/>
      <c r="Y232" s="353">
        <v>0</v>
      </c>
      <c r="Z232" s="369"/>
      <c r="AA232" s="353">
        <f>SUMIFS(FCPIS!$T$6:$T$899,FCPIS!$B$6:$B$899,$A232,FCPIS!$C$6:$C$899,$B232,FCPIS!$D$6:$D$899,AA$4,FCPIS!$E$6:$E$899,$C232)*1000</f>
        <v>5338.69</v>
      </c>
      <c r="AB232" s="353">
        <f>AA232-O232</f>
        <v>0</v>
      </c>
    </row>
    <row r="233" spans="1:28" x14ac:dyDescent="0.2">
      <c r="B233" s="345" t="s">
        <v>2657</v>
      </c>
      <c r="D233" s="339"/>
      <c r="E233" s="349">
        <f>SUM(E232)</f>
        <v>5338.69</v>
      </c>
      <c r="F233" s="369"/>
      <c r="G233" s="349">
        <f>SUM(G232)</f>
        <v>0</v>
      </c>
      <c r="H233" s="369"/>
      <c r="I233" s="349">
        <f>SUM(I232)</f>
        <v>0</v>
      </c>
      <c r="J233" s="369"/>
      <c r="K233" s="349">
        <f>SUM(K232)</f>
        <v>0</v>
      </c>
      <c r="L233" s="369"/>
      <c r="M233" s="349">
        <f>SUM(M232)</f>
        <v>0</v>
      </c>
      <c r="N233" s="369"/>
      <c r="O233" s="349">
        <f>SUM(O232)</f>
        <v>5338.69</v>
      </c>
      <c r="P233" s="369"/>
      <c r="Q233" s="349">
        <f>SUM(Q232)</f>
        <v>5338.69</v>
      </c>
      <c r="R233" s="368"/>
      <c r="S233" s="349">
        <f>SUM(S232)</f>
        <v>0</v>
      </c>
      <c r="T233" s="339"/>
      <c r="U233" s="349">
        <f>SUM(U232)</f>
        <v>5338.69</v>
      </c>
      <c r="V233" s="369"/>
      <c r="W233" s="352">
        <f>SUMIFS('FC CWIP &amp; RWIP'!$R$40:$R$58,'FC CWIP &amp; RWIP'!$A$40:$A$58,"VA",'FC CWIP &amp; RWIP'!$B$40:$B$58,D$231)*1000</f>
        <v>0</v>
      </c>
      <c r="X233" s="369"/>
      <c r="Y233" s="349">
        <f>SUM(Y232)</f>
        <v>0</v>
      </c>
      <c r="Z233" s="369">
        <f>SUM(Z232)</f>
        <v>0</v>
      </c>
      <c r="AA233" s="349">
        <f>SUM(AA232)</f>
        <v>5338.69</v>
      </c>
      <c r="AB233" s="349">
        <f>SUM(AB232)</f>
        <v>0</v>
      </c>
    </row>
    <row r="234" spans="1:28" x14ac:dyDescent="0.2">
      <c r="B234" s="345" t="s">
        <v>2657</v>
      </c>
      <c r="D234" s="339"/>
      <c r="E234" s="349"/>
      <c r="F234" s="369"/>
      <c r="G234" s="349"/>
      <c r="H234" s="369"/>
      <c r="I234" s="349"/>
      <c r="J234" s="369"/>
      <c r="K234" s="349"/>
      <c r="L234" s="369"/>
      <c r="M234" s="349"/>
      <c r="N234" s="369"/>
      <c r="O234" s="349"/>
      <c r="P234" s="369"/>
      <c r="Q234" s="349"/>
      <c r="R234" s="368"/>
      <c r="S234" s="339"/>
      <c r="T234" s="339"/>
      <c r="U234" s="339"/>
      <c r="V234" s="369"/>
      <c r="W234" s="349"/>
      <c r="X234" s="369"/>
      <c r="Y234" s="349"/>
      <c r="Z234" s="369"/>
      <c r="AA234" s="349"/>
      <c r="AB234" s="349"/>
    </row>
    <row r="235" spans="1:28" x14ac:dyDescent="0.2">
      <c r="B235" s="345" t="s">
        <v>2657</v>
      </c>
      <c r="D235" s="338" t="s">
        <v>915</v>
      </c>
      <c r="E235" s="349"/>
      <c r="F235" s="369"/>
      <c r="G235" s="349"/>
      <c r="H235" s="369"/>
      <c r="I235" s="349"/>
      <c r="J235" s="369"/>
      <c r="K235" s="349"/>
      <c r="L235" s="369"/>
      <c r="M235" s="349"/>
      <c r="N235" s="369"/>
      <c r="O235" s="349"/>
      <c r="P235" s="369"/>
      <c r="Q235" s="349"/>
      <c r="R235" s="368"/>
      <c r="S235" s="339"/>
      <c r="T235" s="339"/>
      <c r="U235" s="339"/>
      <c r="V235" s="369"/>
      <c r="W235" s="349"/>
      <c r="X235" s="369"/>
      <c r="Y235" s="349"/>
      <c r="Z235" s="369"/>
      <c r="AA235" s="349"/>
      <c r="AB235" s="349"/>
    </row>
    <row r="236" spans="1:28" x14ac:dyDescent="0.2">
      <c r="A236" s="345" t="s">
        <v>937</v>
      </c>
      <c r="B236" s="345" t="s">
        <v>2657</v>
      </c>
      <c r="C236" s="345" t="str">
        <f t="shared" ref="C236:C241" si="58">MID(D236,2,3)</f>
        <v>350</v>
      </c>
      <c r="D236" s="339" t="s">
        <v>786</v>
      </c>
      <c r="E236" s="349">
        <f>SUMIFS(FCPIS!$H$6:$H$899,FCPIS!$B$6:$B$899,$A236,FCPIS!$C$6:$C$899,$B236,FCPIS!$D$6:$D$899,E$4,FCPIS!$E$6:$E$899,$C236)*1000</f>
        <v>2265176.1</v>
      </c>
      <c r="F236" s="369"/>
      <c r="G236" s="349">
        <f>SUMIFS(FCPIS!$U$6:$U$899,FCPIS!$B$6:$B$899,$A236,FCPIS!$C$6:$C$899,$B236,FCPIS!$D$6:$D$899,G$4,FCPIS!$E$6:$E$899,$C236)*1000</f>
        <v>304449.8</v>
      </c>
      <c r="H236" s="369"/>
      <c r="I236" s="349">
        <f>SUMIFS(FCPIS!$U$6:$U$899,FCPIS!$B$6:$B$899,$A236,FCPIS!$C$6:$C$899,$B236,FCPIS!$D$6:$D$899,I$4,FCPIS!$E$6:$E$899,$C236)*-1000</f>
        <v>0</v>
      </c>
      <c r="J236" s="369"/>
      <c r="K236" s="349">
        <f>SUMIFS(FCPIS!$U$6:$U$899,FCPIS!$B$6:$B$899,$A236,FCPIS!$C$6:$C$899,$B236,FCPIS!$D$6:$D$899,K$4,FCPIS!$E$6:$E$899,$C236)*1000</f>
        <v>0</v>
      </c>
      <c r="L236" s="369"/>
      <c r="M236" s="349">
        <f t="shared" ref="M236:M244" si="59">SUM(G236:K236)</f>
        <v>304449.8</v>
      </c>
      <c r="N236" s="369"/>
      <c r="O236" s="349">
        <f t="shared" ref="O236:O244" si="60">E236+M236</f>
        <v>2569625.9</v>
      </c>
      <c r="P236" s="369"/>
      <c r="Q236" s="349">
        <f>SUMIFS(FCPIS!$V$6:$V$899,FCPIS!$B$6:$B$899,$A236,FCPIS!$C$6:$C$899,$B236,FCPIS!$D$6:$D$899,Q$4,FCPIS!$E$6:$E$899,$C236)*1000</f>
        <v>2382272.1769230766</v>
      </c>
      <c r="R236" s="368"/>
      <c r="S236" s="347">
        <f>SUMIFS(FCPIS!$V$6:$V$899,FCPIS!$B$6:$B$899,$A236,FCPIS!$C$6:$C$899,$B236,FCPIS!$D$6:$D$899,S$4,FCPIS!$E$6:$E$899,$C236)*-1000</f>
        <v>-1980862.6768799999</v>
      </c>
      <c r="T236" s="339"/>
      <c r="U236" s="347">
        <f t="shared" ref="U236:U244" si="61">Q236+S236</f>
        <v>401409.5000430767</v>
      </c>
      <c r="V236" s="369"/>
      <c r="W236" s="349">
        <f t="shared" ref="W236:W244" si="62">G236/G$245*W$245</f>
        <v>21122.961942687791</v>
      </c>
      <c r="X236" s="369"/>
      <c r="Y236" s="349">
        <f t="shared" ref="Y236:Y244" si="63">S236+W236</f>
        <v>-1959739.7149373121</v>
      </c>
      <c r="Z236" s="369"/>
      <c r="AA236" s="349">
        <f>SUMIFS(FCPIS!$T$6:$T$899,FCPIS!$B$6:$B$899,$A236,FCPIS!$C$6:$C$899,$B236,FCPIS!$D$6:$D$899,AA$4,FCPIS!$E$6:$E$899,$C236)*1000</f>
        <v>2569625.9</v>
      </c>
      <c r="AB236" s="349">
        <f t="shared" ref="AB236:AB244" si="64">AA236-O236</f>
        <v>0</v>
      </c>
    </row>
    <row r="237" spans="1:28" x14ac:dyDescent="0.2">
      <c r="A237" s="345" t="s">
        <v>937</v>
      </c>
      <c r="B237" s="345" t="s">
        <v>2657</v>
      </c>
      <c r="D237" s="339" t="s">
        <v>787</v>
      </c>
      <c r="E237" s="349">
        <f>SUMIFS(FCPIS!$H$6:$H$899,FCPIS!$B$6:$B$899,$A237,FCPIS!$C$6:$C$899,$B237,FCPIS!$D$6:$D$899,E$4,FCPIS!$E$6:$E$899,$C237)*1000</f>
        <v>0</v>
      </c>
      <c r="F237" s="369"/>
      <c r="G237" s="349">
        <f>SUMIFS(FCPIS!$U$6:$U$899,FCPIS!$B$6:$B$899,$A237,FCPIS!$C$6:$C$899,$B237,FCPIS!$D$6:$D$899,G$4,FCPIS!$E$6:$E$899,$C237)*1000</f>
        <v>0</v>
      </c>
      <c r="H237" s="369"/>
      <c r="I237" s="349">
        <f>SUMIFS(FCPIS!$U$6:$U$899,FCPIS!$B$6:$B$899,$A237,FCPIS!$C$6:$C$899,$B237,FCPIS!$D$6:$D$899,I$4,FCPIS!$E$6:$E$899,$C237)*-1000</f>
        <v>0</v>
      </c>
      <c r="J237" s="369"/>
      <c r="K237" s="349">
        <f>SUMIFS(FCPIS!$U$6:$U$899,FCPIS!$B$6:$B$899,$A237,FCPIS!$C$6:$C$899,$B237,FCPIS!$D$6:$D$899,K$4,FCPIS!$E$6:$E$899,$C237)*1000</f>
        <v>0</v>
      </c>
      <c r="L237" s="369"/>
      <c r="M237" s="349">
        <f t="shared" si="59"/>
        <v>0</v>
      </c>
      <c r="N237" s="369"/>
      <c r="O237" s="349">
        <f t="shared" si="60"/>
        <v>0</v>
      </c>
      <c r="P237" s="369"/>
      <c r="Q237" s="349">
        <f>SUMIFS(FCPIS!$V$6:$V$899,FCPIS!$B$6:$B$899,$A237,FCPIS!$C$6:$C$899,$B237,FCPIS!$D$6:$D$899,Q$4,FCPIS!$E$6:$E$899,$C237)*1000</f>
        <v>0</v>
      </c>
      <c r="R237" s="368"/>
      <c r="S237" s="347">
        <f>SUMIFS(FCPIS!$V$6:$V$899,FCPIS!$B$6:$B$899,$A237,FCPIS!$C$6:$C$899,$B237,FCPIS!$D$6:$D$899,S$4,FCPIS!$E$6:$E$899,$C237)*-1000</f>
        <v>0</v>
      </c>
      <c r="T237" s="339"/>
      <c r="U237" s="347">
        <f t="shared" si="61"/>
        <v>0</v>
      </c>
      <c r="V237" s="369"/>
      <c r="W237" s="349">
        <f t="shared" si="62"/>
        <v>0</v>
      </c>
      <c r="X237" s="369"/>
      <c r="Y237" s="349">
        <f t="shared" si="63"/>
        <v>0</v>
      </c>
      <c r="Z237" s="369"/>
      <c r="AA237" s="349">
        <f>SUMIFS(FCPIS!$T$6:$T$899,FCPIS!$B$6:$B$899,$A237,FCPIS!$C$6:$C$899,$B237,FCPIS!$D$6:$D$899,AA$4,FCPIS!$E$6:$E$899,$C237)*1000</f>
        <v>0</v>
      </c>
      <c r="AB237" s="349">
        <f t="shared" si="64"/>
        <v>0</v>
      </c>
    </row>
    <row r="238" spans="1:28" x14ac:dyDescent="0.2">
      <c r="A238" s="345" t="s">
        <v>937</v>
      </c>
      <c r="B238" s="345" t="s">
        <v>2657</v>
      </c>
      <c r="C238" s="345" t="str">
        <f t="shared" si="58"/>
        <v>352</v>
      </c>
      <c r="D238" s="339" t="s">
        <v>788</v>
      </c>
      <c r="E238" s="349">
        <f>SUMIFS(FCPIS!$H$6:$H$899,FCPIS!$B$6:$B$899,$A238,FCPIS!$C$6:$C$899,$B238,FCPIS!$D$6:$D$899,E$4,FCPIS!$E$6:$E$899,$C238)*1000</f>
        <v>1743198.88</v>
      </c>
      <c r="F238" s="369"/>
      <c r="G238" s="349">
        <f>SUMIFS(FCPIS!$U$6:$U$899,FCPIS!$B$6:$B$899,$A238,FCPIS!$C$6:$C$899,$B238,FCPIS!$D$6:$D$899,G$4,FCPIS!$E$6:$E$899,$C238)*1000</f>
        <v>0</v>
      </c>
      <c r="H238" s="369"/>
      <c r="I238" s="349">
        <f>SUMIFS(FCPIS!$U$6:$U$899,FCPIS!$B$6:$B$899,$A238,FCPIS!$C$6:$C$899,$B238,FCPIS!$D$6:$D$899,I$4,FCPIS!$E$6:$E$899,$C238)*-1000</f>
        <v>0</v>
      </c>
      <c r="J238" s="369"/>
      <c r="K238" s="349">
        <f>SUMIFS(FCPIS!$U$6:$U$899,FCPIS!$B$6:$B$899,$A238,FCPIS!$C$6:$C$899,$B238,FCPIS!$D$6:$D$899,K$4,FCPIS!$E$6:$E$899,$C238)*1000</f>
        <v>0</v>
      </c>
      <c r="L238" s="369"/>
      <c r="M238" s="349">
        <f t="shared" si="59"/>
        <v>0</v>
      </c>
      <c r="N238" s="369"/>
      <c r="O238" s="349">
        <f t="shared" si="60"/>
        <v>1743198.88</v>
      </c>
      <c r="P238" s="369"/>
      <c r="Q238" s="349">
        <f>SUMIFS(FCPIS!$V$6:$V$899,FCPIS!$B$6:$B$899,$A238,FCPIS!$C$6:$C$899,$B238,FCPIS!$D$6:$D$899,Q$4,FCPIS!$E$6:$E$899,$C238)*1000</f>
        <v>1743198.88</v>
      </c>
      <c r="R238" s="368"/>
      <c r="S238" s="347">
        <f>SUMIFS(FCPIS!$V$6:$V$899,FCPIS!$B$6:$B$899,$A238,FCPIS!$C$6:$C$899,$B238,FCPIS!$D$6:$D$899,S$4,FCPIS!$E$6:$E$899,$C238)*-1000</f>
        <v>-839968.70187199826</v>
      </c>
      <c r="T238" s="339"/>
      <c r="U238" s="347">
        <f t="shared" si="61"/>
        <v>903230.17812800163</v>
      </c>
      <c r="V238" s="369"/>
      <c r="W238" s="349">
        <f t="shared" si="62"/>
        <v>0</v>
      </c>
      <c r="X238" s="369"/>
      <c r="Y238" s="349">
        <f t="shared" si="63"/>
        <v>-839968.70187199826</v>
      </c>
      <c r="Z238" s="369"/>
      <c r="AA238" s="349">
        <f>SUMIFS(FCPIS!$T$6:$T$899,FCPIS!$B$6:$B$899,$A238,FCPIS!$C$6:$C$899,$B238,FCPIS!$D$6:$D$899,AA$4,FCPIS!$E$6:$E$899,$C238)*1000</f>
        <v>1743198.88</v>
      </c>
      <c r="AB238" s="349">
        <f t="shared" si="64"/>
        <v>0</v>
      </c>
    </row>
    <row r="239" spans="1:28" x14ac:dyDescent="0.2">
      <c r="A239" s="345" t="s">
        <v>937</v>
      </c>
      <c r="B239" s="345" t="s">
        <v>2657</v>
      </c>
      <c r="C239" s="345" t="str">
        <f t="shared" si="58"/>
        <v>353</v>
      </c>
      <c r="D239" s="339" t="s">
        <v>790</v>
      </c>
      <c r="E239" s="349">
        <f>SUMIFS(FCPIS!$H$6:$H$899,FCPIS!$B$6:$B$899,$A239,FCPIS!$C$6:$C$899,$B239,FCPIS!$D$6:$D$899,E$4,FCPIS!$E$6:$E$899,$C239)*1000</f>
        <v>22952135.109999999</v>
      </c>
      <c r="F239" s="369"/>
      <c r="G239" s="349">
        <f>SUMIFS(FCPIS!$U$6:$U$899,FCPIS!$B$6:$B$899,$A239,FCPIS!$C$6:$C$899,$B239,FCPIS!$D$6:$D$899,G$4,FCPIS!$E$6:$E$899,$C239)*1000</f>
        <v>0</v>
      </c>
      <c r="H239" s="369"/>
      <c r="I239" s="349">
        <f>SUMIFS(FCPIS!$U$6:$U$899,FCPIS!$B$6:$B$899,$A239,FCPIS!$C$6:$C$899,$B239,FCPIS!$D$6:$D$899,I$4,FCPIS!$E$6:$E$899,$C239)*-1000</f>
        <v>0</v>
      </c>
      <c r="J239" s="369"/>
      <c r="K239" s="349">
        <f>SUMIFS(FCPIS!$U$6:$U$899,FCPIS!$B$6:$B$899,$A239,FCPIS!$C$6:$C$899,$B239,FCPIS!$D$6:$D$899,K$4,FCPIS!$E$6:$E$899,$C239)*1000</f>
        <v>0</v>
      </c>
      <c r="L239" s="369"/>
      <c r="M239" s="349">
        <f t="shared" si="59"/>
        <v>0</v>
      </c>
      <c r="N239" s="369"/>
      <c r="O239" s="349">
        <f t="shared" si="60"/>
        <v>22952135.109999999</v>
      </c>
      <c r="P239" s="369"/>
      <c r="Q239" s="349">
        <f>SUMIFS(FCPIS!$V$6:$V$899,FCPIS!$B$6:$B$899,$A239,FCPIS!$C$6:$C$899,$B239,FCPIS!$D$6:$D$899,Q$4,FCPIS!$E$6:$E$899,$C239)*1000</f>
        <v>22952135.109999996</v>
      </c>
      <c r="R239" s="368"/>
      <c r="S239" s="347">
        <f>SUMIFS(FCPIS!$V$6:$V$899,FCPIS!$B$6:$B$899,$A239,FCPIS!$C$6:$C$899,$B239,FCPIS!$D$6:$D$899,S$4,FCPIS!$E$6:$E$899,$C239)*-1000</f>
        <v>-8680622.4395215735</v>
      </c>
      <c r="T239" s="339"/>
      <c r="U239" s="347">
        <f t="shared" si="61"/>
        <v>14271512.670478422</v>
      </c>
      <c r="V239" s="369"/>
      <c r="W239" s="349">
        <f t="shared" si="62"/>
        <v>0</v>
      </c>
      <c r="X239" s="369"/>
      <c r="Y239" s="349">
        <f t="shared" si="63"/>
        <v>-8680622.4395215735</v>
      </c>
      <c r="Z239" s="369"/>
      <c r="AA239" s="349">
        <f>SUMIFS(FCPIS!$T$6:$T$899,FCPIS!$B$6:$B$899,$A239,FCPIS!$C$6:$C$899,$B239,FCPIS!$D$6:$D$899,AA$4,FCPIS!$E$6:$E$899,$C239)*1000</f>
        <v>22952135.109999999</v>
      </c>
      <c r="AB239" s="349">
        <f t="shared" si="64"/>
        <v>0</v>
      </c>
    </row>
    <row r="240" spans="1:28" x14ac:dyDescent="0.2">
      <c r="A240" s="345" t="s">
        <v>937</v>
      </c>
      <c r="B240" s="345" t="s">
        <v>2657</v>
      </c>
      <c r="C240" s="345" t="str">
        <f t="shared" si="58"/>
        <v>354</v>
      </c>
      <c r="D240" s="339" t="s">
        <v>807</v>
      </c>
      <c r="E240" s="349">
        <f>SUMIFS(FCPIS!$H$6:$H$899,FCPIS!$B$6:$B$899,$A240,FCPIS!$C$6:$C$899,$B240,FCPIS!$D$6:$D$899,E$4,FCPIS!$E$6:$E$899,$C240)*1000</f>
        <v>7181081.2999999998</v>
      </c>
      <c r="F240" s="369"/>
      <c r="G240" s="349">
        <f>SUMIFS(FCPIS!$U$6:$U$899,FCPIS!$B$6:$B$899,$A240,FCPIS!$C$6:$C$899,$B240,FCPIS!$D$6:$D$899,G$4,FCPIS!$E$6:$E$899,$C240)*1000</f>
        <v>0</v>
      </c>
      <c r="H240" s="369"/>
      <c r="I240" s="349">
        <f>SUMIFS(FCPIS!$U$6:$U$899,FCPIS!$B$6:$B$899,$A240,FCPIS!$C$6:$C$899,$B240,FCPIS!$D$6:$D$899,I$4,FCPIS!$E$6:$E$899,$C240)*-1000</f>
        <v>0</v>
      </c>
      <c r="J240" s="369"/>
      <c r="K240" s="349">
        <f>SUMIFS(FCPIS!$U$6:$U$899,FCPIS!$B$6:$B$899,$A240,FCPIS!$C$6:$C$899,$B240,FCPIS!$D$6:$D$899,K$4,FCPIS!$E$6:$E$899,$C240)*1000</f>
        <v>0</v>
      </c>
      <c r="L240" s="369"/>
      <c r="M240" s="349">
        <f t="shared" si="59"/>
        <v>0</v>
      </c>
      <c r="N240" s="369"/>
      <c r="O240" s="349">
        <f t="shared" si="60"/>
        <v>7181081.2999999998</v>
      </c>
      <c r="P240" s="369"/>
      <c r="Q240" s="349">
        <f>SUMIFS(FCPIS!$V$6:$V$899,FCPIS!$B$6:$B$899,$A240,FCPIS!$C$6:$C$899,$B240,FCPIS!$D$6:$D$899,Q$4,FCPIS!$E$6:$E$899,$C240)*1000</f>
        <v>7181081.3000000007</v>
      </c>
      <c r="R240" s="368"/>
      <c r="S240" s="347">
        <f>SUMIFS(FCPIS!$V$6:$V$899,FCPIS!$B$6:$B$899,$A240,FCPIS!$C$6:$C$899,$B240,FCPIS!$D$6:$D$899,S$4,FCPIS!$E$6:$E$899,$C240)*-1000</f>
        <v>-5257056.0686239908</v>
      </c>
      <c r="T240" s="339"/>
      <c r="U240" s="347">
        <f t="shared" si="61"/>
        <v>1924025.23137601</v>
      </c>
      <c r="V240" s="369"/>
      <c r="W240" s="349">
        <f t="shared" si="62"/>
        <v>0</v>
      </c>
      <c r="X240" s="369"/>
      <c r="Y240" s="349">
        <f t="shared" si="63"/>
        <v>-5257056.0686239908</v>
      </c>
      <c r="Z240" s="369"/>
      <c r="AA240" s="349">
        <f>SUMIFS(FCPIS!$T$6:$T$899,FCPIS!$B$6:$B$899,$A240,FCPIS!$C$6:$C$899,$B240,FCPIS!$D$6:$D$899,AA$4,FCPIS!$E$6:$E$899,$C240)*1000</f>
        <v>7181081.2999999998</v>
      </c>
      <c r="AB240" s="349">
        <f t="shared" si="64"/>
        <v>0</v>
      </c>
    </row>
    <row r="241" spans="1:28" x14ac:dyDescent="0.2">
      <c r="A241" s="345" t="s">
        <v>937</v>
      </c>
      <c r="B241" s="345" t="s">
        <v>2657</v>
      </c>
      <c r="C241" s="345" t="str">
        <f t="shared" si="58"/>
        <v>355</v>
      </c>
      <c r="D241" s="339" t="s">
        <v>808</v>
      </c>
      <c r="E241" s="349">
        <f>SUMIFS(FCPIS!$H$6:$H$899,FCPIS!$B$6:$B$899,$A241,FCPIS!$C$6:$C$899,$B241,FCPIS!$D$6:$D$899,E$4,FCPIS!$E$6:$E$899,$C241)*1000</f>
        <v>14553423.960000001</v>
      </c>
      <c r="F241" s="369"/>
      <c r="G241" s="349">
        <f>SUMIFS(FCPIS!$U$6:$U$899,FCPIS!$B$6:$B$899,$A241,FCPIS!$C$6:$C$899,$B241,FCPIS!$D$6:$D$899,G$4,FCPIS!$E$6:$E$899,$C241)*1000</f>
        <v>484452.71</v>
      </c>
      <c r="H241" s="369"/>
      <c r="I241" s="349">
        <f>SUMIFS(FCPIS!$U$6:$U$899,FCPIS!$B$6:$B$899,$A241,FCPIS!$C$6:$C$899,$B241,FCPIS!$D$6:$D$899,I$4,FCPIS!$E$6:$E$899,$C241)*-1000</f>
        <v>0</v>
      </c>
      <c r="J241" s="369"/>
      <c r="K241" s="349">
        <f>SUMIFS(FCPIS!$U$6:$U$899,FCPIS!$B$6:$B$899,$A241,FCPIS!$C$6:$C$899,$B241,FCPIS!$D$6:$D$899,K$4,FCPIS!$E$6:$E$899,$C241)*1000</f>
        <v>0</v>
      </c>
      <c r="L241" s="369"/>
      <c r="M241" s="349">
        <f t="shared" si="59"/>
        <v>484452.71</v>
      </c>
      <c r="N241" s="369"/>
      <c r="O241" s="349">
        <f t="shared" si="60"/>
        <v>15037876.670000002</v>
      </c>
      <c r="P241" s="369"/>
      <c r="Q241" s="349">
        <f>SUMIFS(FCPIS!$V$6:$V$899,FCPIS!$B$6:$B$899,$A241,FCPIS!$C$6:$C$899,$B241,FCPIS!$D$6:$D$899,Q$4,FCPIS!$E$6:$E$899,$C241)*1000</f>
        <v>14963345.48384615</v>
      </c>
      <c r="R241" s="368"/>
      <c r="S241" s="347">
        <f>SUMIFS(FCPIS!$V$6:$V$899,FCPIS!$B$6:$B$899,$A241,FCPIS!$C$6:$C$899,$B241,FCPIS!$D$6:$D$899,S$4,FCPIS!$E$6:$E$899,$C241)*-1000</f>
        <v>-5050279.1186194615</v>
      </c>
      <c r="T241" s="339"/>
      <c r="U241" s="347">
        <f t="shared" si="61"/>
        <v>9913066.3652266897</v>
      </c>
      <c r="V241" s="369"/>
      <c r="W241" s="349">
        <f t="shared" si="62"/>
        <v>33611.702672696672</v>
      </c>
      <c r="X241" s="369"/>
      <c r="Y241" s="349">
        <f t="shared" si="63"/>
        <v>-5016667.4159467649</v>
      </c>
      <c r="Z241" s="369"/>
      <c r="AA241" s="349">
        <f>SUMIFS(FCPIS!$T$6:$T$899,FCPIS!$B$6:$B$899,$A241,FCPIS!$C$6:$C$899,$B241,FCPIS!$D$6:$D$899,AA$4,FCPIS!$E$6:$E$899,$C241)*1000</f>
        <v>15037876.67</v>
      </c>
      <c r="AB241" s="349">
        <f t="shared" si="64"/>
        <v>0</v>
      </c>
    </row>
    <row r="242" spans="1:28" x14ac:dyDescent="0.2">
      <c r="A242" s="345" t="s">
        <v>937</v>
      </c>
      <c r="B242" s="345" t="s">
        <v>2657</v>
      </c>
      <c r="C242" s="345" t="str">
        <f>MID(D242,2,3)</f>
        <v>356</v>
      </c>
      <c r="D242" s="339" t="s">
        <v>809</v>
      </c>
      <c r="E242" s="349">
        <f>SUMIFS(FCPIS!$H$6:$H$899,FCPIS!$B$6:$B$899,$A242,FCPIS!$C$6:$C$899,$B242,FCPIS!$D$6:$D$899,E$4,FCPIS!$E$6:$E$899,$C242)*1000</f>
        <v>18696501.289999999</v>
      </c>
      <c r="F242" s="369"/>
      <c r="G242" s="349">
        <f>SUMIFS(FCPIS!$U$6:$U$899,FCPIS!$B$6:$B$899,$A242,FCPIS!$C$6:$C$899,$B242,FCPIS!$D$6:$D$899,G$4,FCPIS!$E$6:$E$899,$C242)*1000</f>
        <v>0</v>
      </c>
      <c r="H242" s="369"/>
      <c r="I242" s="349">
        <f>SUMIFS(FCPIS!$U$6:$U$899,FCPIS!$B$6:$B$899,$A242,FCPIS!$C$6:$C$899,$B242,FCPIS!$D$6:$D$899,I$4,FCPIS!$E$6:$E$899,$C242)*-1000</f>
        <v>0</v>
      </c>
      <c r="J242" s="369"/>
      <c r="K242" s="349">
        <f>SUMIFS(FCPIS!$U$6:$U$899,FCPIS!$B$6:$B$899,$A242,FCPIS!$C$6:$C$899,$B242,FCPIS!$D$6:$D$899,K$4,FCPIS!$E$6:$E$899,$C242)*1000</f>
        <v>0</v>
      </c>
      <c r="L242" s="369"/>
      <c r="M242" s="349">
        <f t="shared" si="59"/>
        <v>0</v>
      </c>
      <c r="N242" s="369"/>
      <c r="O242" s="349">
        <f t="shared" si="60"/>
        <v>18696501.289999999</v>
      </c>
      <c r="P242" s="369"/>
      <c r="Q242" s="349">
        <f>SUMIFS(FCPIS!$V$6:$V$899,FCPIS!$B$6:$B$899,$A242,FCPIS!$C$6:$C$899,$B242,FCPIS!$D$6:$D$899,Q$4,FCPIS!$E$6:$E$899,$C242)*1000</f>
        <v>18696501.289999992</v>
      </c>
      <c r="R242" s="368"/>
      <c r="S242" s="347">
        <f>SUMIFS(FCPIS!$V$6:$V$899,FCPIS!$B$6:$B$899,$A242,FCPIS!$C$6:$C$899,$B242,FCPIS!$D$6:$D$899,S$4,FCPIS!$E$6:$E$899,$C242)*-1000</f>
        <v>-10925770.612273</v>
      </c>
      <c r="T242" s="339"/>
      <c r="U242" s="347">
        <f t="shared" si="61"/>
        <v>7770730.6777269915</v>
      </c>
      <c r="V242" s="369"/>
      <c r="W242" s="349">
        <f t="shared" si="62"/>
        <v>0</v>
      </c>
      <c r="X242" s="369"/>
      <c r="Y242" s="349">
        <f t="shared" si="63"/>
        <v>-10925770.612273</v>
      </c>
      <c r="Z242" s="369"/>
      <c r="AA242" s="349">
        <f>SUMIFS(FCPIS!$T$6:$T$899,FCPIS!$B$6:$B$899,$A242,FCPIS!$C$6:$C$899,$B242,FCPIS!$D$6:$D$899,AA$4,FCPIS!$E$6:$E$899,$C242)*1000</f>
        <v>18696501.289999999</v>
      </c>
      <c r="AB242" s="349">
        <f t="shared" si="64"/>
        <v>0</v>
      </c>
    </row>
    <row r="243" spans="1:28" x14ac:dyDescent="0.2">
      <c r="A243" s="345" t="s">
        <v>937</v>
      </c>
      <c r="B243" s="345" t="s">
        <v>2657</v>
      </c>
      <c r="C243" s="345" t="str">
        <f>MID(D243,2,3)</f>
        <v>357</v>
      </c>
      <c r="D243" s="339" t="s">
        <v>810</v>
      </c>
      <c r="E243" s="349">
        <f>SUMIFS(FCPIS!$H$6:$H$899,FCPIS!$B$6:$B$899,$A243,FCPIS!$C$6:$C$899,$B243,FCPIS!$D$6:$D$899,E$4,FCPIS!$E$6:$E$899,$C243)*1000</f>
        <v>0</v>
      </c>
      <c r="F243" s="369"/>
      <c r="G243" s="349">
        <f>SUMIFS(FCPIS!$U$6:$U$899,FCPIS!$B$6:$B$899,$A243,FCPIS!$C$6:$C$899,$B243,FCPIS!$D$6:$D$899,G$4,FCPIS!$E$6:$E$899,$C243)*1000</f>
        <v>0</v>
      </c>
      <c r="H243" s="369"/>
      <c r="I243" s="349">
        <f>SUMIFS(FCPIS!$U$6:$U$899,FCPIS!$B$6:$B$899,$A243,FCPIS!$C$6:$C$899,$B243,FCPIS!$D$6:$D$899,I$4,FCPIS!$E$6:$E$899,$C243)*-1000</f>
        <v>0</v>
      </c>
      <c r="J243" s="369"/>
      <c r="K243" s="349">
        <f>SUMIFS(FCPIS!$U$6:$U$899,FCPIS!$B$6:$B$899,$A243,FCPIS!$C$6:$C$899,$B243,FCPIS!$D$6:$D$899,K$4,FCPIS!$E$6:$E$899,$C243)*1000</f>
        <v>0</v>
      </c>
      <c r="L243" s="369"/>
      <c r="M243" s="349">
        <f t="shared" si="59"/>
        <v>0</v>
      </c>
      <c r="N243" s="369"/>
      <c r="O243" s="349">
        <f t="shared" si="60"/>
        <v>0</v>
      </c>
      <c r="P243" s="369"/>
      <c r="Q243" s="349">
        <f>SUMIFS(FCPIS!$V$6:$V$899,FCPIS!$B$6:$B$899,$A243,FCPIS!$C$6:$C$899,$B243,FCPIS!$D$6:$D$899,Q$4,FCPIS!$E$6:$E$899,$C243)*1000</f>
        <v>0</v>
      </c>
      <c r="R243" s="368"/>
      <c r="S243" s="347">
        <f>SUMIFS(FCPIS!$V$6:$V$899,FCPIS!$B$6:$B$899,$A243,FCPIS!$C$6:$C$899,$B243,FCPIS!$D$6:$D$899,S$4,FCPIS!$E$6:$E$899,$C243)*-1000</f>
        <v>0</v>
      </c>
      <c r="T243" s="339"/>
      <c r="U243" s="347">
        <f t="shared" si="61"/>
        <v>0</v>
      </c>
      <c r="V243" s="369"/>
      <c r="W243" s="349">
        <f t="shared" si="62"/>
        <v>0</v>
      </c>
      <c r="X243" s="369"/>
      <c r="Y243" s="349">
        <f t="shared" si="63"/>
        <v>0</v>
      </c>
      <c r="Z243" s="369"/>
      <c r="AA243" s="349">
        <f>SUMIFS(FCPIS!$T$6:$T$899,FCPIS!$B$6:$B$899,$A243,FCPIS!$C$6:$C$899,$B243,FCPIS!$D$6:$D$899,AA$4,FCPIS!$E$6:$E$899,$C243)*1000</f>
        <v>0</v>
      </c>
      <c r="AB243" s="349">
        <f t="shared" si="64"/>
        <v>0</v>
      </c>
    </row>
    <row r="244" spans="1:28" x14ac:dyDescent="0.2">
      <c r="A244" s="345" t="s">
        <v>937</v>
      </c>
      <c r="B244" s="345" t="s">
        <v>2657</v>
      </c>
      <c r="C244" s="345" t="str">
        <f>MID(D244,2,3)</f>
        <v>358</v>
      </c>
      <c r="D244" s="339" t="s">
        <v>1345</v>
      </c>
      <c r="E244" s="353">
        <f>SUMIFS(FCPIS!$H$6:$H$899,FCPIS!$B$6:$B$899,$A244,FCPIS!$C$6:$C$899,$B244,FCPIS!$D$6:$D$899,E$4,FCPIS!$E$6:$E$899,$C244)*1000</f>
        <v>0</v>
      </c>
      <c r="F244" s="369"/>
      <c r="G244" s="353">
        <f>SUMIFS(FCPIS!$U$6:$U$899,FCPIS!$B$6:$B$899,$A244,FCPIS!$C$6:$C$899,$B244,FCPIS!$D$6:$D$899,G$4,FCPIS!$E$6:$E$899,$C244)*1000</f>
        <v>0</v>
      </c>
      <c r="H244" s="369"/>
      <c r="I244" s="353">
        <f>SUMIFS(FCPIS!$U$6:$U$899,FCPIS!$B$6:$B$899,$A244,FCPIS!$C$6:$C$899,$B244,FCPIS!$D$6:$D$899,I$4,FCPIS!$E$6:$E$899,$C244)*-1000</f>
        <v>0</v>
      </c>
      <c r="J244" s="369"/>
      <c r="K244" s="353">
        <f>SUMIFS(FCPIS!$U$6:$U$899,FCPIS!$B$6:$B$899,$A244,FCPIS!$C$6:$C$899,$B244,FCPIS!$D$6:$D$899,K$4,FCPIS!$E$6:$E$899,$C244)*1000</f>
        <v>0</v>
      </c>
      <c r="L244" s="369"/>
      <c r="M244" s="353">
        <f t="shared" si="59"/>
        <v>0</v>
      </c>
      <c r="N244" s="369"/>
      <c r="O244" s="353">
        <f t="shared" si="60"/>
        <v>0</v>
      </c>
      <c r="P244" s="369"/>
      <c r="Q244" s="353">
        <f>SUMIFS(FCPIS!$V$6:$V$899,FCPIS!$B$6:$B$899,$A244,FCPIS!$C$6:$C$899,$B244,FCPIS!$D$6:$D$899,Q$4,FCPIS!$E$6:$E$899,$C244)*1000</f>
        <v>0</v>
      </c>
      <c r="R244" s="368"/>
      <c r="S244" s="354">
        <f>SUMIFS(FCPIS!$V$6:$V$899,FCPIS!$B$6:$B$899,$A244,FCPIS!$C$6:$C$899,$B244,FCPIS!$D$6:$D$899,S$4,FCPIS!$E$6:$E$899,$C244)*-1000</f>
        <v>0</v>
      </c>
      <c r="T244" s="339"/>
      <c r="U244" s="354">
        <f t="shared" si="61"/>
        <v>0</v>
      </c>
      <c r="V244" s="369"/>
      <c r="W244" s="353">
        <f t="shared" si="62"/>
        <v>0</v>
      </c>
      <c r="X244" s="369"/>
      <c r="Y244" s="353">
        <f t="shared" si="63"/>
        <v>0</v>
      </c>
      <c r="Z244" s="369"/>
      <c r="AA244" s="353">
        <f>SUMIFS(FCPIS!$T$6:$T$899,FCPIS!$B$6:$B$899,$A244,FCPIS!$C$6:$C$899,$B244,FCPIS!$D$6:$D$899,AA$4,FCPIS!$E$6:$E$899,$C244)*1000</f>
        <v>0</v>
      </c>
      <c r="AB244" s="353">
        <f t="shared" si="64"/>
        <v>0</v>
      </c>
    </row>
    <row r="245" spans="1:28" x14ac:dyDescent="0.2">
      <c r="B245" s="345" t="s">
        <v>2657</v>
      </c>
      <c r="D245" s="339"/>
      <c r="E245" s="349">
        <f>SUM(E236:E244)</f>
        <v>67391516.640000001</v>
      </c>
      <c r="F245" s="369"/>
      <c r="G245" s="349">
        <f>SUM(G236:G244)</f>
        <v>788902.51</v>
      </c>
      <c r="H245" s="369"/>
      <c r="I245" s="349">
        <f>SUM(I236:I244)</f>
        <v>0</v>
      </c>
      <c r="J245" s="369"/>
      <c r="K245" s="349">
        <f>SUM(K236:K244)</f>
        <v>0</v>
      </c>
      <c r="L245" s="369"/>
      <c r="M245" s="349">
        <f>SUM(M236:M244)</f>
        <v>788902.51</v>
      </c>
      <c r="N245" s="369"/>
      <c r="O245" s="349">
        <f>SUM(O236:O244)</f>
        <v>68180419.150000006</v>
      </c>
      <c r="P245" s="369"/>
      <c r="Q245" s="349">
        <f>SUM(Q236:Q244)</f>
        <v>67918534.240769207</v>
      </c>
      <c r="R245" s="368"/>
      <c r="S245" s="349">
        <f>SUM(S236:S244)</f>
        <v>-32734559.617790025</v>
      </c>
      <c r="T245" s="339"/>
      <c r="U245" s="349">
        <f>SUM(U236:U244)</f>
        <v>35183974.622979194</v>
      </c>
      <c r="V245" s="369"/>
      <c r="W245" s="352">
        <f>SUMIFS('FC CWIP &amp; RWIP'!$R$40:$R$58,'FC CWIP &amp; RWIP'!$A$40:$A$58,"VA",'FC CWIP &amp; RWIP'!$B$40:$B$58,D$235)*1000</f>
        <v>54734.664615384463</v>
      </c>
      <c r="X245" s="369"/>
      <c r="Y245" s="349">
        <f>SUM(Y236:Y244)</f>
        <v>-32679824.953174636</v>
      </c>
      <c r="Z245" s="369">
        <f>SUM(Z236:Z244)</f>
        <v>0</v>
      </c>
      <c r="AA245" s="349">
        <f>SUM(AA236:AA244)</f>
        <v>68180419.150000006</v>
      </c>
      <c r="AB245" s="349">
        <f>SUM(AB236:AB244)</f>
        <v>0</v>
      </c>
    </row>
    <row r="246" spans="1:28" x14ac:dyDescent="0.2">
      <c r="B246" s="345" t="s">
        <v>2657</v>
      </c>
      <c r="D246" s="339"/>
      <c r="E246" s="349"/>
      <c r="F246" s="368"/>
      <c r="G246" s="349"/>
      <c r="H246" s="368"/>
      <c r="I246" s="349"/>
      <c r="J246" s="368"/>
      <c r="K246" s="349"/>
      <c r="L246" s="368"/>
      <c r="M246" s="349"/>
      <c r="N246" s="368"/>
      <c r="O246" s="349"/>
      <c r="P246" s="368"/>
      <c r="Q246" s="349"/>
      <c r="R246" s="368"/>
      <c r="S246" s="339"/>
      <c r="T246" s="339"/>
      <c r="U246" s="339"/>
      <c r="V246" s="368"/>
      <c r="W246" s="349"/>
      <c r="X246" s="368"/>
      <c r="Y246" s="349"/>
      <c r="Z246" s="368"/>
      <c r="AA246" s="349"/>
      <c r="AB246" s="349"/>
    </row>
    <row r="247" spans="1:28" x14ac:dyDescent="0.2">
      <c r="A247" s="736"/>
      <c r="B247" s="345" t="s">
        <v>2657</v>
      </c>
      <c r="C247" s="736"/>
      <c r="D247" s="339"/>
      <c r="E247" s="344"/>
      <c r="F247" s="368"/>
      <c r="G247" s="344"/>
      <c r="H247" s="368"/>
      <c r="I247" s="344"/>
      <c r="J247" s="368"/>
      <c r="K247" s="344"/>
      <c r="L247" s="368"/>
      <c r="M247" s="344"/>
      <c r="N247" s="368"/>
      <c r="O247" s="344"/>
      <c r="P247" s="368"/>
      <c r="Q247" s="344"/>
      <c r="R247" s="368"/>
      <c r="S247" s="339"/>
      <c r="T247" s="339"/>
      <c r="U247" s="339"/>
      <c r="V247" s="368"/>
      <c r="W247" s="344"/>
      <c r="X247" s="368"/>
      <c r="Y247" s="344"/>
      <c r="Z247" s="368"/>
      <c r="AA247" s="344"/>
      <c r="AB247" s="344"/>
    </row>
    <row r="248" spans="1:28" ht="13.5" thickBot="1" x14ac:dyDescent="0.25">
      <c r="A248" s="736"/>
      <c r="B248" s="345" t="s">
        <v>2657</v>
      </c>
      <c r="C248" s="736"/>
      <c r="D248" s="338" t="s">
        <v>815</v>
      </c>
      <c r="E248" s="355">
        <f>SUM(E213,E229,E233,E245)</f>
        <v>169543688.74000001</v>
      </c>
      <c r="F248" s="369"/>
      <c r="G248" s="355">
        <f>SUM(G213,G229,G233,G245)</f>
        <v>8285628.25</v>
      </c>
      <c r="H248" s="369"/>
      <c r="I248" s="355">
        <f>SUM(I213,I229,I233,I245)</f>
        <v>-12996.19999999999</v>
      </c>
      <c r="J248" s="369"/>
      <c r="K248" s="355">
        <f>SUM(K213,K229,K233,K245)</f>
        <v>0</v>
      </c>
      <c r="L248" s="369"/>
      <c r="M248" s="355">
        <f>SUM(M213,M229,M233,M245)</f>
        <v>8272632.0500000007</v>
      </c>
      <c r="N248" s="369"/>
      <c r="O248" s="355">
        <f>SUM(O213,O229,O233,O245)</f>
        <v>177816320.78999999</v>
      </c>
      <c r="P248" s="369"/>
      <c r="Q248" s="355">
        <f>SUM(Q213,Q229,Q233,Q245)</f>
        <v>175224724.14384606</v>
      </c>
      <c r="R248" s="369"/>
      <c r="S248" s="355">
        <f>SUM(S213,S229,S233,S245)</f>
        <v>-76554860.809930801</v>
      </c>
      <c r="T248" s="339"/>
      <c r="U248" s="355">
        <f>SUM(U213,U229,U233,U245)</f>
        <v>98669863.333915263</v>
      </c>
      <c r="V248" s="369"/>
      <c r="W248" s="355">
        <f>SUM(W213,W229,W233,W245)</f>
        <v>56836.695384615123</v>
      </c>
      <c r="X248" s="369"/>
      <c r="Y248" s="355">
        <f>SUM(Y213,Y229,Y233,Y245)</f>
        <v>-76498024.11454618</v>
      </c>
      <c r="Z248" s="369"/>
      <c r="AA248" s="355">
        <f>SUM(AA213,AA229,AA233,AA245)</f>
        <v>177816320.78999987</v>
      </c>
      <c r="AB248" s="355">
        <f>SUM(AB213,AB229,AB233,AB245)</f>
        <v>-1.0710209608078003E-7</v>
      </c>
    </row>
    <row r="249" spans="1:28" ht="13.5" thickTop="1" x14ac:dyDescent="0.2">
      <c r="A249" s="736"/>
      <c r="B249" s="736"/>
      <c r="C249" s="736"/>
      <c r="F249" s="744"/>
      <c r="H249" s="744"/>
      <c r="J249" s="744"/>
      <c r="L249" s="744"/>
      <c r="N249" s="744"/>
      <c r="P249" s="744"/>
      <c r="V249" s="368"/>
      <c r="X249" s="368"/>
      <c r="Z249" s="368"/>
    </row>
    <row r="250" spans="1:28" x14ac:dyDescent="0.2">
      <c r="A250" s="736"/>
      <c r="B250" s="736"/>
      <c r="C250" s="736"/>
      <c r="F250" s="744"/>
      <c r="H250" s="744"/>
      <c r="J250" s="744"/>
      <c r="L250" s="744"/>
      <c r="N250" s="744"/>
      <c r="P250" s="744"/>
      <c r="V250" s="368"/>
      <c r="X250" s="368"/>
      <c r="Z250" s="368"/>
    </row>
    <row r="251" spans="1:28" s="736" customFormat="1" x14ac:dyDescent="0.2">
      <c r="D251" s="743"/>
      <c r="E251" s="737"/>
      <c r="F251" s="745"/>
      <c r="G251" s="737"/>
      <c r="H251" s="745"/>
      <c r="I251" s="737"/>
      <c r="J251" s="745"/>
      <c r="K251" s="737"/>
      <c r="L251" s="745"/>
      <c r="M251" s="737"/>
      <c r="N251" s="745"/>
      <c r="O251" s="737"/>
      <c r="P251" s="745"/>
      <c r="Q251" s="737"/>
      <c r="V251" s="369"/>
      <c r="W251" s="739"/>
      <c r="X251" s="369"/>
      <c r="Y251" s="739"/>
      <c r="Z251" s="369"/>
      <c r="AA251" s="739"/>
      <c r="AB251" s="739"/>
    </row>
    <row r="252" spans="1:28" s="736" customFormat="1" x14ac:dyDescent="0.2">
      <c r="D252" s="743"/>
      <c r="E252" s="737"/>
      <c r="F252" s="745"/>
      <c r="G252" s="737"/>
      <c r="H252" s="745"/>
      <c r="I252" s="737"/>
      <c r="J252" s="745"/>
      <c r="K252" s="737"/>
      <c r="L252" s="745"/>
      <c r="M252" s="737"/>
      <c r="N252" s="745"/>
      <c r="O252" s="737"/>
      <c r="P252" s="745"/>
      <c r="Q252" s="737"/>
      <c r="V252" s="369"/>
      <c r="W252" s="739"/>
      <c r="X252" s="369"/>
      <c r="Y252" s="739"/>
      <c r="Z252" s="369"/>
      <c r="AA252" s="739"/>
      <c r="AB252" s="739"/>
    </row>
    <row r="253" spans="1:28" s="736" customFormat="1" x14ac:dyDescent="0.2">
      <c r="E253" s="737"/>
      <c r="F253" s="745"/>
      <c r="G253" s="737"/>
      <c r="H253" s="745"/>
      <c r="I253" s="737"/>
      <c r="J253" s="745"/>
      <c r="K253" s="737"/>
      <c r="L253" s="745"/>
      <c r="M253" s="737"/>
      <c r="N253" s="745"/>
      <c r="O253" s="737"/>
      <c r="P253" s="745"/>
      <c r="Q253" s="737"/>
      <c r="V253" s="369"/>
      <c r="W253" s="739"/>
      <c r="X253" s="369"/>
      <c r="Y253" s="739"/>
      <c r="Z253" s="369"/>
      <c r="AA253" s="739"/>
      <c r="AB253" s="739"/>
    </row>
    <row r="254" spans="1:28" s="736" customFormat="1" x14ac:dyDescent="0.2">
      <c r="E254" s="737"/>
      <c r="F254" s="745"/>
      <c r="G254" s="737"/>
      <c r="H254" s="745"/>
      <c r="I254" s="737"/>
      <c r="J254" s="745"/>
      <c r="K254" s="737"/>
      <c r="L254" s="745"/>
      <c r="M254" s="737"/>
      <c r="N254" s="745"/>
      <c r="O254" s="737"/>
      <c r="P254" s="745"/>
      <c r="Q254" s="737"/>
      <c r="V254" s="369"/>
      <c r="W254" s="739"/>
      <c r="X254" s="369"/>
      <c r="Y254" s="739"/>
      <c r="Z254" s="369"/>
      <c r="AA254" s="739"/>
      <c r="AB254" s="739"/>
    </row>
    <row r="255" spans="1:28" s="736" customFormat="1" x14ac:dyDescent="0.2">
      <c r="E255" s="737"/>
      <c r="F255" s="745"/>
      <c r="G255" s="737"/>
      <c r="H255" s="745"/>
      <c r="I255" s="737"/>
      <c r="J255" s="745"/>
      <c r="K255" s="737"/>
      <c r="L255" s="745"/>
      <c r="M255" s="737"/>
      <c r="N255" s="745"/>
      <c r="O255" s="737"/>
      <c r="P255" s="745"/>
      <c r="Q255" s="737"/>
      <c r="V255" s="369"/>
      <c r="W255" s="739"/>
      <c r="X255" s="369"/>
      <c r="Y255" s="739"/>
      <c r="Z255" s="369"/>
      <c r="AA255" s="739"/>
      <c r="AB255" s="739"/>
    </row>
    <row r="256" spans="1:28" s="736" customFormat="1" x14ac:dyDescent="0.2">
      <c r="E256" s="737"/>
      <c r="F256" s="745"/>
      <c r="G256" s="737"/>
      <c r="H256" s="745"/>
      <c r="I256" s="737"/>
      <c r="J256" s="745"/>
      <c r="K256" s="737"/>
      <c r="L256" s="745"/>
      <c r="M256" s="737"/>
      <c r="N256" s="745"/>
      <c r="O256" s="737"/>
      <c r="P256" s="745"/>
      <c r="Q256" s="737"/>
      <c r="V256" s="369"/>
      <c r="W256" s="739"/>
      <c r="X256" s="369"/>
      <c r="Y256" s="739"/>
      <c r="Z256" s="369"/>
      <c r="AA256" s="739"/>
      <c r="AB256" s="739"/>
    </row>
    <row r="257" spans="4:28" s="736" customFormat="1" x14ac:dyDescent="0.2">
      <c r="E257" s="737"/>
      <c r="F257" s="745"/>
      <c r="G257" s="737"/>
      <c r="H257" s="745"/>
      <c r="I257" s="737"/>
      <c r="J257" s="745"/>
      <c r="K257" s="737"/>
      <c r="L257" s="745"/>
      <c r="M257" s="737"/>
      <c r="N257" s="745"/>
      <c r="O257" s="737"/>
      <c r="P257" s="745"/>
      <c r="Q257" s="737"/>
      <c r="V257" s="369"/>
      <c r="W257" s="739"/>
      <c r="X257" s="369"/>
      <c r="Y257" s="739"/>
      <c r="Z257" s="369"/>
      <c r="AA257" s="739"/>
      <c r="AB257" s="739"/>
    </row>
    <row r="258" spans="4:28" s="736" customFormat="1" x14ac:dyDescent="0.2">
      <c r="E258" s="737"/>
      <c r="F258" s="745"/>
      <c r="G258" s="737"/>
      <c r="H258" s="745"/>
      <c r="I258" s="737"/>
      <c r="J258" s="745"/>
      <c r="K258" s="737"/>
      <c r="L258" s="745"/>
      <c r="M258" s="737"/>
      <c r="N258" s="745"/>
      <c r="O258" s="737"/>
      <c r="P258" s="745"/>
      <c r="Q258" s="737"/>
      <c r="V258" s="369"/>
      <c r="W258" s="739"/>
      <c r="X258" s="369"/>
      <c r="Y258" s="739"/>
      <c r="Z258" s="369"/>
      <c r="AA258" s="739"/>
      <c r="AB258" s="739"/>
    </row>
    <row r="259" spans="4:28" s="736" customFormat="1" x14ac:dyDescent="0.2">
      <c r="E259" s="737"/>
      <c r="F259" s="745"/>
      <c r="G259" s="737"/>
      <c r="H259" s="745"/>
      <c r="I259" s="737"/>
      <c r="J259" s="745"/>
      <c r="K259" s="737"/>
      <c r="L259" s="745"/>
      <c r="M259" s="737"/>
      <c r="N259" s="745"/>
      <c r="O259" s="737"/>
      <c r="P259" s="745"/>
      <c r="Q259" s="737"/>
      <c r="V259" s="369"/>
      <c r="W259" s="739"/>
      <c r="X259" s="369"/>
      <c r="Y259" s="739"/>
      <c r="Z259" s="369"/>
      <c r="AA259" s="739"/>
      <c r="AB259" s="739"/>
    </row>
    <row r="260" spans="4:28" s="736" customFormat="1" x14ac:dyDescent="0.2">
      <c r="E260" s="737"/>
      <c r="F260" s="745"/>
      <c r="G260" s="737"/>
      <c r="H260" s="745"/>
      <c r="I260" s="737"/>
      <c r="J260" s="745"/>
      <c r="K260" s="737"/>
      <c r="L260" s="745"/>
      <c r="M260" s="737"/>
      <c r="N260" s="745"/>
      <c r="O260" s="737"/>
      <c r="P260" s="745"/>
      <c r="Q260" s="737"/>
      <c r="V260" s="369"/>
      <c r="W260" s="739"/>
      <c r="X260" s="369"/>
      <c r="Y260" s="739"/>
      <c r="Z260" s="369"/>
      <c r="AA260" s="739"/>
      <c r="AB260" s="739"/>
    </row>
    <row r="261" spans="4:28" s="736" customFormat="1" x14ac:dyDescent="0.2">
      <c r="E261" s="737"/>
      <c r="F261" s="745"/>
      <c r="G261" s="737"/>
      <c r="H261" s="745"/>
      <c r="I261" s="737"/>
      <c r="J261" s="745"/>
      <c r="K261" s="737"/>
      <c r="L261" s="745"/>
      <c r="M261" s="737"/>
      <c r="N261" s="745"/>
      <c r="O261" s="737"/>
      <c r="P261" s="745"/>
      <c r="Q261" s="737"/>
      <c r="V261" s="369"/>
      <c r="W261" s="739"/>
      <c r="X261" s="369"/>
      <c r="Y261" s="739"/>
      <c r="Z261" s="369"/>
      <c r="AA261" s="739"/>
      <c r="AB261" s="739"/>
    </row>
    <row r="262" spans="4:28" s="736" customFormat="1" x14ac:dyDescent="0.2">
      <c r="E262" s="737"/>
      <c r="F262" s="745"/>
      <c r="G262" s="737"/>
      <c r="H262" s="745"/>
      <c r="I262" s="737"/>
      <c r="J262" s="745"/>
      <c r="K262" s="737"/>
      <c r="L262" s="745"/>
      <c r="M262" s="737"/>
      <c r="N262" s="745"/>
      <c r="O262" s="737"/>
      <c r="P262" s="745"/>
      <c r="Q262" s="737"/>
      <c r="V262" s="369"/>
      <c r="W262" s="739"/>
      <c r="X262" s="369"/>
      <c r="Y262" s="739"/>
      <c r="Z262" s="369"/>
      <c r="AA262" s="739"/>
      <c r="AB262" s="739"/>
    </row>
    <row r="263" spans="4:28" s="736" customFormat="1" x14ac:dyDescent="0.2">
      <c r="E263" s="737"/>
      <c r="F263" s="745"/>
      <c r="G263" s="737"/>
      <c r="H263" s="745"/>
      <c r="I263" s="737"/>
      <c r="J263" s="745"/>
      <c r="K263" s="737"/>
      <c r="L263" s="745"/>
      <c r="M263" s="737"/>
      <c r="N263" s="745"/>
      <c r="O263" s="737"/>
      <c r="P263" s="745"/>
      <c r="Q263" s="737"/>
      <c r="V263" s="369"/>
      <c r="W263" s="739"/>
      <c r="X263" s="369"/>
      <c r="Y263" s="739"/>
      <c r="Z263" s="369"/>
      <c r="AA263" s="739"/>
      <c r="AB263" s="739"/>
    </row>
    <row r="264" spans="4:28" s="736" customFormat="1" x14ac:dyDescent="0.2">
      <c r="D264" s="743"/>
      <c r="E264" s="737"/>
      <c r="F264" s="745"/>
      <c r="G264" s="737"/>
      <c r="H264" s="745"/>
      <c r="I264" s="737"/>
      <c r="J264" s="745"/>
      <c r="K264" s="737"/>
      <c r="L264" s="745"/>
      <c r="M264" s="737"/>
      <c r="N264" s="745"/>
      <c r="O264" s="737"/>
      <c r="P264" s="745"/>
      <c r="Q264" s="737"/>
      <c r="V264" s="369"/>
      <c r="W264" s="739"/>
      <c r="X264" s="369"/>
      <c r="Y264" s="739"/>
      <c r="Z264" s="369"/>
      <c r="AA264" s="739"/>
      <c r="AB264" s="739"/>
    </row>
    <row r="265" spans="4:28" s="736" customFormat="1" x14ac:dyDescent="0.2">
      <c r="E265" s="737"/>
      <c r="F265" s="745"/>
      <c r="G265" s="737"/>
      <c r="H265" s="745"/>
      <c r="I265" s="737"/>
      <c r="J265" s="745"/>
      <c r="K265" s="737"/>
      <c r="L265" s="745"/>
      <c r="M265" s="737"/>
      <c r="N265" s="745"/>
      <c r="O265" s="737"/>
      <c r="P265" s="745"/>
      <c r="Q265" s="737"/>
      <c r="V265" s="369"/>
      <c r="W265" s="739"/>
      <c r="X265" s="369"/>
      <c r="Y265" s="739"/>
      <c r="Z265" s="369"/>
      <c r="AA265" s="739"/>
      <c r="AB265" s="739"/>
    </row>
    <row r="266" spans="4:28" s="736" customFormat="1" x14ac:dyDescent="0.2">
      <c r="E266" s="737"/>
      <c r="F266" s="745"/>
      <c r="G266" s="737"/>
      <c r="H266" s="745"/>
      <c r="I266" s="737"/>
      <c r="J266" s="745"/>
      <c r="K266" s="737"/>
      <c r="L266" s="745"/>
      <c r="M266" s="737"/>
      <c r="N266" s="745"/>
      <c r="O266" s="737"/>
      <c r="P266" s="745"/>
      <c r="Q266" s="737"/>
      <c r="V266" s="369"/>
      <c r="W266" s="739"/>
      <c r="X266" s="369"/>
      <c r="Y266" s="739"/>
      <c r="Z266" s="369"/>
      <c r="AA266" s="739"/>
      <c r="AB266" s="739"/>
    </row>
    <row r="267" spans="4:28" s="736" customFormat="1" x14ac:dyDescent="0.2">
      <c r="E267" s="737"/>
      <c r="F267" s="745"/>
      <c r="G267" s="737"/>
      <c r="H267" s="745"/>
      <c r="I267" s="737"/>
      <c r="J267" s="745"/>
      <c r="K267" s="737"/>
      <c r="L267" s="745"/>
      <c r="M267" s="737"/>
      <c r="N267" s="745"/>
      <c r="O267" s="737"/>
      <c r="P267" s="745"/>
      <c r="Q267" s="737"/>
      <c r="V267" s="369"/>
      <c r="W267" s="739"/>
      <c r="X267" s="369"/>
      <c r="Y267" s="739"/>
      <c r="Z267" s="369"/>
      <c r="AA267" s="739"/>
      <c r="AB267" s="739"/>
    </row>
    <row r="268" spans="4:28" s="736" customFormat="1" x14ac:dyDescent="0.2">
      <c r="D268" s="743"/>
      <c r="E268" s="737"/>
      <c r="F268" s="745"/>
      <c r="G268" s="737"/>
      <c r="H268" s="745"/>
      <c r="I268" s="737"/>
      <c r="J268" s="745"/>
      <c r="K268" s="737"/>
      <c r="L268" s="745"/>
      <c r="M268" s="737"/>
      <c r="N268" s="745"/>
      <c r="O268" s="737"/>
      <c r="P268" s="745"/>
      <c r="Q268" s="737"/>
      <c r="V268" s="369"/>
      <c r="W268" s="739"/>
      <c r="X268" s="369"/>
      <c r="Y268" s="739"/>
      <c r="Z268" s="369"/>
      <c r="AA268" s="739"/>
      <c r="AB268" s="739"/>
    </row>
    <row r="269" spans="4:28" s="736" customFormat="1" x14ac:dyDescent="0.2">
      <c r="E269" s="737"/>
      <c r="F269" s="745"/>
      <c r="G269" s="737"/>
      <c r="H269" s="745"/>
      <c r="I269" s="737"/>
      <c r="J269" s="745"/>
      <c r="K269" s="737"/>
      <c r="L269" s="745"/>
      <c r="M269" s="737"/>
      <c r="N269" s="745"/>
      <c r="O269" s="737"/>
      <c r="P269" s="745"/>
      <c r="Q269" s="737"/>
      <c r="V269" s="369"/>
      <c r="W269" s="739"/>
      <c r="X269" s="369"/>
      <c r="Y269" s="739"/>
      <c r="Z269" s="369"/>
      <c r="AA269" s="739"/>
      <c r="AB269" s="739"/>
    </row>
    <row r="270" spans="4:28" s="736" customFormat="1" x14ac:dyDescent="0.2">
      <c r="E270" s="737"/>
      <c r="F270" s="745"/>
      <c r="G270" s="737"/>
      <c r="H270" s="745"/>
      <c r="I270" s="737"/>
      <c r="J270" s="745"/>
      <c r="K270" s="737"/>
      <c r="L270" s="745"/>
      <c r="M270" s="737"/>
      <c r="N270" s="745"/>
      <c r="O270" s="737"/>
      <c r="P270" s="745"/>
      <c r="Q270" s="737"/>
      <c r="V270" s="369"/>
      <c r="W270" s="739"/>
      <c r="X270" s="369"/>
      <c r="Y270" s="739"/>
      <c r="Z270" s="369"/>
      <c r="AA270" s="739"/>
      <c r="AB270" s="739"/>
    </row>
    <row r="271" spans="4:28" s="736" customFormat="1" x14ac:dyDescent="0.2">
      <c r="E271" s="737"/>
      <c r="F271" s="745"/>
      <c r="G271" s="737"/>
      <c r="H271" s="745"/>
      <c r="I271" s="737"/>
      <c r="J271" s="745"/>
      <c r="K271" s="737"/>
      <c r="L271" s="745"/>
      <c r="M271" s="737"/>
      <c r="N271" s="745"/>
      <c r="O271" s="737"/>
      <c r="P271" s="745"/>
      <c r="Q271" s="737"/>
      <c r="V271" s="369"/>
      <c r="W271" s="739"/>
      <c r="X271" s="369"/>
      <c r="Y271" s="739"/>
      <c r="Z271" s="369"/>
      <c r="AA271" s="739"/>
      <c r="AB271" s="739"/>
    </row>
    <row r="272" spans="4:28" s="736" customFormat="1" x14ac:dyDescent="0.2">
      <c r="E272" s="737"/>
      <c r="F272" s="745"/>
      <c r="G272" s="737"/>
      <c r="H272" s="745"/>
      <c r="I272" s="737"/>
      <c r="J272" s="745"/>
      <c r="K272" s="737"/>
      <c r="L272" s="745"/>
      <c r="M272" s="737"/>
      <c r="N272" s="745"/>
      <c r="O272" s="737"/>
      <c r="P272" s="745"/>
      <c r="Q272" s="737"/>
      <c r="V272" s="369"/>
      <c r="W272" s="739"/>
      <c r="X272" s="369"/>
      <c r="Y272" s="739"/>
      <c r="Z272" s="369"/>
      <c r="AA272" s="739"/>
      <c r="AB272" s="739"/>
    </row>
    <row r="273" spans="1:28" s="736" customFormat="1" x14ac:dyDescent="0.2">
      <c r="E273" s="737"/>
      <c r="F273" s="745"/>
      <c r="G273" s="737"/>
      <c r="H273" s="745"/>
      <c r="I273" s="737"/>
      <c r="J273" s="745"/>
      <c r="K273" s="737"/>
      <c r="L273" s="745"/>
      <c r="M273" s="737"/>
      <c r="N273" s="745"/>
      <c r="O273" s="737"/>
      <c r="P273" s="745"/>
      <c r="Q273" s="737"/>
      <c r="V273" s="369"/>
      <c r="W273" s="739"/>
      <c r="X273" s="369"/>
      <c r="Y273" s="739"/>
      <c r="Z273" s="369"/>
      <c r="AA273" s="739"/>
      <c r="AB273" s="739"/>
    </row>
    <row r="274" spans="1:28" s="736" customFormat="1" x14ac:dyDescent="0.2">
      <c r="E274" s="737"/>
      <c r="F274" s="745"/>
      <c r="G274" s="737"/>
      <c r="H274" s="745"/>
      <c r="I274" s="737"/>
      <c r="J274" s="745"/>
      <c r="K274" s="737"/>
      <c r="L274" s="745"/>
      <c r="M274" s="737"/>
      <c r="N274" s="745"/>
      <c r="O274" s="737"/>
      <c r="P274" s="745"/>
      <c r="Q274" s="737"/>
      <c r="V274" s="369"/>
      <c r="W274" s="739"/>
      <c r="X274" s="369"/>
      <c r="Y274" s="739"/>
      <c r="Z274" s="369"/>
      <c r="AA274" s="739"/>
      <c r="AB274" s="739"/>
    </row>
    <row r="275" spans="1:28" s="736" customFormat="1" x14ac:dyDescent="0.2">
      <c r="A275" s="345"/>
      <c r="B275" s="345"/>
      <c r="C275" s="345"/>
      <c r="D275" s="743"/>
      <c r="E275" s="737"/>
      <c r="F275" s="745"/>
      <c r="G275" s="737"/>
      <c r="H275" s="745"/>
      <c r="I275" s="737"/>
      <c r="J275" s="745"/>
      <c r="K275" s="737"/>
      <c r="L275" s="745"/>
      <c r="M275" s="737"/>
      <c r="N275" s="745"/>
      <c r="O275" s="737"/>
      <c r="P275" s="745"/>
      <c r="Q275" s="737"/>
      <c r="V275" s="369"/>
      <c r="W275" s="739"/>
      <c r="X275" s="369"/>
      <c r="Y275" s="739"/>
      <c r="Z275" s="369"/>
      <c r="AA275" s="739"/>
      <c r="AB275" s="739"/>
    </row>
    <row r="276" spans="1:28" s="736" customFormat="1" x14ac:dyDescent="0.2">
      <c r="A276" s="345"/>
      <c r="B276" s="345"/>
      <c r="C276" s="345"/>
      <c r="D276" s="743"/>
      <c r="E276" s="737"/>
      <c r="F276" s="745"/>
      <c r="G276" s="737"/>
      <c r="H276" s="745"/>
      <c r="I276" s="737"/>
      <c r="J276" s="745"/>
      <c r="K276" s="737"/>
      <c r="L276" s="745"/>
      <c r="M276" s="737"/>
      <c r="N276" s="745"/>
      <c r="O276" s="737"/>
      <c r="P276" s="745"/>
      <c r="Q276" s="737"/>
      <c r="V276" s="369"/>
      <c r="W276" s="739"/>
      <c r="X276" s="369"/>
      <c r="Y276" s="739"/>
      <c r="Z276" s="369"/>
      <c r="AA276" s="739"/>
      <c r="AB276" s="739"/>
    </row>
    <row r="277" spans="1:28" s="736" customFormat="1" x14ac:dyDescent="0.2">
      <c r="A277" s="345"/>
      <c r="B277" s="345"/>
      <c r="C277" s="345"/>
      <c r="E277" s="737"/>
      <c r="F277" s="745"/>
      <c r="G277" s="737"/>
      <c r="H277" s="745"/>
      <c r="I277" s="737"/>
      <c r="J277" s="745"/>
      <c r="K277" s="737"/>
      <c r="L277" s="745"/>
      <c r="M277" s="737"/>
      <c r="N277" s="745"/>
      <c r="O277" s="737"/>
      <c r="P277" s="745"/>
      <c r="Q277" s="737"/>
      <c r="V277" s="369"/>
      <c r="W277" s="739"/>
      <c r="X277" s="369"/>
      <c r="Y277" s="739"/>
      <c r="Z277" s="369"/>
      <c r="AA277" s="739"/>
      <c r="AB277" s="739"/>
    </row>
    <row r="278" spans="1:28" s="736" customFormat="1" x14ac:dyDescent="0.2">
      <c r="A278" s="345"/>
      <c r="B278" s="345"/>
      <c r="C278" s="345"/>
      <c r="D278" s="743"/>
      <c r="E278" s="737"/>
      <c r="F278" s="745"/>
      <c r="G278" s="737"/>
      <c r="H278" s="745"/>
      <c r="I278" s="737"/>
      <c r="J278" s="745"/>
      <c r="K278" s="737"/>
      <c r="L278" s="745"/>
      <c r="M278" s="737"/>
      <c r="N278" s="745"/>
      <c r="O278" s="737"/>
      <c r="P278" s="745"/>
      <c r="Q278" s="737"/>
      <c r="V278" s="369"/>
      <c r="W278" s="739"/>
      <c r="X278" s="369"/>
      <c r="Y278" s="739"/>
      <c r="Z278" s="369"/>
      <c r="AA278" s="739"/>
      <c r="AB278" s="739"/>
    </row>
    <row r="281" spans="1:28" x14ac:dyDescent="0.2">
      <c r="D281" s="561" t="s">
        <v>716</v>
      </c>
      <c r="E281" s="561"/>
      <c r="F281" s="561"/>
      <c r="G281" s="561"/>
      <c r="H281" s="561"/>
      <c r="I281" s="561"/>
      <c r="J281" s="561"/>
      <c r="K281" s="561"/>
      <c r="L281" s="561"/>
      <c r="M281" s="561"/>
      <c r="N281" s="561"/>
      <c r="O281" s="561"/>
      <c r="P281" s="561"/>
      <c r="Q281" s="561"/>
      <c r="R281" s="561"/>
      <c r="S281" s="561"/>
      <c r="T281" s="561"/>
      <c r="U281" s="561"/>
      <c r="V281" s="558"/>
      <c r="W281" s="558"/>
      <c r="X281" s="558"/>
      <c r="Y281" s="558"/>
      <c r="Z281" s="558"/>
      <c r="AA281" s="558"/>
      <c r="AB281" s="558"/>
    </row>
    <row r="282" spans="1:28" x14ac:dyDescent="0.2">
      <c r="D282" s="561" t="s">
        <v>1376</v>
      </c>
      <c r="E282" s="561"/>
      <c r="F282" s="561"/>
      <c r="G282" s="561"/>
      <c r="H282" s="561"/>
      <c r="I282" s="561"/>
      <c r="J282" s="561"/>
      <c r="K282" s="561"/>
      <c r="L282" s="561"/>
      <c r="M282" s="561"/>
      <c r="N282" s="561"/>
      <c r="O282" s="561"/>
      <c r="P282" s="561"/>
      <c r="Q282" s="561"/>
      <c r="R282" s="561"/>
      <c r="S282" s="561"/>
      <c r="T282" s="561"/>
      <c r="U282" s="561"/>
      <c r="V282" s="558"/>
      <c r="W282" s="558"/>
      <c r="X282" s="558"/>
      <c r="Y282" s="558"/>
      <c r="Z282" s="558"/>
      <c r="AA282" s="558"/>
      <c r="AB282" s="558"/>
    </row>
    <row r="283" spans="1:28" x14ac:dyDescent="0.2">
      <c r="D283" s="562" t="str">
        <f>D$3</f>
        <v>FORECAST PERIOD: APRIL 2020</v>
      </c>
      <c r="E283" s="563"/>
      <c r="F283" s="563"/>
      <c r="G283" s="563"/>
      <c r="H283" s="563"/>
      <c r="I283" s="563"/>
      <c r="J283" s="563"/>
      <c r="K283" s="563"/>
      <c r="L283" s="563"/>
      <c r="M283" s="563"/>
      <c r="N283" s="563"/>
      <c r="O283" s="563"/>
      <c r="P283" s="563"/>
      <c r="Q283" s="563"/>
      <c r="R283" s="563"/>
      <c r="S283" s="563"/>
      <c r="T283" s="563"/>
      <c r="U283" s="563"/>
      <c r="V283" s="560"/>
      <c r="W283" s="560"/>
      <c r="X283" s="560"/>
      <c r="Y283" s="560"/>
      <c r="Z283" s="560"/>
      <c r="AA283" s="560"/>
      <c r="AB283" s="560"/>
    </row>
    <row r="284" spans="1:28" x14ac:dyDescent="0.2">
      <c r="D284" s="723"/>
      <c r="E284" s="746"/>
      <c r="F284" s="723"/>
      <c r="G284" s="746"/>
      <c r="H284" s="723"/>
      <c r="I284" s="746"/>
      <c r="J284" s="723"/>
      <c r="K284" s="746"/>
      <c r="L284" s="723"/>
      <c r="M284" s="746"/>
      <c r="N284" s="723"/>
      <c r="O284" s="746"/>
      <c r="P284" s="723"/>
      <c r="Q284" s="746"/>
      <c r="R284" s="339"/>
      <c r="S284" s="339"/>
      <c r="T284" s="339"/>
      <c r="U284" s="339"/>
      <c r="V284" s="723"/>
      <c r="W284" s="746"/>
      <c r="X284" s="723"/>
      <c r="Y284" s="746"/>
      <c r="Z284" s="723"/>
      <c r="AA284" s="746"/>
      <c r="AB284" s="746"/>
    </row>
    <row r="285" spans="1:28" x14ac:dyDescent="0.2">
      <c r="D285" s="723"/>
      <c r="E285" s="746"/>
      <c r="F285" s="723"/>
      <c r="G285" s="746"/>
      <c r="H285" s="723"/>
      <c r="I285" s="746"/>
      <c r="J285" s="723"/>
      <c r="K285" s="746"/>
      <c r="L285" s="723"/>
      <c r="M285" s="746"/>
      <c r="N285" s="723"/>
      <c r="O285" s="746"/>
      <c r="P285" s="723"/>
      <c r="Q285" s="746"/>
      <c r="R285" s="339"/>
      <c r="S285" s="339"/>
      <c r="T285" s="339"/>
      <c r="U285" s="339"/>
      <c r="V285" s="723"/>
      <c r="W285" s="723"/>
      <c r="X285" s="723"/>
      <c r="Y285" s="723"/>
      <c r="Z285" s="723"/>
      <c r="AA285" s="560" t="s">
        <v>2305</v>
      </c>
      <c r="AB285" s="560"/>
    </row>
    <row r="286" spans="1:28" ht="15" x14ac:dyDescent="0.25">
      <c r="D286" s="339"/>
      <c r="E286" s="747" t="str">
        <f>E5</f>
        <v>May 1 2019</v>
      </c>
      <c r="F286" s="339"/>
      <c r="G286" s="344"/>
      <c r="H286" s="339"/>
      <c r="I286" s="344"/>
      <c r="J286" s="339"/>
      <c r="K286" s="344"/>
      <c r="L286" s="339"/>
      <c r="M286" s="344"/>
      <c r="N286" s="339"/>
      <c r="O286" s="747" t="str">
        <f>O5</f>
        <v>Apr 30 2020</v>
      </c>
      <c r="P286" s="339"/>
      <c r="Q286" s="747" t="str">
        <f>Q5</f>
        <v>13 Month Average</v>
      </c>
      <c r="R286" s="339"/>
      <c r="S286" s="338"/>
      <c r="T286" s="338"/>
      <c r="U286" s="734" t="s">
        <v>103</v>
      </c>
      <c r="V286" s="560"/>
      <c r="W286" s="734" t="s">
        <v>103</v>
      </c>
      <c r="X286" s="560"/>
      <c r="Y286" s="734" t="s">
        <v>103</v>
      </c>
      <c r="Z286" s="723"/>
      <c r="AA286" s="747" t="str">
        <f>AA5</f>
        <v>Apr 30 2020</v>
      </c>
      <c r="AB286" s="733"/>
    </row>
    <row r="287" spans="1:28" ht="15" x14ac:dyDescent="0.25">
      <c r="D287" s="339"/>
      <c r="E287" s="340" t="s">
        <v>717</v>
      </c>
      <c r="F287" s="339"/>
      <c r="G287" s="344"/>
      <c r="H287" s="339"/>
      <c r="I287" s="344"/>
      <c r="J287" s="339"/>
      <c r="K287" s="340" t="s">
        <v>718</v>
      </c>
      <c r="L287" s="339"/>
      <c r="M287" s="344"/>
      <c r="N287" s="339"/>
      <c r="O287" s="340" t="s">
        <v>719</v>
      </c>
      <c r="P287" s="339"/>
      <c r="Q287" s="340" t="s">
        <v>719</v>
      </c>
      <c r="R287" s="339"/>
      <c r="S287" s="734" t="s">
        <v>103</v>
      </c>
      <c r="T287" s="339"/>
      <c r="U287" s="568" t="s">
        <v>1341</v>
      </c>
      <c r="V287" s="339"/>
      <c r="W287" s="568" t="s">
        <v>1235</v>
      </c>
      <c r="X287" s="339"/>
      <c r="Y287" s="568" t="s">
        <v>1342</v>
      </c>
      <c r="Z287" s="339"/>
      <c r="AA287" s="340" t="s">
        <v>719</v>
      </c>
      <c r="AB287" s="340"/>
    </row>
    <row r="288" spans="1:28" x14ac:dyDescent="0.2">
      <c r="D288" s="339"/>
      <c r="E288" s="341" t="s">
        <v>720</v>
      </c>
      <c r="F288" s="339"/>
      <c r="G288" s="341" t="s">
        <v>721</v>
      </c>
      <c r="H288" s="339"/>
      <c r="I288" s="341" t="s">
        <v>722</v>
      </c>
      <c r="J288" s="339"/>
      <c r="K288" s="341" t="s">
        <v>723</v>
      </c>
      <c r="L288" s="339"/>
      <c r="M288" s="341" t="s">
        <v>724</v>
      </c>
      <c r="N288" s="339"/>
      <c r="O288" s="341" t="s">
        <v>720</v>
      </c>
      <c r="P288" s="339"/>
      <c r="Q288" s="341" t="s">
        <v>720</v>
      </c>
      <c r="R288" s="339"/>
      <c r="S288" s="341" t="s">
        <v>1342</v>
      </c>
      <c r="T288" s="339"/>
      <c r="U288" s="341" t="s">
        <v>1343</v>
      </c>
      <c r="V288" s="339"/>
      <c r="W288" s="341" t="s">
        <v>880</v>
      </c>
      <c r="X288" s="339"/>
      <c r="Y288" s="341" t="s">
        <v>2306</v>
      </c>
      <c r="Z288" s="339"/>
      <c r="AA288" s="341" t="s">
        <v>720</v>
      </c>
      <c r="AB288" s="341" t="s">
        <v>1592</v>
      </c>
    </row>
    <row r="289" spans="1:28" x14ac:dyDescent="0.2">
      <c r="D289" s="338" t="s">
        <v>1337</v>
      </c>
      <c r="E289" s="342"/>
      <c r="F289" s="339"/>
      <c r="G289" s="342"/>
      <c r="H289" s="339"/>
      <c r="I289" s="342"/>
      <c r="J289" s="339"/>
      <c r="K289" s="342"/>
      <c r="L289" s="339"/>
      <c r="M289" s="342"/>
      <c r="N289" s="339"/>
      <c r="O289" s="342"/>
      <c r="P289" s="339"/>
      <c r="Q289" s="342"/>
      <c r="R289" s="339"/>
      <c r="S289" s="339"/>
      <c r="T289" s="339"/>
      <c r="U289" s="339"/>
      <c r="V289" s="339"/>
      <c r="W289" s="342"/>
      <c r="X289" s="339"/>
      <c r="Y289" s="342"/>
      <c r="Z289" s="339"/>
      <c r="AA289" s="342"/>
      <c r="AB289" s="342"/>
    </row>
    <row r="290" spans="1:28" x14ac:dyDescent="0.2">
      <c r="D290" s="338" t="s">
        <v>1338</v>
      </c>
      <c r="E290" s="344"/>
      <c r="F290" s="339"/>
      <c r="G290" s="344"/>
      <c r="H290" s="339"/>
      <c r="I290" s="344"/>
      <c r="J290" s="339"/>
      <c r="K290" s="344"/>
      <c r="L290" s="339"/>
      <c r="M290" s="344"/>
      <c r="N290" s="339"/>
      <c r="O290" s="344"/>
      <c r="P290" s="339"/>
      <c r="Q290" s="344"/>
      <c r="R290" s="339"/>
      <c r="S290" s="339"/>
      <c r="T290" s="339"/>
      <c r="U290" s="339"/>
      <c r="V290" s="339"/>
      <c r="W290" s="344"/>
      <c r="X290" s="339"/>
      <c r="Y290" s="344"/>
      <c r="Z290" s="339"/>
      <c r="AA290" s="344"/>
      <c r="AB290" s="344"/>
    </row>
    <row r="291" spans="1:28" x14ac:dyDescent="0.2">
      <c r="D291" s="338" t="s">
        <v>450</v>
      </c>
      <c r="E291" s="344"/>
      <c r="F291" s="339"/>
      <c r="G291" s="344"/>
      <c r="H291" s="339"/>
      <c r="I291" s="344"/>
      <c r="J291" s="339"/>
      <c r="K291" s="344"/>
      <c r="L291" s="339"/>
      <c r="M291" s="344"/>
      <c r="N291" s="339"/>
      <c r="O291" s="344"/>
      <c r="P291" s="339"/>
      <c r="Q291" s="344"/>
      <c r="R291" s="339"/>
      <c r="S291" s="339"/>
      <c r="T291" s="339"/>
      <c r="U291" s="339"/>
      <c r="V291" s="339"/>
      <c r="W291" s="344"/>
      <c r="X291" s="339"/>
      <c r="Y291" s="344"/>
      <c r="Z291" s="339"/>
      <c r="AA291" s="344"/>
      <c r="AB291" s="344"/>
    </row>
    <row r="292" spans="1:28" x14ac:dyDescent="0.2">
      <c r="A292" s="345" t="s">
        <v>939</v>
      </c>
      <c r="B292" s="345" t="s">
        <v>2657</v>
      </c>
      <c r="C292" s="345" t="str">
        <f t="shared" ref="C292:C300" si="65">MID(D292,2,3)</f>
        <v>360</v>
      </c>
      <c r="D292" s="339" t="s">
        <v>726</v>
      </c>
      <c r="E292" s="344">
        <f>SUMIFS(FCPIS!$H$6:$H$899,FCPIS!$B$6:$B$899,$A292,FCPIS!$C$6:$C$899,$B292,FCPIS!$D$6:$D$899,E$4,FCPIS!$E$6:$E$899,$C292)*1000</f>
        <v>475572.52999999997</v>
      </c>
      <c r="F292" s="368"/>
      <c r="G292" s="344">
        <f>SUMIFS(FCPIS!$U$6:$U$899,FCPIS!$B$6:$B$899,$A292,FCPIS!$C$6:$C$899,$B292,FCPIS!$D$6:$D$899,G$4,FCPIS!$E$6:$E$899,$C292)*1000</f>
        <v>0</v>
      </c>
      <c r="H292" s="368"/>
      <c r="I292" s="344">
        <f>SUMIFS(FCPIS!$U$6:$U$899,FCPIS!$B$6:$B$899,$A292,FCPIS!$C$6:$C$899,$B292,FCPIS!$D$6:$D$899,I$4,FCPIS!$E$6:$E$899,$C292)*-1000</f>
        <v>0</v>
      </c>
      <c r="J292" s="368"/>
      <c r="K292" s="344">
        <f>SUMIFS(FCPIS!$U$6:$U$899,FCPIS!$B$6:$B$899,$A292,FCPIS!$C$6:$C$899,$B292,FCPIS!$D$6:$D$899,K$4,FCPIS!$E$6:$E$899,$C292)*1000</f>
        <v>0</v>
      </c>
      <c r="L292" s="368"/>
      <c r="M292" s="344">
        <f t="shared" ref="M292:M304" si="66">SUM(G292:K292)</f>
        <v>0</v>
      </c>
      <c r="N292" s="368"/>
      <c r="O292" s="344">
        <f t="shared" ref="O292:O304" si="67">E292+M292</f>
        <v>475572.52999999997</v>
      </c>
      <c r="P292" s="368"/>
      <c r="Q292" s="344">
        <f>SUMIFS(FCPIS!$V$6:$V$899,FCPIS!$B$6:$B$899,$A292,FCPIS!$C$6:$C$899,$B292,FCPIS!$D$6:$D$899,Q$4,FCPIS!$E$6:$E$899,$C292)*1000</f>
        <v>475572.53000000009</v>
      </c>
      <c r="R292" s="339"/>
      <c r="S292" s="347">
        <f>SUMIFS(FCPIS!$V$6:$V$899,FCPIS!$B$6:$B$899,$A292,FCPIS!$C$6:$C$899,$B292,FCPIS!$D$6:$D$899,S$4,FCPIS!$E$6:$E$899,$C292)*-1000</f>
        <v>-2499.9705653279898</v>
      </c>
      <c r="T292" s="339"/>
      <c r="U292" s="347">
        <f t="shared" ref="U292:U304" si="68">Q292+S292</f>
        <v>473072.55943467212</v>
      </c>
      <c r="V292" s="368"/>
      <c r="W292" s="570"/>
      <c r="X292" s="369"/>
      <c r="Y292" s="349">
        <f t="shared" ref="Y292:Y304" si="69">S292+W292</f>
        <v>-2499.9705653279898</v>
      </c>
      <c r="Z292" s="369"/>
      <c r="AA292" s="349">
        <f>SUMIFS(FCPIS!$T$6:$T$899,FCPIS!$B$6:$B$899,$A292,FCPIS!$C$6:$C$899,$B292,FCPIS!$D$6:$D$899,AA$4,FCPIS!$E$6:$E$899,$C292)*1000</f>
        <v>475572.52999999997</v>
      </c>
      <c r="AB292" s="349">
        <f t="shared" ref="AB292:AB304" si="70">AA292-O292</f>
        <v>0</v>
      </c>
    </row>
    <row r="293" spans="1:28" x14ac:dyDescent="0.2">
      <c r="A293" s="345" t="s">
        <v>939</v>
      </c>
      <c r="B293" s="345" t="s">
        <v>2657</v>
      </c>
      <c r="D293" s="339" t="s">
        <v>727</v>
      </c>
      <c r="E293" s="344">
        <f>SUMIFS(FCPIS!$H$6:$H$899,FCPIS!$B$6:$B$899,$A293,FCPIS!$C$6:$C$899,$B293,FCPIS!$D$6:$D$899,E$4,FCPIS!$E$6:$E$899,$C293)*1000</f>
        <v>0</v>
      </c>
      <c r="F293" s="368"/>
      <c r="G293" s="344">
        <f>SUMIFS(FCPIS!$U$6:$U$899,FCPIS!$B$6:$B$899,$A293,FCPIS!$C$6:$C$899,$B293,FCPIS!$D$6:$D$899,G$4,FCPIS!$E$6:$E$899,$C293)*1000</f>
        <v>0</v>
      </c>
      <c r="H293" s="368"/>
      <c r="I293" s="344">
        <f>SUMIFS(FCPIS!$U$6:$U$899,FCPIS!$B$6:$B$899,$A293,FCPIS!$C$6:$C$899,$B293,FCPIS!$D$6:$D$899,I$4,FCPIS!$E$6:$E$899,$C293)*-1000</f>
        <v>0</v>
      </c>
      <c r="J293" s="368"/>
      <c r="K293" s="344">
        <f>SUMIFS(FCPIS!$U$6:$U$899,FCPIS!$B$6:$B$899,$A293,FCPIS!$C$6:$C$899,$B293,FCPIS!$D$6:$D$899,K$4,FCPIS!$E$6:$E$899,$C293)*1000</f>
        <v>0</v>
      </c>
      <c r="L293" s="368"/>
      <c r="M293" s="344">
        <f t="shared" si="66"/>
        <v>0</v>
      </c>
      <c r="N293" s="368"/>
      <c r="O293" s="344">
        <f t="shared" si="67"/>
        <v>0</v>
      </c>
      <c r="P293" s="368"/>
      <c r="Q293" s="344">
        <f>SUMIFS(FCPIS!$V$6:$V$899,FCPIS!$B$6:$B$899,$A293,FCPIS!$C$6:$C$899,$B293,FCPIS!$D$6:$D$899,Q$4,FCPIS!$E$6:$E$899,$C293)*1000</f>
        <v>0</v>
      </c>
      <c r="R293" s="339"/>
      <c r="S293" s="347">
        <f>SUMIFS(FCPIS!$V$6:$V$899,FCPIS!$B$6:$B$899,$A293,FCPIS!$C$6:$C$899,$B293,FCPIS!$D$6:$D$899,S$4,FCPIS!$E$6:$E$899,$C293)*-1000</f>
        <v>0</v>
      </c>
      <c r="T293" s="339"/>
      <c r="U293" s="347">
        <f t="shared" si="68"/>
        <v>0</v>
      </c>
      <c r="V293" s="368"/>
      <c r="W293" s="344"/>
      <c r="X293" s="368"/>
      <c r="Y293" s="344">
        <f t="shared" si="69"/>
        <v>0</v>
      </c>
      <c r="Z293" s="368"/>
      <c r="AA293" s="344">
        <f>SUMIFS(FCPIS!$T$6:$T$899,FCPIS!$B$6:$B$899,$A293,FCPIS!$C$6:$C$899,$B293,FCPIS!$D$6:$D$899,AA$4,FCPIS!$E$6:$E$899,$C293)*1000</f>
        <v>0</v>
      </c>
      <c r="AB293" s="344">
        <f t="shared" si="70"/>
        <v>0</v>
      </c>
    </row>
    <row r="294" spans="1:28" x14ac:dyDescent="0.2">
      <c r="A294" s="345" t="s">
        <v>939</v>
      </c>
      <c r="B294" s="345" t="s">
        <v>2657</v>
      </c>
      <c r="C294" s="345" t="str">
        <f t="shared" si="65"/>
        <v>361</v>
      </c>
      <c r="D294" s="339" t="s">
        <v>728</v>
      </c>
      <c r="E294" s="344">
        <f>SUMIFS(FCPIS!$H$6:$H$899,FCPIS!$B$6:$B$899,$A294,FCPIS!$C$6:$C$899,$B294,FCPIS!$D$6:$D$899,E$4,FCPIS!$E$6:$E$899,$C294)*1000</f>
        <v>2545.13</v>
      </c>
      <c r="F294" s="368"/>
      <c r="G294" s="344">
        <f>SUMIFS(FCPIS!$U$6:$U$899,FCPIS!$B$6:$B$899,$A294,FCPIS!$C$6:$C$899,$B294,FCPIS!$D$6:$D$899,G$4,FCPIS!$E$6:$E$899,$C294)*1000</f>
        <v>0</v>
      </c>
      <c r="H294" s="368"/>
      <c r="I294" s="344">
        <f>SUMIFS(FCPIS!$U$6:$U$899,FCPIS!$B$6:$B$899,$A294,FCPIS!$C$6:$C$899,$B294,FCPIS!$D$6:$D$899,I$4,FCPIS!$E$6:$E$899,$C294)*-1000</f>
        <v>0</v>
      </c>
      <c r="J294" s="368"/>
      <c r="K294" s="344">
        <f>SUMIFS(FCPIS!$U$6:$U$899,FCPIS!$B$6:$B$899,$A294,FCPIS!$C$6:$C$899,$B294,FCPIS!$D$6:$D$899,K$4,FCPIS!$E$6:$E$899,$C294)*1000</f>
        <v>0</v>
      </c>
      <c r="L294" s="368"/>
      <c r="M294" s="344">
        <f t="shared" si="66"/>
        <v>0</v>
      </c>
      <c r="N294" s="368"/>
      <c r="O294" s="344">
        <f t="shared" si="67"/>
        <v>2545.13</v>
      </c>
      <c r="P294" s="368"/>
      <c r="Q294" s="344">
        <f>SUMIFS(FCPIS!$V$6:$V$899,FCPIS!$B$6:$B$899,$A294,FCPIS!$C$6:$C$899,$B294,FCPIS!$D$6:$D$899,Q$4,FCPIS!$E$6:$E$899,$C294)*1000</f>
        <v>2545.13</v>
      </c>
      <c r="R294" s="339"/>
      <c r="S294" s="347">
        <f>SUMIFS(FCPIS!$V$6:$V$899,FCPIS!$B$6:$B$899,$A294,FCPIS!$C$6:$C$899,$B294,FCPIS!$D$6:$D$899,S$4,FCPIS!$E$6:$E$899,$C294)*-1000</f>
        <v>-2558.1803933440001</v>
      </c>
      <c r="T294" s="339"/>
      <c r="U294" s="347">
        <f t="shared" si="68"/>
        <v>-13.050393343999986</v>
      </c>
      <c r="V294" s="368"/>
      <c r="W294" s="344"/>
      <c r="X294" s="368"/>
      <c r="Y294" s="344">
        <f t="shared" si="69"/>
        <v>-2558.1803933440001</v>
      </c>
      <c r="Z294" s="368"/>
      <c r="AA294" s="344">
        <f>SUMIFS(FCPIS!$T$6:$T$899,FCPIS!$B$6:$B$899,$A294,FCPIS!$C$6:$C$899,$B294,FCPIS!$D$6:$D$899,AA$4,FCPIS!$E$6:$E$899,$C294)*1000</f>
        <v>2545.13</v>
      </c>
      <c r="AB294" s="344">
        <f t="shared" si="70"/>
        <v>0</v>
      </c>
    </row>
    <row r="295" spans="1:28" x14ac:dyDescent="0.2">
      <c r="A295" s="345" t="s">
        <v>939</v>
      </c>
      <c r="B295" s="345" t="s">
        <v>2657</v>
      </c>
      <c r="C295" s="345" t="str">
        <f t="shared" si="65"/>
        <v>362</v>
      </c>
      <c r="D295" s="339" t="s">
        <v>729</v>
      </c>
      <c r="E295" s="344">
        <f>SUMIFS(FCPIS!$H$6:$H$899,FCPIS!$B$6:$B$899,$A295,FCPIS!$C$6:$C$899,$B295,FCPIS!$D$6:$D$899,E$4,FCPIS!$E$6:$E$899,$C295)*1000</f>
        <v>66880.149999999994</v>
      </c>
      <c r="F295" s="368"/>
      <c r="G295" s="344">
        <f>SUMIFS(FCPIS!$U$6:$U$899,FCPIS!$B$6:$B$899,$A295,FCPIS!$C$6:$C$899,$B295,FCPIS!$D$6:$D$899,G$4,FCPIS!$E$6:$E$899,$C295)*1000</f>
        <v>0</v>
      </c>
      <c r="H295" s="368"/>
      <c r="I295" s="344">
        <f>SUMIFS(FCPIS!$U$6:$U$899,FCPIS!$B$6:$B$899,$A295,FCPIS!$C$6:$C$899,$B295,FCPIS!$D$6:$D$899,I$4,FCPIS!$E$6:$E$899,$C295)*-1000</f>
        <v>0</v>
      </c>
      <c r="J295" s="368"/>
      <c r="K295" s="344">
        <f>SUMIFS(FCPIS!$U$6:$U$899,FCPIS!$B$6:$B$899,$A295,FCPIS!$C$6:$C$899,$B295,FCPIS!$D$6:$D$899,K$4,FCPIS!$E$6:$E$899,$C295)*1000</f>
        <v>0</v>
      </c>
      <c r="L295" s="368"/>
      <c r="M295" s="344">
        <f t="shared" si="66"/>
        <v>0</v>
      </c>
      <c r="N295" s="368"/>
      <c r="O295" s="344">
        <f t="shared" si="67"/>
        <v>66880.149999999994</v>
      </c>
      <c r="P295" s="368"/>
      <c r="Q295" s="344">
        <f>SUMIFS(FCPIS!$V$6:$V$899,FCPIS!$B$6:$B$899,$A295,FCPIS!$C$6:$C$899,$B295,FCPIS!$D$6:$D$899,Q$4,FCPIS!$E$6:$E$899,$C295)*1000</f>
        <v>66880.14999999998</v>
      </c>
      <c r="R295" s="339"/>
      <c r="S295" s="347">
        <f>SUMIFS(FCPIS!$V$6:$V$899,FCPIS!$B$6:$B$899,$A295,FCPIS!$C$6:$C$899,$B295,FCPIS!$D$6:$D$899,S$4,FCPIS!$E$6:$E$899,$C295)*-1000</f>
        <v>-37255.063913008002</v>
      </c>
      <c r="T295" s="339"/>
      <c r="U295" s="347">
        <f t="shared" si="68"/>
        <v>29625.086086991978</v>
      </c>
      <c r="V295" s="368"/>
      <c r="W295" s="344"/>
      <c r="X295" s="368"/>
      <c r="Y295" s="344">
        <f t="shared" si="69"/>
        <v>-37255.063913008002</v>
      </c>
      <c r="Z295" s="368"/>
      <c r="AA295" s="344">
        <f>SUMIFS(FCPIS!$T$6:$T$899,FCPIS!$B$6:$B$899,$A295,FCPIS!$C$6:$C$899,$B295,FCPIS!$D$6:$D$899,AA$4,FCPIS!$E$6:$E$899,$C295)*1000</f>
        <v>66880.149999999994</v>
      </c>
      <c r="AB295" s="344">
        <f t="shared" si="70"/>
        <v>0</v>
      </c>
    </row>
    <row r="296" spans="1:28" x14ac:dyDescent="0.2">
      <c r="A296" s="345" t="s">
        <v>939</v>
      </c>
      <c r="B296" s="345" t="s">
        <v>2657</v>
      </c>
      <c r="C296" s="345" t="str">
        <f t="shared" si="65"/>
        <v>364</v>
      </c>
      <c r="D296" s="339" t="s">
        <v>730</v>
      </c>
      <c r="E296" s="344">
        <f>SUMIFS(FCPIS!$H$6:$H$899,FCPIS!$B$6:$B$899,$A296,FCPIS!$C$6:$C$899,$B296,FCPIS!$D$6:$D$899,E$4,FCPIS!$E$6:$E$899,$C296)*1000</f>
        <v>47785.56</v>
      </c>
      <c r="F296" s="368"/>
      <c r="G296" s="344">
        <f>SUMIFS(FCPIS!$U$6:$U$899,FCPIS!$B$6:$B$899,$A296,FCPIS!$C$6:$C$899,$B296,FCPIS!$D$6:$D$899,G$4,FCPIS!$E$6:$E$899,$C296)*1000</f>
        <v>0</v>
      </c>
      <c r="H296" s="368"/>
      <c r="I296" s="344">
        <f>SUMIFS(FCPIS!$U$6:$U$899,FCPIS!$B$6:$B$899,$A296,FCPIS!$C$6:$C$899,$B296,FCPIS!$D$6:$D$899,I$4,FCPIS!$E$6:$E$899,$C296)*-1000</f>
        <v>0</v>
      </c>
      <c r="J296" s="368"/>
      <c r="K296" s="344">
        <f>SUMIFS(FCPIS!$U$6:$U$899,FCPIS!$B$6:$B$899,$A296,FCPIS!$C$6:$C$899,$B296,FCPIS!$D$6:$D$899,K$4,FCPIS!$E$6:$E$899,$C296)*1000</f>
        <v>0</v>
      </c>
      <c r="L296" s="368"/>
      <c r="M296" s="344">
        <f t="shared" si="66"/>
        <v>0</v>
      </c>
      <c r="N296" s="368"/>
      <c r="O296" s="344">
        <f t="shared" si="67"/>
        <v>47785.56</v>
      </c>
      <c r="P296" s="368"/>
      <c r="Q296" s="344">
        <f>SUMIFS(FCPIS!$V$6:$V$899,FCPIS!$B$6:$B$899,$A296,FCPIS!$C$6:$C$899,$B296,FCPIS!$D$6:$D$899,Q$4,FCPIS!$E$6:$E$899,$C296)*1000</f>
        <v>47785.56</v>
      </c>
      <c r="R296" s="339"/>
      <c r="S296" s="347">
        <f>SUMIFS(FCPIS!$V$6:$V$899,FCPIS!$B$6:$B$899,$A296,FCPIS!$C$6:$C$899,$B296,FCPIS!$D$6:$D$899,S$4,FCPIS!$E$6:$E$899,$C296)*-1000</f>
        <v>-49982.575935999907</v>
      </c>
      <c r="T296" s="339"/>
      <c r="U296" s="347">
        <f t="shared" si="68"/>
        <v>-2197.0159359999088</v>
      </c>
      <c r="V296" s="368"/>
      <c r="W296" s="344"/>
      <c r="X296" s="368"/>
      <c r="Y296" s="344">
        <f t="shared" si="69"/>
        <v>-49982.575935999907</v>
      </c>
      <c r="Z296" s="368"/>
      <c r="AA296" s="344">
        <f>SUMIFS(FCPIS!$T$6:$T$899,FCPIS!$B$6:$B$899,$A296,FCPIS!$C$6:$C$899,$B296,FCPIS!$D$6:$D$899,AA$4,FCPIS!$E$6:$E$899,$C296)*1000</f>
        <v>47785.56</v>
      </c>
      <c r="AB296" s="344">
        <f t="shared" si="70"/>
        <v>0</v>
      </c>
    </row>
    <row r="297" spans="1:28" x14ac:dyDescent="0.2">
      <c r="A297" s="345" t="s">
        <v>939</v>
      </c>
      <c r="B297" s="345" t="s">
        <v>2657</v>
      </c>
      <c r="C297" s="345" t="str">
        <f t="shared" si="65"/>
        <v>365</v>
      </c>
      <c r="D297" s="339" t="s">
        <v>731</v>
      </c>
      <c r="E297" s="344">
        <f>SUMIFS(FCPIS!$H$6:$H$899,FCPIS!$B$6:$B$899,$A297,FCPIS!$C$6:$C$899,$B297,FCPIS!$D$6:$D$899,E$4,FCPIS!$E$6:$E$899,$C297)*1000</f>
        <v>46763.219999999994</v>
      </c>
      <c r="F297" s="368"/>
      <c r="G297" s="344">
        <f>SUMIFS(FCPIS!$U$6:$U$899,FCPIS!$B$6:$B$899,$A297,FCPIS!$C$6:$C$899,$B297,FCPIS!$D$6:$D$899,G$4,FCPIS!$E$6:$E$899,$C297)*1000</f>
        <v>0</v>
      </c>
      <c r="H297" s="368"/>
      <c r="I297" s="344">
        <f>SUMIFS(FCPIS!$U$6:$U$899,FCPIS!$B$6:$B$899,$A297,FCPIS!$C$6:$C$899,$B297,FCPIS!$D$6:$D$899,I$4,FCPIS!$E$6:$E$899,$C297)*-1000</f>
        <v>0</v>
      </c>
      <c r="J297" s="368"/>
      <c r="K297" s="344">
        <f>SUMIFS(FCPIS!$U$6:$U$899,FCPIS!$B$6:$B$899,$A297,FCPIS!$C$6:$C$899,$B297,FCPIS!$D$6:$D$899,K$4,FCPIS!$E$6:$E$899,$C297)*1000</f>
        <v>0</v>
      </c>
      <c r="L297" s="368"/>
      <c r="M297" s="344">
        <f t="shared" si="66"/>
        <v>0</v>
      </c>
      <c r="N297" s="368"/>
      <c r="O297" s="344">
        <f t="shared" si="67"/>
        <v>46763.219999999994</v>
      </c>
      <c r="P297" s="368"/>
      <c r="Q297" s="344">
        <f>SUMIFS(FCPIS!$V$6:$V$899,FCPIS!$B$6:$B$899,$A297,FCPIS!$C$6:$C$899,$B297,FCPIS!$D$6:$D$899,Q$4,FCPIS!$E$6:$E$899,$C297)*1000</f>
        <v>46763.22</v>
      </c>
      <c r="R297" s="339"/>
      <c r="S297" s="347">
        <f>SUMIFS(FCPIS!$V$6:$V$899,FCPIS!$B$6:$B$899,$A297,FCPIS!$C$6:$C$899,$B297,FCPIS!$D$6:$D$899,S$4,FCPIS!$E$6:$E$899,$C297)*-1000</f>
        <v>-54780.788711999936</v>
      </c>
      <c r="T297" s="339"/>
      <c r="U297" s="347">
        <f t="shared" si="68"/>
        <v>-8017.5687119999347</v>
      </c>
      <c r="V297" s="368"/>
      <c r="W297" s="344"/>
      <c r="X297" s="368"/>
      <c r="Y297" s="344">
        <f t="shared" si="69"/>
        <v>-54780.788711999936</v>
      </c>
      <c r="Z297" s="368"/>
      <c r="AA297" s="344">
        <f>SUMIFS(FCPIS!$T$6:$T$899,FCPIS!$B$6:$B$899,$A297,FCPIS!$C$6:$C$899,$B297,FCPIS!$D$6:$D$899,AA$4,FCPIS!$E$6:$E$899,$C297)*1000</f>
        <v>46763.219999999994</v>
      </c>
      <c r="AB297" s="344">
        <f t="shared" si="70"/>
        <v>0</v>
      </c>
    </row>
    <row r="298" spans="1:28" x14ac:dyDescent="0.2">
      <c r="A298" s="345" t="s">
        <v>939</v>
      </c>
      <c r="B298" s="345" t="s">
        <v>2657</v>
      </c>
      <c r="C298" s="345" t="str">
        <f t="shared" si="65"/>
        <v>366</v>
      </c>
      <c r="D298" s="339" t="s">
        <v>732</v>
      </c>
      <c r="E298" s="344">
        <f>SUMIFS(FCPIS!$H$6:$H$899,FCPIS!$B$6:$B$899,$A298,FCPIS!$C$6:$C$899,$B298,FCPIS!$D$6:$D$899,E$4,FCPIS!$E$6:$E$899,$C298)*1000</f>
        <v>0</v>
      </c>
      <c r="F298" s="368"/>
      <c r="G298" s="344">
        <f>SUMIFS(FCPIS!$U$6:$U$899,FCPIS!$B$6:$B$899,$A298,FCPIS!$C$6:$C$899,$B298,FCPIS!$D$6:$D$899,G$4,FCPIS!$E$6:$E$899,$C298)*1000</f>
        <v>0</v>
      </c>
      <c r="H298" s="368"/>
      <c r="I298" s="344">
        <f>SUMIFS(FCPIS!$U$6:$U$899,FCPIS!$B$6:$B$899,$A298,FCPIS!$C$6:$C$899,$B298,FCPIS!$D$6:$D$899,I$4,FCPIS!$E$6:$E$899,$C298)*-1000</f>
        <v>0</v>
      </c>
      <c r="J298" s="368"/>
      <c r="K298" s="344">
        <f>SUMIFS(FCPIS!$U$6:$U$899,FCPIS!$B$6:$B$899,$A298,FCPIS!$C$6:$C$899,$B298,FCPIS!$D$6:$D$899,K$4,FCPIS!$E$6:$E$899,$C298)*1000</f>
        <v>0</v>
      </c>
      <c r="L298" s="368"/>
      <c r="M298" s="344">
        <f t="shared" si="66"/>
        <v>0</v>
      </c>
      <c r="N298" s="368"/>
      <c r="O298" s="344">
        <f t="shared" si="67"/>
        <v>0</v>
      </c>
      <c r="P298" s="368"/>
      <c r="Q298" s="344">
        <f>SUMIFS(FCPIS!$V$6:$V$899,FCPIS!$B$6:$B$899,$A298,FCPIS!$C$6:$C$899,$B298,FCPIS!$D$6:$D$899,Q$4,FCPIS!$E$6:$E$899,$C298)*1000</f>
        <v>0</v>
      </c>
      <c r="R298" s="339"/>
      <c r="S298" s="347">
        <f>SUMIFS(FCPIS!$V$6:$V$899,FCPIS!$B$6:$B$899,$A298,FCPIS!$C$6:$C$899,$B298,FCPIS!$D$6:$D$899,S$4,FCPIS!$E$6:$E$899,$C298)*-1000</f>
        <v>0</v>
      </c>
      <c r="T298" s="339"/>
      <c r="U298" s="347">
        <f t="shared" si="68"/>
        <v>0</v>
      </c>
      <c r="V298" s="368"/>
      <c r="W298" s="344"/>
      <c r="X298" s="368"/>
      <c r="Y298" s="344">
        <f t="shared" si="69"/>
        <v>0</v>
      </c>
      <c r="Z298" s="368"/>
      <c r="AA298" s="344">
        <f>SUMIFS(FCPIS!$T$6:$T$899,FCPIS!$B$6:$B$899,$A298,FCPIS!$C$6:$C$899,$B298,FCPIS!$D$6:$D$899,AA$4,FCPIS!$E$6:$E$899,$C298)*1000</f>
        <v>0</v>
      </c>
      <c r="AB298" s="344">
        <f t="shared" si="70"/>
        <v>0</v>
      </c>
    </row>
    <row r="299" spans="1:28" x14ac:dyDescent="0.2">
      <c r="A299" s="345" t="s">
        <v>939</v>
      </c>
      <c r="B299" s="345" t="s">
        <v>2657</v>
      </c>
      <c r="C299" s="345" t="str">
        <f t="shared" si="65"/>
        <v>367</v>
      </c>
      <c r="D299" s="339" t="s">
        <v>1172</v>
      </c>
      <c r="E299" s="344">
        <f>SUMIFS(FCPIS!$H$6:$H$899,FCPIS!$B$6:$B$899,$A299,FCPIS!$C$6:$C$899,$B299,FCPIS!$D$6:$D$899,E$4,FCPIS!$E$6:$E$899,$C299)*1000</f>
        <v>0</v>
      </c>
      <c r="F299" s="368"/>
      <c r="G299" s="344">
        <f>SUMIFS(FCPIS!$U$6:$U$899,FCPIS!$B$6:$B$899,$A299,FCPIS!$C$6:$C$899,$B299,FCPIS!$D$6:$D$899,G$4,FCPIS!$E$6:$E$899,$C299)*1000</f>
        <v>0</v>
      </c>
      <c r="H299" s="368"/>
      <c r="I299" s="344">
        <f>SUMIFS(FCPIS!$U$6:$U$899,FCPIS!$B$6:$B$899,$A299,FCPIS!$C$6:$C$899,$B299,FCPIS!$D$6:$D$899,I$4,FCPIS!$E$6:$E$899,$C299)*-1000</f>
        <v>0</v>
      </c>
      <c r="J299" s="368"/>
      <c r="K299" s="344">
        <f>SUMIFS(FCPIS!$U$6:$U$899,FCPIS!$B$6:$B$899,$A299,FCPIS!$C$6:$C$899,$B299,FCPIS!$D$6:$D$899,K$4,FCPIS!$E$6:$E$899,$C299)*1000</f>
        <v>0</v>
      </c>
      <c r="L299" s="368"/>
      <c r="M299" s="344">
        <f t="shared" si="66"/>
        <v>0</v>
      </c>
      <c r="N299" s="368"/>
      <c r="O299" s="344">
        <f t="shared" si="67"/>
        <v>0</v>
      </c>
      <c r="P299" s="368"/>
      <c r="Q299" s="344">
        <f>SUMIFS(FCPIS!$V$6:$V$899,FCPIS!$B$6:$B$899,$A299,FCPIS!$C$6:$C$899,$B299,FCPIS!$D$6:$D$899,Q$4,FCPIS!$E$6:$E$899,$C299)*1000</f>
        <v>0</v>
      </c>
      <c r="R299" s="339"/>
      <c r="S299" s="347">
        <f>SUMIFS(FCPIS!$V$6:$V$899,FCPIS!$B$6:$B$899,$A299,FCPIS!$C$6:$C$899,$B299,FCPIS!$D$6:$D$899,S$4,FCPIS!$E$6:$E$899,$C299)*-1000</f>
        <v>0</v>
      </c>
      <c r="T299" s="339"/>
      <c r="U299" s="347">
        <f t="shared" si="68"/>
        <v>0</v>
      </c>
      <c r="V299" s="368"/>
      <c r="W299" s="344"/>
      <c r="X299" s="368"/>
      <c r="Y299" s="344">
        <f t="shared" si="69"/>
        <v>0</v>
      </c>
      <c r="Z299" s="368"/>
      <c r="AA299" s="344">
        <f>SUMIFS(FCPIS!$T$6:$T$899,FCPIS!$B$6:$B$899,$A299,FCPIS!$C$6:$C$899,$B299,FCPIS!$D$6:$D$899,AA$4,FCPIS!$E$6:$E$899,$C299)*1000</f>
        <v>0</v>
      </c>
      <c r="AB299" s="344">
        <f t="shared" si="70"/>
        <v>0</v>
      </c>
    </row>
    <row r="300" spans="1:28" x14ac:dyDescent="0.2">
      <c r="A300" s="345" t="s">
        <v>939</v>
      </c>
      <c r="B300" s="345" t="s">
        <v>2657</v>
      </c>
      <c r="C300" s="345" t="str">
        <f t="shared" si="65"/>
        <v>368</v>
      </c>
      <c r="D300" s="339" t="s">
        <v>734</v>
      </c>
      <c r="E300" s="344">
        <f>SUMIFS(FCPIS!$H$6:$H$899,FCPIS!$B$6:$B$899,$A300,FCPIS!$C$6:$C$899,$B300,FCPIS!$D$6:$D$899,E$4,FCPIS!$E$6:$E$899,$C300)*1000</f>
        <v>3118.2799999999997</v>
      </c>
      <c r="F300" s="368"/>
      <c r="G300" s="344">
        <f>SUMIFS(FCPIS!$U$6:$U$899,FCPIS!$B$6:$B$899,$A300,FCPIS!$C$6:$C$899,$B300,FCPIS!$D$6:$D$899,G$4,FCPIS!$E$6:$E$899,$C300)*1000</f>
        <v>0</v>
      </c>
      <c r="H300" s="368"/>
      <c r="I300" s="344">
        <f>SUMIFS(FCPIS!$U$6:$U$899,FCPIS!$B$6:$B$899,$A300,FCPIS!$C$6:$C$899,$B300,FCPIS!$D$6:$D$899,I$4,FCPIS!$E$6:$E$899,$C300)*-1000</f>
        <v>0</v>
      </c>
      <c r="J300" s="368"/>
      <c r="K300" s="344">
        <f>SUMIFS(FCPIS!$U$6:$U$899,FCPIS!$B$6:$B$899,$A300,FCPIS!$C$6:$C$899,$B300,FCPIS!$D$6:$D$899,K$4,FCPIS!$E$6:$E$899,$C300)*1000</f>
        <v>0</v>
      </c>
      <c r="L300" s="368"/>
      <c r="M300" s="344">
        <f t="shared" si="66"/>
        <v>0</v>
      </c>
      <c r="N300" s="368"/>
      <c r="O300" s="344">
        <f t="shared" si="67"/>
        <v>3118.2799999999997</v>
      </c>
      <c r="P300" s="368"/>
      <c r="Q300" s="344">
        <f>SUMIFS(FCPIS!$V$6:$V$899,FCPIS!$B$6:$B$899,$A300,FCPIS!$C$6:$C$899,$B300,FCPIS!$D$6:$D$899,Q$4,FCPIS!$E$6:$E$899,$C300)*1000</f>
        <v>3118.2799999999988</v>
      </c>
      <c r="R300" s="339"/>
      <c r="S300" s="347">
        <f>SUMIFS(FCPIS!$V$6:$V$899,FCPIS!$B$6:$B$899,$A300,FCPIS!$C$6:$C$899,$B300,FCPIS!$D$6:$D$899,S$4,FCPIS!$E$6:$E$899,$C300)*-1000</f>
        <v>-5301.4329493279893</v>
      </c>
      <c r="T300" s="339"/>
      <c r="U300" s="347">
        <f t="shared" si="68"/>
        <v>-2183.1529493279904</v>
      </c>
      <c r="V300" s="368"/>
      <c r="W300" s="344"/>
      <c r="X300" s="368"/>
      <c r="Y300" s="344">
        <f t="shared" si="69"/>
        <v>-5301.4329493279893</v>
      </c>
      <c r="Z300" s="368"/>
      <c r="AA300" s="344">
        <f>SUMIFS(FCPIS!$T$6:$T$899,FCPIS!$B$6:$B$899,$A300,FCPIS!$C$6:$C$899,$B300,FCPIS!$D$6:$D$899,AA$4,FCPIS!$E$6:$E$899,$C300)*1000</f>
        <v>3118.2799999999997</v>
      </c>
      <c r="AB300" s="344">
        <f t="shared" si="70"/>
        <v>0</v>
      </c>
    </row>
    <row r="301" spans="1:28" x14ac:dyDescent="0.2">
      <c r="A301" s="345" t="s">
        <v>939</v>
      </c>
      <c r="B301" s="345" t="s">
        <v>2657</v>
      </c>
      <c r="C301" s="345" t="str">
        <f>MID(D301,2,3)</f>
        <v>369</v>
      </c>
      <c r="D301" s="339" t="s">
        <v>735</v>
      </c>
      <c r="E301" s="344">
        <f>SUMIFS(FCPIS!$H$6:$H$899,FCPIS!$B$6:$B$899,$A301,FCPIS!$C$6:$C$899,$B301,FCPIS!$D$6:$D$899,E$4,FCPIS!$E$6:$E$899,$C301)*1000</f>
        <v>254.62</v>
      </c>
      <c r="F301" s="368"/>
      <c r="G301" s="344">
        <f>SUMIFS(FCPIS!$U$6:$U$899,FCPIS!$B$6:$B$899,$A301,FCPIS!$C$6:$C$899,$B301,FCPIS!$D$6:$D$899,G$4,FCPIS!$E$6:$E$899,$C301)*1000</f>
        <v>0</v>
      </c>
      <c r="H301" s="368"/>
      <c r="I301" s="344">
        <f>SUMIFS(FCPIS!$U$6:$U$899,FCPIS!$B$6:$B$899,$A301,FCPIS!$C$6:$C$899,$B301,FCPIS!$D$6:$D$899,I$4,FCPIS!$E$6:$E$899,$C301)*-1000</f>
        <v>0</v>
      </c>
      <c r="J301" s="368"/>
      <c r="K301" s="344">
        <f>SUMIFS(FCPIS!$U$6:$U$899,FCPIS!$B$6:$B$899,$A301,FCPIS!$C$6:$C$899,$B301,FCPIS!$D$6:$D$899,K$4,FCPIS!$E$6:$E$899,$C301)*1000</f>
        <v>0</v>
      </c>
      <c r="L301" s="368"/>
      <c r="M301" s="344">
        <f t="shared" si="66"/>
        <v>0</v>
      </c>
      <c r="N301" s="368"/>
      <c r="O301" s="344">
        <f t="shared" si="67"/>
        <v>254.62</v>
      </c>
      <c r="P301" s="368"/>
      <c r="Q301" s="344">
        <f>SUMIFS(FCPIS!$V$6:$V$899,FCPIS!$B$6:$B$899,$A301,FCPIS!$C$6:$C$899,$B301,FCPIS!$D$6:$D$899,Q$4,FCPIS!$E$6:$E$899,$C301)*1000</f>
        <v>254.62</v>
      </c>
      <c r="R301" s="339"/>
      <c r="S301" s="347">
        <f>SUMIFS(FCPIS!$V$6:$V$899,FCPIS!$B$6:$B$899,$A301,FCPIS!$C$6:$C$899,$B301,FCPIS!$D$6:$D$899,S$4,FCPIS!$E$6:$E$899,$C301)*-1000</f>
        <v>-1156.7837413279899</v>
      </c>
      <c r="T301" s="339"/>
      <c r="U301" s="347">
        <f t="shared" si="68"/>
        <v>-902.1637413279899</v>
      </c>
      <c r="V301" s="368"/>
      <c r="W301" s="344"/>
      <c r="X301" s="368"/>
      <c r="Y301" s="344">
        <f t="shared" si="69"/>
        <v>-1156.7837413279899</v>
      </c>
      <c r="Z301" s="368"/>
      <c r="AA301" s="344">
        <f>SUMIFS(FCPIS!$T$6:$T$899,FCPIS!$B$6:$B$899,$A301,FCPIS!$C$6:$C$899,$B301,FCPIS!$D$6:$D$899,AA$4,FCPIS!$E$6:$E$899,$C301)*1000</f>
        <v>254.62</v>
      </c>
      <c r="AB301" s="344">
        <f t="shared" si="70"/>
        <v>0</v>
      </c>
    </row>
    <row r="302" spans="1:28" x14ac:dyDescent="0.2">
      <c r="A302" s="345" t="s">
        <v>939</v>
      </c>
      <c r="B302" s="345" t="s">
        <v>2657</v>
      </c>
      <c r="C302" s="345" t="str">
        <f>MID(D302,2,3)</f>
        <v>370</v>
      </c>
      <c r="D302" s="339" t="s">
        <v>736</v>
      </c>
      <c r="E302" s="344">
        <f>SUMIFS(FCPIS!$H$6:$H$899,FCPIS!$B$6:$B$899,$A302,FCPIS!$C$6:$C$899,$B302,FCPIS!$D$6:$D$899,E$4,FCPIS!$E$6:$E$899,$C302)*1000</f>
        <v>4199.21</v>
      </c>
      <c r="F302" s="368"/>
      <c r="G302" s="344">
        <f>SUMIFS(FCPIS!$U$6:$U$899,FCPIS!$B$6:$B$899,$A302,FCPIS!$C$6:$C$899,$B302,FCPIS!$D$6:$D$899,G$4,FCPIS!$E$6:$E$899,$C302)*1000</f>
        <v>0</v>
      </c>
      <c r="H302" s="368"/>
      <c r="I302" s="344">
        <f>SUMIFS(FCPIS!$U$6:$U$899,FCPIS!$B$6:$B$899,$A302,FCPIS!$C$6:$C$899,$B302,FCPIS!$D$6:$D$899,I$4,FCPIS!$E$6:$E$899,$C302)*-1000</f>
        <v>0</v>
      </c>
      <c r="J302" s="368"/>
      <c r="K302" s="344">
        <f>SUMIFS(FCPIS!$U$6:$U$899,FCPIS!$B$6:$B$899,$A302,FCPIS!$C$6:$C$899,$B302,FCPIS!$D$6:$D$899,K$4,FCPIS!$E$6:$E$899,$C302)*1000</f>
        <v>0</v>
      </c>
      <c r="L302" s="368"/>
      <c r="M302" s="344">
        <f t="shared" si="66"/>
        <v>0</v>
      </c>
      <c r="N302" s="368"/>
      <c r="O302" s="344">
        <f t="shared" si="67"/>
        <v>4199.21</v>
      </c>
      <c r="P302" s="368"/>
      <c r="Q302" s="344">
        <f>SUMIFS(FCPIS!$V$6:$V$899,FCPIS!$B$6:$B$899,$A302,FCPIS!$C$6:$C$899,$B302,FCPIS!$D$6:$D$899,Q$4,FCPIS!$E$6:$E$899,$C302)*1000</f>
        <v>4199.21</v>
      </c>
      <c r="R302" s="339"/>
      <c r="S302" s="347">
        <f>SUMIFS(FCPIS!$V$6:$V$899,FCPIS!$B$6:$B$899,$A302,FCPIS!$C$6:$C$899,$B302,FCPIS!$D$6:$D$899,S$4,FCPIS!$E$6:$E$899,$C302)*-1000</f>
        <v>-754.98857199999998</v>
      </c>
      <c r="T302" s="339"/>
      <c r="U302" s="347">
        <f t="shared" si="68"/>
        <v>3444.2214279999998</v>
      </c>
      <c r="V302" s="368"/>
      <c r="W302" s="344"/>
      <c r="X302" s="368"/>
      <c r="Y302" s="344">
        <f t="shared" si="69"/>
        <v>-754.98857199999998</v>
      </c>
      <c r="Z302" s="368"/>
      <c r="AA302" s="344">
        <f>SUMIFS(FCPIS!$T$6:$T$899,FCPIS!$B$6:$B$899,$A302,FCPIS!$C$6:$C$899,$B302,FCPIS!$D$6:$D$899,AA$4,FCPIS!$E$6:$E$899,$C302)*1000</f>
        <v>4199.21</v>
      </c>
      <c r="AB302" s="344">
        <f t="shared" si="70"/>
        <v>0</v>
      </c>
    </row>
    <row r="303" spans="1:28" x14ac:dyDescent="0.2">
      <c r="A303" s="345" t="s">
        <v>939</v>
      </c>
      <c r="B303" s="345" t="s">
        <v>2657</v>
      </c>
      <c r="D303" s="339" t="s">
        <v>1471</v>
      </c>
      <c r="E303" s="344">
        <f>SUMIFS(FCPIS!$H$6:$H$899,FCPIS!$B$6:$B$899,$A303,FCPIS!$C$6:$C$899,$B303,FCPIS!$D$6:$D$899,E$4,FCPIS!$E$6:$E$899,$C303)*1000</f>
        <v>0</v>
      </c>
      <c r="F303" s="368"/>
      <c r="G303" s="344">
        <f>SUMIFS(FCPIS!$U$6:$U$899,FCPIS!$B$6:$B$899,$A303,FCPIS!$C$6:$C$899,$B303,FCPIS!$D$6:$D$899,G$4,FCPIS!$E$6:$E$899,$C303)*1000</f>
        <v>0</v>
      </c>
      <c r="H303" s="368"/>
      <c r="I303" s="344">
        <f>SUMIFS(FCPIS!$U$6:$U$899,FCPIS!$B$6:$B$899,$A303,FCPIS!$C$6:$C$899,$B303,FCPIS!$D$6:$D$899,I$4,FCPIS!$E$6:$E$899,$C303)*-1000</f>
        <v>0</v>
      </c>
      <c r="J303" s="368"/>
      <c r="K303" s="344">
        <f>SUMIFS(FCPIS!$U$6:$U$899,FCPIS!$B$6:$B$899,$A303,FCPIS!$C$6:$C$899,$B303,FCPIS!$D$6:$D$899,K$4,FCPIS!$E$6:$E$899,$C303)*1000</f>
        <v>0</v>
      </c>
      <c r="L303" s="368"/>
      <c r="M303" s="344">
        <f t="shared" si="66"/>
        <v>0</v>
      </c>
      <c r="N303" s="368"/>
      <c r="O303" s="344">
        <f t="shared" si="67"/>
        <v>0</v>
      </c>
      <c r="P303" s="368"/>
      <c r="Q303" s="344">
        <f>SUMIFS(FCPIS!$V$6:$V$899,FCPIS!$B$6:$B$899,$A303,FCPIS!$C$6:$C$899,$B303,FCPIS!$D$6:$D$899,Q$4,FCPIS!$E$6:$E$899,$C303)*1000</f>
        <v>0</v>
      </c>
      <c r="R303" s="339"/>
      <c r="S303" s="347">
        <f>SUMIFS(FCPIS!$V$6:$V$899,FCPIS!$B$6:$B$899,$A303,FCPIS!$C$6:$C$899,$B303,FCPIS!$D$6:$D$899,S$4,FCPIS!$E$6:$E$899,$C303)*-1000</f>
        <v>0</v>
      </c>
      <c r="T303" s="339"/>
      <c r="U303" s="347">
        <f>Q303+S303</f>
        <v>0</v>
      </c>
      <c r="V303" s="368"/>
      <c r="W303" s="344"/>
      <c r="X303" s="368"/>
      <c r="Y303" s="344">
        <f>S303+W303</f>
        <v>0</v>
      </c>
      <c r="Z303" s="368"/>
      <c r="AA303" s="344">
        <f>SUMIFS(FCPIS!$T$6:$T$899,FCPIS!$B$6:$B$899,$A303,FCPIS!$C$6:$C$899,$B303,FCPIS!$D$6:$D$899,AA$4,FCPIS!$E$6:$E$899,$C303)*1000</f>
        <v>0</v>
      </c>
      <c r="AB303" s="344">
        <f t="shared" si="70"/>
        <v>0</v>
      </c>
    </row>
    <row r="304" spans="1:28" x14ac:dyDescent="0.2">
      <c r="A304" s="345" t="s">
        <v>939</v>
      </c>
      <c r="B304" s="345" t="s">
        <v>2657</v>
      </c>
      <c r="C304" s="345" t="str">
        <f>MID(D304,2,3)</f>
        <v>371</v>
      </c>
      <c r="D304" s="339" t="s">
        <v>737</v>
      </c>
      <c r="E304" s="353">
        <f>SUMIFS(FCPIS!$H$6:$H$899,FCPIS!$B$6:$B$899,$A304,FCPIS!$C$6:$C$899,$B304,FCPIS!$D$6:$D$899,E$4,FCPIS!$E$6:$E$899,$C304)*1000</f>
        <v>0</v>
      </c>
      <c r="F304" s="369"/>
      <c r="G304" s="353">
        <f>SUMIFS(FCPIS!$U$6:$U$899,FCPIS!$B$6:$B$899,$A304,FCPIS!$C$6:$C$899,$B304,FCPIS!$D$6:$D$899,G$4,FCPIS!$E$6:$E$899,$C304)*1000</f>
        <v>0</v>
      </c>
      <c r="H304" s="369"/>
      <c r="I304" s="353">
        <f>SUMIFS(FCPIS!$U$6:$U$899,FCPIS!$B$6:$B$899,$A304,FCPIS!$C$6:$C$899,$B304,FCPIS!$D$6:$D$899,I$4,FCPIS!$E$6:$E$899,$C304)*-1000</f>
        <v>0</v>
      </c>
      <c r="J304" s="369"/>
      <c r="K304" s="353">
        <f>SUMIFS(FCPIS!$U$6:$U$899,FCPIS!$B$6:$B$899,$A304,FCPIS!$C$6:$C$899,$B304,FCPIS!$D$6:$D$899,K$4,FCPIS!$E$6:$E$899,$C304)*1000</f>
        <v>0</v>
      </c>
      <c r="L304" s="369"/>
      <c r="M304" s="353">
        <f t="shared" si="66"/>
        <v>0</v>
      </c>
      <c r="N304" s="369"/>
      <c r="O304" s="353">
        <f t="shared" si="67"/>
        <v>0</v>
      </c>
      <c r="P304" s="369"/>
      <c r="Q304" s="353">
        <f>SUMIFS(FCPIS!$V$6:$V$899,FCPIS!$B$6:$B$899,$A304,FCPIS!$C$6:$C$899,$B304,FCPIS!$D$6:$D$899,Q$4,FCPIS!$E$6:$E$899,$C304)*1000</f>
        <v>0</v>
      </c>
      <c r="R304" s="350"/>
      <c r="S304" s="354">
        <f>SUMIFS(FCPIS!$V$6:$V$899,FCPIS!$B$6:$B$899,$A304,FCPIS!$C$6:$C$899,$B304,FCPIS!$D$6:$D$899,S$4,FCPIS!$E$6:$E$899,$C304)*-1000</f>
        <v>0</v>
      </c>
      <c r="T304" s="339"/>
      <c r="U304" s="354">
        <f t="shared" si="68"/>
        <v>0</v>
      </c>
      <c r="V304" s="369"/>
      <c r="W304" s="353"/>
      <c r="X304" s="369"/>
      <c r="Y304" s="353">
        <f t="shared" si="69"/>
        <v>0</v>
      </c>
      <c r="Z304" s="369"/>
      <c r="AA304" s="353">
        <f>SUMIFS(FCPIS!$T$6:$T$899,FCPIS!$B$6:$B$899,$A304,FCPIS!$C$6:$C$899,$B304,FCPIS!$D$6:$D$899,AA$4,FCPIS!$E$6:$E$899,$C304)*1000</f>
        <v>0</v>
      </c>
      <c r="AB304" s="353">
        <f t="shared" si="70"/>
        <v>0</v>
      </c>
    </row>
    <row r="305" spans="1:28" x14ac:dyDescent="0.2">
      <c r="B305" s="345" t="s">
        <v>2657</v>
      </c>
      <c r="D305" s="339"/>
      <c r="E305" s="349">
        <f>SUM(E292:E304)</f>
        <v>647118.69999999984</v>
      </c>
      <c r="F305" s="369"/>
      <c r="G305" s="349">
        <f>SUM(G292:G304)</f>
        <v>0</v>
      </c>
      <c r="H305" s="369"/>
      <c r="I305" s="349">
        <f>SUM(I292:I304)</f>
        <v>0</v>
      </c>
      <c r="J305" s="369"/>
      <c r="K305" s="349">
        <f>SUM(K292:K304)</f>
        <v>0</v>
      </c>
      <c r="L305" s="369"/>
      <c r="M305" s="349">
        <f>SUM(M292:M304)</f>
        <v>0</v>
      </c>
      <c r="N305" s="369"/>
      <c r="O305" s="349">
        <f>SUM(O292:O304)</f>
        <v>647118.69999999984</v>
      </c>
      <c r="P305" s="369"/>
      <c r="Q305" s="349">
        <f>SUM(Q292:Q304)</f>
        <v>647118.70000000007</v>
      </c>
      <c r="R305" s="350"/>
      <c r="S305" s="349">
        <f>SUM(S292:S304)</f>
        <v>-154289.7847823358</v>
      </c>
      <c r="T305" s="339"/>
      <c r="U305" s="349">
        <f>SUM(U292:U304)</f>
        <v>492828.91521766427</v>
      </c>
      <c r="V305" s="369"/>
      <c r="W305" s="352">
        <f>SUMIFS('FC CWIP &amp; RWIP'!$R$40:$R$58,'FC CWIP &amp; RWIP'!$A$40:$A$58,"TN",'FC CWIP &amp; RWIP'!$B$40:$B$58,D$291)*1000</f>
        <v>0</v>
      </c>
      <c r="X305" s="369"/>
      <c r="Y305" s="349">
        <f>SUM(Y292:Y304)</f>
        <v>-154289.7847823358</v>
      </c>
      <c r="Z305" s="369">
        <f>SUM(Z292:Z304)</f>
        <v>0</v>
      </c>
      <c r="AA305" s="349">
        <f>SUM(AA292:AA304)</f>
        <v>647118.69999999984</v>
      </c>
      <c r="AB305" s="349">
        <f>SUM(AB292:AB304)</f>
        <v>0</v>
      </c>
    </row>
    <row r="306" spans="1:28" x14ac:dyDescent="0.2">
      <c r="B306" s="345" t="s">
        <v>2657</v>
      </c>
      <c r="D306" s="339"/>
      <c r="E306" s="349"/>
      <c r="F306" s="369"/>
      <c r="G306" s="349"/>
      <c r="H306" s="369"/>
      <c r="I306" s="349"/>
      <c r="J306" s="369"/>
      <c r="K306" s="349"/>
      <c r="L306" s="369"/>
      <c r="M306" s="349"/>
      <c r="N306" s="369"/>
      <c r="O306" s="349"/>
      <c r="P306" s="369"/>
      <c r="Q306" s="349"/>
      <c r="R306" s="350"/>
      <c r="S306" s="339"/>
      <c r="T306" s="339"/>
      <c r="U306" s="339"/>
      <c r="V306" s="369"/>
      <c r="W306" s="349"/>
      <c r="X306" s="369"/>
      <c r="Y306" s="349"/>
      <c r="Z306" s="369"/>
      <c r="AA306" s="349"/>
      <c r="AB306" s="349"/>
    </row>
    <row r="307" spans="1:28" x14ac:dyDescent="0.2">
      <c r="B307" s="345" t="s">
        <v>2657</v>
      </c>
      <c r="D307" s="338" t="s">
        <v>915</v>
      </c>
      <c r="E307" s="349"/>
      <c r="F307" s="369"/>
      <c r="G307" s="349"/>
      <c r="H307" s="369"/>
      <c r="I307" s="349"/>
      <c r="J307" s="369"/>
      <c r="K307" s="349"/>
      <c r="L307" s="369"/>
      <c r="M307" s="349"/>
      <c r="N307" s="369"/>
      <c r="O307" s="349"/>
      <c r="P307" s="369"/>
      <c r="Q307" s="349"/>
      <c r="R307" s="350"/>
      <c r="S307" s="339"/>
      <c r="T307" s="339"/>
      <c r="U307" s="339"/>
      <c r="V307" s="369"/>
      <c r="W307" s="349"/>
      <c r="X307" s="369"/>
      <c r="Y307" s="349"/>
      <c r="Z307" s="369"/>
      <c r="AA307" s="349"/>
      <c r="AB307" s="349"/>
    </row>
    <row r="308" spans="1:28" x14ac:dyDescent="0.2">
      <c r="A308" s="345" t="s">
        <v>939</v>
      </c>
      <c r="B308" s="345" t="s">
        <v>2657</v>
      </c>
      <c r="C308" s="345" t="str">
        <f>MID(D308,2,3)</f>
        <v>350</v>
      </c>
      <c r="D308" s="339" t="s">
        <v>786</v>
      </c>
      <c r="E308" s="349">
        <f>SUMIFS(FCPIS!$H$6:$H$899,FCPIS!$B$6:$B$899,$A308,FCPIS!$C$6:$C$899,$B308,FCPIS!$D$6:$D$899,E$4,FCPIS!$E$6:$E$899,$C308)*1000</f>
        <v>439.53</v>
      </c>
      <c r="F308" s="369"/>
      <c r="G308" s="349">
        <f>SUMIFS(FCPIS!$U$6:$U$899,FCPIS!$B$6:$B$899,$A308,FCPIS!$C$6:$C$899,$B308,FCPIS!$D$6:$D$899,G$4,FCPIS!$E$6:$E$899,$C308)*1000</f>
        <v>0</v>
      </c>
      <c r="H308" s="369"/>
      <c r="I308" s="349">
        <f>SUMIFS(FCPIS!$U$6:$U$899,FCPIS!$B$6:$B$899,$A308,FCPIS!$C$6:$C$899,$B308,FCPIS!$D$6:$D$899,I$4,FCPIS!$E$6:$E$899,$C308)*-1000</f>
        <v>0</v>
      </c>
      <c r="J308" s="369"/>
      <c r="K308" s="349">
        <f>SUMIFS(FCPIS!$U$6:$U$899,FCPIS!$B$6:$B$899,$A308,FCPIS!$C$6:$C$899,$B308,FCPIS!$D$6:$D$899,K$4,FCPIS!$E$6:$E$899,$C308)*1000</f>
        <v>0</v>
      </c>
      <c r="L308" s="369"/>
      <c r="M308" s="349">
        <f t="shared" ref="M308:M310" si="71">SUM(G308:K308)</f>
        <v>0</v>
      </c>
      <c r="N308" s="369"/>
      <c r="O308" s="349">
        <f t="shared" ref="O308:O310" si="72">E308+M308</f>
        <v>439.53</v>
      </c>
      <c r="P308" s="369"/>
      <c r="Q308" s="349">
        <f>SUMIFS(FCPIS!$V$6:$V$899,FCPIS!$B$6:$B$899,$A308,FCPIS!$C$6:$C$899,$B308,FCPIS!$D$6:$D$899,Q$4,FCPIS!$E$6:$E$899,$C308)*1000</f>
        <v>439.52999999999992</v>
      </c>
      <c r="R308" s="350"/>
      <c r="S308" s="347">
        <f>SUMIFS(FCPIS!$V$6:$V$899,FCPIS!$B$6:$B$899,$A308,FCPIS!$C$6:$C$899,$B308,FCPIS!$D$6:$D$899,S$4,FCPIS!$E$6:$E$899,$C308)*-1000</f>
        <v>-376.11994399999907</v>
      </c>
      <c r="T308" s="339"/>
      <c r="U308" s="347">
        <f>Q308+S308</f>
        <v>63.41005600000085</v>
      </c>
      <c r="V308" s="369"/>
      <c r="W308" s="349"/>
      <c r="X308" s="369"/>
      <c r="Y308" s="349">
        <f>S308+W308</f>
        <v>-376.11994399999907</v>
      </c>
      <c r="Z308" s="369"/>
      <c r="AA308" s="349">
        <f>SUMIFS(FCPIS!$T$6:$T$899,FCPIS!$B$6:$B$899,$A308,FCPIS!$C$6:$C$899,$B308,FCPIS!$D$6:$D$899,AA$4,FCPIS!$E$6:$E$899,$C308)*1000</f>
        <v>439.53</v>
      </c>
      <c r="AB308" s="349">
        <f>AA308-O308</f>
        <v>0</v>
      </c>
    </row>
    <row r="309" spans="1:28" x14ac:dyDescent="0.2">
      <c r="A309" s="345" t="s">
        <v>939</v>
      </c>
      <c r="B309" s="345" t="s">
        <v>2657</v>
      </c>
      <c r="C309" s="345" t="str">
        <f>MID(D309,2,3)</f>
        <v>355</v>
      </c>
      <c r="D309" s="339" t="s">
        <v>808</v>
      </c>
      <c r="E309" s="349">
        <f>SUMIFS(FCPIS!$H$6:$H$899,FCPIS!$B$6:$B$899,$A309,FCPIS!$C$6:$C$899,$B309,FCPIS!$D$6:$D$899,E$4,FCPIS!$E$6:$E$899,$C309)*1000</f>
        <v>128751.53</v>
      </c>
      <c r="F309" s="369"/>
      <c r="G309" s="349">
        <f>SUMIFS(FCPIS!$U$6:$U$899,FCPIS!$B$6:$B$899,$A309,FCPIS!$C$6:$C$899,$B309,FCPIS!$D$6:$D$899,G$4,FCPIS!$E$6:$E$899,$C309)*1000</f>
        <v>0</v>
      </c>
      <c r="H309" s="369"/>
      <c r="I309" s="349">
        <f>SUMIFS(FCPIS!$U$6:$U$899,FCPIS!$B$6:$B$899,$A309,FCPIS!$C$6:$C$899,$B309,FCPIS!$D$6:$D$899,I$4,FCPIS!$E$6:$E$899,$C309)*-1000</f>
        <v>0</v>
      </c>
      <c r="J309" s="369"/>
      <c r="K309" s="349">
        <f>SUMIFS(FCPIS!$U$6:$U$899,FCPIS!$B$6:$B$899,$A309,FCPIS!$C$6:$C$899,$B309,FCPIS!$D$6:$D$899,K$4,FCPIS!$E$6:$E$899,$C309)*1000</f>
        <v>0</v>
      </c>
      <c r="L309" s="369"/>
      <c r="M309" s="349">
        <f t="shared" si="71"/>
        <v>0</v>
      </c>
      <c r="N309" s="369"/>
      <c r="O309" s="349">
        <f t="shared" si="72"/>
        <v>128751.53</v>
      </c>
      <c r="P309" s="369"/>
      <c r="Q309" s="349">
        <f>SUMIFS(FCPIS!$V$6:$V$899,FCPIS!$B$6:$B$899,$A309,FCPIS!$C$6:$C$899,$B309,FCPIS!$D$6:$D$899,Q$4,FCPIS!$E$6:$E$899,$C309)*1000</f>
        <v>128751.53</v>
      </c>
      <c r="R309" s="350"/>
      <c r="S309" s="347">
        <f>SUMIFS(FCPIS!$V$6:$V$899,FCPIS!$B$6:$B$899,$A309,FCPIS!$C$6:$C$899,$B309,FCPIS!$D$6:$D$899,S$4,FCPIS!$E$6:$E$899,$C309)*-1000</f>
        <v>-95114.443105920072</v>
      </c>
      <c r="T309" s="339"/>
      <c r="U309" s="347">
        <f>Q309+S309</f>
        <v>33637.086894079926</v>
      </c>
      <c r="V309" s="369"/>
      <c r="W309" s="349"/>
      <c r="X309" s="369"/>
      <c r="Y309" s="349">
        <f>S309+W309</f>
        <v>-95114.443105920072</v>
      </c>
      <c r="Z309" s="369"/>
      <c r="AA309" s="349">
        <f>SUMIFS(FCPIS!$T$6:$T$899,FCPIS!$B$6:$B$899,$A309,FCPIS!$C$6:$C$899,$B309,FCPIS!$D$6:$D$899,AA$4,FCPIS!$E$6:$E$899,$C309)*1000</f>
        <v>128751.53</v>
      </c>
      <c r="AB309" s="349">
        <f>AA309-O309</f>
        <v>0</v>
      </c>
    </row>
    <row r="310" spans="1:28" x14ac:dyDescent="0.2">
      <c r="A310" s="345" t="s">
        <v>939</v>
      </c>
      <c r="B310" s="345" t="s">
        <v>2657</v>
      </c>
      <c r="C310" s="345" t="str">
        <f>MID(D310,2,3)</f>
        <v>356</v>
      </c>
      <c r="D310" s="339" t="s">
        <v>809</v>
      </c>
      <c r="E310" s="353">
        <f>SUMIFS(FCPIS!$H$6:$H$899,FCPIS!$B$6:$B$899,$A310,FCPIS!$C$6:$C$899,$B310,FCPIS!$D$6:$D$899,E$4,FCPIS!$E$6:$E$899,$C310)*1000</f>
        <v>80691.329999999987</v>
      </c>
      <c r="F310" s="369"/>
      <c r="G310" s="353">
        <f>SUMIFS(FCPIS!$U$6:$U$899,FCPIS!$B$6:$B$899,$A310,FCPIS!$C$6:$C$899,$B310,FCPIS!$D$6:$D$899,G$4,FCPIS!$E$6:$E$899,$C310)*1000</f>
        <v>0</v>
      </c>
      <c r="H310" s="369"/>
      <c r="I310" s="353">
        <f>SUMIFS(FCPIS!$U$6:$U$899,FCPIS!$B$6:$B$899,$A310,FCPIS!$C$6:$C$899,$B310,FCPIS!$D$6:$D$899,I$4,FCPIS!$E$6:$E$899,$C310)*-1000</f>
        <v>0</v>
      </c>
      <c r="J310" s="369"/>
      <c r="K310" s="353">
        <f>SUMIFS(FCPIS!$U$6:$U$899,FCPIS!$B$6:$B$899,$A310,FCPIS!$C$6:$C$899,$B310,FCPIS!$D$6:$D$899,K$4,FCPIS!$E$6:$E$899,$C310)*1000</f>
        <v>0</v>
      </c>
      <c r="L310" s="369"/>
      <c r="M310" s="353">
        <f t="shared" si="71"/>
        <v>0</v>
      </c>
      <c r="N310" s="369"/>
      <c r="O310" s="353">
        <f t="shared" si="72"/>
        <v>80691.329999999987</v>
      </c>
      <c r="P310" s="369"/>
      <c r="Q310" s="353">
        <f>SUMIFS(FCPIS!$V$6:$V$899,FCPIS!$B$6:$B$899,$A310,FCPIS!$C$6:$C$899,$B310,FCPIS!$D$6:$D$899,Q$4,FCPIS!$E$6:$E$899,$C310)*1000</f>
        <v>80691.33</v>
      </c>
      <c r="R310" s="350"/>
      <c r="S310" s="354">
        <f>SUMIFS(FCPIS!$V$6:$V$899,FCPIS!$B$6:$B$899,$A310,FCPIS!$C$6:$C$899,$B310,FCPIS!$D$6:$D$899,S$4,FCPIS!$E$6:$E$899,$C310)*-1000</f>
        <v>-56359.476376000006</v>
      </c>
      <c r="T310" s="339"/>
      <c r="U310" s="354">
        <f>Q310+S310</f>
        <v>24331.853623999996</v>
      </c>
      <c r="V310" s="369"/>
      <c r="W310" s="353"/>
      <c r="X310" s="369"/>
      <c r="Y310" s="353">
        <f>S310+W310</f>
        <v>-56359.476376000006</v>
      </c>
      <c r="Z310" s="369"/>
      <c r="AA310" s="353">
        <f>SUMIFS(FCPIS!$T$6:$T$899,FCPIS!$B$6:$B$899,$A310,FCPIS!$C$6:$C$899,$B310,FCPIS!$D$6:$D$899,AA$4,FCPIS!$E$6:$E$899,$C310)*1000</f>
        <v>80691.329999999987</v>
      </c>
      <c r="AB310" s="353">
        <f>AA310-O310</f>
        <v>0</v>
      </c>
    </row>
    <row r="311" spans="1:28" x14ac:dyDescent="0.2">
      <c r="B311" s="345" t="s">
        <v>2657</v>
      </c>
      <c r="D311" s="339"/>
      <c r="E311" s="349">
        <f>SUM(E308:E310)</f>
        <v>209882.38999999998</v>
      </c>
      <c r="F311" s="369"/>
      <c r="G311" s="349">
        <f>SUM(G308:G310)</f>
        <v>0</v>
      </c>
      <c r="H311" s="369"/>
      <c r="I311" s="349">
        <f>SUM(I308:I310)</f>
        <v>0</v>
      </c>
      <c r="J311" s="369"/>
      <c r="K311" s="349">
        <f>SUM(K308:K310)</f>
        <v>0</v>
      </c>
      <c r="L311" s="369"/>
      <c r="M311" s="349">
        <f>SUM(M308:M310)</f>
        <v>0</v>
      </c>
      <c r="N311" s="369"/>
      <c r="O311" s="349">
        <f>SUM(O308:O310)</f>
        <v>209882.38999999998</v>
      </c>
      <c r="P311" s="369"/>
      <c r="Q311" s="349">
        <f>SUM(Q308:Q310)</f>
        <v>209882.39</v>
      </c>
      <c r="R311" s="350"/>
      <c r="S311" s="349">
        <f>SUM(S308:S310)</f>
        <v>-151850.03942592008</v>
      </c>
      <c r="T311" s="339"/>
      <c r="U311" s="349">
        <f>SUM(U308:U310)</f>
        <v>58032.350574079923</v>
      </c>
      <c r="V311" s="369"/>
      <c r="W311" s="352">
        <f>SUMIFS('FC CWIP &amp; RWIP'!$R$40:$R$58,'FC CWIP &amp; RWIP'!$A$40:$A$58,"TN",'FC CWIP &amp; RWIP'!$B$40:$B$58,D$307)*1000</f>
        <v>0</v>
      </c>
      <c r="X311" s="369"/>
      <c r="Y311" s="349">
        <f>SUM(Y308:Y310)</f>
        <v>-151850.03942592008</v>
      </c>
      <c r="Z311" s="369">
        <f>SUM(Z308:Z310)</f>
        <v>0</v>
      </c>
      <c r="AA311" s="349">
        <f>SUM(AA308:AA310)</f>
        <v>209882.38999999998</v>
      </c>
      <c r="AB311" s="349">
        <f>SUM(AB308:AB310)</f>
        <v>0</v>
      </c>
    </row>
    <row r="312" spans="1:28" x14ac:dyDescent="0.2">
      <c r="B312" s="345" t="s">
        <v>2657</v>
      </c>
      <c r="D312" s="339"/>
      <c r="E312" s="349"/>
      <c r="F312" s="369"/>
      <c r="G312" s="349"/>
      <c r="H312" s="369"/>
      <c r="I312" s="349"/>
      <c r="J312" s="369"/>
      <c r="K312" s="349"/>
      <c r="L312" s="369"/>
      <c r="M312" s="349"/>
      <c r="N312" s="369"/>
      <c r="O312" s="349"/>
      <c r="P312" s="369"/>
      <c r="Q312" s="349"/>
      <c r="R312" s="350"/>
      <c r="S312" s="339"/>
      <c r="T312" s="339"/>
      <c r="U312" s="339"/>
      <c r="V312" s="369"/>
      <c r="W312" s="349"/>
      <c r="X312" s="369"/>
      <c r="Y312" s="349"/>
      <c r="Z312" s="369"/>
      <c r="AA312" s="349"/>
      <c r="AB312" s="349"/>
    </row>
    <row r="313" spans="1:28" x14ac:dyDescent="0.2">
      <c r="B313" s="345" t="s">
        <v>2657</v>
      </c>
      <c r="D313" s="339"/>
      <c r="E313" s="344"/>
      <c r="F313" s="368"/>
      <c r="G313" s="344"/>
      <c r="H313" s="368"/>
      <c r="I313" s="344"/>
      <c r="J313" s="368"/>
      <c r="K313" s="344"/>
      <c r="L313" s="368"/>
      <c r="M313" s="344"/>
      <c r="N313" s="368"/>
      <c r="O313" s="344"/>
      <c r="P313" s="368"/>
      <c r="Q313" s="344"/>
      <c r="R313" s="339"/>
      <c r="S313" s="339"/>
      <c r="T313" s="339"/>
      <c r="U313" s="339"/>
      <c r="V313" s="368"/>
      <c r="W313" s="344"/>
      <c r="X313" s="368"/>
      <c r="Y313" s="344"/>
      <c r="Z313" s="368"/>
      <c r="AA313" s="344"/>
      <c r="AB313" s="344"/>
    </row>
    <row r="314" spans="1:28" ht="13.5" thickBot="1" x14ac:dyDescent="0.25">
      <c r="B314" s="345" t="s">
        <v>2657</v>
      </c>
      <c r="D314" s="338" t="s">
        <v>1346</v>
      </c>
      <c r="E314" s="355">
        <f>SUM(E305,E311)</f>
        <v>857001.08999999985</v>
      </c>
      <c r="F314" s="368"/>
      <c r="G314" s="355">
        <f>SUM(G305,G311)</f>
        <v>0</v>
      </c>
      <c r="H314" s="368"/>
      <c r="I314" s="355">
        <f>SUM(I305,I311)</f>
        <v>0</v>
      </c>
      <c r="J314" s="368"/>
      <c r="K314" s="355">
        <f>SUM(K305,K311)</f>
        <v>0</v>
      </c>
      <c r="L314" s="368"/>
      <c r="M314" s="355">
        <f>SUM(M305,M311)</f>
        <v>0</v>
      </c>
      <c r="N314" s="368"/>
      <c r="O314" s="355">
        <f>SUM(O305,O311)</f>
        <v>857001.08999999985</v>
      </c>
      <c r="P314" s="368"/>
      <c r="Q314" s="355">
        <f>SUM(Q305,Q311)</f>
        <v>857001.09000000008</v>
      </c>
      <c r="R314" s="339"/>
      <c r="S314" s="355">
        <f>SUM(S305,S311)</f>
        <v>-306139.82420825586</v>
      </c>
      <c r="T314" s="339"/>
      <c r="U314" s="355">
        <f>SUM(U305,U311)</f>
        <v>550861.26579174423</v>
      </c>
      <c r="V314" s="368"/>
      <c r="W314" s="355">
        <f>SUM(W305,W311)</f>
        <v>0</v>
      </c>
      <c r="X314" s="368"/>
      <c r="Y314" s="355">
        <f>SUM(Y305,Y311)</f>
        <v>-306139.82420825586</v>
      </c>
      <c r="Z314" s="368"/>
      <c r="AA314" s="355">
        <f>SUM(AA305,AA311)</f>
        <v>857001.08999999985</v>
      </c>
      <c r="AB314" s="355">
        <f>SUM(AB305,AB311)</f>
        <v>0</v>
      </c>
    </row>
    <row r="315" spans="1:28" ht="13.5" thickTop="1" x14ac:dyDescent="0.2"/>
    <row r="318" spans="1:28" x14ac:dyDescent="0.2">
      <c r="D318" s="564" t="s">
        <v>716</v>
      </c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</row>
    <row r="319" spans="1:28" x14ac:dyDescent="0.2">
      <c r="D319" s="564" t="s">
        <v>1377</v>
      </c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</row>
    <row r="320" spans="1:28" x14ac:dyDescent="0.2">
      <c r="D320" s="562" t="str">
        <f>D$3</f>
        <v>FORECAST PERIOD: APRIL 2020</v>
      </c>
      <c r="E320" s="563"/>
      <c r="F320" s="563"/>
      <c r="G320" s="563"/>
      <c r="H320" s="563"/>
      <c r="I320" s="563"/>
      <c r="J320" s="563"/>
      <c r="K320" s="563"/>
      <c r="L320" s="563"/>
      <c r="M320" s="563"/>
      <c r="N320" s="563"/>
      <c r="O320" s="563"/>
      <c r="P320" s="563"/>
      <c r="Q320" s="563"/>
      <c r="W320" s="345"/>
      <c r="Y320" s="345"/>
      <c r="AA320" s="345"/>
      <c r="AB320" s="345"/>
    </row>
    <row r="321" spans="1:28" x14ac:dyDescent="0.2">
      <c r="D321" s="560"/>
      <c r="E321" s="560"/>
      <c r="F321" s="560"/>
      <c r="G321" s="560"/>
      <c r="H321" s="560"/>
      <c r="I321" s="560"/>
      <c r="J321" s="560"/>
      <c r="K321" s="560"/>
      <c r="L321" s="560"/>
      <c r="M321" s="560"/>
      <c r="N321" s="560"/>
      <c r="O321" s="560"/>
      <c r="P321" s="560"/>
      <c r="Q321" s="560"/>
      <c r="W321" s="345"/>
      <c r="Y321" s="345"/>
      <c r="AA321" s="560" t="s">
        <v>2305</v>
      </c>
      <c r="AB321" s="345"/>
    </row>
    <row r="322" spans="1:28" x14ac:dyDescent="0.2">
      <c r="E322" s="748" t="str">
        <f>E5</f>
        <v>May 1 2019</v>
      </c>
      <c r="G322" s="345"/>
      <c r="I322" s="345"/>
      <c r="K322" s="345"/>
      <c r="M322" s="345"/>
      <c r="O322" s="748" t="str">
        <f>O5</f>
        <v>Apr 30 2020</v>
      </c>
      <c r="Q322" s="748" t="str">
        <f>Q5</f>
        <v>13 Month Average</v>
      </c>
      <c r="W322" s="345"/>
      <c r="Y322" s="345"/>
      <c r="AA322" s="748" t="str">
        <f>AA5</f>
        <v>Apr 30 2020</v>
      </c>
      <c r="AB322" s="345"/>
    </row>
    <row r="323" spans="1:28" x14ac:dyDescent="0.2">
      <c r="E323" s="749" t="s">
        <v>717</v>
      </c>
      <c r="K323" s="749" t="s">
        <v>718</v>
      </c>
      <c r="O323" s="749" t="s">
        <v>719</v>
      </c>
      <c r="Q323" s="749" t="s">
        <v>719</v>
      </c>
      <c r="V323" s="560"/>
      <c r="W323" s="560"/>
      <c r="X323" s="560"/>
      <c r="Y323" s="560"/>
      <c r="Z323" s="560"/>
      <c r="AA323" s="340" t="s">
        <v>719</v>
      </c>
      <c r="AB323" s="560"/>
    </row>
    <row r="324" spans="1:28" x14ac:dyDescent="0.2">
      <c r="E324" s="750" t="s">
        <v>720</v>
      </c>
      <c r="G324" s="750" t="s">
        <v>721</v>
      </c>
      <c r="I324" s="750" t="s">
        <v>722</v>
      </c>
      <c r="K324" s="750" t="s">
        <v>723</v>
      </c>
      <c r="M324" s="750" t="s">
        <v>724</v>
      </c>
      <c r="O324" s="750" t="s">
        <v>720</v>
      </c>
      <c r="Q324" s="750" t="s">
        <v>720</v>
      </c>
      <c r="V324" s="723"/>
      <c r="W324" s="751"/>
      <c r="X324" s="751"/>
      <c r="Y324" s="751"/>
      <c r="Z324" s="723"/>
      <c r="AA324" s="341" t="s">
        <v>720</v>
      </c>
      <c r="AB324" s="341" t="s">
        <v>1592</v>
      </c>
    </row>
    <row r="325" spans="1:28" x14ac:dyDescent="0.2">
      <c r="E325" s="752"/>
      <c r="G325" s="752"/>
      <c r="I325" s="752"/>
      <c r="K325" s="752"/>
      <c r="M325" s="752"/>
      <c r="O325" s="752"/>
      <c r="Q325" s="752"/>
      <c r="W325" s="753"/>
      <c r="X325" s="736"/>
      <c r="Y325" s="753"/>
      <c r="AA325" s="753"/>
      <c r="AB325" s="753"/>
    </row>
    <row r="326" spans="1:28" x14ac:dyDescent="0.2">
      <c r="D326" s="200" t="s">
        <v>816</v>
      </c>
      <c r="E326" s="345"/>
      <c r="G326" s="345"/>
      <c r="I326" s="345"/>
      <c r="K326" s="345"/>
      <c r="M326" s="345"/>
      <c r="O326" s="345"/>
      <c r="Q326" s="345"/>
      <c r="W326" s="753"/>
      <c r="X326" s="736"/>
      <c r="Y326" s="753"/>
      <c r="AA326" s="345"/>
      <c r="AB326" s="345"/>
    </row>
    <row r="327" spans="1:28" x14ac:dyDescent="0.2">
      <c r="D327" s="200" t="s">
        <v>725</v>
      </c>
      <c r="E327" s="345"/>
      <c r="G327" s="345"/>
      <c r="I327" s="345"/>
      <c r="K327" s="345"/>
      <c r="M327" s="345"/>
      <c r="O327" s="345"/>
      <c r="Q327" s="345"/>
      <c r="W327" s="753"/>
      <c r="X327" s="736"/>
      <c r="Y327" s="753"/>
      <c r="AA327" s="345"/>
      <c r="AB327" s="345"/>
    </row>
    <row r="328" spans="1:28" x14ac:dyDescent="0.2">
      <c r="A328" s="345" t="s">
        <v>935</v>
      </c>
      <c r="B328" s="345" t="s">
        <v>2658</v>
      </c>
      <c r="C328" s="345" t="str">
        <f>MID(D328,2,3)</f>
        <v>360</v>
      </c>
      <c r="D328" s="345" t="s">
        <v>727</v>
      </c>
      <c r="E328" s="737">
        <f>SUMIFS(FCPIS!$H$6:$H$899,FCPIS!$B$6:$B$899,$A328,FCPIS!$C$6:$C$899,$B328,FCPIS!$D$6:$D$899,E$4,FCPIS!$E$6:$E$899,$C328)*1000</f>
        <v>1471422.5899999999</v>
      </c>
      <c r="F328" s="737"/>
      <c r="G328" s="737">
        <f>SUMIFS(FCPIS!$U$6:$U$899,FCPIS!$B$6:$B$899,$A328,FCPIS!$C$6:$C$899,$B328,FCPIS!$D$6:$D$899,G$4,FCPIS!$E$6:$E$899,$C328)*1000</f>
        <v>0</v>
      </c>
      <c r="H328" s="737"/>
      <c r="I328" s="737">
        <f>SUMIFS(FCPIS!$U$6:$U$899,FCPIS!$B$6:$B$899,$A328,FCPIS!$C$6:$C$899,$B328,FCPIS!$D$6:$D$899,I$4,FCPIS!$E$6:$E$899,$C328)*-1000</f>
        <v>0</v>
      </c>
      <c r="J328" s="737"/>
      <c r="K328" s="737">
        <f>SUMIFS(FCPIS!$U$6:$U$899,FCPIS!$B$6:$B$899,$A328,FCPIS!$C$6:$C$899,$B328,FCPIS!$D$6:$D$899,K$4,FCPIS!$E$6:$E$899,$C328)*1000</f>
        <v>0</v>
      </c>
      <c r="L328" s="737"/>
      <c r="M328" s="737">
        <f t="shared" ref="M328:M329" si="73">SUM(G328:K328)</f>
        <v>0</v>
      </c>
      <c r="N328" s="737"/>
      <c r="O328" s="737">
        <f t="shared" ref="O328:O329" si="74">E328+M328</f>
        <v>1471422.5899999999</v>
      </c>
      <c r="P328" s="737"/>
      <c r="Q328" s="737">
        <f>SUMIFS(FCPIS!$V$6:$V$899,FCPIS!$B$6:$B$899,$A328,FCPIS!$C$6:$C$899,$B328,FCPIS!$D$6:$D$899,Q$4,FCPIS!$E$6:$E$899,$C328)*1000</f>
        <v>1471422.5899999996</v>
      </c>
      <c r="S328" s="737">
        <f>SUMIFS(FCPIS!$V$6:$V$899,FCPIS!$B$6:$B$899,$A328,FCPIS!$C$6:$C$899,$B328,FCPIS!$D$6:$D$899,S$4,FCPIS!$E$6:$E$899,$C328)*-1000</f>
        <v>0</v>
      </c>
      <c r="W328" s="736"/>
      <c r="X328" s="736"/>
      <c r="Y328" s="736"/>
      <c r="AA328" s="739">
        <f>SUMIFS(FCPIS!$T$6:$T$899,FCPIS!$B$6:$B$899,$A328,FCPIS!$C$6:$C$899,$B328,FCPIS!$D$6:$D$899,AA$4,FCPIS!$E$6:$E$899,$C328)*1000</f>
        <v>1471422.5899999999</v>
      </c>
      <c r="AB328" s="739">
        <f>AA328-O328</f>
        <v>0</v>
      </c>
    </row>
    <row r="329" spans="1:28" x14ac:dyDescent="0.2">
      <c r="A329" s="345" t="s">
        <v>937</v>
      </c>
      <c r="B329" s="345" t="s">
        <v>2658</v>
      </c>
      <c r="C329" s="345" t="str">
        <f>MID(D329,2,3)</f>
        <v>360</v>
      </c>
      <c r="D329" s="345" t="s">
        <v>1447</v>
      </c>
      <c r="E329" s="754">
        <f>SUMIFS(FCPIS!$H$6:$H$899,FCPIS!$B$6:$B$899,$A329,FCPIS!$C$6:$C$899,$B329,FCPIS!$D$6:$D$899,E$4,FCPIS!$E$6:$E$899,$C329)*1000</f>
        <v>0</v>
      </c>
      <c r="G329" s="754">
        <f>SUMIFS(FCPIS!$U$6:$U$899,FCPIS!$B$6:$B$899,$A329,FCPIS!$C$6:$C$899,$B329,FCPIS!$D$6:$D$899,G$4,FCPIS!$E$6:$E$899,$C329)*1000</f>
        <v>0</v>
      </c>
      <c r="I329" s="754">
        <f>SUMIFS(FCPIS!$U$6:$U$899,FCPIS!$B$6:$B$899,$A329,FCPIS!$C$6:$C$899,$B329,FCPIS!$D$6:$D$899,I$4,FCPIS!$E$6:$E$899,$C329)*-1000</f>
        <v>0</v>
      </c>
      <c r="K329" s="754">
        <f>SUMIFS(FCPIS!$U$6:$U$899,FCPIS!$B$6:$B$899,$A329,FCPIS!$C$6:$C$899,$B329,FCPIS!$D$6:$D$899,K$4,FCPIS!$E$6:$E$899,$C329)*1000</f>
        <v>0</v>
      </c>
      <c r="M329" s="754">
        <f t="shared" si="73"/>
        <v>0</v>
      </c>
      <c r="O329" s="754">
        <f t="shared" si="74"/>
        <v>0</v>
      </c>
      <c r="Q329" s="754">
        <f>SUMIFS(FCPIS!$V$6:$V$899,FCPIS!$B$6:$B$899,$A329,FCPIS!$C$6:$C$899,$B329,FCPIS!$D$6:$D$899,Q$4,FCPIS!$E$6:$E$899,$C329)*1000</f>
        <v>0</v>
      </c>
      <c r="S329" s="754">
        <f>SUMIFS(FCPIS!$V$6:$V$899,FCPIS!$B$6:$B$899,$A329,FCPIS!$C$6:$C$899,$B329,FCPIS!$D$6:$D$899,S$4,FCPIS!$E$6:$E$899,$C329)*-1000</f>
        <v>0</v>
      </c>
      <c r="W329" s="736"/>
      <c r="X329" s="736"/>
      <c r="Y329" s="736"/>
      <c r="AA329" s="755">
        <f>SUMIFS(FCPIS!$T$6:$T$899,FCPIS!$B$6:$B$899,$A329,FCPIS!$C$6:$C$899,$B329,FCPIS!$D$6:$D$899,AA$4,FCPIS!$E$6:$E$899,$C329)*1000</f>
        <v>0</v>
      </c>
      <c r="AB329" s="755">
        <f>AA329-O329</f>
        <v>0</v>
      </c>
    </row>
    <row r="330" spans="1:28" x14ac:dyDescent="0.2">
      <c r="B330" s="345" t="s">
        <v>2658</v>
      </c>
      <c r="E330" s="737">
        <v>1471422.5899999999</v>
      </c>
      <c r="F330" s="737"/>
      <c r="G330" s="737"/>
      <c r="H330" s="737"/>
      <c r="I330" s="737"/>
      <c r="J330" s="737"/>
      <c r="K330" s="737"/>
      <c r="L330" s="737"/>
      <c r="M330" s="737"/>
      <c r="N330" s="737"/>
      <c r="O330" s="737">
        <v>1471422.5899999999</v>
      </c>
      <c r="P330" s="737"/>
      <c r="Q330" s="737">
        <v>1471422.5899999999</v>
      </c>
      <c r="S330" s="737"/>
      <c r="V330" s="739"/>
      <c r="W330" s="739"/>
      <c r="X330" s="739"/>
      <c r="Y330" s="739"/>
      <c r="Z330" s="739"/>
      <c r="AA330" s="739">
        <f>SUM(AA328:AA329)</f>
        <v>1471422.5899999999</v>
      </c>
      <c r="AB330" s="739">
        <f>SUM(AB328:AB329)</f>
        <v>0</v>
      </c>
    </row>
    <row r="331" spans="1:28" x14ac:dyDescent="0.2">
      <c r="B331" s="345" t="s">
        <v>2658</v>
      </c>
      <c r="D331" s="200"/>
      <c r="E331" s="345"/>
      <c r="G331" s="345"/>
      <c r="I331" s="345"/>
      <c r="K331" s="345"/>
      <c r="M331" s="345"/>
      <c r="O331" s="345"/>
      <c r="Q331" s="345"/>
      <c r="W331" s="739"/>
      <c r="X331" s="736"/>
      <c r="Y331" s="739"/>
      <c r="AA331" s="345"/>
      <c r="AB331" s="345"/>
    </row>
    <row r="332" spans="1:28" s="103" customFormat="1" ht="15" x14ac:dyDescent="0.2">
      <c r="A332" s="345"/>
      <c r="B332" s="345" t="s">
        <v>2658</v>
      </c>
      <c r="C332" s="345"/>
      <c r="D332" s="399" t="s">
        <v>1396</v>
      </c>
      <c r="V332" s="739"/>
      <c r="W332" s="739"/>
      <c r="X332" s="739"/>
      <c r="Y332" s="739"/>
      <c r="Z332" s="739"/>
    </row>
    <row r="333" spans="1:28" s="103" customFormat="1" ht="15" x14ac:dyDescent="0.2">
      <c r="A333" s="345" t="s">
        <v>935</v>
      </c>
      <c r="B333" s="345" t="s">
        <v>2658</v>
      </c>
      <c r="C333" s="345" t="str">
        <f>MID(D333,2,3)</f>
        <v>340</v>
      </c>
      <c r="D333" s="123" t="s">
        <v>765</v>
      </c>
      <c r="E333" s="754">
        <f>SUMIFS(FCPIS!$H$6:$H$899,FCPIS!$B$6:$B$899,$A333,FCPIS!$C$6:$C$899,$B333,FCPIS!$D$6:$D$899,E$4,FCPIS!$E$6:$E$899,$C333)*1000</f>
        <v>309540.84999999998</v>
      </c>
      <c r="F333" s="345"/>
      <c r="G333" s="754">
        <f>SUMIFS(FCPIS!$U$6:$U$899,FCPIS!$B$6:$B$899,$A333,FCPIS!$C$6:$C$899,$B333,FCPIS!$D$6:$D$899,G$4,FCPIS!$E$6:$E$899,$C333)*1000</f>
        <v>0</v>
      </c>
      <c r="H333" s="345"/>
      <c r="I333" s="754">
        <f>SUMIFS(FCPIS!$U$6:$U$899,FCPIS!$B$6:$B$899,$A333,FCPIS!$C$6:$C$899,$B333,FCPIS!$D$6:$D$899,I$4,FCPIS!$E$6:$E$899,$C333)*-1000</f>
        <v>0</v>
      </c>
      <c r="J333" s="345"/>
      <c r="K333" s="754">
        <f>SUMIFS(FCPIS!$U$6:$U$899,FCPIS!$B$6:$B$899,$A333,FCPIS!$C$6:$C$899,$B333,FCPIS!$D$6:$D$899,K$4,FCPIS!$E$6:$E$899,$C333)*1000</f>
        <v>0</v>
      </c>
      <c r="L333" s="345"/>
      <c r="M333" s="754">
        <f>SUM(G333:K333)</f>
        <v>0</v>
      </c>
      <c r="N333" s="345"/>
      <c r="O333" s="754">
        <f>E333+M333</f>
        <v>309540.84999999998</v>
      </c>
      <c r="P333" s="345"/>
      <c r="Q333" s="754">
        <f>SUMIFS(FCPIS!$V$6:$V$899,FCPIS!$B$6:$B$899,$A333,FCPIS!$C$6:$C$899,$B333,FCPIS!$D$6:$D$899,Q$4,FCPIS!$E$6:$E$899,$C333)*1000</f>
        <v>309540.84999999992</v>
      </c>
      <c r="S333" s="754">
        <f>SUMIFS(FCPIS!$V$6:$V$899,FCPIS!$B$6:$B$899,$A333,FCPIS!$C$6:$C$899,$B333,FCPIS!$D$6:$D$899,S$4,FCPIS!$E$6:$E$899,$C333)*-1000</f>
        <v>0</v>
      </c>
      <c r="V333" s="345"/>
      <c r="W333" s="736"/>
      <c r="X333" s="736"/>
      <c r="Y333" s="736"/>
      <c r="Z333" s="345"/>
      <c r="AA333" s="755">
        <f>SUMIFS(FCPIS!$T$6:$T$899,FCPIS!$B$6:$B$899,$A333,FCPIS!$C$6:$C$899,$B333,FCPIS!$D$6:$D$899,AA$4,FCPIS!$E$6:$E$899,$C333)*1000</f>
        <v>309540.84999999998</v>
      </c>
      <c r="AB333" s="755">
        <f>AA333-O333</f>
        <v>0</v>
      </c>
    </row>
    <row r="334" spans="1:28" s="103" customFormat="1" ht="15" x14ac:dyDescent="0.2">
      <c r="A334" s="345"/>
      <c r="B334" s="345" t="s">
        <v>2658</v>
      </c>
      <c r="C334" s="345"/>
      <c r="D334" s="399"/>
      <c r="E334" s="737">
        <v>309540.84999999998</v>
      </c>
      <c r="F334" s="737"/>
      <c r="G334" s="737"/>
      <c r="H334" s="737"/>
      <c r="I334" s="737"/>
      <c r="J334" s="737"/>
      <c r="K334" s="737"/>
      <c r="L334" s="737"/>
      <c r="M334" s="737"/>
      <c r="N334" s="737"/>
      <c r="O334" s="737">
        <v>309540.84999999998</v>
      </c>
      <c r="P334" s="737"/>
      <c r="Q334" s="737">
        <v>309540.84999999998</v>
      </c>
      <c r="S334" s="737"/>
      <c r="W334" s="104"/>
      <c r="X334" s="104"/>
      <c r="Y334" s="104"/>
      <c r="AA334" s="739">
        <f>SUM(AA333)</f>
        <v>309540.84999999998</v>
      </c>
      <c r="AB334" s="739">
        <f>SUM(AB333)</f>
        <v>0</v>
      </c>
    </row>
    <row r="335" spans="1:28" s="103" customFormat="1" ht="15" x14ac:dyDescent="0.2">
      <c r="A335" s="345"/>
      <c r="B335" s="345" t="s">
        <v>2658</v>
      </c>
      <c r="C335" s="345"/>
      <c r="D335" s="399"/>
      <c r="V335" s="345"/>
      <c r="W335" s="739"/>
      <c r="X335" s="736"/>
      <c r="Y335" s="739"/>
      <c r="Z335" s="345"/>
    </row>
    <row r="336" spans="1:28" x14ac:dyDescent="0.2">
      <c r="B336" s="345" t="s">
        <v>2658</v>
      </c>
      <c r="D336" s="200"/>
      <c r="E336" s="345"/>
      <c r="G336" s="345"/>
      <c r="I336" s="345"/>
      <c r="K336" s="345"/>
      <c r="M336" s="345"/>
      <c r="O336" s="345"/>
      <c r="Q336" s="345"/>
      <c r="V336" s="739"/>
      <c r="W336" s="739"/>
      <c r="X336" s="739"/>
      <c r="Y336" s="739"/>
      <c r="Z336" s="739"/>
      <c r="AA336" s="345"/>
      <c r="AB336" s="345"/>
    </row>
    <row r="337" spans="1:28" ht="15" x14ac:dyDescent="0.2">
      <c r="B337" s="345" t="s">
        <v>2658</v>
      </c>
      <c r="D337" s="200" t="s">
        <v>817</v>
      </c>
      <c r="E337" s="737"/>
      <c r="F337" s="737"/>
      <c r="G337" s="737"/>
      <c r="H337" s="737"/>
      <c r="I337" s="737"/>
      <c r="J337" s="737"/>
      <c r="K337" s="737"/>
      <c r="L337" s="737"/>
      <c r="M337" s="737"/>
      <c r="N337" s="737"/>
      <c r="O337" s="737"/>
      <c r="P337" s="737"/>
      <c r="Q337" s="737"/>
      <c r="S337" s="737"/>
      <c r="V337" s="103"/>
      <c r="W337" s="104"/>
      <c r="X337" s="104"/>
      <c r="Y337" s="104"/>
      <c r="Z337" s="103"/>
      <c r="AA337" s="103"/>
      <c r="AB337" s="103"/>
    </row>
    <row r="338" spans="1:28" x14ac:dyDescent="0.2">
      <c r="B338" s="345" t="s">
        <v>2658</v>
      </c>
      <c r="D338" s="345" t="s">
        <v>775</v>
      </c>
      <c r="E338" s="737">
        <f>SUMIFS(FCPIS!$H$6:$H$899,FCPIS!$B$6:$B$899,$A338,FCPIS!$C$6:$C$899,$B338,FCPIS!$D$6:$D$899,E$4,FCPIS!$E$6:$E$899,$C338)*1000</f>
        <v>0</v>
      </c>
      <c r="F338" s="737"/>
      <c r="G338" s="737">
        <f>SUMIFS(FCPIS!$U$6:$U$899,FCPIS!$B$6:$B$899,$A338,FCPIS!$C$6:$C$899,$B338,FCPIS!$D$6:$D$899,G$4,FCPIS!$E$6:$E$899,$C338)*1000</f>
        <v>0</v>
      </c>
      <c r="H338" s="737"/>
      <c r="I338" s="737">
        <f>SUMIFS(FCPIS!$U$6:$U$899,FCPIS!$B$6:$B$899,$A338,FCPIS!$C$6:$C$899,$B338,FCPIS!$D$6:$D$899,I$4,FCPIS!$E$6:$E$899,$C338)*-1000</f>
        <v>0</v>
      </c>
      <c r="J338" s="737"/>
      <c r="K338" s="737">
        <f>SUMIFS(FCPIS!$U$6:$U$899,FCPIS!$B$6:$B$899,$A338,FCPIS!$C$6:$C$899,$B338,FCPIS!$D$6:$D$899,K$4,FCPIS!$E$6:$E$899,$C338)*1000</f>
        <v>0</v>
      </c>
      <c r="L338" s="737"/>
      <c r="M338" s="737">
        <f t="shared" ref="M338:M343" si="75">SUM(G338:K338)</f>
        <v>0</v>
      </c>
      <c r="N338" s="737"/>
      <c r="O338" s="737">
        <f t="shared" ref="O338:O343" si="76">E338+M338</f>
        <v>0</v>
      </c>
      <c r="P338" s="737"/>
      <c r="Q338" s="737">
        <f>SUMIFS(FCPIS!$V$6:$V$899,FCPIS!$B$6:$B$899,$A338,FCPIS!$C$6:$C$899,$B338,FCPIS!$D$6:$D$899,Q$4,FCPIS!$E$6:$E$899,$C338)*1000</f>
        <v>0</v>
      </c>
      <c r="S338" s="737">
        <f>SUMIFS(FCPIS!$V$6:$V$899,FCPIS!$B$6:$B$899,$A338,FCPIS!$C$6:$C$899,$B338,FCPIS!$D$6:$D$899,S$4,FCPIS!$E$6:$E$899,$C338)*-1000</f>
        <v>0</v>
      </c>
      <c r="W338" s="736"/>
      <c r="X338" s="736"/>
      <c r="Y338" s="736"/>
      <c r="AA338" s="345"/>
      <c r="AB338" s="345"/>
    </row>
    <row r="339" spans="1:28" x14ac:dyDescent="0.2">
      <c r="B339" s="345" t="s">
        <v>2658</v>
      </c>
      <c r="D339" s="345" t="s">
        <v>776</v>
      </c>
      <c r="E339" s="737">
        <f>SUMIFS(FCPIS!$H$6:$H$899,FCPIS!$B$6:$B$899,$A339,FCPIS!$C$6:$C$899,$B339,FCPIS!$D$6:$D$899,E$4,FCPIS!$E$6:$E$899,$C339)*1000</f>
        <v>0</v>
      </c>
      <c r="F339" s="737"/>
      <c r="G339" s="737">
        <f>SUMIFS(FCPIS!$U$6:$U$899,FCPIS!$B$6:$B$899,$A339,FCPIS!$C$6:$C$899,$B339,FCPIS!$D$6:$D$899,G$4,FCPIS!$E$6:$E$899,$C339)*1000</f>
        <v>0</v>
      </c>
      <c r="H339" s="737"/>
      <c r="I339" s="737">
        <f>SUMIFS(FCPIS!$U$6:$U$899,FCPIS!$B$6:$B$899,$A339,FCPIS!$C$6:$C$899,$B339,FCPIS!$D$6:$D$899,I$4,FCPIS!$E$6:$E$899,$C339)*-1000</f>
        <v>0</v>
      </c>
      <c r="J339" s="737"/>
      <c r="K339" s="737">
        <f>SUMIFS(FCPIS!$U$6:$U$899,FCPIS!$B$6:$B$899,$A339,FCPIS!$C$6:$C$899,$B339,FCPIS!$D$6:$D$899,K$4,FCPIS!$E$6:$E$899,$C339)*1000</f>
        <v>0</v>
      </c>
      <c r="L339" s="737"/>
      <c r="M339" s="737">
        <f t="shared" si="75"/>
        <v>0</v>
      </c>
      <c r="N339" s="737"/>
      <c r="O339" s="737">
        <f t="shared" si="76"/>
        <v>0</v>
      </c>
      <c r="P339" s="737"/>
      <c r="Q339" s="737">
        <f>SUMIFS(FCPIS!$V$6:$V$899,FCPIS!$B$6:$B$899,$A339,FCPIS!$C$6:$C$899,$B339,FCPIS!$D$6:$D$899,Q$4,FCPIS!$E$6:$E$899,$C339)*1000</f>
        <v>0</v>
      </c>
      <c r="S339" s="737">
        <f>SUMIFS(FCPIS!$V$6:$V$899,FCPIS!$B$6:$B$899,$A339,FCPIS!$C$6:$C$899,$B339,FCPIS!$D$6:$D$899,S$4,FCPIS!$E$6:$E$899,$C339)*-1000</f>
        <v>0</v>
      </c>
      <c r="V339" s="739"/>
      <c r="W339" s="739"/>
      <c r="X339" s="739"/>
      <c r="Y339" s="739"/>
      <c r="Z339" s="739"/>
      <c r="AA339" s="739"/>
      <c r="AB339" s="739"/>
    </row>
    <row r="340" spans="1:28" x14ac:dyDescent="0.2">
      <c r="B340" s="345" t="s">
        <v>2658</v>
      </c>
      <c r="D340" s="345" t="s">
        <v>778</v>
      </c>
      <c r="E340" s="737">
        <f>SUMIFS(FCPIS!$H$6:$H$899,FCPIS!$B$6:$B$899,$A340,FCPIS!$C$6:$C$899,$B340,FCPIS!$D$6:$D$899,E$4,FCPIS!$E$6:$E$899,$C340)*1000</f>
        <v>0</v>
      </c>
      <c r="F340" s="737"/>
      <c r="G340" s="737">
        <f>SUMIFS(FCPIS!$U$6:$U$899,FCPIS!$B$6:$B$899,$A340,FCPIS!$C$6:$C$899,$B340,FCPIS!$D$6:$D$899,G$4,FCPIS!$E$6:$E$899,$C340)*1000</f>
        <v>0</v>
      </c>
      <c r="H340" s="737"/>
      <c r="I340" s="737">
        <f>SUMIFS(FCPIS!$U$6:$U$899,FCPIS!$B$6:$B$899,$A340,FCPIS!$C$6:$C$899,$B340,FCPIS!$D$6:$D$899,I$4,FCPIS!$E$6:$E$899,$C340)*-1000</f>
        <v>0</v>
      </c>
      <c r="J340" s="737"/>
      <c r="K340" s="737">
        <f>SUMIFS(FCPIS!$U$6:$U$899,FCPIS!$B$6:$B$899,$A340,FCPIS!$C$6:$C$899,$B340,FCPIS!$D$6:$D$899,K$4,FCPIS!$E$6:$E$899,$C340)*1000</f>
        <v>0</v>
      </c>
      <c r="L340" s="737"/>
      <c r="M340" s="737">
        <f t="shared" si="75"/>
        <v>0</v>
      </c>
      <c r="N340" s="737"/>
      <c r="O340" s="737">
        <f t="shared" si="76"/>
        <v>0</v>
      </c>
      <c r="P340" s="737"/>
      <c r="Q340" s="737">
        <f>SUMIFS(FCPIS!$V$6:$V$899,FCPIS!$B$6:$B$899,$A340,FCPIS!$C$6:$C$899,$B340,FCPIS!$D$6:$D$899,Q$4,FCPIS!$E$6:$E$899,$C340)*1000</f>
        <v>0</v>
      </c>
      <c r="S340" s="737">
        <f>SUMIFS(FCPIS!$V$6:$V$899,FCPIS!$B$6:$B$899,$A340,FCPIS!$C$6:$C$899,$B340,FCPIS!$D$6:$D$899,S$4,FCPIS!$E$6:$E$899,$C340)*-1000</f>
        <v>0</v>
      </c>
      <c r="V340" s="739"/>
      <c r="W340" s="739"/>
      <c r="X340" s="739"/>
      <c r="Y340" s="739"/>
      <c r="Z340" s="739"/>
      <c r="AA340" s="739"/>
      <c r="AB340" s="739"/>
    </row>
    <row r="341" spans="1:28" x14ac:dyDescent="0.2">
      <c r="B341" s="345" t="s">
        <v>2658</v>
      </c>
      <c r="D341" s="345" t="s">
        <v>780</v>
      </c>
      <c r="E341" s="737">
        <f>SUMIFS(FCPIS!$H$6:$H$899,FCPIS!$B$6:$B$899,$A341,FCPIS!$C$6:$C$899,$B341,FCPIS!$D$6:$D$899,E$4,FCPIS!$E$6:$E$899,$C341)*1000</f>
        <v>0</v>
      </c>
      <c r="F341" s="737"/>
      <c r="G341" s="737">
        <f>SUMIFS(FCPIS!$U$6:$U$899,FCPIS!$B$6:$B$899,$A341,FCPIS!$C$6:$C$899,$B341,FCPIS!$D$6:$D$899,G$4,FCPIS!$E$6:$E$899,$C341)*1000</f>
        <v>0</v>
      </c>
      <c r="H341" s="737"/>
      <c r="I341" s="737">
        <f>SUMIFS(FCPIS!$U$6:$U$899,FCPIS!$B$6:$B$899,$A341,FCPIS!$C$6:$C$899,$B341,FCPIS!$D$6:$D$899,I$4,FCPIS!$E$6:$E$899,$C341)*-1000</f>
        <v>0</v>
      </c>
      <c r="J341" s="737"/>
      <c r="K341" s="737">
        <f>SUMIFS(FCPIS!$U$6:$U$899,FCPIS!$B$6:$B$899,$A341,FCPIS!$C$6:$C$899,$B341,FCPIS!$D$6:$D$899,K$4,FCPIS!$E$6:$E$899,$C341)*1000</f>
        <v>0</v>
      </c>
      <c r="L341" s="737"/>
      <c r="M341" s="737">
        <f t="shared" si="75"/>
        <v>0</v>
      </c>
      <c r="N341" s="737"/>
      <c r="O341" s="737">
        <f t="shared" si="76"/>
        <v>0</v>
      </c>
      <c r="P341" s="737"/>
      <c r="Q341" s="737">
        <f>SUMIFS(FCPIS!$V$6:$V$899,FCPIS!$B$6:$B$899,$A341,FCPIS!$C$6:$C$899,$B341,FCPIS!$D$6:$D$899,Q$4,FCPIS!$E$6:$E$899,$C341)*1000</f>
        <v>0</v>
      </c>
      <c r="S341" s="737">
        <f>SUMIFS(FCPIS!$V$6:$V$899,FCPIS!$B$6:$B$899,$A341,FCPIS!$C$6:$C$899,$B341,FCPIS!$D$6:$D$899,S$4,FCPIS!$E$6:$E$899,$C341)*-1000</f>
        <v>0</v>
      </c>
      <c r="V341" s="739"/>
      <c r="W341" s="739"/>
      <c r="X341" s="739"/>
      <c r="Y341" s="739"/>
      <c r="Z341" s="739"/>
      <c r="AA341" s="739"/>
      <c r="AB341" s="739"/>
    </row>
    <row r="342" spans="1:28" x14ac:dyDescent="0.2">
      <c r="B342" s="345" t="s">
        <v>2658</v>
      </c>
      <c r="D342" s="345" t="s">
        <v>818</v>
      </c>
      <c r="E342" s="737">
        <f>SUMIFS(FCPIS!$H$6:$H$899,FCPIS!$B$6:$B$899,$A342,FCPIS!$C$6:$C$899,$B342,FCPIS!$D$6:$D$899,E$4,FCPIS!$E$6:$E$899,$C342)*1000</f>
        <v>0</v>
      </c>
      <c r="F342" s="737"/>
      <c r="G342" s="737">
        <f>SUMIFS(FCPIS!$U$6:$U$899,FCPIS!$B$6:$B$899,$A342,FCPIS!$C$6:$C$899,$B342,FCPIS!$D$6:$D$899,G$4,FCPIS!$E$6:$E$899,$C342)*1000</f>
        <v>0</v>
      </c>
      <c r="H342" s="737"/>
      <c r="I342" s="737">
        <f>SUMIFS(FCPIS!$U$6:$U$899,FCPIS!$B$6:$B$899,$A342,FCPIS!$C$6:$C$899,$B342,FCPIS!$D$6:$D$899,I$4,FCPIS!$E$6:$E$899,$C342)*-1000</f>
        <v>0</v>
      </c>
      <c r="J342" s="737"/>
      <c r="K342" s="737">
        <f>SUMIFS(FCPIS!$U$6:$U$899,FCPIS!$B$6:$B$899,$A342,FCPIS!$C$6:$C$899,$B342,FCPIS!$D$6:$D$899,K$4,FCPIS!$E$6:$E$899,$C342)*1000</f>
        <v>0</v>
      </c>
      <c r="L342" s="737"/>
      <c r="M342" s="737">
        <f t="shared" si="75"/>
        <v>0</v>
      </c>
      <c r="N342" s="737"/>
      <c r="O342" s="737">
        <f t="shared" si="76"/>
        <v>0</v>
      </c>
      <c r="P342" s="737"/>
      <c r="Q342" s="737">
        <f>SUMIFS(FCPIS!$V$6:$V$899,FCPIS!$B$6:$B$899,$A342,FCPIS!$C$6:$C$899,$B342,FCPIS!$D$6:$D$899,Q$4,FCPIS!$E$6:$E$899,$C342)*1000</f>
        <v>0</v>
      </c>
      <c r="S342" s="737">
        <f>SUMIFS(FCPIS!$V$6:$V$899,FCPIS!$B$6:$B$899,$A342,FCPIS!$C$6:$C$899,$B342,FCPIS!$D$6:$D$899,S$4,FCPIS!$E$6:$E$899,$C342)*-1000</f>
        <v>0</v>
      </c>
      <c r="V342" s="739"/>
      <c r="W342" s="739"/>
      <c r="X342" s="739"/>
      <c r="Y342" s="739"/>
      <c r="Z342" s="739"/>
      <c r="AA342" s="739"/>
      <c r="AB342" s="739"/>
    </row>
    <row r="343" spans="1:28" x14ac:dyDescent="0.2">
      <c r="B343" s="345" t="s">
        <v>2658</v>
      </c>
      <c r="D343" s="345" t="s">
        <v>783</v>
      </c>
      <c r="E343" s="754">
        <f>SUMIFS(FCPIS!$H$6:$H$899,FCPIS!$B$6:$B$899,$A343,FCPIS!$C$6:$C$899,$B343,FCPIS!$D$6:$D$899,E$4,FCPIS!$E$6:$E$899,$C343)*1000</f>
        <v>0</v>
      </c>
      <c r="F343" s="737"/>
      <c r="G343" s="754">
        <f>SUMIFS(FCPIS!$U$6:$U$899,FCPIS!$B$6:$B$899,$A343,FCPIS!$C$6:$C$899,$B343,FCPIS!$D$6:$D$899,G$4,FCPIS!$E$6:$E$899,$C343)*1000</f>
        <v>0</v>
      </c>
      <c r="H343" s="737"/>
      <c r="I343" s="754">
        <f>SUMIFS(FCPIS!$U$6:$U$899,FCPIS!$B$6:$B$899,$A343,FCPIS!$C$6:$C$899,$B343,FCPIS!$D$6:$D$899,I$4,FCPIS!$E$6:$E$899,$C343)*-1000</f>
        <v>0</v>
      </c>
      <c r="J343" s="737"/>
      <c r="K343" s="754">
        <f>SUMIFS(FCPIS!$U$6:$U$899,FCPIS!$B$6:$B$899,$A343,FCPIS!$C$6:$C$899,$B343,FCPIS!$D$6:$D$899,K$4,FCPIS!$E$6:$E$899,$C343)*1000</f>
        <v>0</v>
      </c>
      <c r="L343" s="737"/>
      <c r="M343" s="754">
        <f t="shared" si="75"/>
        <v>0</v>
      </c>
      <c r="N343" s="737"/>
      <c r="O343" s="754">
        <f t="shared" si="76"/>
        <v>0</v>
      </c>
      <c r="P343" s="737"/>
      <c r="Q343" s="754">
        <f>SUMIFS(FCPIS!$V$6:$V$899,FCPIS!$B$6:$B$899,$A343,FCPIS!$C$6:$C$899,$B343,FCPIS!$D$6:$D$899,Q$4,FCPIS!$E$6:$E$899,$C343)*1000</f>
        <v>0</v>
      </c>
      <c r="S343" s="754">
        <f>SUMIFS(FCPIS!$V$6:$V$899,FCPIS!$B$6:$B$899,$A343,FCPIS!$C$6:$C$899,$B343,FCPIS!$D$6:$D$899,S$4,FCPIS!$E$6:$E$899,$C343)*-1000</f>
        <v>0</v>
      </c>
      <c r="V343" s="739"/>
      <c r="W343" s="739"/>
      <c r="X343" s="739"/>
      <c r="Y343" s="739"/>
      <c r="Z343" s="739"/>
      <c r="AA343" s="739"/>
      <c r="AB343" s="739"/>
    </row>
    <row r="344" spans="1:28" ht="15" x14ac:dyDescent="0.2">
      <c r="A344" s="356"/>
      <c r="B344" s="345" t="s">
        <v>2658</v>
      </c>
      <c r="C344" s="356"/>
      <c r="E344" s="737">
        <v>0</v>
      </c>
      <c r="F344" s="737"/>
      <c r="G344" s="737"/>
      <c r="H344" s="737"/>
      <c r="I344" s="737"/>
      <c r="J344" s="737"/>
      <c r="K344" s="737"/>
      <c r="L344" s="737"/>
      <c r="M344" s="737"/>
      <c r="N344" s="737"/>
      <c r="O344" s="737">
        <v>0</v>
      </c>
      <c r="P344" s="737"/>
      <c r="Q344" s="737">
        <v>0</v>
      </c>
      <c r="S344" s="737"/>
      <c r="V344" s="739"/>
      <c r="W344" s="739"/>
      <c r="X344" s="739"/>
      <c r="Y344" s="739"/>
      <c r="Z344" s="739"/>
      <c r="AA344" s="739"/>
      <c r="AB344" s="739"/>
    </row>
    <row r="345" spans="1:28" ht="15" x14ac:dyDescent="0.2">
      <c r="A345" s="356"/>
      <c r="B345" s="345" t="s">
        <v>2658</v>
      </c>
      <c r="C345" s="356"/>
      <c r="E345" s="737"/>
      <c r="F345" s="740"/>
      <c r="G345" s="737"/>
      <c r="H345" s="740"/>
      <c r="I345" s="737"/>
      <c r="J345" s="740"/>
      <c r="K345" s="737"/>
      <c r="L345" s="740"/>
      <c r="M345" s="737"/>
      <c r="N345" s="740"/>
      <c r="O345" s="737"/>
      <c r="P345" s="740"/>
      <c r="Q345" s="737"/>
      <c r="S345" s="737"/>
      <c r="V345" s="739"/>
      <c r="W345" s="739"/>
      <c r="X345" s="739"/>
      <c r="Y345" s="739"/>
      <c r="Z345" s="739"/>
      <c r="AA345" s="755"/>
      <c r="AB345" s="755"/>
    </row>
    <row r="346" spans="1:28" x14ac:dyDescent="0.2">
      <c r="A346" s="357"/>
      <c r="B346" s="345" t="s">
        <v>2658</v>
      </c>
      <c r="C346" s="357"/>
      <c r="D346" s="345" t="s">
        <v>740</v>
      </c>
      <c r="E346" s="737"/>
      <c r="F346" s="740"/>
      <c r="G346" s="737"/>
      <c r="H346" s="740"/>
      <c r="I346" s="737"/>
      <c r="J346" s="740"/>
      <c r="K346" s="737"/>
      <c r="L346" s="740"/>
      <c r="M346" s="737"/>
      <c r="N346" s="740"/>
      <c r="O346" s="737"/>
      <c r="P346" s="740"/>
      <c r="Q346" s="737"/>
      <c r="S346" s="737"/>
      <c r="V346" s="739"/>
      <c r="W346" s="739"/>
      <c r="X346" s="739"/>
      <c r="Y346" s="739"/>
      <c r="Z346" s="739"/>
      <c r="AA346" s="739"/>
      <c r="AB346" s="739"/>
    </row>
    <row r="347" spans="1:28" s="103" customFormat="1" ht="15" x14ac:dyDescent="0.2">
      <c r="A347" s="345" t="s">
        <v>935</v>
      </c>
      <c r="B347" s="345" t="s">
        <v>2658</v>
      </c>
      <c r="C347" s="345" t="str">
        <f>MID(D347,2,3)</f>
        <v>389</v>
      </c>
      <c r="D347" s="123" t="s">
        <v>741</v>
      </c>
      <c r="E347" s="754">
        <f>SUMIFS(FCPIS!$H$6:$H$899,FCPIS!$B$6:$B$899,$A347,FCPIS!$C$6:$C$899,$B347,FCPIS!$D$6:$D$899,E$4,FCPIS!$E$6:$E$899,$C347)*1000</f>
        <v>131956.31</v>
      </c>
      <c r="F347" s="345"/>
      <c r="G347" s="754">
        <f>SUMIFS(FCPIS!$U$6:$U$899,FCPIS!$B$6:$B$899,$A347,FCPIS!$C$6:$C$899,$B347,FCPIS!$D$6:$D$899,G$4,FCPIS!$E$6:$E$899,$C347)*1000</f>
        <v>0</v>
      </c>
      <c r="H347" s="345"/>
      <c r="I347" s="754">
        <f>SUMIFS(FCPIS!$U$6:$U$899,FCPIS!$B$6:$B$899,$A347,FCPIS!$C$6:$C$899,$B347,FCPIS!$D$6:$D$899,I$4,FCPIS!$E$6:$E$899,$C347)*-1000</f>
        <v>0</v>
      </c>
      <c r="J347" s="345"/>
      <c r="K347" s="754">
        <f>SUMIFS(FCPIS!$U$6:$U$899,FCPIS!$B$6:$B$899,$A347,FCPIS!$C$6:$C$899,$B347,FCPIS!$D$6:$D$899,K$4,FCPIS!$E$6:$E$899,$C347)*1000</f>
        <v>0</v>
      </c>
      <c r="L347" s="345"/>
      <c r="M347" s="754">
        <f>SUM(G347:K347)</f>
        <v>0</v>
      </c>
      <c r="N347" s="345"/>
      <c r="O347" s="754">
        <f>E347+M347</f>
        <v>131956.31</v>
      </c>
      <c r="P347" s="345"/>
      <c r="Q347" s="754">
        <f>SUMIFS(FCPIS!$V$6:$V$899,FCPIS!$B$6:$B$899,$A347,FCPIS!$C$6:$C$899,$B347,FCPIS!$D$6:$D$899,Q$4,FCPIS!$E$6:$E$899,$C347)*1000</f>
        <v>131956.31</v>
      </c>
      <c r="S347" s="754">
        <f>SUMIFS(FCPIS!$V$6:$V$899,FCPIS!$B$6:$B$899,$A347,FCPIS!$C$6:$C$899,$B347,FCPIS!$D$6:$D$899,S$4,FCPIS!$E$6:$E$899,$C347)*-1000</f>
        <v>0</v>
      </c>
      <c r="V347" s="345"/>
      <c r="W347" s="736"/>
      <c r="X347" s="736"/>
      <c r="Y347" s="736"/>
      <c r="Z347" s="345"/>
      <c r="AA347" s="755">
        <f>SUMIFS(FCPIS!$T$6:$T$899,FCPIS!$B$6:$B$899,$A347,FCPIS!$C$6:$C$899,$B347,FCPIS!$D$6:$D$899,AA$4,FCPIS!$E$6:$E$899,$C347)*1000</f>
        <v>131956.31</v>
      </c>
      <c r="AB347" s="755">
        <f>AA347-O347</f>
        <v>0</v>
      </c>
    </row>
    <row r="348" spans="1:28" x14ac:dyDescent="0.2">
      <c r="A348" s="357"/>
      <c r="B348" s="345" t="s">
        <v>2658</v>
      </c>
      <c r="C348" s="357"/>
      <c r="E348" s="737">
        <v>131956.31</v>
      </c>
      <c r="F348" s="740"/>
      <c r="G348" s="737"/>
      <c r="H348" s="740"/>
      <c r="I348" s="737"/>
      <c r="J348" s="740"/>
      <c r="K348" s="737"/>
      <c r="L348" s="740"/>
      <c r="M348" s="737"/>
      <c r="N348" s="740"/>
      <c r="O348" s="737">
        <v>131956.31</v>
      </c>
      <c r="P348" s="740"/>
      <c r="Q348" s="737">
        <v>131956.31</v>
      </c>
      <c r="S348" s="737"/>
      <c r="V348" s="742"/>
      <c r="W348" s="739"/>
      <c r="X348" s="739"/>
      <c r="Y348" s="739"/>
      <c r="Z348" s="742"/>
      <c r="AA348" s="739">
        <f>SUM(AA347)</f>
        <v>131956.31</v>
      </c>
      <c r="AB348" s="739">
        <f>SUM(AB347)</f>
        <v>0</v>
      </c>
    </row>
    <row r="349" spans="1:28" x14ac:dyDescent="0.2">
      <c r="A349" s="357"/>
      <c r="B349" s="345" t="s">
        <v>2658</v>
      </c>
      <c r="C349" s="357"/>
      <c r="F349" s="740"/>
      <c r="H349" s="740"/>
      <c r="J349" s="740"/>
      <c r="L349" s="740"/>
      <c r="N349" s="740"/>
      <c r="P349" s="740"/>
      <c r="S349" s="740"/>
      <c r="V349" s="742"/>
      <c r="W349" s="739"/>
      <c r="X349" s="739"/>
      <c r="Y349" s="739"/>
      <c r="Z349" s="742"/>
    </row>
    <row r="350" spans="1:28" ht="13.5" thickBot="1" x14ac:dyDescent="0.25">
      <c r="A350" s="357"/>
      <c r="B350" s="345" t="s">
        <v>2658</v>
      </c>
      <c r="C350" s="357"/>
      <c r="D350" s="200" t="s">
        <v>819</v>
      </c>
      <c r="E350" s="756">
        <v>1912919.75</v>
      </c>
      <c r="F350" s="740"/>
      <c r="G350" s="756"/>
      <c r="H350" s="740"/>
      <c r="I350" s="756"/>
      <c r="J350" s="740"/>
      <c r="K350" s="756"/>
      <c r="L350" s="740"/>
      <c r="M350" s="756"/>
      <c r="N350" s="740"/>
      <c r="O350" s="756">
        <v>1912919.75</v>
      </c>
      <c r="P350" s="740"/>
      <c r="Q350" s="756">
        <v>1912919.75</v>
      </c>
      <c r="S350" s="756"/>
      <c r="W350" s="739"/>
      <c r="X350" s="736"/>
      <c r="Y350" s="739"/>
      <c r="AA350" s="757">
        <f>SUM(AA330,AA334,AA348)</f>
        <v>1912919.75</v>
      </c>
      <c r="AB350" s="757">
        <f>SUM(AB330,AB334,AB348)</f>
        <v>0</v>
      </c>
    </row>
    <row r="351" spans="1:28" ht="13.5" thickTop="1" x14ac:dyDescent="0.2">
      <c r="A351" s="357"/>
      <c r="B351" s="357"/>
      <c r="C351" s="357"/>
      <c r="W351" s="739"/>
      <c r="X351" s="736"/>
      <c r="Y351" s="739"/>
    </row>
    <row r="352" spans="1:28" x14ac:dyDescent="0.2">
      <c r="A352" s="357"/>
      <c r="B352" s="357"/>
      <c r="C352" s="357"/>
      <c r="W352" s="739"/>
      <c r="X352" s="736"/>
      <c r="Y352" s="739"/>
    </row>
    <row r="353" spans="1:28" s="356" customFormat="1" ht="15" x14ac:dyDescent="0.2">
      <c r="A353" s="357"/>
      <c r="B353" s="357"/>
      <c r="C353" s="357"/>
      <c r="D353" s="565" t="s">
        <v>716</v>
      </c>
      <c r="E353" s="565"/>
      <c r="F353" s="565"/>
      <c r="G353" s="565"/>
      <c r="H353" s="565"/>
      <c r="I353" s="565"/>
      <c r="J353" s="565"/>
      <c r="K353" s="565"/>
      <c r="L353" s="565"/>
      <c r="M353" s="565"/>
      <c r="N353" s="565"/>
      <c r="O353" s="565"/>
      <c r="P353" s="565"/>
      <c r="Q353" s="565"/>
      <c r="V353" s="345"/>
      <c r="W353" s="739"/>
      <c r="X353" s="736"/>
      <c r="Y353" s="739"/>
      <c r="Z353" s="345"/>
      <c r="AA353" s="742"/>
      <c r="AB353" s="742"/>
    </row>
    <row r="354" spans="1:28" s="356" customFormat="1" ht="15" x14ac:dyDescent="0.2">
      <c r="A354" s="357"/>
      <c r="B354" s="357"/>
      <c r="C354" s="357"/>
      <c r="D354" s="565" t="s">
        <v>1378</v>
      </c>
      <c r="E354" s="565"/>
      <c r="F354" s="565"/>
      <c r="G354" s="565"/>
      <c r="H354" s="565"/>
      <c r="I354" s="565"/>
      <c r="J354" s="565"/>
      <c r="K354" s="565"/>
      <c r="L354" s="565"/>
      <c r="M354" s="565"/>
      <c r="N354" s="565"/>
      <c r="O354" s="565"/>
      <c r="P354" s="565"/>
      <c r="Q354" s="565"/>
      <c r="W354" s="571"/>
      <c r="X354" s="571"/>
      <c r="Y354" s="571"/>
    </row>
    <row r="355" spans="1:28" s="357" customFormat="1" ht="15" x14ac:dyDescent="0.2">
      <c r="D355" s="562" t="str">
        <f>D$3</f>
        <v>FORECAST PERIOD: APRIL 2020</v>
      </c>
      <c r="E355" s="563"/>
      <c r="F355" s="563"/>
      <c r="G355" s="563"/>
      <c r="H355" s="563"/>
      <c r="I355" s="563"/>
      <c r="J355" s="563"/>
      <c r="K355" s="563"/>
      <c r="L355" s="563"/>
      <c r="M355" s="563"/>
      <c r="N355" s="563"/>
      <c r="O355" s="563"/>
      <c r="P355" s="563"/>
      <c r="Q355" s="563"/>
      <c r="V355" s="356"/>
      <c r="W355" s="571"/>
      <c r="X355" s="571"/>
      <c r="Y355" s="571"/>
      <c r="Z355" s="356"/>
      <c r="AA355" s="356"/>
      <c r="AB355" s="356"/>
    </row>
    <row r="356" spans="1:28" s="357" customFormat="1" x14ac:dyDescent="0.2">
      <c r="D356" s="758"/>
      <c r="E356" s="758"/>
      <c r="F356" s="758"/>
      <c r="G356" s="758"/>
      <c r="H356" s="758"/>
      <c r="I356" s="758"/>
      <c r="J356" s="758"/>
      <c r="K356" s="758"/>
      <c r="L356" s="758"/>
      <c r="M356" s="758"/>
      <c r="N356" s="758"/>
      <c r="O356" s="758"/>
      <c r="P356" s="758"/>
      <c r="Q356" s="758"/>
      <c r="W356" s="759"/>
      <c r="X356" s="759"/>
      <c r="Y356" s="759"/>
    </row>
    <row r="357" spans="1:28" s="357" customFormat="1" ht="15" x14ac:dyDescent="0.25">
      <c r="E357" s="733" t="s">
        <v>1604</v>
      </c>
      <c r="V357" s="758"/>
      <c r="W357" s="760"/>
      <c r="X357" s="760"/>
      <c r="Y357" s="760"/>
      <c r="Z357" s="758"/>
      <c r="AA357" s="560" t="s">
        <v>2305</v>
      </c>
      <c r="AB357" s="560"/>
    </row>
    <row r="358" spans="1:28" s="357" customFormat="1" ht="15" x14ac:dyDescent="0.25">
      <c r="E358" s="761" t="s">
        <v>717</v>
      </c>
      <c r="G358" s="762"/>
      <c r="I358" s="762"/>
      <c r="K358" s="761" t="s">
        <v>718</v>
      </c>
      <c r="M358" s="762"/>
      <c r="O358" s="761" t="s">
        <v>719</v>
      </c>
      <c r="Q358" s="761" t="s">
        <v>719</v>
      </c>
      <c r="V358" s="723"/>
      <c r="W358" s="751"/>
      <c r="X358" s="751"/>
      <c r="Y358" s="751"/>
      <c r="Z358" s="723"/>
      <c r="AA358" s="763" t="s">
        <v>1605</v>
      </c>
      <c r="AB358" s="723"/>
    </row>
    <row r="359" spans="1:28" s="357" customFormat="1" x14ac:dyDescent="0.2">
      <c r="E359" s="764" t="s">
        <v>720</v>
      </c>
      <c r="G359" s="764" t="s">
        <v>721</v>
      </c>
      <c r="I359" s="764" t="s">
        <v>722</v>
      </c>
      <c r="K359" s="764" t="s">
        <v>723</v>
      </c>
      <c r="M359" s="764" t="s">
        <v>724</v>
      </c>
      <c r="O359" s="764" t="s">
        <v>720</v>
      </c>
      <c r="Q359" s="764" t="s">
        <v>720</v>
      </c>
      <c r="W359" s="765"/>
      <c r="X359" s="759"/>
      <c r="Y359" s="765"/>
      <c r="AA359" s="340" t="s">
        <v>719</v>
      </c>
      <c r="AB359" s="766"/>
    </row>
    <row r="360" spans="1:28" s="357" customFormat="1" x14ac:dyDescent="0.2">
      <c r="A360" s="759"/>
      <c r="B360" s="759"/>
      <c r="C360" s="759"/>
      <c r="E360" s="765"/>
      <c r="G360" s="765"/>
      <c r="I360" s="765"/>
      <c r="K360" s="765"/>
      <c r="M360" s="765"/>
      <c r="O360" s="765"/>
      <c r="Q360" s="765"/>
      <c r="W360" s="765"/>
      <c r="X360" s="759"/>
      <c r="Y360" s="765"/>
      <c r="AA360" s="341" t="s">
        <v>720</v>
      </c>
      <c r="AB360" s="341" t="s">
        <v>1592</v>
      </c>
    </row>
    <row r="361" spans="1:28" s="357" customFormat="1" x14ac:dyDescent="0.2">
      <c r="D361" s="333" t="s">
        <v>1237</v>
      </c>
      <c r="W361" s="765"/>
      <c r="X361" s="759"/>
      <c r="Y361" s="765"/>
      <c r="AA361" s="765"/>
      <c r="AB361" s="765"/>
    </row>
    <row r="362" spans="1:28" s="357" customFormat="1" x14ac:dyDescent="0.2">
      <c r="D362" s="333" t="s">
        <v>817</v>
      </c>
      <c r="E362" s="767"/>
      <c r="F362" s="767"/>
      <c r="G362" s="767"/>
      <c r="H362" s="767"/>
      <c r="I362" s="767"/>
      <c r="J362" s="767"/>
      <c r="K362" s="767"/>
      <c r="L362" s="767"/>
      <c r="M362" s="767"/>
      <c r="N362" s="767"/>
      <c r="O362" s="767"/>
      <c r="P362" s="767"/>
      <c r="Q362" s="767"/>
      <c r="R362" s="369"/>
      <c r="S362" s="368"/>
      <c r="W362" s="759"/>
      <c r="X362" s="759"/>
      <c r="Y362" s="759"/>
    </row>
    <row r="363" spans="1:28" s="357" customFormat="1" x14ac:dyDescent="0.2">
      <c r="D363" s="357" t="s">
        <v>1238</v>
      </c>
      <c r="E363" s="767">
        <v>0</v>
      </c>
      <c r="F363" s="767"/>
      <c r="G363" s="767">
        <v>0</v>
      </c>
      <c r="H363" s="767"/>
      <c r="I363" s="767">
        <v>0</v>
      </c>
      <c r="J363" s="767"/>
      <c r="K363" s="767">
        <v>0</v>
      </c>
      <c r="L363" s="767"/>
      <c r="M363" s="767">
        <v>0</v>
      </c>
      <c r="N363" s="767"/>
      <c r="O363" s="767">
        <v>0</v>
      </c>
      <c r="P363" s="767"/>
      <c r="Q363" s="767">
        <v>0</v>
      </c>
      <c r="R363" s="369"/>
      <c r="S363" s="368"/>
      <c r="V363" s="767"/>
      <c r="W363" s="767"/>
      <c r="X363" s="767"/>
      <c r="Y363" s="767"/>
      <c r="Z363" s="767"/>
      <c r="AA363" s="767"/>
      <c r="AB363" s="767"/>
    </row>
    <row r="364" spans="1:28" s="357" customFormat="1" x14ac:dyDescent="0.2">
      <c r="D364" s="357" t="s">
        <v>776</v>
      </c>
      <c r="E364" s="767">
        <v>0</v>
      </c>
      <c r="F364" s="767"/>
      <c r="G364" s="767">
        <v>0</v>
      </c>
      <c r="H364" s="767"/>
      <c r="I364" s="767">
        <v>0</v>
      </c>
      <c r="J364" s="767"/>
      <c r="K364" s="767">
        <v>0</v>
      </c>
      <c r="L364" s="767"/>
      <c r="M364" s="767">
        <v>0</v>
      </c>
      <c r="N364" s="767"/>
      <c r="O364" s="767">
        <v>0</v>
      </c>
      <c r="P364" s="767"/>
      <c r="Q364" s="767">
        <v>0</v>
      </c>
      <c r="R364" s="369"/>
      <c r="S364" s="368"/>
      <c r="V364" s="767"/>
      <c r="W364" s="767"/>
      <c r="X364" s="767"/>
      <c r="Y364" s="767"/>
      <c r="Z364" s="767"/>
      <c r="AA364" s="767"/>
      <c r="AB364" s="767">
        <f t="shared" ref="AB364:AB369" si="77">AA364-O364</f>
        <v>0</v>
      </c>
    </row>
    <row r="365" spans="1:28" s="357" customFormat="1" x14ac:dyDescent="0.2">
      <c r="D365" s="357" t="s">
        <v>778</v>
      </c>
      <c r="E365" s="767">
        <v>0</v>
      </c>
      <c r="F365" s="767"/>
      <c r="G365" s="767">
        <v>0</v>
      </c>
      <c r="H365" s="767"/>
      <c r="I365" s="767">
        <v>0</v>
      </c>
      <c r="J365" s="767"/>
      <c r="K365" s="767">
        <v>0</v>
      </c>
      <c r="L365" s="767"/>
      <c r="M365" s="767">
        <v>0</v>
      </c>
      <c r="N365" s="767"/>
      <c r="O365" s="767">
        <v>0</v>
      </c>
      <c r="P365" s="767"/>
      <c r="Q365" s="767">
        <v>0</v>
      </c>
      <c r="R365" s="369"/>
      <c r="S365" s="368"/>
      <c r="V365" s="767"/>
      <c r="W365" s="767"/>
      <c r="X365" s="767"/>
      <c r="Y365" s="767"/>
      <c r="Z365" s="767"/>
      <c r="AA365" s="767"/>
      <c r="AB365" s="767">
        <f t="shared" si="77"/>
        <v>0</v>
      </c>
    </row>
    <row r="366" spans="1:28" s="357" customFormat="1" x14ac:dyDescent="0.2">
      <c r="A366" s="345"/>
      <c r="B366" s="345"/>
      <c r="C366" s="345"/>
      <c r="D366" s="357" t="s">
        <v>780</v>
      </c>
      <c r="E366" s="767">
        <v>0</v>
      </c>
      <c r="F366" s="767"/>
      <c r="G366" s="767">
        <v>0</v>
      </c>
      <c r="H366" s="767"/>
      <c r="I366" s="767">
        <v>0</v>
      </c>
      <c r="J366" s="767"/>
      <c r="K366" s="767">
        <v>0</v>
      </c>
      <c r="L366" s="767"/>
      <c r="M366" s="767">
        <v>0</v>
      </c>
      <c r="N366" s="767"/>
      <c r="O366" s="767">
        <v>0</v>
      </c>
      <c r="P366" s="767"/>
      <c r="Q366" s="767">
        <v>0</v>
      </c>
      <c r="R366" s="369"/>
      <c r="S366" s="368"/>
      <c r="V366" s="767"/>
      <c r="W366" s="767"/>
      <c r="X366" s="767"/>
      <c r="Y366" s="767"/>
      <c r="Z366" s="767"/>
      <c r="AA366" s="767"/>
      <c r="AB366" s="767">
        <f t="shared" si="77"/>
        <v>0</v>
      </c>
    </row>
    <row r="367" spans="1:28" s="759" customFormat="1" x14ac:dyDescent="0.2">
      <c r="A367" s="345"/>
      <c r="B367" s="345"/>
      <c r="C367" s="345"/>
      <c r="D367" s="759" t="s">
        <v>818</v>
      </c>
      <c r="E367" s="767">
        <v>0</v>
      </c>
      <c r="F367" s="767"/>
      <c r="G367" s="767">
        <v>0</v>
      </c>
      <c r="H367" s="767"/>
      <c r="I367" s="767">
        <v>0</v>
      </c>
      <c r="J367" s="767"/>
      <c r="K367" s="767">
        <v>0</v>
      </c>
      <c r="L367" s="767"/>
      <c r="M367" s="767">
        <v>0</v>
      </c>
      <c r="N367" s="767"/>
      <c r="O367" s="767">
        <v>0</v>
      </c>
      <c r="P367" s="767"/>
      <c r="Q367" s="767">
        <v>0</v>
      </c>
      <c r="R367" s="369"/>
      <c r="S367" s="369"/>
      <c r="V367" s="767"/>
      <c r="W367" s="767"/>
      <c r="X367" s="767"/>
      <c r="Y367" s="767"/>
      <c r="Z367" s="767"/>
      <c r="AA367" s="767"/>
      <c r="AB367" s="767">
        <f t="shared" si="77"/>
        <v>0</v>
      </c>
    </row>
    <row r="368" spans="1:28" s="357" customFormat="1" x14ac:dyDescent="0.2">
      <c r="A368" s="345"/>
      <c r="B368" s="345"/>
      <c r="C368" s="345"/>
      <c r="D368" s="357" t="s">
        <v>783</v>
      </c>
      <c r="E368" s="768">
        <v>0</v>
      </c>
      <c r="F368" s="767"/>
      <c r="G368" s="768">
        <v>0</v>
      </c>
      <c r="H368" s="767"/>
      <c r="I368" s="768">
        <v>0</v>
      </c>
      <c r="J368" s="767"/>
      <c r="K368" s="768">
        <v>0</v>
      </c>
      <c r="L368" s="767"/>
      <c r="M368" s="768">
        <v>0</v>
      </c>
      <c r="N368" s="767"/>
      <c r="O368" s="768">
        <v>0</v>
      </c>
      <c r="P368" s="767"/>
      <c r="Q368" s="768">
        <v>0</v>
      </c>
      <c r="R368" s="369"/>
      <c r="S368" s="368"/>
      <c r="V368" s="767"/>
      <c r="W368" s="767"/>
      <c r="X368" s="767"/>
      <c r="Y368" s="767"/>
      <c r="Z368" s="767"/>
      <c r="AA368" s="767"/>
      <c r="AB368" s="767">
        <f t="shared" si="77"/>
        <v>0</v>
      </c>
    </row>
    <row r="369" spans="1:28" s="357" customFormat="1" x14ac:dyDescent="0.2">
      <c r="A369" s="345"/>
      <c r="B369" s="345"/>
      <c r="C369" s="345"/>
      <c r="E369" s="767">
        <v>0</v>
      </c>
      <c r="F369" s="767"/>
      <c r="G369" s="767">
        <v>0</v>
      </c>
      <c r="H369" s="767"/>
      <c r="I369" s="767">
        <v>0</v>
      </c>
      <c r="J369" s="767"/>
      <c r="K369" s="767">
        <v>0</v>
      </c>
      <c r="L369" s="767"/>
      <c r="M369" s="767">
        <v>0</v>
      </c>
      <c r="N369" s="767"/>
      <c r="O369" s="767">
        <v>0</v>
      </c>
      <c r="P369" s="767"/>
      <c r="Q369" s="767">
        <v>0</v>
      </c>
      <c r="R369" s="369"/>
      <c r="S369" s="368"/>
      <c r="V369" s="767"/>
      <c r="W369" s="767"/>
      <c r="X369" s="767"/>
      <c r="Y369" s="767"/>
      <c r="Z369" s="767"/>
      <c r="AA369" s="768"/>
      <c r="AB369" s="768">
        <f t="shared" si="77"/>
        <v>0</v>
      </c>
    </row>
    <row r="370" spans="1:28" s="357" customFormat="1" x14ac:dyDescent="0.2">
      <c r="A370" s="345"/>
      <c r="B370" s="345"/>
      <c r="C370" s="345"/>
      <c r="E370" s="767"/>
      <c r="F370" s="762"/>
      <c r="G370" s="767"/>
      <c r="H370" s="762"/>
      <c r="I370" s="767"/>
      <c r="J370" s="762"/>
      <c r="K370" s="767"/>
      <c r="L370" s="762"/>
      <c r="M370" s="767"/>
      <c r="N370" s="762"/>
      <c r="O370" s="767"/>
      <c r="P370" s="762"/>
      <c r="Q370" s="767"/>
      <c r="R370" s="368"/>
      <c r="S370" s="368"/>
      <c r="V370" s="767"/>
      <c r="W370" s="767"/>
      <c r="X370" s="767"/>
      <c r="Y370" s="767"/>
      <c r="Z370" s="767"/>
      <c r="AA370" s="767"/>
      <c r="AB370" s="767"/>
    </row>
    <row r="371" spans="1:28" s="357" customFormat="1" x14ac:dyDescent="0.2">
      <c r="A371" s="345"/>
      <c r="B371" s="345"/>
      <c r="C371" s="345"/>
      <c r="E371" s="762"/>
      <c r="F371" s="762"/>
      <c r="G371" s="762"/>
      <c r="H371" s="762"/>
      <c r="I371" s="762"/>
      <c r="J371" s="762"/>
      <c r="K371" s="762"/>
      <c r="L371" s="762"/>
      <c r="M371" s="762"/>
      <c r="N371" s="762"/>
      <c r="O371" s="762"/>
      <c r="P371" s="762"/>
      <c r="Q371" s="762"/>
      <c r="R371" s="368"/>
      <c r="S371" s="368"/>
      <c r="V371" s="762"/>
      <c r="W371" s="767"/>
      <c r="X371" s="767"/>
      <c r="Y371" s="767"/>
      <c r="Z371" s="762"/>
      <c r="AA371" s="767"/>
      <c r="AB371" s="767"/>
    </row>
    <row r="372" spans="1:28" s="357" customFormat="1" ht="13.5" thickBot="1" x14ac:dyDescent="0.25">
      <c r="A372" s="345"/>
      <c r="B372" s="345"/>
      <c r="C372" s="345"/>
      <c r="D372" s="333" t="s">
        <v>1239</v>
      </c>
      <c r="E372" s="769">
        <v>0</v>
      </c>
      <c r="F372" s="762"/>
      <c r="G372" s="769">
        <v>0</v>
      </c>
      <c r="H372" s="762"/>
      <c r="I372" s="769">
        <v>0</v>
      </c>
      <c r="J372" s="762"/>
      <c r="K372" s="769">
        <v>0</v>
      </c>
      <c r="L372" s="762"/>
      <c r="M372" s="769">
        <v>0</v>
      </c>
      <c r="N372" s="762"/>
      <c r="O372" s="769">
        <v>0</v>
      </c>
      <c r="P372" s="762"/>
      <c r="Q372" s="769">
        <v>0</v>
      </c>
      <c r="R372" s="368"/>
      <c r="S372" s="368"/>
      <c r="V372" s="762"/>
      <c r="W372" s="767"/>
      <c r="X372" s="767"/>
      <c r="Y372" s="767"/>
      <c r="Z372" s="762"/>
      <c r="AA372" s="762"/>
      <c r="AB372" s="762"/>
    </row>
    <row r="373" spans="1:28" ht="14.25" thickTop="1" thickBot="1" x14ac:dyDescent="0.25">
      <c r="V373" s="762"/>
      <c r="W373" s="767"/>
      <c r="X373" s="767"/>
      <c r="Y373" s="767"/>
      <c r="Z373" s="762"/>
      <c r="AA373" s="769">
        <v>0</v>
      </c>
      <c r="AB373" s="769">
        <v>0</v>
      </c>
    </row>
    <row r="374" spans="1:28" ht="13.5" thickTop="1" x14ac:dyDescent="0.2">
      <c r="W374" s="739"/>
      <c r="X374" s="736"/>
      <c r="Y374" s="739"/>
    </row>
  </sheetData>
  <phoneticPr fontId="31" type="noConversion"/>
  <pageMargins left="0.75" right="0.75" top="1" bottom="1" header="0.5" footer="0.5"/>
  <pageSetup scale="66" fitToHeight="0" orientation="landscape" r:id="rId1"/>
  <headerFooter alignWithMargins="0">
    <oddFooter>&amp;L&amp;Z
&amp;F&amp;C&amp;A&amp;R5.&amp;P</oddFooter>
  </headerFooter>
  <rowBreaks count="7" manualBreakCount="7">
    <brk id="48" min="3" max="16" man="1"/>
    <brk id="81" max="16383" man="1"/>
    <brk id="116" min="3" max="16" man="1"/>
    <brk id="152" max="16383" man="1"/>
    <brk id="182" max="16383" man="1"/>
    <brk id="259" max="16383" man="1"/>
    <brk id="2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6"/>
  <sheetViews>
    <sheetView zoomScale="70" zoomScaleNormal="70" workbookViewId="0">
      <pane xSplit="6" ySplit="3" topLeftCell="G4" activePane="bottomRight" state="frozen"/>
      <selection activeCell="I39" sqref="I39"/>
      <selection pane="topRight" activeCell="I39" sqref="I39"/>
      <selection pane="bottomLeft" activeCell="I39" sqref="I39"/>
      <selection pane="bottomRight" activeCell="K23" sqref="K23"/>
    </sheetView>
  </sheetViews>
  <sheetFormatPr defaultColWidth="7.77734375" defaultRowHeight="15" x14ac:dyDescent="0.25"/>
  <cols>
    <col min="1" max="1" width="5.21875" style="567" customWidth="1"/>
    <col min="2" max="3" width="4.21875" style="567" customWidth="1"/>
    <col min="4" max="4" width="6.44140625" style="567" customWidth="1"/>
    <col min="5" max="5" width="5.33203125" style="567" customWidth="1"/>
    <col min="6" max="6" width="60.5546875" style="865" customWidth="1"/>
    <col min="7" max="7" width="11.6640625" style="566" customWidth="1"/>
    <col min="8" max="20" width="9.33203125" style="567" customWidth="1"/>
    <col min="21" max="21" width="12.21875" style="567" customWidth="1"/>
    <col min="22" max="22" width="10.21875" style="567" customWidth="1"/>
    <col min="23" max="24" width="10.33203125" style="567" bestFit="1" customWidth="1"/>
    <col min="25" max="16384" width="7.77734375" style="567"/>
  </cols>
  <sheetData>
    <row r="1" spans="1:22" s="771" customFormat="1" ht="18.75" x14ac:dyDescent="0.3">
      <c r="A1" s="770"/>
      <c r="F1" s="863"/>
      <c r="G1" s="772"/>
    </row>
    <row r="2" spans="1:22" s="771" customFormat="1" ht="30" x14ac:dyDescent="0.25">
      <c r="A2" s="771" t="s">
        <v>1606</v>
      </c>
      <c r="B2" s="771" t="s">
        <v>1607</v>
      </c>
      <c r="C2" s="771" t="s">
        <v>2642</v>
      </c>
      <c r="D2" s="771" t="s">
        <v>2643</v>
      </c>
      <c r="E2" s="771" t="s">
        <v>1608</v>
      </c>
      <c r="F2" s="864"/>
      <c r="G2" s="773" t="s">
        <v>2644</v>
      </c>
      <c r="H2" s="771" t="s">
        <v>1504</v>
      </c>
      <c r="I2" s="771" t="s">
        <v>2454</v>
      </c>
      <c r="J2" s="771" t="s">
        <v>2455</v>
      </c>
      <c r="K2" s="771" t="s">
        <v>2456</v>
      </c>
      <c r="L2" s="771" t="s">
        <v>2457</v>
      </c>
      <c r="M2" s="771" t="s">
        <v>2458</v>
      </c>
      <c r="N2" s="771" t="s">
        <v>2459</v>
      </c>
      <c r="O2" s="771" t="s">
        <v>2460</v>
      </c>
      <c r="P2" s="771" t="s">
        <v>2461</v>
      </c>
      <c r="Q2" s="771" t="s">
        <v>2462</v>
      </c>
      <c r="R2" s="771" t="s">
        <v>2463</v>
      </c>
      <c r="S2" s="771" t="s">
        <v>2464</v>
      </c>
      <c r="T2" s="771" t="s">
        <v>2465</v>
      </c>
      <c r="U2" s="771" t="s">
        <v>2466</v>
      </c>
      <c r="V2" s="771" t="s">
        <v>1580</v>
      </c>
    </row>
    <row r="3" spans="1:22" s="771" customFormat="1" x14ac:dyDescent="0.25">
      <c r="F3" s="864"/>
      <c r="G3" s="772"/>
    </row>
    <row r="5" spans="1:22" x14ac:dyDescent="0.25">
      <c r="F5" s="862" t="s">
        <v>1609</v>
      </c>
      <c r="G5" s="774"/>
    </row>
    <row r="6" spans="1:22" x14ac:dyDescent="0.25">
      <c r="A6" s="567" t="str">
        <f t="shared" ref="A6:A69" si="0">MID($F6,4,2)</f>
        <v>KU</v>
      </c>
      <c r="B6" s="567" t="str">
        <f t="shared" ref="B6:B65" si="1">IF(MID($F6,12,2)="- ","KY",IF(MID($F6,12,2)="SY","KY",MID($F6,12,2)))</f>
        <v>KY</v>
      </c>
      <c r="C6" s="567" t="str">
        <f>IF(ISTEXT(MID($F6,SEARCH("FUTURE USE",$F6),3)),"F",IF(MID($F6,7,1)="1","E",IF(MID($F6,7,1)="2","G",IF(MID($F6,7,1)="3","C",""))))</f>
        <v>E</v>
      </c>
      <c r="D6" s="567" t="s">
        <v>2645</v>
      </c>
      <c r="E6" s="567" t="str">
        <f t="shared" ref="E6:E69" si="2">MID($F6,8,3)</f>
        <v>301</v>
      </c>
      <c r="F6" s="864" t="s">
        <v>1610</v>
      </c>
      <c r="G6" s="566" t="str">
        <f t="shared" ref="G6:G19" si="3">IF(ISTEXT(MID($F6,SEARCH("FUTURE USE",$F6),3)),"FUTURE USE",IF(ISTEXT(MID($F6,SEARCH("ECR",$F6),3)),"ECR",IF(ISTEXT(MID($F6,SEARCH("ARO",$F6),3)),"ARO",IF(ISTEXT(MID($F6,SEARCH("DSM",$F6),3)),"DSM",""))))</f>
        <v/>
      </c>
      <c r="H6" s="567">
        <v>39.116889999999998</v>
      </c>
      <c r="I6" s="567">
        <v>39.116889999999998</v>
      </c>
      <c r="J6" s="567">
        <v>39.116889999999998</v>
      </c>
      <c r="K6" s="567">
        <v>39.116889999999998</v>
      </c>
      <c r="L6" s="567">
        <v>39.116889999999998</v>
      </c>
      <c r="M6" s="567">
        <v>39.116889999999998</v>
      </c>
      <c r="N6" s="567">
        <v>39.116889999999998</v>
      </c>
      <c r="O6" s="567">
        <v>39.116889999999998</v>
      </c>
      <c r="P6" s="567">
        <v>39.116889999999998</v>
      </c>
      <c r="Q6" s="567">
        <v>39.116889999999998</v>
      </c>
      <c r="R6" s="567">
        <v>39.116889999999998</v>
      </c>
      <c r="S6" s="567">
        <v>39.116889999999998</v>
      </c>
      <c r="T6" s="567">
        <v>39.116889999999998</v>
      </c>
      <c r="V6" s="567">
        <f>SUM(H6:T6)/13</f>
        <v>39.116890000000005</v>
      </c>
    </row>
    <row r="7" spans="1:22" x14ac:dyDescent="0.25">
      <c r="A7" s="567" t="str">
        <f t="shared" si="0"/>
        <v>KU</v>
      </c>
      <c r="B7" s="567" t="str">
        <f t="shared" si="1"/>
        <v>VA</v>
      </c>
      <c r="C7" s="567" t="str">
        <f t="shared" ref="C7:C70" si="4">IF(ISTEXT(MID($F7,SEARCH("FUTURE USE",$F7),3)),"F",IF(MID($F7,7,1)="1","E",IF(MID($F7,7,1)="2","G",IF(MID($F7,7,1)="3","C",""))))</f>
        <v>E</v>
      </c>
      <c r="D7" s="567" t="s">
        <v>2645</v>
      </c>
      <c r="E7" s="567" t="str">
        <f t="shared" si="2"/>
        <v>301</v>
      </c>
      <c r="F7" s="864" t="s">
        <v>1611</v>
      </c>
      <c r="G7" s="566" t="str">
        <f t="shared" si="3"/>
        <v/>
      </c>
      <c r="H7" s="567">
        <v>5.3386899999999997</v>
      </c>
      <c r="I7" s="567">
        <v>5.3386899999999997</v>
      </c>
      <c r="J7" s="567">
        <v>5.3386899999999997</v>
      </c>
      <c r="K7" s="567">
        <v>5.3386899999999997</v>
      </c>
      <c r="L7" s="567">
        <v>5.3386899999999997</v>
      </c>
      <c r="M7" s="567">
        <v>5.3386899999999997</v>
      </c>
      <c r="N7" s="567">
        <v>5.3386899999999997</v>
      </c>
      <c r="O7" s="567">
        <v>5.3386899999999997</v>
      </c>
      <c r="P7" s="567">
        <v>5.3386899999999997</v>
      </c>
      <c r="Q7" s="567">
        <v>5.3386899999999997</v>
      </c>
      <c r="R7" s="567">
        <v>5.3386899999999997</v>
      </c>
      <c r="S7" s="567">
        <v>5.3386899999999997</v>
      </c>
      <c r="T7" s="567">
        <v>5.3386899999999997</v>
      </c>
      <c r="V7" s="567">
        <f t="shared" ref="V7:V70" si="5">SUM(H7:T7)/13</f>
        <v>5.3386899999999997</v>
      </c>
    </row>
    <row r="8" spans="1:22" x14ac:dyDescent="0.25">
      <c r="A8" s="567" t="str">
        <f t="shared" si="0"/>
        <v>KU</v>
      </c>
      <c r="B8" s="567" t="str">
        <f t="shared" si="1"/>
        <v>KY</v>
      </c>
      <c r="C8" s="567" t="str">
        <f t="shared" si="4"/>
        <v>E</v>
      </c>
      <c r="D8" s="567" t="s">
        <v>2645</v>
      </c>
      <c r="E8" s="567" t="str">
        <f t="shared" si="2"/>
        <v>302</v>
      </c>
      <c r="F8" s="864" t="s">
        <v>1612</v>
      </c>
      <c r="G8" s="566" t="str">
        <f t="shared" si="3"/>
        <v/>
      </c>
      <c r="H8" s="567">
        <v>55.91883</v>
      </c>
      <c r="I8" s="567">
        <v>55.91883</v>
      </c>
      <c r="J8" s="567">
        <v>55.91883</v>
      </c>
      <c r="K8" s="567">
        <v>55.91883</v>
      </c>
      <c r="L8" s="567">
        <v>55.91883</v>
      </c>
      <c r="M8" s="567">
        <v>55.91883</v>
      </c>
      <c r="N8" s="567">
        <v>55.91883</v>
      </c>
      <c r="O8" s="567">
        <v>55.91883</v>
      </c>
      <c r="P8" s="567">
        <v>55.91883</v>
      </c>
      <c r="Q8" s="567">
        <v>55.91883</v>
      </c>
      <c r="R8" s="567">
        <v>55.91883</v>
      </c>
      <c r="S8" s="567">
        <v>55.91883</v>
      </c>
      <c r="T8" s="567">
        <v>55.91883</v>
      </c>
      <c r="V8" s="567">
        <f t="shared" si="5"/>
        <v>55.918829999999993</v>
      </c>
    </row>
    <row r="9" spans="1:22" x14ac:dyDescent="0.25">
      <c r="A9" s="567" t="str">
        <f t="shared" si="0"/>
        <v>KU</v>
      </c>
      <c r="B9" s="567" t="str">
        <f t="shared" si="1"/>
        <v>KY</v>
      </c>
      <c r="C9" s="567" t="str">
        <f t="shared" si="4"/>
        <v>E</v>
      </c>
      <c r="D9" s="567" t="s">
        <v>2645</v>
      </c>
      <c r="E9" s="567" t="str">
        <f t="shared" si="2"/>
        <v>303</v>
      </c>
      <c r="F9" s="864" t="s">
        <v>1613</v>
      </c>
      <c r="G9" s="566" t="str">
        <f t="shared" si="3"/>
        <v/>
      </c>
      <c r="H9" s="567">
        <v>73028.557579999993</v>
      </c>
      <c r="I9" s="567">
        <v>73228.742370000007</v>
      </c>
      <c r="J9" s="567">
        <v>79482.144690000001</v>
      </c>
      <c r="K9" s="567">
        <v>79959.956059999997</v>
      </c>
      <c r="L9" s="567">
        <v>79502.800669999997</v>
      </c>
      <c r="M9" s="567">
        <v>79642.94601</v>
      </c>
      <c r="N9" s="567">
        <v>78353.554269999993</v>
      </c>
      <c r="O9" s="567">
        <v>75970.240040000004</v>
      </c>
      <c r="P9" s="567">
        <v>77904.089550000004</v>
      </c>
      <c r="Q9" s="567">
        <v>76981.022089999999</v>
      </c>
      <c r="R9" s="567">
        <v>74345.115439999994</v>
      </c>
      <c r="S9" s="567">
        <v>82289.243149999995</v>
      </c>
      <c r="T9" s="567">
        <v>83252.064280000006</v>
      </c>
      <c r="V9" s="567">
        <f t="shared" si="5"/>
        <v>77995.421246153855</v>
      </c>
    </row>
    <row r="10" spans="1:22" x14ac:dyDescent="0.25">
      <c r="A10" s="567" t="str">
        <f t="shared" si="0"/>
        <v>KU</v>
      </c>
      <c r="B10" s="567" t="str">
        <f t="shared" si="1"/>
        <v>KY</v>
      </c>
      <c r="C10" s="567" t="str">
        <f t="shared" si="4"/>
        <v>E</v>
      </c>
      <c r="D10" s="567" t="s">
        <v>2645</v>
      </c>
      <c r="E10" s="567" t="str">
        <f t="shared" si="2"/>
        <v>303</v>
      </c>
      <c r="F10" s="864" t="s">
        <v>1614</v>
      </c>
      <c r="G10" s="566" t="str">
        <f t="shared" si="3"/>
        <v/>
      </c>
      <c r="H10" s="567">
        <v>19142.454610000001</v>
      </c>
      <c r="I10" s="567">
        <v>19196.229729999999</v>
      </c>
      <c r="J10" s="567">
        <v>19196.229729999999</v>
      </c>
      <c r="K10" s="567">
        <v>19196.229729999999</v>
      </c>
      <c r="L10" s="567">
        <v>19196.229729999999</v>
      </c>
      <c r="M10" s="567">
        <v>19196.229729999999</v>
      </c>
      <c r="N10" s="567">
        <v>19196.229729999999</v>
      </c>
      <c r="O10" s="567">
        <v>19196.229729999999</v>
      </c>
      <c r="P10" s="567">
        <v>19302.615160000001</v>
      </c>
      <c r="Q10" s="567">
        <v>19302.615160000001</v>
      </c>
      <c r="R10" s="567">
        <v>19398.642159999999</v>
      </c>
      <c r="S10" s="567">
        <v>19398.642159999999</v>
      </c>
      <c r="T10" s="567">
        <v>19559.967519999998</v>
      </c>
      <c r="V10" s="567">
        <f t="shared" si="5"/>
        <v>19267.580375384612</v>
      </c>
    </row>
    <row r="11" spans="1:22" x14ac:dyDescent="0.25">
      <c r="A11" s="567" t="str">
        <f t="shared" si="0"/>
        <v>KU</v>
      </c>
      <c r="B11" s="567" t="str">
        <f t="shared" si="1"/>
        <v>KY</v>
      </c>
      <c r="C11" s="567" t="str">
        <f t="shared" si="4"/>
        <v>E</v>
      </c>
      <c r="D11" s="567" t="s">
        <v>2645</v>
      </c>
      <c r="E11" s="567" t="str">
        <f t="shared" si="2"/>
        <v>310</v>
      </c>
      <c r="F11" s="864" t="s">
        <v>1615</v>
      </c>
      <c r="G11" s="566" t="str">
        <f t="shared" si="3"/>
        <v>ECR</v>
      </c>
      <c r="H11" s="567">
        <v>11621.0685599999</v>
      </c>
      <c r="I11" s="567">
        <v>11621.0685599999</v>
      </c>
      <c r="J11" s="567">
        <v>11621.0685599999</v>
      </c>
      <c r="K11" s="567">
        <v>11621.0685599999</v>
      </c>
      <c r="L11" s="567">
        <v>11621.0685599999</v>
      </c>
      <c r="M11" s="567">
        <v>11621.0685599999</v>
      </c>
      <c r="N11" s="567">
        <v>11621.0685599999</v>
      </c>
      <c r="O11" s="567">
        <v>11621.0685599999</v>
      </c>
      <c r="P11" s="567">
        <v>11621.0685599999</v>
      </c>
      <c r="Q11" s="567">
        <v>11621.0685599999</v>
      </c>
      <c r="R11" s="567">
        <v>11621.0685599999</v>
      </c>
      <c r="S11" s="567">
        <v>11621.0685599999</v>
      </c>
      <c r="T11" s="567">
        <v>11621.0685599999</v>
      </c>
      <c r="V11" s="567">
        <f t="shared" si="5"/>
        <v>11621.0685599999</v>
      </c>
    </row>
    <row r="12" spans="1:22" x14ac:dyDescent="0.25">
      <c r="A12" s="567" t="str">
        <f t="shared" si="0"/>
        <v>KU</v>
      </c>
      <c r="B12" s="567" t="str">
        <f t="shared" si="1"/>
        <v>KY</v>
      </c>
      <c r="C12" s="567" t="str">
        <f t="shared" si="4"/>
        <v>E</v>
      </c>
      <c r="D12" s="567" t="s">
        <v>2645</v>
      </c>
      <c r="E12" s="567" t="str">
        <f t="shared" si="2"/>
        <v>310</v>
      </c>
      <c r="F12" s="864" t="s">
        <v>1616</v>
      </c>
      <c r="G12" s="566" t="str">
        <f t="shared" si="3"/>
        <v>ECR</v>
      </c>
      <c r="H12" s="567">
        <v>1406.9974500000001</v>
      </c>
      <c r="I12" s="567">
        <v>1406.9974500000001</v>
      </c>
      <c r="J12" s="567">
        <v>1406.9974500000001</v>
      </c>
      <c r="K12" s="567">
        <v>1406.9974500000001</v>
      </c>
      <c r="L12" s="567">
        <v>1406.9974500000001</v>
      </c>
      <c r="M12" s="567">
        <v>1406.9974500000001</v>
      </c>
      <c r="N12" s="567">
        <v>1406.9974500000001</v>
      </c>
      <c r="O12" s="567">
        <v>1406.9974500000001</v>
      </c>
      <c r="P12" s="567">
        <v>1406.9974500000001</v>
      </c>
      <c r="Q12" s="567">
        <v>1406.9974500000001</v>
      </c>
      <c r="R12" s="567">
        <v>1406.9974500000001</v>
      </c>
      <c r="S12" s="567">
        <v>1406.9974500000001</v>
      </c>
      <c r="T12" s="567">
        <v>1406.9974500000001</v>
      </c>
      <c r="V12" s="567">
        <f t="shared" si="5"/>
        <v>1406.9974500000003</v>
      </c>
    </row>
    <row r="13" spans="1:22" x14ac:dyDescent="0.25">
      <c r="A13" s="567" t="str">
        <f t="shared" si="0"/>
        <v>KU</v>
      </c>
      <c r="B13" s="567" t="str">
        <f t="shared" si="1"/>
        <v>KY</v>
      </c>
      <c r="C13" s="567" t="str">
        <f t="shared" si="4"/>
        <v>E</v>
      </c>
      <c r="D13" s="567" t="s">
        <v>2645</v>
      </c>
      <c r="E13" s="567" t="str">
        <f t="shared" si="2"/>
        <v>310</v>
      </c>
      <c r="F13" s="864" t="s">
        <v>2432</v>
      </c>
      <c r="G13" s="566" t="str">
        <f t="shared" si="3"/>
        <v>ECR</v>
      </c>
      <c r="H13" s="567">
        <v>12.94003</v>
      </c>
      <c r="I13" s="567">
        <v>12.94003</v>
      </c>
      <c r="J13" s="567">
        <v>12.94003</v>
      </c>
      <c r="K13" s="567">
        <v>12.94003</v>
      </c>
      <c r="L13" s="567">
        <v>12.94003</v>
      </c>
      <c r="M13" s="567">
        <v>12.94003</v>
      </c>
      <c r="N13" s="567">
        <v>12.94003</v>
      </c>
      <c r="O13" s="567">
        <v>12.94003</v>
      </c>
      <c r="P13" s="567">
        <v>12.94003</v>
      </c>
      <c r="Q13" s="567">
        <v>12.94003</v>
      </c>
      <c r="R13" s="567">
        <v>12.94003</v>
      </c>
      <c r="S13" s="567">
        <v>12.94003</v>
      </c>
      <c r="T13" s="567">
        <v>12.94003</v>
      </c>
      <c r="V13" s="567">
        <f t="shared" si="5"/>
        <v>12.940030000000005</v>
      </c>
    </row>
    <row r="14" spans="1:22" x14ac:dyDescent="0.25">
      <c r="A14" s="567" t="str">
        <f t="shared" si="0"/>
        <v>KU</v>
      </c>
      <c r="B14" s="567" t="str">
        <f t="shared" si="1"/>
        <v>KY</v>
      </c>
      <c r="C14" s="567" t="str">
        <f t="shared" si="4"/>
        <v>E</v>
      </c>
      <c r="D14" s="567" t="s">
        <v>2645</v>
      </c>
      <c r="E14" s="567" t="str">
        <f t="shared" si="2"/>
        <v>310</v>
      </c>
      <c r="F14" s="864" t="s">
        <v>1617</v>
      </c>
      <c r="G14" s="566" t="str">
        <f t="shared" si="3"/>
        <v/>
      </c>
      <c r="H14" s="567">
        <v>11405.467790000001</v>
      </c>
      <c r="I14" s="567">
        <v>11405.467790000001</v>
      </c>
      <c r="J14" s="567">
        <v>11405.467790000001</v>
      </c>
      <c r="K14" s="567">
        <v>11405.467790000001</v>
      </c>
      <c r="L14" s="567">
        <v>11405.467790000001</v>
      </c>
      <c r="M14" s="567">
        <v>11405.467790000001</v>
      </c>
      <c r="N14" s="567">
        <v>11405.467790000001</v>
      </c>
      <c r="O14" s="567">
        <v>11405.467790000001</v>
      </c>
      <c r="P14" s="567">
        <v>11405.467790000001</v>
      </c>
      <c r="Q14" s="567">
        <v>11405.467790000001</v>
      </c>
      <c r="R14" s="567">
        <v>11405.467790000001</v>
      </c>
      <c r="S14" s="567">
        <v>11405.467790000001</v>
      </c>
      <c r="T14" s="567">
        <v>11405.467790000001</v>
      </c>
      <c r="V14" s="567">
        <f t="shared" si="5"/>
        <v>11405.467789999997</v>
      </c>
    </row>
    <row r="15" spans="1:22" x14ac:dyDescent="0.25">
      <c r="A15" s="567" t="str">
        <f t="shared" si="0"/>
        <v>KU</v>
      </c>
      <c r="B15" s="567" t="str">
        <f t="shared" si="1"/>
        <v>KY</v>
      </c>
      <c r="C15" s="567" t="str">
        <f t="shared" si="4"/>
        <v>E</v>
      </c>
      <c r="D15" s="567" t="s">
        <v>2645</v>
      </c>
      <c r="E15" s="567" t="str">
        <f t="shared" si="2"/>
        <v>311</v>
      </c>
      <c r="F15" s="864" t="s">
        <v>1618</v>
      </c>
      <c r="G15" s="566" t="str">
        <f t="shared" si="3"/>
        <v>ECR</v>
      </c>
      <c r="H15" s="567">
        <v>10539.653910000001</v>
      </c>
      <c r="I15" s="567">
        <v>10539.653910000001</v>
      </c>
      <c r="J15" s="567">
        <v>10539.653910000001</v>
      </c>
      <c r="K15" s="567">
        <v>10539.653910000001</v>
      </c>
      <c r="L15" s="567">
        <v>10539.653910000001</v>
      </c>
      <c r="M15" s="567">
        <v>10539.653910000001</v>
      </c>
      <c r="N15" s="567">
        <v>10539.653910000001</v>
      </c>
      <c r="O15" s="567">
        <v>10539.653910000001</v>
      </c>
      <c r="P15" s="567">
        <v>10539.653910000001</v>
      </c>
      <c r="Q15" s="567">
        <v>10539.653910000001</v>
      </c>
      <c r="R15" s="567">
        <v>10539.653910000001</v>
      </c>
      <c r="S15" s="567">
        <v>10539.653910000001</v>
      </c>
      <c r="T15" s="567">
        <v>10539.653910000001</v>
      </c>
      <c r="V15" s="567">
        <f t="shared" si="5"/>
        <v>10539.653909999997</v>
      </c>
    </row>
    <row r="16" spans="1:22" x14ac:dyDescent="0.25">
      <c r="A16" s="567" t="str">
        <f t="shared" si="0"/>
        <v>KU</v>
      </c>
      <c r="B16" s="567" t="str">
        <f t="shared" si="1"/>
        <v>KY</v>
      </c>
      <c r="C16" s="567" t="str">
        <f t="shared" si="4"/>
        <v>E</v>
      </c>
      <c r="D16" s="567" t="s">
        <v>2645</v>
      </c>
      <c r="E16" s="567" t="str">
        <f t="shared" si="2"/>
        <v>311</v>
      </c>
      <c r="F16" s="864" t="s">
        <v>1619</v>
      </c>
      <c r="G16" s="566" t="str">
        <f t="shared" si="3"/>
        <v>ECR</v>
      </c>
      <c r="H16" s="567">
        <v>14263.553749999999</v>
      </c>
      <c r="I16" s="567">
        <v>14263.553749999999</v>
      </c>
      <c r="J16" s="567">
        <v>14263.553749999999</v>
      </c>
      <c r="K16" s="567">
        <v>14263.553749999999</v>
      </c>
      <c r="L16" s="567">
        <v>14263.553749999999</v>
      </c>
      <c r="M16" s="567">
        <v>14263.553749999999</v>
      </c>
      <c r="N16" s="567">
        <v>14263.553749999999</v>
      </c>
      <c r="O16" s="567">
        <v>14263.553749999999</v>
      </c>
      <c r="P16" s="567">
        <v>14263.553749999999</v>
      </c>
      <c r="Q16" s="567">
        <v>14263.553749999999</v>
      </c>
      <c r="R16" s="567">
        <v>14263.553749999999</v>
      </c>
      <c r="S16" s="567">
        <v>14263.553749999999</v>
      </c>
      <c r="T16" s="567">
        <v>14263.553749999999</v>
      </c>
      <c r="V16" s="567">
        <f t="shared" si="5"/>
        <v>14263.553749999994</v>
      </c>
    </row>
    <row r="17" spans="1:22" x14ac:dyDescent="0.25">
      <c r="A17" s="567" t="str">
        <f t="shared" si="0"/>
        <v>KU</v>
      </c>
      <c r="B17" s="567" t="str">
        <f t="shared" si="1"/>
        <v>KY</v>
      </c>
      <c r="C17" s="567" t="str">
        <f t="shared" si="4"/>
        <v>E</v>
      </c>
      <c r="D17" s="567" t="s">
        <v>2645</v>
      </c>
      <c r="E17" s="567" t="str">
        <f t="shared" si="2"/>
        <v>311</v>
      </c>
      <c r="F17" s="864" t="s">
        <v>1620</v>
      </c>
      <c r="G17" s="566" t="str">
        <f t="shared" si="3"/>
        <v/>
      </c>
      <c r="H17" s="567">
        <v>333281.34108999901</v>
      </c>
      <c r="I17" s="567">
        <v>333771.69864999899</v>
      </c>
      <c r="J17" s="567">
        <v>334132.48185999901</v>
      </c>
      <c r="K17" s="567">
        <v>335260.49433999899</v>
      </c>
      <c r="L17" s="567">
        <v>335678.01719999901</v>
      </c>
      <c r="M17" s="567">
        <v>335698.49679999897</v>
      </c>
      <c r="N17" s="567">
        <v>335913.02532999997</v>
      </c>
      <c r="O17" s="567">
        <v>336279.83181999897</v>
      </c>
      <c r="P17" s="567">
        <v>325604.32680999901</v>
      </c>
      <c r="Q17" s="567">
        <v>325604.32680999901</v>
      </c>
      <c r="R17" s="567">
        <v>325604.32680999901</v>
      </c>
      <c r="S17" s="567">
        <v>325792.681849999</v>
      </c>
      <c r="T17" s="567">
        <v>325843.57153999899</v>
      </c>
      <c r="V17" s="567">
        <f t="shared" si="5"/>
        <v>331420.35545461444</v>
      </c>
    </row>
    <row r="18" spans="1:22" x14ac:dyDescent="0.25">
      <c r="A18" s="567" t="str">
        <f t="shared" si="0"/>
        <v>KU</v>
      </c>
      <c r="B18" s="567" t="str">
        <f t="shared" si="1"/>
        <v>KY</v>
      </c>
      <c r="C18" s="567" t="str">
        <f t="shared" si="4"/>
        <v>E</v>
      </c>
      <c r="D18" s="567" t="s">
        <v>2645</v>
      </c>
      <c r="E18" s="567" t="str">
        <f t="shared" si="2"/>
        <v>312</v>
      </c>
      <c r="F18" s="864" t="s">
        <v>1621</v>
      </c>
      <c r="G18" s="566" t="str">
        <f t="shared" si="3"/>
        <v/>
      </c>
      <c r="H18" s="567">
        <v>2680561.58238</v>
      </c>
      <c r="I18" s="567">
        <v>2683440.74621</v>
      </c>
      <c r="J18" s="567">
        <v>2697512.6545299999</v>
      </c>
      <c r="K18" s="567">
        <v>2700000.5949800001</v>
      </c>
      <c r="L18" s="567">
        <v>2700706.0601300001</v>
      </c>
      <c r="M18" s="567">
        <v>2701646.74645</v>
      </c>
      <c r="N18" s="567">
        <v>2702931.1631399998</v>
      </c>
      <c r="O18" s="567">
        <v>2714848.0384300002</v>
      </c>
      <c r="P18" s="567">
        <v>2715173.0101100001</v>
      </c>
      <c r="Q18" s="567">
        <v>2715109.6083</v>
      </c>
      <c r="R18" s="567">
        <v>2711115.3944199998</v>
      </c>
      <c r="S18" s="567">
        <v>2717484.2769499999</v>
      </c>
      <c r="T18" s="567">
        <v>2720807.2635900001</v>
      </c>
      <c r="V18" s="567">
        <f t="shared" si="5"/>
        <v>2704718.2415092308</v>
      </c>
    </row>
    <row r="19" spans="1:22" x14ac:dyDescent="0.25">
      <c r="A19" s="567" t="str">
        <f t="shared" si="0"/>
        <v>KU</v>
      </c>
      <c r="B19" s="567" t="str">
        <f t="shared" si="1"/>
        <v>KY</v>
      </c>
      <c r="C19" s="567" t="str">
        <f t="shared" si="4"/>
        <v>E</v>
      </c>
      <c r="D19" s="567" t="s">
        <v>2645</v>
      </c>
      <c r="E19" s="567" t="str">
        <f t="shared" si="2"/>
        <v>312</v>
      </c>
      <c r="F19" s="864" t="s">
        <v>1622</v>
      </c>
      <c r="G19" s="566" t="str">
        <f t="shared" si="3"/>
        <v>ECR</v>
      </c>
      <c r="H19" s="567">
        <v>517380.45497999998</v>
      </c>
      <c r="I19" s="567">
        <v>517405.95497999998</v>
      </c>
      <c r="J19" s="567">
        <v>517431.45497999998</v>
      </c>
      <c r="K19" s="567">
        <v>517456.95497999998</v>
      </c>
      <c r="L19" s="567">
        <v>517482.45497999998</v>
      </c>
      <c r="M19" s="567">
        <v>517507.95497999998</v>
      </c>
      <c r="N19" s="567">
        <v>517533.45497999998</v>
      </c>
      <c r="O19" s="567">
        <v>541070.73806</v>
      </c>
      <c r="P19" s="567">
        <v>580593.66137999995</v>
      </c>
      <c r="Q19" s="567">
        <v>581068.98137999896</v>
      </c>
      <c r="R19" s="567">
        <v>582539.58137999906</v>
      </c>
      <c r="S19" s="567">
        <v>582603.78137999901</v>
      </c>
      <c r="T19" s="567">
        <v>582743.18137999903</v>
      </c>
      <c r="V19" s="567">
        <f t="shared" si="5"/>
        <v>544062.96998615353</v>
      </c>
    </row>
    <row r="20" spans="1:22" x14ac:dyDescent="0.25">
      <c r="A20" s="567" t="str">
        <f t="shared" si="0"/>
        <v>KU</v>
      </c>
      <c r="B20" s="567" t="str">
        <f t="shared" si="1"/>
        <v>KY</v>
      </c>
      <c r="C20" s="567" t="str">
        <f t="shared" si="4"/>
        <v>E</v>
      </c>
      <c r="D20" s="567" t="s">
        <v>2645</v>
      </c>
      <c r="E20" s="567" t="str">
        <f t="shared" si="2"/>
        <v>312</v>
      </c>
      <c r="F20" s="864" t="s">
        <v>1623</v>
      </c>
      <c r="G20" s="566" t="str">
        <f>IF(ISTEXT(MID($F20,SEARCH("FUTURE USE",$F20),3)),"FUTURE USE",IF(ISTEXT(MID($F20,SEARCH("ECR",$F20),3)),"ECR",IF(ISTEXT(MID($F20,SEARCH("ARO",$F20),3)),"ARO",IF(ISTEXT(MID($F20,SEARCH("DSM",$F20),3)),"DSM",""))))</f>
        <v>ECR</v>
      </c>
      <c r="H20" s="567">
        <v>823225.25812999997</v>
      </c>
      <c r="I20" s="567">
        <v>823225.25812999997</v>
      </c>
      <c r="J20" s="567">
        <v>823225.25812999997</v>
      </c>
      <c r="K20" s="567">
        <v>823225.25812999997</v>
      </c>
      <c r="L20" s="567">
        <v>823225.25812999997</v>
      </c>
      <c r="M20" s="567">
        <v>823225.25812999997</v>
      </c>
      <c r="N20" s="567">
        <v>823225.25812999997</v>
      </c>
      <c r="O20" s="567">
        <v>823225.25812999997</v>
      </c>
      <c r="P20" s="567">
        <v>824691.69634000002</v>
      </c>
      <c r="Q20" s="567">
        <v>824691.69634000002</v>
      </c>
      <c r="R20" s="567">
        <v>824691.69634000002</v>
      </c>
      <c r="S20" s="567">
        <v>825184.45545999997</v>
      </c>
      <c r="T20" s="567">
        <v>825184.45545999997</v>
      </c>
      <c r="V20" s="567">
        <f t="shared" si="5"/>
        <v>823865.08192153857</v>
      </c>
    </row>
    <row r="21" spans="1:22" x14ac:dyDescent="0.25">
      <c r="A21" s="567" t="str">
        <f t="shared" si="0"/>
        <v>KU</v>
      </c>
      <c r="B21" s="567" t="str">
        <f t="shared" si="1"/>
        <v>KY</v>
      </c>
      <c r="C21" s="567" t="str">
        <f t="shared" si="4"/>
        <v>E</v>
      </c>
      <c r="D21" s="567" t="s">
        <v>2645</v>
      </c>
      <c r="E21" s="567" t="str">
        <f t="shared" si="2"/>
        <v>312</v>
      </c>
      <c r="F21" s="864" t="s">
        <v>1624</v>
      </c>
      <c r="G21" s="566" t="str">
        <f t="shared" ref="G21:G85" si="6">IF(ISTEXT(MID($F21,SEARCH("FUTURE USE",$F21),3)),"FUTURE USE",IF(ISTEXT(MID($F21,SEARCH("ECR",$F21),3)),"ECR",IF(ISTEXT(MID($F21,SEARCH("ARO",$F21),3)),"ARO",IF(ISTEXT(MID($F21,SEARCH("DSM",$F21),3)),"DSM",""))))</f>
        <v>ECR</v>
      </c>
      <c r="H21" s="567">
        <v>44741.62672</v>
      </c>
      <c r="I21" s="567">
        <v>177691.90109</v>
      </c>
      <c r="J21" s="567">
        <v>181979.82633000001</v>
      </c>
      <c r="K21" s="567">
        <v>182986.82743999999</v>
      </c>
      <c r="L21" s="567">
        <v>184054.82858</v>
      </c>
      <c r="M21" s="567">
        <v>184972.82954999999</v>
      </c>
      <c r="N21" s="567">
        <v>202710.68168000001</v>
      </c>
      <c r="O21" s="567">
        <v>203591.83165000001</v>
      </c>
      <c r="P21" s="567">
        <v>235664.02953999999</v>
      </c>
      <c r="Q21" s="567">
        <v>235664.02953999999</v>
      </c>
      <c r="R21" s="567">
        <v>235764.02953999999</v>
      </c>
      <c r="S21" s="567">
        <v>235864.02953999999</v>
      </c>
      <c r="T21" s="567">
        <v>236064.02953999999</v>
      </c>
      <c r="V21" s="567">
        <f t="shared" si="5"/>
        <v>195519.26928769232</v>
      </c>
    </row>
    <row r="22" spans="1:22" x14ac:dyDescent="0.25">
      <c r="A22" s="567" t="str">
        <f t="shared" si="0"/>
        <v>KU</v>
      </c>
      <c r="B22" s="567" t="str">
        <f t="shared" si="1"/>
        <v>KY</v>
      </c>
      <c r="C22" s="567" t="str">
        <f t="shared" si="4"/>
        <v>E</v>
      </c>
      <c r="D22" s="567" t="s">
        <v>2645</v>
      </c>
      <c r="E22" s="567" t="str">
        <f t="shared" si="2"/>
        <v>314</v>
      </c>
      <c r="F22" s="864" t="s">
        <v>1625</v>
      </c>
      <c r="G22" s="566" t="str">
        <f t="shared" si="6"/>
        <v/>
      </c>
      <c r="H22" s="567">
        <v>330028.89344999997</v>
      </c>
      <c r="I22" s="567">
        <v>330543.07306000002</v>
      </c>
      <c r="J22" s="567">
        <v>331556.84295999998</v>
      </c>
      <c r="K22" s="567">
        <v>331726.45765</v>
      </c>
      <c r="L22" s="567">
        <v>331726.45765</v>
      </c>
      <c r="M22" s="567">
        <v>331726.45765</v>
      </c>
      <c r="N22" s="567">
        <v>331726.45765</v>
      </c>
      <c r="O22" s="567">
        <v>333792.71101000003</v>
      </c>
      <c r="P22" s="567">
        <v>340061.73616999999</v>
      </c>
      <c r="Q22" s="567">
        <v>340061.73616999999</v>
      </c>
      <c r="R22" s="567">
        <v>340061.73616999999</v>
      </c>
      <c r="S22" s="567">
        <v>340061.73616999999</v>
      </c>
      <c r="T22" s="567">
        <v>332931.71578999999</v>
      </c>
      <c r="V22" s="567">
        <f t="shared" si="5"/>
        <v>334308.15473461535</v>
      </c>
    </row>
    <row r="23" spans="1:22" x14ac:dyDescent="0.25">
      <c r="A23" s="567" t="str">
        <f t="shared" si="0"/>
        <v>KU</v>
      </c>
      <c r="B23" s="567" t="str">
        <f t="shared" si="1"/>
        <v>KY</v>
      </c>
      <c r="C23" s="567" t="str">
        <f t="shared" si="4"/>
        <v>E</v>
      </c>
      <c r="D23" s="567" t="s">
        <v>2645</v>
      </c>
      <c r="E23" s="567" t="str">
        <f t="shared" si="2"/>
        <v>315</v>
      </c>
      <c r="F23" s="864" t="s">
        <v>1626</v>
      </c>
      <c r="G23" s="566" t="str">
        <f t="shared" si="6"/>
        <v/>
      </c>
      <c r="H23" s="567">
        <v>213982.39042000001</v>
      </c>
      <c r="I23" s="567">
        <v>214053.37703999999</v>
      </c>
      <c r="J23" s="567">
        <v>214053.37703999999</v>
      </c>
      <c r="K23" s="567">
        <v>214053.37703999999</v>
      </c>
      <c r="L23" s="567">
        <v>214053.37703999999</v>
      </c>
      <c r="M23" s="567">
        <v>214053.37703999999</v>
      </c>
      <c r="N23" s="567">
        <v>214053.37703999999</v>
      </c>
      <c r="O23" s="567">
        <v>220900.94208000001</v>
      </c>
      <c r="P23" s="567">
        <v>221267.94871</v>
      </c>
      <c r="Q23" s="567">
        <v>221267.94871</v>
      </c>
      <c r="R23" s="567">
        <v>221267.94871</v>
      </c>
      <c r="S23" s="567">
        <v>221267.94871</v>
      </c>
      <c r="T23" s="567">
        <v>220879.38196999999</v>
      </c>
      <c r="V23" s="567">
        <f t="shared" si="5"/>
        <v>217319.59781153844</v>
      </c>
    </row>
    <row r="24" spans="1:22" x14ac:dyDescent="0.25">
      <c r="A24" s="567" t="str">
        <f t="shared" si="0"/>
        <v>KU</v>
      </c>
      <c r="B24" s="567" t="str">
        <f t="shared" si="1"/>
        <v>KY</v>
      </c>
      <c r="C24" s="567" t="str">
        <f t="shared" si="4"/>
        <v>E</v>
      </c>
      <c r="D24" s="567" t="s">
        <v>2645</v>
      </c>
      <c r="E24" s="567" t="str">
        <f t="shared" si="2"/>
        <v>315</v>
      </c>
      <c r="F24" s="864" t="s">
        <v>1627</v>
      </c>
      <c r="G24" s="566" t="str">
        <f t="shared" si="6"/>
        <v>ECR</v>
      </c>
      <c r="H24" s="567">
        <v>21548.085609999998</v>
      </c>
      <c r="I24" s="567">
        <v>21548.085609999998</v>
      </c>
      <c r="J24" s="567">
        <v>21548.085609999998</v>
      </c>
      <c r="K24" s="567">
        <v>21548.085609999998</v>
      </c>
      <c r="L24" s="567">
        <v>21548.085609999998</v>
      </c>
      <c r="M24" s="567">
        <v>21548.085609999998</v>
      </c>
      <c r="N24" s="567">
        <v>21548.085609999998</v>
      </c>
      <c r="O24" s="567">
        <v>21548.085609999998</v>
      </c>
      <c r="P24" s="567">
        <v>21548.085609999998</v>
      </c>
      <c r="Q24" s="567">
        <v>21548.085609999998</v>
      </c>
      <c r="R24" s="567">
        <v>21548.085609999998</v>
      </c>
      <c r="S24" s="567">
        <v>21548.085609999998</v>
      </c>
      <c r="T24" s="567">
        <v>21548.085609999998</v>
      </c>
      <c r="V24" s="567">
        <f t="shared" si="5"/>
        <v>21548.085610000002</v>
      </c>
    </row>
    <row r="25" spans="1:22" x14ac:dyDescent="0.25">
      <c r="A25" s="567" t="str">
        <f t="shared" si="0"/>
        <v>KU</v>
      </c>
      <c r="B25" s="567" t="str">
        <f t="shared" si="1"/>
        <v>KY</v>
      </c>
      <c r="C25" s="567" t="str">
        <f t="shared" si="4"/>
        <v>E</v>
      </c>
      <c r="D25" s="567" t="s">
        <v>2645</v>
      </c>
      <c r="E25" s="567" t="str">
        <f t="shared" si="2"/>
        <v>315</v>
      </c>
      <c r="F25" s="864" t="s">
        <v>1628</v>
      </c>
      <c r="G25" s="566" t="str">
        <f t="shared" si="6"/>
        <v>ECR</v>
      </c>
      <c r="H25" s="567">
        <v>14764.05416</v>
      </c>
      <c r="I25" s="567">
        <v>14764.05416</v>
      </c>
      <c r="J25" s="567">
        <v>14764.05416</v>
      </c>
      <c r="K25" s="567">
        <v>14764.05416</v>
      </c>
      <c r="L25" s="567">
        <v>14764.05416</v>
      </c>
      <c r="M25" s="567">
        <v>14764.05416</v>
      </c>
      <c r="N25" s="567">
        <v>14764.05416</v>
      </c>
      <c r="O25" s="567">
        <v>14764.05416</v>
      </c>
      <c r="P25" s="567">
        <v>14764.05416</v>
      </c>
      <c r="Q25" s="567">
        <v>14764.05416</v>
      </c>
      <c r="R25" s="567">
        <v>14764.05416</v>
      </c>
      <c r="S25" s="567">
        <v>14764.05416</v>
      </c>
      <c r="T25" s="567">
        <v>14764.05416</v>
      </c>
      <c r="V25" s="567">
        <f t="shared" si="5"/>
        <v>14764.05416</v>
      </c>
    </row>
    <row r="26" spans="1:22" x14ac:dyDescent="0.25">
      <c r="A26" s="567" t="str">
        <f t="shared" si="0"/>
        <v>KU</v>
      </c>
      <c r="B26" s="567" t="str">
        <f t="shared" si="1"/>
        <v>KY</v>
      </c>
      <c r="C26" s="567" t="str">
        <f t="shared" si="4"/>
        <v>E</v>
      </c>
      <c r="D26" s="567" t="s">
        <v>2645</v>
      </c>
      <c r="E26" s="567" t="str">
        <f t="shared" si="2"/>
        <v>316</v>
      </c>
      <c r="F26" s="864" t="s">
        <v>1629</v>
      </c>
      <c r="G26" s="566" t="str">
        <f t="shared" si="6"/>
        <v>ECR</v>
      </c>
      <c r="H26" s="567">
        <v>824.92337999999995</v>
      </c>
      <c r="I26" s="567">
        <v>824.92337999999995</v>
      </c>
      <c r="J26" s="567">
        <v>824.92337999999995</v>
      </c>
      <c r="K26" s="567">
        <v>824.92337999999995</v>
      </c>
      <c r="L26" s="567">
        <v>824.92337999999995</v>
      </c>
      <c r="M26" s="567">
        <v>824.92337999999995</v>
      </c>
      <c r="N26" s="567">
        <v>824.92337999999995</v>
      </c>
      <c r="O26" s="567">
        <v>824.92337999999995</v>
      </c>
      <c r="P26" s="567">
        <v>824.92337999999995</v>
      </c>
      <c r="Q26" s="567">
        <v>824.92337999999995</v>
      </c>
      <c r="R26" s="567">
        <v>824.92337999999995</v>
      </c>
      <c r="S26" s="567">
        <v>824.92337999999995</v>
      </c>
      <c r="T26" s="567">
        <v>824.92337999999995</v>
      </c>
      <c r="V26" s="567">
        <f t="shared" si="5"/>
        <v>824.92338000000007</v>
      </c>
    </row>
    <row r="27" spans="1:22" x14ac:dyDescent="0.25">
      <c r="A27" s="567" t="str">
        <f t="shared" si="0"/>
        <v>KU</v>
      </c>
      <c r="B27" s="567" t="str">
        <f t="shared" si="1"/>
        <v>KY</v>
      </c>
      <c r="C27" s="567" t="str">
        <f t="shared" si="4"/>
        <v>E</v>
      </c>
      <c r="D27" s="567" t="s">
        <v>2645</v>
      </c>
      <c r="E27" s="567" t="str">
        <f t="shared" si="2"/>
        <v>316</v>
      </c>
      <c r="F27" s="864" t="s">
        <v>1630</v>
      </c>
      <c r="G27" s="566" t="str">
        <f t="shared" si="6"/>
        <v/>
      </c>
      <c r="H27" s="567">
        <v>38853.613159999899</v>
      </c>
      <c r="I27" s="567">
        <v>40778.934049999902</v>
      </c>
      <c r="J27" s="567">
        <v>40843.290219999901</v>
      </c>
      <c r="K27" s="567">
        <v>40843.290219999901</v>
      </c>
      <c r="L27" s="567">
        <v>41251.332559999901</v>
      </c>
      <c r="M27" s="567">
        <v>41251.332559999901</v>
      </c>
      <c r="N27" s="567">
        <v>41648.483379999998</v>
      </c>
      <c r="O27" s="567">
        <v>42072.615709999998</v>
      </c>
      <c r="P27" s="567">
        <v>44937.076779999901</v>
      </c>
      <c r="Q27" s="567">
        <v>44937.076779999901</v>
      </c>
      <c r="R27" s="567">
        <v>44937.076779999901</v>
      </c>
      <c r="S27" s="567">
        <v>45146.991849999999</v>
      </c>
      <c r="T27" s="567">
        <v>45457.115180000001</v>
      </c>
      <c r="V27" s="567">
        <f t="shared" si="5"/>
        <v>42535.248402307618</v>
      </c>
    </row>
    <row r="28" spans="1:22" x14ac:dyDescent="0.25">
      <c r="A28" s="567" t="str">
        <f t="shared" si="0"/>
        <v>KU</v>
      </c>
      <c r="B28" s="567" t="str">
        <f t="shared" si="1"/>
        <v>KY</v>
      </c>
      <c r="C28" s="567" t="str">
        <f t="shared" si="4"/>
        <v>E</v>
      </c>
      <c r="D28" s="567" t="s">
        <v>2645</v>
      </c>
      <c r="E28" s="567" t="str">
        <f t="shared" si="2"/>
        <v>317</v>
      </c>
      <c r="F28" s="864" t="s">
        <v>1631</v>
      </c>
      <c r="G28" s="566" t="str">
        <f t="shared" si="6"/>
        <v>ARO</v>
      </c>
      <c r="H28" s="567">
        <v>32810.029009999998</v>
      </c>
      <c r="I28" s="567">
        <v>32810.029009999998</v>
      </c>
      <c r="J28" s="567">
        <v>32810.029009999998</v>
      </c>
      <c r="K28" s="567">
        <v>32810.029009999998</v>
      </c>
      <c r="L28" s="567">
        <v>32810.029009999998</v>
      </c>
      <c r="M28" s="567">
        <v>32810.029009999998</v>
      </c>
      <c r="N28" s="567">
        <v>32810.029009999998</v>
      </c>
      <c r="O28" s="567">
        <v>32810.029009999998</v>
      </c>
      <c r="P28" s="567">
        <v>32810.029009999998</v>
      </c>
      <c r="Q28" s="567">
        <v>19190.190600000002</v>
      </c>
      <c r="R28" s="567">
        <v>19190.190600000002</v>
      </c>
      <c r="S28" s="567">
        <v>19190.190600000002</v>
      </c>
      <c r="T28" s="567">
        <v>19190.190600000002</v>
      </c>
      <c r="V28" s="567">
        <f t="shared" si="5"/>
        <v>28619.309499230763</v>
      </c>
    </row>
    <row r="29" spans="1:22" x14ac:dyDescent="0.25">
      <c r="A29" s="567" t="str">
        <f t="shared" si="0"/>
        <v>KU</v>
      </c>
      <c r="B29" s="567" t="str">
        <f t="shared" si="1"/>
        <v>KY</v>
      </c>
      <c r="C29" s="567" t="str">
        <f t="shared" si="4"/>
        <v>E</v>
      </c>
      <c r="D29" s="567" t="s">
        <v>2645</v>
      </c>
      <c r="E29" s="567" t="str">
        <f t="shared" si="2"/>
        <v>317</v>
      </c>
      <c r="F29" s="864" t="s">
        <v>2427</v>
      </c>
      <c r="G29" s="566" t="str">
        <f t="shared" si="6"/>
        <v>ARO</v>
      </c>
      <c r="H29" s="567">
        <v>164566.70180000001</v>
      </c>
      <c r="I29" s="567">
        <v>164566.70180000001</v>
      </c>
      <c r="J29" s="567">
        <v>164566.70180000001</v>
      </c>
      <c r="K29" s="567">
        <v>164566.70180000001</v>
      </c>
      <c r="L29" s="567">
        <v>164566.70180000001</v>
      </c>
      <c r="M29" s="567">
        <v>164566.70180000001</v>
      </c>
      <c r="N29" s="567">
        <v>164566.70180000001</v>
      </c>
      <c r="O29" s="567">
        <v>164566.70180000001</v>
      </c>
      <c r="P29" s="567">
        <v>164566.70180000001</v>
      </c>
      <c r="Q29" s="567">
        <v>116221.78539</v>
      </c>
      <c r="R29" s="567">
        <v>116221.78539</v>
      </c>
      <c r="S29" s="567">
        <v>116221.78539</v>
      </c>
      <c r="T29" s="567">
        <v>116221.78539</v>
      </c>
      <c r="V29" s="567">
        <f t="shared" si="5"/>
        <v>149691.34290461542</v>
      </c>
    </row>
    <row r="30" spans="1:22" x14ac:dyDescent="0.25">
      <c r="A30" s="567" t="str">
        <f t="shared" si="0"/>
        <v>KU</v>
      </c>
      <c r="B30" s="567" t="str">
        <f t="shared" si="1"/>
        <v>KY</v>
      </c>
      <c r="C30" s="567" t="str">
        <f t="shared" si="4"/>
        <v>E</v>
      </c>
      <c r="D30" s="567" t="s">
        <v>2645</v>
      </c>
      <c r="E30" s="567" t="str">
        <f t="shared" si="2"/>
        <v>330</v>
      </c>
      <c r="F30" s="864" t="s">
        <v>1632</v>
      </c>
      <c r="G30" s="566" t="str">
        <f t="shared" si="6"/>
        <v/>
      </c>
      <c r="H30" s="567">
        <v>855.63647000000003</v>
      </c>
      <c r="I30" s="567">
        <v>855.63647000000003</v>
      </c>
      <c r="J30" s="567">
        <v>855.63647000000003</v>
      </c>
      <c r="K30" s="567">
        <v>855.63647000000003</v>
      </c>
      <c r="L30" s="567">
        <v>855.63647000000003</v>
      </c>
      <c r="M30" s="567">
        <v>855.63647000000003</v>
      </c>
      <c r="N30" s="567">
        <v>855.63647000000003</v>
      </c>
      <c r="O30" s="567">
        <v>855.63647000000003</v>
      </c>
      <c r="P30" s="567">
        <v>855.63647000000003</v>
      </c>
      <c r="Q30" s="567">
        <v>855.63647000000003</v>
      </c>
      <c r="R30" s="567">
        <v>855.63647000000003</v>
      </c>
      <c r="S30" s="567">
        <v>855.63647000000003</v>
      </c>
      <c r="T30" s="567">
        <v>855.63647000000003</v>
      </c>
      <c r="V30" s="567">
        <f t="shared" si="5"/>
        <v>855.63647000000003</v>
      </c>
    </row>
    <row r="31" spans="1:22" x14ac:dyDescent="0.25">
      <c r="A31" s="567" t="str">
        <f t="shared" si="0"/>
        <v>KU</v>
      </c>
      <c r="B31" s="567" t="str">
        <f t="shared" si="1"/>
        <v>KY</v>
      </c>
      <c r="C31" s="567" t="str">
        <f t="shared" si="4"/>
        <v>E</v>
      </c>
      <c r="D31" s="567" t="s">
        <v>2645</v>
      </c>
      <c r="E31" s="567" t="str">
        <f t="shared" si="2"/>
        <v>331</v>
      </c>
      <c r="F31" s="864" t="s">
        <v>1633</v>
      </c>
      <c r="G31" s="566" t="str">
        <f t="shared" si="6"/>
        <v/>
      </c>
      <c r="H31" s="567">
        <v>4393.1914699999998</v>
      </c>
      <c r="I31" s="567">
        <v>4393.1914699999998</v>
      </c>
      <c r="J31" s="567">
        <v>4486.6967999999997</v>
      </c>
      <c r="K31" s="567">
        <v>4486.6967999999997</v>
      </c>
      <c r="L31" s="567">
        <v>4486.6967999999997</v>
      </c>
      <c r="M31" s="567">
        <v>4486.6967999999997</v>
      </c>
      <c r="N31" s="567">
        <v>4486.6967999999997</v>
      </c>
      <c r="O31" s="567">
        <v>4486.6967999999997</v>
      </c>
      <c r="P31" s="567">
        <v>4486.6967999999997</v>
      </c>
      <c r="Q31" s="567">
        <v>4486.6967999999997</v>
      </c>
      <c r="R31" s="567">
        <v>4486.6967999999997</v>
      </c>
      <c r="S31" s="567">
        <v>4486.6967999999997</v>
      </c>
      <c r="T31" s="567">
        <v>4486.6967999999997</v>
      </c>
      <c r="V31" s="567">
        <f t="shared" si="5"/>
        <v>4472.3113646153834</v>
      </c>
    </row>
    <row r="32" spans="1:22" x14ac:dyDescent="0.25">
      <c r="A32" s="567" t="str">
        <f t="shared" si="0"/>
        <v>KU</v>
      </c>
      <c r="B32" s="567" t="str">
        <f t="shared" si="1"/>
        <v>KY</v>
      </c>
      <c r="C32" s="567" t="str">
        <f t="shared" si="4"/>
        <v>E</v>
      </c>
      <c r="D32" s="567" t="s">
        <v>2645</v>
      </c>
      <c r="E32" s="567" t="str">
        <f t="shared" si="2"/>
        <v>332</v>
      </c>
      <c r="F32" s="864" t="s">
        <v>1634</v>
      </c>
      <c r="G32" s="566" t="str">
        <f t="shared" si="6"/>
        <v/>
      </c>
      <c r="H32" s="567">
        <v>21885.646369999999</v>
      </c>
      <c r="I32" s="567">
        <v>21885.646369999999</v>
      </c>
      <c r="J32" s="567">
        <v>21885.646369999999</v>
      </c>
      <c r="K32" s="567">
        <v>21885.646369999999</v>
      </c>
      <c r="L32" s="567">
        <v>21885.646369999999</v>
      </c>
      <c r="M32" s="567">
        <v>21885.646369999999</v>
      </c>
      <c r="N32" s="567">
        <v>21885.646369999999</v>
      </c>
      <c r="O32" s="567">
        <v>21885.646369999999</v>
      </c>
      <c r="P32" s="567">
        <v>21885.646369999999</v>
      </c>
      <c r="Q32" s="567">
        <v>21885.646369999999</v>
      </c>
      <c r="R32" s="567">
        <v>21885.646369999999</v>
      </c>
      <c r="S32" s="567">
        <v>21885.646369999999</v>
      </c>
      <c r="T32" s="567">
        <v>21885.646369999999</v>
      </c>
      <c r="V32" s="567">
        <f t="shared" si="5"/>
        <v>21885.646369999995</v>
      </c>
    </row>
    <row r="33" spans="1:22" x14ac:dyDescent="0.25">
      <c r="A33" s="567" t="str">
        <f t="shared" si="0"/>
        <v>KU</v>
      </c>
      <c r="B33" s="567" t="str">
        <f t="shared" si="1"/>
        <v>KY</v>
      </c>
      <c r="C33" s="567" t="str">
        <f t="shared" si="4"/>
        <v>E</v>
      </c>
      <c r="D33" s="567" t="s">
        <v>2645</v>
      </c>
      <c r="E33" s="567" t="str">
        <f t="shared" si="2"/>
        <v>333</v>
      </c>
      <c r="F33" s="864" t="s">
        <v>1635</v>
      </c>
      <c r="G33" s="566" t="str">
        <f t="shared" si="6"/>
        <v/>
      </c>
      <c r="H33" s="567">
        <v>14046.74158</v>
      </c>
      <c r="I33" s="567">
        <v>14046.74158</v>
      </c>
      <c r="J33" s="567">
        <v>14046.74158</v>
      </c>
      <c r="K33" s="567">
        <v>14046.74158</v>
      </c>
      <c r="L33" s="567">
        <v>14046.74158</v>
      </c>
      <c r="M33" s="567">
        <v>14046.74158</v>
      </c>
      <c r="N33" s="567">
        <v>14046.74158</v>
      </c>
      <c r="O33" s="567">
        <v>14046.74158</v>
      </c>
      <c r="P33" s="567">
        <v>14046.74158</v>
      </c>
      <c r="Q33" s="567">
        <v>14046.74158</v>
      </c>
      <c r="R33" s="567">
        <v>14046.74158</v>
      </c>
      <c r="S33" s="567">
        <v>14046.74158</v>
      </c>
      <c r="T33" s="567">
        <v>14046.74158</v>
      </c>
      <c r="V33" s="567">
        <f t="shared" si="5"/>
        <v>14046.74158</v>
      </c>
    </row>
    <row r="34" spans="1:22" x14ac:dyDescent="0.25">
      <c r="A34" s="567" t="str">
        <f t="shared" si="0"/>
        <v>KU</v>
      </c>
      <c r="B34" s="567" t="str">
        <f t="shared" si="1"/>
        <v>KY</v>
      </c>
      <c r="C34" s="567" t="str">
        <f t="shared" si="4"/>
        <v>E</v>
      </c>
      <c r="D34" s="567" t="s">
        <v>2645</v>
      </c>
      <c r="E34" s="567" t="str">
        <f t="shared" si="2"/>
        <v>334</v>
      </c>
      <c r="F34" s="864" t="s">
        <v>1636</v>
      </c>
      <c r="G34" s="566" t="str">
        <f t="shared" si="6"/>
        <v/>
      </c>
      <c r="H34" s="567">
        <v>1381.87067</v>
      </c>
      <c r="I34" s="567">
        <v>1381.87067</v>
      </c>
      <c r="J34" s="567">
        <v>1381.87067</v>
      </c>
      <c r="K34" s="567">
        <v>1381.87067</v>
      </c>
      <c r="L34" s="567">
        <v>1381.87067</v>
      </c>
      <c r="M34" s="567">
        <v>1381.87067</v>
      </c>
      <c r="N34" s="567">
        <v>1381.87067</v>
      </c>
      <c r="O34" s="567">
        <v>1381.87067</v>
      </c>
      <c r="P34" s="567">
        <v>1381.87067</v>
      </c>
      <c r="Q34" s="567">
        <v>1381.87067</v>
      </c>
      <c r="R34" s="567">
        <v>1381.87067</v>
      </c>
      <c r="S34" s="567">
        <v>1381.87067</v>
      </c>
      <c r="T34" s="567">
        <v>1381.87067</v>
      </c>
      <c r="V34" s="567">
        <f t="shared" si="5"/>
        <v>1381.87067</v>
      </c>
    </row>
    <row r="35" spans="1:22" x14ac:dyDescent="0.25">
      <c r="A35" s="567" t="str">
        <f t="shared" si="0"/>
        <v>KU</v>
      </c>
      <c r="B35" s="567" t="str">
        <f t="shared" si="1"/>
        <v>KY</v>
      </c>
      <c r="C35" s="567" t="str">
        <f t="shared" si="4"/>
        <v>E</v>
      </c>
      <c r="D35" s="567" t="s">
        <v>2645</v>
      </c>
      <c r="E35" s="567" t="str">
        <f t="shared" si="2"/>
        <v>335</v>
      </c>
      <c r="F35" s="864" t="s">
        <v>1637</v>
      </c>
      <c r="G35" s="566" t="str">
        <f t="shared" si="6"/>
        <v/>
      </c>
      <c r="H35" s="567">
        <v>329.37418000000002</v>
      </c>
      <c r="I35" s="567">
        <v>329.37418000000002</v>
      </c>
      <c r="J35" s="567">
        <v>329.37418000000002</v>
      </c>
      <c r="K35" s="567">
        <v>329.37418000000002</v>
      </c>
      <c r="L35" s="567">
        <v>329.37418000000002</v>
      </c>
      <c r="M35" s="567">
        <v>329.37418000000002</v>
      </c>
      <c r="N35" s="567">
        <v>329.37418000000002</v>
      </c>
      <c r="O35" s="567">
        <v>329.37418000000002</v>
      </c>
      <c r="P35" s="567">
        <v>329.37418000000002</v>
      </c>
      <c r="Q35" s="567">
        <v>329.37418000000002</v>
      </c>
      <c r="R35" s="567">
        <v>329.37418000000002</v>
      </c>
      <c r="S35" s="567">
        <v>329.37418000000002</v>
      </c>
      <c r="T35" s="567">
        <v>329.37418000000002</v>
      </c>
      <c r="V35" s="567">
        <f t="shared" si="5"/>
        <v>329.37417999999991</v>
      </c>
    </row>
    <row r="36" spans="1:22" x14ac:dyDescent="0.25">
      <c r="A36" s="567" t="str">
        <f t="shared" si="0"/>
        <v>KU</v>
      </c>
      <c r="B36" s="567" t="str">
        <f t="shared" si="1"/>
        <v>KY</v>
      </c>
      <c r="C36" s="567" t="str">
        <f t="shared" si="4"/>
        <v>E</v>
      </c>
      <c r="D36" s="567" t="s">
        <v>2645</v>
      </c>
      <c r="E36" s="567" t="str">
        <f t="shared" si="2"/>
        <v>336</v>
      </c>
      <c r="F36" s="864" t="s">
        <v>1638</v>
      </c>
      <c r="G36" s="566" t="str">
        <f t="shared" si="6"/>
        <v/>
      </c>
      <c r="H36" s="567">
        <v>234.50913</v>
      </c>
      <c r="I36" s="567">
        <v>234.50913</v>
      </c>
      <c r="J36" s="567">
        <v>234.50913</v>
      </c>
      <c r="K36" s="567">
        <v>234.50913</v>
      </c>
      <c r="L36" s="567">
        <v>234.50913</v>
      </c>
      <c r="M36" s="567">
        <v>234.50913</v>
      </c>
      <c r="N36" s="567">
        <v>234.50913</v>
      </c>
      <c r="O36" s="567">
        <v>234.50913</v>
      </c>
      <c r="P36" s="567">
        <v>234.50913</v>
      </c>
      <c r="Q36" s="567">
        <v>234.50913</v>
      </c>
      <c r="R36" s="567">
        <v>234.50913</v>
      </c>
      <c r="S36" s="567">
        <v>234.50913</v>
      </c>
      <c r="T36" s="567">
        <v>234.50913</v>
      </c>
      <c r="V36" s="567">
        <f t="shared" si="5"/>
        <v>234.50912999999994</v>
      </c>
    </row>
    <row r="37" spans="1:22" x14ac:dyDescent="0.25">
      <c r="A37" s="567" t="str">
        <f t="shared" si="0"/>
        <v>KU</v>
      </c>
      <c r="B37" s="567" t="str">
        <f t="shared" si="1"/>
        <v>KY</v>
      </c>
      <c r="C37" s="567" t="str">
        <f t="shared" si="4"/>
        <v>E</v>
      </c>
      <c r="D37" s="567" t="s">
        <v>2645</v>
      </c>
      <c r="E37" s="567" t="str">
        <f t="shared" si="2"/>
        <v>337</v>
      </c>
      <c r="F37" s="864" t="s">
        <v>1639</v>
      </c>
      <c r="G37" s="566" t="str">
        <f t="shared" si="6"/>
        <v>ARO</v>
      </c>
      <c r="H37" s="567">
        <v>645.78799000000004</v>
      </c>
      <c r="I37" s="567">
        <v>645.78799000000004</v>
      </c>
      <c r="J37" s="567">
        <v>645.78799000000004</v>
      </c>
      <c r="K37" s="567">
        <v>645.78799000000004</v>
      </c>
      <c r="L37" s="567">
        <v>645.78799000000004</v>
      </c>
      <c r="M37" s="567">
        <v>645.78799000000004</v>
      </c>
      <c r="N37" s="567">
        <v>645.78799000000004</v>
      </c>
      <c r="O37" s="567">
        <v>645.78799000000004</v>
      </c>
      <c r="P37" s="567">
        <v>645.78799000000004</v>
      </c>
      <c r="Q37" s="567">
        <v>645.78799000000004</v>
      </c>
      <c r="R37" s="567">
        <v>645.78799000000004</v>
      </c>
      <c r="S37" s="567">
        <v>645.78799000000004</v>
      </c>
      <c r="T37" s="567">
        <v>645.78799000000004</v>
      </c>
      <c r="V37" s="567">
        <f t="shared" si="5"/>
        <v>645.78798999999992</v>
      </c>
    </row>
    <row r="38" spans="1:22" x14ac:dyDescent="0.25">
      <c r="A38" s="567" t="str">
        <f t="shared" si="0"/>
        <v>KU</v>
      </c>
      <c r="B38" s="567" t="str">
        <f t="shared" si="1"/>
        <v>KY</v>
      </c>
      <c r="C38" s="567" t="str">
        <f t="shared" si="4"/>
        <v>F</v>
      </c>
      <c r="D38" s="567" t="s">
        <v>2645</v>
      </c>
      <c r="E38" s="567" t="str">
        <f t="shared" si="2"/>
        <v>340</v>
      </c>
      <c r="F38" s="864" t="s">
        <v>1640</v>
      </c>
      <c r="G38" s="566" t="str">
        <f t="shared" si="6"/>
        <v>FUTURE USE</v>
      </c>
      <c r="H38" s="567">
        <v>309.54084999999998</v>
      </c>
      <c r="I38" s="567">
        <v>309.54084999999998</v>
      </c>
      <c r="J38" s="567">
        <v>309.54084999999998</v>
      </c>
      <c r="K38" s="567">
        <v>309.54084999999998</v>
      </c>
      <c r="L38" s="567">
        <v>309.54084999999998</v>
      </c>
      <c r="M38" s="567">
        <v>309.54084999999998</v>
      </c>
      <c r="N38" s="567">
        <v>309.54084999999998</v>
      </c>
      <c r="O38" s="567">
        <v>309.54084999999998</v>
      </c>
      <c r="P38" s="567">
        <v>309.54084999999998</v>
      </c>
      <c r="Q38" s="567">
        <v>309.54084999999998</v>
      </c>
      <c r="R38" s="567">
        <v>309.54084999999998</v>
      </c>
      <c r="S38" s="567">
        <v>309.54084999999998</v>
      </c>
      <c r="T38" s="567">
        <v>309.54084999999998</v>
      </c>
      <c r="V38" s="567">
        <f t="shared" si="5"/>
        <v>309.54084999999992</v>
      </c>
    </row>
    <row r="39" spans="1:22" x14ac:dyDescent="0.25">
      <c r="A39" s="567" t="str">
        <f t="shared" si="0"/>
        <v>KU</v>
      </c>
      <c r="B39" s="567" t="str">
        <f t="shared" si="1"/>
        <v>KY</v>
      </c>
      <c r="C39" s="567" t="str">
        <f t="shared" si="4"/>
        <v>E</v>
      </c>
      <c r="D39" s="567" t="s">
        <v>2645</v>
      </c>
      <c r="E39" s="567" t="str">
        <f t="shared" si="2"/>
        <v>340</v>
      </c>
      <c r="F39" s="864" t="s">
        <v>1641</v>
      </c>
      <c r="G39" s="566" t="str">
        <f t="shared" si="6"/>
        <v/>
      </c>
      <c r="H39" s="567">
        <v>236.73195999999999</v>
      </c>
      <c r="I39" s="567">
        <v>236.73195999999999</v>
      </c>
      <c r="J39" s="567">
        <v>236.73195999999999</v>
      </c>
      <c r="K39" s="567">
        <v>236.73195999999999</v>
      </c>
      <c r="L39" s="567">
        <v>236.73195999999999</v>
      </c>
      <c r="M39" s="567">
        <v>236.73195999999999</v>
      </c>
      <c r="N39" s="567">
        <v>236.73195999999999</v>
      </c>
      <c r="O39" s="567">
        <v>236.73195999999999</v>
      </c>
      <c r="P39" s="567">
        <v>236.73195999999999</v>
      </c>
      <c r="Q39" s="567">
        <v>236.73195999999999</v>
      </c>
      <c r="R39" s="567">
        <v>236.73195999999999</v>
      </c>
      <c r="S39" s="567">
        <v>236.73195999999999</v>
      </c>
      <c r="T39" s="567">
        <v>236.73195999999999</v>
      </c>
      <c r="V39" s="567">
        <f t="shared" si="5"/>
        <v>236.73196000000004</v>
      </c>
    </row>
    <row r="40" spans="1:22" x14ac:dyDescent="0.25">
      <c r="A40" s="567" t="str">
        <f t="shared" si="0"/>
        <v>KU</v>
      </c>
      <c r="B40" s="567" t="str">
        <f t="shared" si="1"/>
        <v>KY</v>
      </c>
      <c r="C40" s="567" t="str">
        <f t="shared" si="4"/>
        <v>E</v>
      </c>
      <c r="D40" s="567" t="s">
        <v>2645</v>
      </c>
      <c r="E40" s="567" t="str">
        <f t="shared" si="2"/>
        <v>340</v>
      </c>
      <c r="F40" s="864" t="s">
        <v>1642</v>
      </c>
      <c r="G40" s="566" t="str">
        <f t="shared" si="6"/>
        <v/>
      </c>
      <c r="H40" s="567">
        <v>666.06949999999995</v>
      </c>
      <c r="I40" s="567">
        <v>666.06949999999995</v>
      </c>
      <c r="J40" s="567">
        <v>666.06949999999995</v>
      </c>
      <c r="K40" s="567">
        <v>666.06949999999995</v>
      </c>
      <c r="L40" s="567">
        <v>666.06949999999995</v>
      </c>
      <c r="M40" s="567">
        <v>666.06949999999995</v>
      </c>
      <c r="N40" s="567">
        <v>666.06949999999995</v>
      </c>
      <c r="O40" s="567">
        <v>666.06949999999995</v>
      </c>
      <c r="P40" s="567">
        <v>666.06949999999995</v>
      </c>
      <c r="Q40" s="567">
        <v>666.06949999999995</v>
      </c>
      <c r="R40" s="567">
        <v>666.06949999999995</v>
      </c>
      <c r="S40" s="567">
        <v>666.06949999999995</v>
      </c>
      <c r="T40" s="567">
        <v>666.06949999999995</v>
      </c>
      <c r="V40" s="567">
        <f t="shared" si="5"/>
        <v>666.06949999999983</v>
      </c>
    </row>
    <row r="41" spans="1:22" x14ac:dyDescent="0.25">
      <c r="A41" s="567" t="str">
        <f t="shared" si="0"/>
        <v>KU</v>
      </c>
      <c r="B41" s="567" t="str">
        <f t="shared" si="1"/>
        <v>KY</v>
      </c>
      <c r="C41" s="567" t="str">
        <f t="shared" si="4"/>
        <v>E</v>
      </c>
      <c r="D41" s="567" t="s">
        <v>2645</v>
      </c>
      <c r="E41" s="567" t="str">
        <f t="shared" si="2"/>
        <v>341</v>
      </c>
      <c r="F41" s="864" t="s">
        <v>1643</v>
      </c>
      <c r="G41" s="566" t="str">
        <f t="shared" si="6"/>
        <v/>
      </c>
      <c r="H41" s="567">
        <v>36520.731570000004</v>
      </c>
      <c r="I41" s="567">
        <v>36520.731570000004</v>
      </c>
      <c r="J41" s="567">
        <v>36520.731570000004</v>
      </c>
      <c r="K41" s="567">
        <v>36520.731570000004</v>
      </c>
      <c r="L41" s="567">
        <v>36520.731570000004</v>
      </c>
      <c r="M41" s="567">
        <v>36520.731570000004</v>
      </c>
      <c r="N41" s="567">
        <v>36520.731570000004</v>
      </c>
      <c r="O41" s="567">
        <v>36520.731570000004</v>
      </c>
      <c r="P41" s="567">
        <v>36520.731570000004</v>
      </c>
      <c r="Q41" s="567">
        <v>36520.731570000004</v>
      </c>
      <c r="R41" s="567">
        <v>36520.731570000004</v>
      </c>
      <c r="S41" s="567">
        <v>36520.731570000004</v>
      </c>
      <c r="T41" s="567">
        <v>36520.731570000004</v>
      </c>
      <c r="V41" s="567">
        <f t="shared" si="5"/>
        <v>36520.731570000004</v>
      </c>
    </row>
    <row r="42" spans="1:22" x14ac:dyDescent="0.25">
      <c r="A42" s="567" t="str">
        <f t="shared" si="0"/>
        <v>KU</v>
      </c>
      <c r="B42" s="567" t="str">
        <f t="shared" si="1"/>
        <v>KY</v>
      </c>
      <c r="C42" s="567" t="str">
        <f t="shared" si="4"/>
        <v>E</v>
      </c>
      <c r="D42" s="567" t="s">
        <v>2645</v>
      </c>
      <c r="E42" s="567" t="str">
        <f t="shared" si="2"/>
        <v>341</v>
      </c>
      <c r="F42" s="864" t="s">
        <v>1644</v>
      </c>
      <c r="G42" s="566" t="str">
        <f t="shared" si="6"/>
        <v/>
      </c>
      <c r="H42" s="567">
        <v>49180.174099999997</v>
      </c>
      <c r="I42" s="567">
        <v>49180.174099999997</v>
      </c>
      <c r="J42" s="567">
        <v>49180.174099999997</v>
      </c>
      <c r="K42" s="567">
        <v>49180.174099999997</v>
      </c>
      <c r="L42" s="567">
        <v>49180.174099999997</v>
      </c>
      <c r="M42" s="567">
        <v>49180.174099999997</v>
      </c>
      <c r="N42" s="567">
        <v>49180.174099999997</v>
      </c>
      <c r="O42" s="567">
        <v>49180.174099999997</v>
      </c>
      <c r="P42" s="567">
        <v>49180.174099999997</v>
      </c>
      <c r="Q42" s="567">
        <v>49180.174099999997</v>
      </c>
      <c r="R42" s="567">
        <v>49180.174099999997</v>
      </c>
      <c r="S42" s="567">
        <v>49180.174099999997</v>
      </c>
      <c r="T42" s="567">
        <v>49180.174099999997</v>
      </c>
      <c r="V42" s="567">
        <f t="shared" si="5"/>
        <v>49180.174099999989</v>
      </c>
    </row>
    <row r="43" spans="1:22" x14ac:dyDescent="0.25">
      <c r="A43" s="567" t="str">
        <f t="shared" si="0"/>
        <v>KU</v>
      </c>
      <c r="B43" s="567" t="str">
        <f t="shared" si="1"/>
        <v>KY</v>
      </c>
      <c r="C43" s="567" t="str">
        <f t="shared" si="4"/>
        <v>E</v>
      </c>
      <c r="D43" s="567" t="s">
        <v>2645</v>
      </c>
      <c r="E43" s="567" t="str">
        <f t="shared" si="2"/>
        <v>341</v>
      </c>
      <c r="F43" s="864" t="s">
        <v>1645</v>
      </c>
      <c r="G43" s="566" t="str">
        <f t="shared" si="6"/>
        <v/>
      </c>
      <c r="H43" s="567">
        <v>1443.8100400000001</v>
      </c>
      <c r="I43" s="567">
        <v>1443.8100400000001</v>
      </c>
      <c r="J43" s="567">
        <v>1443.8100400000001</v>
      </c>
      <c r="K43" s="567">
        <v>1443.8100400000001</v>
      </c>
      <c r="L43" s="567">
        <v>1443.8100400000001</v>
      </c>
      <c r="M43" s="567">
        <v>1443.8100400000001</v>
      </c>
      <c r="N43" s="567">
        <v>1443.8100400000001</v>
      </c>
      <c r="O43" s="567">
        <v>1443.8100400000001</v>
      </c>
      <c r="P43" s="567">
        <v>1443.8100400000001</v>
      </c>
      <c r="Q43" s="567">
        <v>1443.8100400000001</v>
      </c>
      <c r="R43" s="567">
        <v>1443.8100400000001</v>
      </c>
      <c r="S43" s="567">
        <v>1443.8100400000001</v>
      </c>
      <c r="T43" s="567">
        <v>1443.8100400000001</v>
      </c>
      <c r="V43" s="567">
        <f t="shared" si="5"/>
        <v>1443.8100400000001</v>
      </c>
    </row>
    <row r="44" spans="1:22" x14ac:dyDescent="0.25">
      <c r="A44" s="567" t="str">
        <f t="shared" si="0"/>
        <v>KU</v>
      </c>
      <c r="B44" s="567" t="str">
        <f t="shared" si="1"/>
        <v>KY</v>
      </c>
      <c r="C44" s="567" t="str">
        <f t="shared" si="4"/>
        <v>E</v>
      </c>
      <c r="D44" s="567" t="s">
        <v>2645</v>
      </c>
      <c r="E44" s="567" t="str">
        <f t="shared" si="2"/>
        <v>342</v>
      </c>
      <c r="F44" s="864" t="s">
        <v>1646</v>
      </c>
      <c r="G44" s="566" t="str">
        <f t="shared" si="6"/>
        <v/>
      </c>
      <c r="H44" s="567">
        <v>12293.383529999999</v>
      </c>
      <c r="I44" s="567">
        <v>12293.383529999999</v>
      </c>
      <c r="J44" s="567">
        <v>12293.383529999999</v>
      </c>
      <c r="K44" s="567">
        <v>12293.383529999999</v>
      </c>
      <c r="L44" s="567">
        <v>12293.383529999999</v>
      </c>
      <c r="M44" s="567">
        <v>12293.383529999999</v>
      </c>
      <c r="N44" s="567">
        <v>12293.383529999999</v>
      </c>
      <c r="O44" s="567">
        <v>12293.383529999999</v>
      </c>
      <c r="P44" s="567">
        <v>12293.383529999999</v>
      </c>
      <c r="Q44" s="567">
        <v>12293.383529999999</v>
      </c>
      <c r="R44" s="567">
        <v>12293.383529999999</v>
      </c>
      <c r="S44" s="567">
        <v>12293.383529999999</v>
      </c>
      <c r="T44" s="567">
        <v>12293.383529999999</v>
      </c>
      <c r="V44" s="567">
        <f t="shared" si="5"/>
        <v>12293.383529999996</v>
      </c>
    </row>
    <row r="45" spans="1:22" x14ac:dyDescent="0.25">
      <c r="A45" s="567" t="str">
        <f t="shared" si="0"/>
        <v>KU</v>
      </c>
      <c r="B45" s="567" t="str">
        <f t="shared" si="1"/>
        <v>KY</v>
      </c>
      <c r="C45" s="567" t="str">
        <f t="shared" si="4"/>
        <v>E</v>
      </c>
      <c r="D45" s="567" t="s">
        <v>2645</v>
      </c>
      <c r="E45" s="567" t="str">
        <f t="shared" si="2"/>
        <v>342</v>
      </c>
      <c r="F45" s="864" t="s">
        <v>1647</v>
      </c>
      <c r="G45" s="566" t="str">
        <f t="shared" si="6"/>
        <v/>
      </c>
      <c r="H45" s="567">
        <v>6319.3980999999903</v>
      </c>
      <c r="I45" s="567">
        <v>6319.3980999999903</v>
      </c>
      <c r="J45" s="567">
        <v>6319.3980999999903</v>
      </c>
      <c r="K45" s="567">
        <v>6319.3980999999903</v>
      </c>
      <c r="L45" s="567">
        <v>6319.3980999999903</v>
      </c>
      <c r="M45" s="567">
        <v>6319.3980999999903</v>
      </c>
      <c r="N45" s="567">
        <v>6319.3980999999903</v>
      </c>
      <c r="O45" s="567">
        <v>6319.3980999999903</v>
      </c>
      <c r="P45" s="567">
        <v>6319.3980999999903</v>
      </c>
      <c r="Q45" s="567">
        <v>6319.3980999999903</v>
      </c>
      <c r="R45" s="567">
        <v>6319.3980999999903</v>
      </c>
      <c r="S45" s="567">
        <v>6319.3980999999903</v>
      </c>
      <c r="T45" s="567">
        <v>6319.3980999999903</v>
      </c>
      <c r="V45" s="567">
        <f t="shared" si="5"/>
        <v>6319.3980999999903</v>
      </c>
    </row>
    <row r="46" spans="1:22" x14ac:dyDescent="0.25">
      <c r="A46" s="567" t="str">
        <f t="shared" si="0"/>
        <v>KU</v>
      </c>
      <c r="B46" s="567" t="str">
        <f t="shared" si="1"/>
        <v>KY</v>
      </c>
      <c r="C46" s="567" t="str">
        <f t="shared" si="4"/>
        <v>E</v>
      </c>
      <c r="D46" s="567" t="s">
        <v>2645</v>
      </c>
      <c r="E46" s="567" t="str">
        <f t="shared" si="2"/>
        <v>342</v>
      </c>
      <c r="F46" s="864" t="s">
        <v>1648</v>
      </c>
      <c r="G46" s="566" t="str">
        <f t="shared" si="6"/>
        <v/>
      </c>
      <c r="H46" s="567">
        <v>44483.6130999999</v>
      </c>
      <c r="I46" s="567">
        <v>44483.6130999999</v>
      </c>
      <c r="J46" s="567">
        <v>44483.6130999999</v>
      </c>
      <c r="K46" s="567">
        <v>44483.6130999999</v>
      </c>
      <c r="L46" s="567">
        <v>44483.6130999999</v>
      </c>
      <c r="M46" s="567">
        <v>62957.252249999903</v>
      </c>
      <c r="N46" s="567">
        <v>64431.266699999898</v>
      </c>
      <c r="O46" s="567">
        <v>64431.266699999898</v>
      </c>
      <c r="P46" s="567">
        <v>64431.266699999898</v>
      </c>
      <c r="Q46" s="567">
        <v>64431.266699999898</v>
      </c>
      <c r="R46" s="567">
        <v>64431.266699999898</v>
      </c>
      <c r="S46" s="567">
        <v>64431.266699999898</v>
      </c>
      <c r="T46" s="567">
        <v>64431.266699999898</v>
      </c>
      <c r="V46" s="567">
        <f t="shared" si="5"/>
        <v>56645.706511538367</v>
      </c>
    </row>
    <row r="47" spans="1:22" x14ac:dyDescent="0.25">
      <c r="A47" s="567" t="str">
        <f t="shared" si="0"/>
        <v>KU</v>
      </c>
      <c r="B47" s="567" t="str">
        <f t="shared" si="1"/>
        <v>KY</v>
      </c>
      <c r="C47" s="567" t="str">
        <f t="shared" si="4"/>
        <v>E</v>
      </c>
      <c r="D47" s="567" t="s">
        <v>2645</v>
      </c>
      <c r="E47" s="567" t="str">
        <f t="shared" si="2"/>
        <v>343</v>
      </c>
      <c r="F47" s="864" t="s">
        <v>1649</v>
      </c>
      <c r="G47" s="566" t="str">
        <f t="shared" si="6"/>
        <v/>
      </c>
      <c r="H47" s="567">
        <v>403785.08308999997</v>
      </c>
      <c r="I47" s="567">
        <v>416522.14007999998</v>
      </c>
      <c r="J47" s="567">
        <v>416522.14007999998</v>
      </c>
      <c r="K47" s="567">
        <v>416522.14007999998</v>
      </c>
      <c r="L47" s="567">
        <v>416522.14007999998</v>
      </c>
      <c r="M47" s="567">
        <v>417043.29157</v>
      </c>
      <c r="N47" s="567">
        <v>417229.36986999999</v>
      </c>
      <c r="O47" s="567">
        <v>417477.94575999997</v>
      </c>
      <c r="P47" s="567">
        <v>418413.21388</v>
      </c>
      <c r="Q47" s="567">
        <v>418413.21388</v>
      </c>
      <c r="R47" s="567">
        <v>418413.21388</v>
      </c>
      <c r="S47" s="567">
        <v>418413.21388</v>
      </c>
      <c r="T47" s="567">
        <v>418413.21388</v>
      </c>
      <c r="V47" s="567">
        <f t="shared" si="5"/>
        <v>416437.71692384616</v>
      </c>
    </row>
    <row r="48" spans="1:22" x14ac:dyDescent="0.25">
      <c r="A48" s="567" t="str">
        <f t="shared" si="0"/>
        <v>KU</v>
      </c>
      <c r="B48" s="567" t="str">
        <f t="shared" si="1"/>
        <v>KY</v>
      </c>
      <c r="C48" s="567" t="str">
        <f t="shared" si="4"/>
        <v>E</v>
      </c>
      <c r="D48" s="567" t="s">
        <v>2645</v>
      </c>
      <c r="E48" s="567" t="str">
        <f t="shared" si="2"/>
        <v>343</v>
      </c>
      <c r="F48" s="864" t="s">
        <v>1650</v>
      </c>
      <c r="G48" s="566" t="str">
        <f t="shared" si="6"/>
        <v/>
      </c>
      <c r="H48" s="567">
        <v>261916.30478000001</v>
      </c>
      <c r="I48" s="567">
        <v>261916.30478000001</v>
      </c>
      <c r="J48" s="567">
        <v>262015.08058000001</v>
      </c>
      <c r="K48" s="567">
        <v>262015.08058000001</v>
      </c>
      <c r="L48" s="567">
        <v>262015.08058000001</v>
      </c>
      <c r="M48" s="567">
        <v>262113.85638000001</v>
      </c>
      <c r="N48" s="567">
        <v>262182.33561000001</v>
      </c>
      <c r="O48" s="567">
        <v>262182.33561000001</v>
      </c>
      <c r="P48" s="567">
        <v>262281.11141000001</v>
      </c>
      <c r="Q48" s="567">
        <v>262281.11141000001</v>
      </c>
      <c r="R48" s="567">
        <v>262281.11141000001</v>
      </c>
      <c r="S48" s="567">
        <v>262380.11621000001</v>
      </c>
      <c r="T48" s="567">
        <v>275313.31834999903</v>
      </c>
      <c r="V48" s="567">
        <f t="shared" si="5"/>
        <v>263145.62674538454</v>
      </c>
    </row>
    <row r="49" spans="1:22" x14ac:dyDescent="0.25">
      <c r="A49" s="567" t="str">
        <f t="shared" si="0"/>
        <v>KU</v>
      </c>
      <c r="B49" s="567" t="str">
        <f t="shared" si="1"/>
        <v>KY</v>
      </c>
      <c r="C49" s="567" t="str">
        <f t="shared" si="4"/>
        <v>E</v>
      </c>
      <c r="D49" s="567" t="s">
        <v>2645</v>
      </c>
      <c r="E49" s="567" t="str">
        <f t="shared" si="2"/>
        <v>344</v>
      </c>
      <c r="F49" s="864" t="s">
        <v>1651</v>
      </c>
      <c r="G49" s="566" t="str">
        <f t="shared" si="6"/>
        <v/>
      </c>
      <c r="H49" s="567">
        <v>61098.0118699999</v>
      </c>
      <c r="I49" s="567">
        <v>61098.0118699999</v>
      </c>
      <c r="J49" s="567">
        <v>61098.0118699999</v>
      </c>
      <c r="K49" s="567">
        <v>61098.0118699999</v>
      </c>
      <c r="L49" s="567">
        <v>61098.0118699999</v>
      </c>
      <c r="M49" s="567">
        <v>61098.0118699999</v>
      </c>
      <c r="N49" s="567">
        <v>61098.0118699999</v>
      </c>
      <c r="O49" s="567">
        <v>61098.0118699999</v>
      </c>
      <c r="P49" s="567">
        <v>61098.0118699999</v>
      </c>
      <c r="Q49" s="567">
        <v>61098.0118699999</v>
      </c>
      <c r="R49" s="567">
        <v>61098.0118699999</v>
      </c>
      <c r="S49" s="567">
        <v>61098.0118699999</v>
      </c>
      <c r="T49" s="567">
        <v>61893.384529999901</v>
      </c>
      <c r="V49" s="567">
        <f t="shared" si="5"/>
        <v>61159.194382307614</v>
      </c>
    </row>
    <row r="50" spans="1:22" x14ac:dyDescent="0.25">
      <c r="A50" s="567" t="str">
        <f t="shared" si="0"/>
        <v>KU</v>
      </c>
      <c r="B50" s="567" t="str">
        <f t="shared" si="1"/>
        <v>KY</v>
      </c>
      <c r="C50" s="567" t="str">
        <f t="shared" si="4"/>
        <v>E</v>
      </c>
      <c r="D50" s="567" t="s">
        <v>2645</v>
      </c>
      <c r="E50" s="567" t="str">
        <f t="shared" si="2"/>
        <v>344</v>
      </c>
      <c r="F50" s="864" t="s">
        <v>1652</v>
      </c>
      <c r="G50" s="566" t="str">
        <f t="shared" si="6"/>
        <v/>
      </c>
      <c r="H50" s="567">
        <v>58194.056089999998</v>
      </c>
      <c r="I50" s="567">
        <v>58194.056089999998</v>
      </c>
      <c r="J50" s="567">
        <v>58194.056089999998</v>
      </c>
      <c r="K50" s="567">
        <v>58194.056089999998</v>
      </c>
      <c r="L50" s="567">
        <v>58194.056089999998</v>
      </c>
      <c r="M50" s="567">
        <v>58194.056089999998</v>
      </c>
      <c r="N50" s="567">
        <v>58194.056089999998</v>
      </c>
      <c r="O50" s="567">
        <v>58194.056089999998</v>
      </c>
      <c r="P50" s="567">
        <v>58194.056089999998</v>
      </c>
      <c r="Q50" s="567">
        <v>58194.056089999998</v>
      </c>
      <c r="R50" s="567">
        <v>58194.056089999998</v>
      </c>
      <c r="S50" s="567">
        <v>58194.056089999998</v>
      </c>
      <c r="T50" s="567">
        <v>58194.056089999998</v>
      </c>
      <c r="V50" s="567">
        <f t="shared" si="5"/>
        <v>58194.056089999976</v>
      </c>
    </row>
    <row r="51" spans="1:22" x14ac:dyDescent="0.25">
      <c r="A51" s="567" t="str">
        <f t="shared" si="0"/>
        <v>KU</v>
      </c>
      <c r="B51" s="567" t="str">
        <f t="shared" si="1"/>
        <v>KY</v>
      </c>
      <c r="C51" s="567" t="str">
        <f t="shared" si="4"/>
        <v>E</v>
      </c>
      <c r="D51" s="567" t="s">
        <v>2645</v>
      </c>
      <c r="E51" s="567" t="str">
        <f t="shared" si="2"/>
        <v>344</v>
      </c>
      <c r="F51" s="864" t="s">
        <v>1653</v>
      </c>
      <c r="G51" s="566" t="str">
        <f t="shared" si="6"/>
        <v/>
      </c>
      <c r="H51" s="567">
        <v>13068.659229999999</v>
      </c>
      <c r="I51" s="567">
        <v>13068.659229999999</v>
      </c>
      <c r="J51" s="567">
        <v>13068.659229999999</v>
      </c>
      <c r="K51" s="567">
        <v>13068.659229999999</v>
      </c>
      <c r="L51" s="567">
        <v>13068.659229999999</v>
      </c>
      <c r="M51" s="567">
        <v>13068.659229999999</v>
      </c>
      <c r="N51" s="567">
        <v>13068.659229999999</v>
      </c>
      <c r="O51" s="567">
        <v>13068.659229999999</v>
      </c>
      <c r="P51" s="567">
        <v>13068.659229999999</v>
      </c>
      <c r="Q51" s="567">
        <v>13068.659229999999</v>
      </c>
      <c r="R51" s="567">
        <v>13068.659229999999</v>
      </c>
      <c r="S51" s="567">
        <v>13068.659229999999</v>
      </c>
      <c r="T51" s="567">
        <v>13068.659229999999</v>
      </c>
      <c r="V51" s="567">
        <f t="shared" si="5"/>
        <v>13068.659229999999</v>
      </c>
    </row>
    <row r="52" spans="1:22" x14ac:dyDescent="0.25">
      <c r="A52" s="567" t="str">
        <f t="shared" si="0"/>
        <v>KU</v>
      </c>
      <c r="B52" s="567" t="str">
        <f t="shared" si="1"/>
        <v>KY</v>
      </c>
      <c r="C52" s="567" t="str">
        <f t="shared" si="4"/>
        <v>E</v>
      </c>
      <c r="D52" s="567" t="s">
        <v>2645</v>
      </c>
      <c r="E52" s="567" t="str">
        <f t="shared" si="2"/>
        <v>345</v>
      </c>
      <c r="F52" s="864" t="s">
        <v>1654</v>
      </c>
      <c r="G52" s="566" t="str">
        <f t="shared" si="6"/>
        <v/>
      </c>
      <c r="H52" s="567">
        <v>52040.236720000001</v>
      </c>
      <c r="I52" s="567">
        <v>52040.236720000001</v>
      </c>
      <c r="J52" s="567">
        <v>52040.236720000001</v>
      </c>
      <c r="K52" s="567">
        <v>52040.236720000001</v>
      </c>
      <c r="L52" s="567">
        <v>52040.236720000001</v>
      </c>
      <c r="M52" s="567">
        <v>52040.236720000001</v>
      </c>
      <c r="N52" s="567">
        <v>52040.236720000001</v>
      </c>
      <c r="O52" s="567">
        <v>52040.236720000001</v>
      </c>
      <c r="P52" s="567">
        <v>52040.236720000001</v>
      </c>
      <c r="Q52" s="567">
        <v>52040.236720000001</v>
      </c>
      <c r="R52" s="567">
        <v>52040.236720000001</v>
      </c>
      <c r="S52" s="567">
        <v>52040.236720000001</v>
      </c>
      <c r="T52" s="567">
        <v>52324.182240000002</v>
      </c>
      <c r="V52" s="567">
        <f t="shared" si="5"/>
        <v>52062.078683076921</v>
      </c>
    </row>
    <row r="53" spans="1:22" x14ac:dyDescent="0.25">
      <c r="A53" s="567" t="str">
        <f t="shared" si="0"/>
        <v>KU</v>
      </c>
      <c r="B53" s="567" t="str">
        <f t="shared" si="1"/>
        <v>KY</v>
      </c>
      <c r="C53" s="567" t="str">
        <f t="shared" si="4"/>
        <v>E</v>
      </c>
      <c r="D53" s="567" t="s">
        <v>2645</v>
      </c>
      <c r="E53" s="567" t="str">
        <f t="shared" si="2"/>
        <v>345</v>
      </c>
      <c r="F53" s="864" t="s">
        <v>1655</v>
      </c>
      <c r="G53" s="566" t="str">
        <f t="shared" si="6"/>
        <v/>
      </c>
      <c r="H53" s="567">
        <v>26411.208509999899</v>
      </c>
      <c r="I53" s="567">
        <v>26411.208509999899</v>
      </c>
      <c r="J53" s="567">
        <v>26411.208509999899</v>
      </c>
      <c r="K53" s="567">
        <v>26411.208509999899</v>
      </c>
      <c r="L53" s="567">
        <v>26411.208509999899</v>
      </c>
      <c r="M53" s="567">
        <v>26411.208509999899</v>
      </c>
      <c r="N53" s="567">
        <v>26411.208509999899</v>
      </c>
      <c r="O53" s="567">
        <v>26411.208509999899</v>
      </c>
      <c r="P53" s="567">
        <v>26411.208509999899</v>
      </c>
      <c r="Q53" s="567">
        <v>26411.208509999899</v>
      </c>
      <c r="R53" s="567">
        <v>26411.208509999899</v>
      </c>
      <c r="S53" s="567">
        <v>26411.208509999899</v>
      </c>
      <c r="T53" s="567">
        <v>26411.208509999899</v>
      </c>
      <c r="V53" s="567">
        <f t="shared" si="5"/>
        <v>26411.208509999906</v>
      </c>
    </row>
    <row r="54" spans="1:22" x14ac:dyDescent="0.25">
      <c r="A54" s="567" t="str">
        <f t="shared" si="0"/>
        <v>KU</v>
      </c>
      <c r="B54" s="567" t="str">
        <f t="shared" si="1"/>
        <v>KY</v>
      </c>
      <c r="C54" s="567" t="str">
        <f t="shared" si="4"/>
        <v>E</v>
      </c>
      <c r="D54" s="567" t="s">
        <v>2645</v>
      </c>
      <c r="E54" s="567" t="str">
        <f t="shared" si="2"/>
        <v>345</v>
      </c>
      <c r="F54" s="864" t="s">
        <v>1656</v>
      </c>
      <c r="G54" s="566" t="str">
        <f t="shared" si="6"/>
        <v/>
      </c>
      <c r="H54" s="567">
        <v>445.46972</v>
      </c>
      <c r="I54" s="567">
        <v>445.46972</v>
      </c>
      <c r="J54" s="567">
        <v>445.46972</v>
      </c>
      <c r="K54" s="567">
        <v>445.46972</v>
      </c>
      <c r="L54" s="567">
        <v>445.46972</v>
      </c>
      <c r="M54" s="567">
        <v>445.46972</v>
      </c>
      <c r="N54" s="567">
        <v>445.46972</v>
      </c>
      <c r="O54" s="567">
        <v>445.46972</v>
      </c>
      <c r="P54" s="567">
        <v>1475.3516099999999</v>
      </c>
      <c r="Q54" s="567">
        <v>1516.3232</v>
      </c>
      <c r="R54" s="567">
        <v>1557.2947099999999</v>
      </c>
      <c r="S54" s="567">
        <v>1598.26622</v>
      </c>
      <c r="T54" s="567">
        <v>1639.2377300000001</v>
      </c>
      <c r="V54" s="567">
        <f t="shared" si="5"/>
        <v>873.09471000000008</v>
      </c>
    </row>
    <row r="55" spans="1:22" x14ac:dyDescent="0.25">
      <c r="A55" s="567" t="str">
        <f t="shared" si="0"/>
        <v>KU</v>
      </c>
      <c r="B55" s="567" t="str">
        <f t="shared" si="1"/>
        <v>KY</v>
      </c>
      <c r="C55" s="567" t="str">
        <f t="shared" si="4"/>
        <v>E</v>
      </c>
      <c r="D55" s="567" t="s">
        <v>2645</v>
      </c>
      <c r="E55" s="567" t="str">
        <f t="shared" si="2"/>
        <v>346</v>
      </c>
      <c r="F55" s="864" t="s">
        <v>1657</v>
      </c>
      <c r="G55" s="566" t="str">
        <f t="shared" si="6"/>
        <v/>
      </c>
      <c r="H55" s="567">
        <v>6055.3311899999999</v>
      </c>
      <c r="I55" s="567">
        <v>6055.3311899999999</v>
      </c>
      <c r="J55" s="567">
        <v>6066.5137800000002</v>
      </c>
      <c r="K55" s="567">
        <v>6066.5137800000002</v>
      </c>
      <c r="L55" s="567">
        <v>6066.5137800000002</v>
      </c>
      <c r="M55" s="567">
        <v>8940.4845499999992</v>
      </c>
      <c r="N55" s="567">
        <v>8940.4845499999992</v>
      </c>
      <c r="O55" s="567">
        <v>8940.4845499999992</v>
      </c>
      <c r="P55" s="567">
        <v>8940.4845499999992</v>
      </c>
      <c r="Q55" s="567">
        <v>8940.4845499999992</v>
      </c>
      <c r="R55" s="567">
        <v>9481.99244</v>
      </c>
      <c r="S55" s="567">
        <v>9481.99244</v>
      </c>
      <c r="T55" s="567">
        <v>9990.1803400000008</v>
      </c>
      <c r="V55" s="567">
        <f t="shared" si="5"/>
        <v>7997.4455146153841</v>
      </c>
    </row>
    <row r="56" spans="1:22" x14ac:dyDescent="0.25">
      <c r="A56" s="567" t="str">
        <f t="shared" si="0"/>
        <v>KU</v>
      </c>
      <c r="B56" s="567" t="str">
        <f t="shared" si="1"/>
        <v>KY</v>
      </c>
      <c r="C56" s="567" t="str">
        <f t="shared" si="4"/>
        <v>E</v>
      </c>
      <c r="D56" s="567" t="s">
        <v>2645</v>
      </c>
      <c r="E56" s="567" t="str">
        <f t="shared" si="2"/>
        <v>346</v>
      </c>
      <c r="F56" s="864" t="s">
        <v>1658</v>
      </c>
      <c r="G56" s="566" t="str">
        <f t="shared" si="6"/>
        <v/>
      </c>
      <c r="H56" s="567">
        <v>3797.22469</v>
      </c>
      <c r="I56" s="567">
        <v>3797.22469</v>
      </c>
      <c r="J56" s="567">
        <v>4064.6276699999999</v>
      </c>
      <c r="K56" s="567">
        <v>4064.6276699999999</v>
      </c>
      <c r="L56" s="567">
        <v>4064.6276699999999</v>
      </c>
      <c r="M56" s="567">
        <v>4235.3644100000001</v>
      </c>
      <c r="N56" s="567">
        <v>4235.3644100000001</v>
      </c>
      <c r="O56" s="567">
        <v>4235.3644100000001</v>
      </c>
      <c r="P56" s="567">
        <v>4235.3644100000001</v>
      </c>
      <c r="Q56" s="567">
        <v>4235.3644100000001</v>
      </c>
      <c r="R56" s="567">
        <v>4235.3644100000001</v>
      </c>
      <c r="S56" s="567">
        <v>4506.3161700000001</v>
      </c>
      <c r="T56" s="567">
        <v>4506.3161700000001</v>
      </c>
      <c r="V56" s="567">
        <f t="shared" si="5"/>
        <v>4170.2423992307695</v>
      </c>
    </row>
    <row r="57" spans="1:22" x14ac:dyDescent="0.25">
      <c r="A57" s="567" t="str">
        <f t="shared" si="0"/>
        <v>KU</v>
      </c>
      <c r="B57" s="567" t="str">
        <f t="shared" si="1"/>
        <v>KY</v>
      </c>
      <c r="C57" s="567" t="str">
        <f t="shared" si="4"/>
        <v>E</v>
      </c>
      <c r="D57" s="567" t="s">
        <v>2645</v>
      </c>
      <c r="E57" s="567" t="str">
        <f t="shared" si="2"/>
        <v>346</v>
      </c>
      <c r="F57" s="864" t="s">
        <v>1659</v>
      </c>
      <c r="G57" s="566" t="str">
        <f t="shared" si="6"/>
        <v/>
      </c>
      <c r="H57" s="567">
        <v>424.77828</v>
      </c>
      <c r="I57" s="567">
        <v>424.77828</v>
      </c>
      <c r="J57" s="567">
        <v>424.77828</v>
      </c>
      <c r="K57" s="567">
        <v>424.77828</v>
      </c>
      <c r="L57" s="567">
        <v>424.77828</v>
      </c>
      <c r="M57" s="567">
        <v>424.77828</v>
      </c>
      <c r="N57" s="567">
        <v>424.77828</v>
      </c>
      <c r="O57" s="567">
        <v>424.77828</v>
      </c>
      <c r="P57" s="567">
        <v>424.77828</v>
      </c>
      <c r="Q57" s="567">
        <v>424.77828</v>
      </c>
      <c r="R57" s="567">
        <v>424.77828</v>
      </c>
      <c r="S57" s="567">
        <v>424.77828</v>
      </c>
      <c r="T57" s="567">
        <v>424.77828</v>
      </c>
      <c r="V57" s="567">
        <f t="shared" si="5"/>
        <v>424.77828000000005</v>
      </c>
    </row>
    <row r="58" spans="1:22" x14ac:dyDescent="0.25">
      <c r="A58" s="567" t="str">
        <f t="shared" si="0"/>
        <v>KU</v>
      </c>
      <c r="B58" s="567" t="str">
        <f t="shared" si="1"/>
        <v>KY</v>
      </c>
      <c r="C58" s="567" t="str">
        <f t="shared" si="4"/>
        <v>E</v>
      </c>
      <c r="D58" s="567" t="s">
        <v>2645</v>
      </c>
      <c r="E58" s="567" t="str">
        <f t="shared" si="2"/>
        <v>347</v>
      </c>
      <c r="F58" s="864" t="s">
        <v>1660</v>
      </c>
      <c r="G58" s="566" t="str">
        <f t="shared" si="6"/>
        <v>ARO</v>
      </c>
      <c r="H58" s="567">
        <v>406.99112000000002</v>
      </c>
      <c r="I58" s="567">
        <v>406.99112000000002</v>
      </c>
      <c r="J58" s="567">
        <v>406.99112000000002</v>
      </c>
      <c r="K58" s="567">
        <v>406.99112000000002</v>
      </c>
      <c r="L58" s="567">
        <v>406.99112000000002</v>
      </c>
      <c r="M58" s="567">
        <v>406.99112000000002</v>
      </c>
      <c r="N58" s="567">
        <v>406.99112000000002</v>
      </c>
      <c r="O58" s="567">
        <v>406.99112000000002</v>
      </c>
      <c r="P58" s="567">
        <v>406.99112000000002</v>
      </c>
      <c r="Q58" s="567">
        <v>406.99112000000002</v>
      </c>
      <c r="R58" s="567">
        <v>406.99112000000002</v>
      </c>
      <c r="S58" s="567">
        <v>406.99112000000002</v>
      </c>
      <c r="T58" s="567">
        <v>406.99112000000002</v>
      </c>
      <c r="V58" s="567">
        <f t="shared" si="5"/>
        <v>406.99112000000002</v>
      </c>
    </row>
    <row r="59" spans="1:22" x14ac:dyDescent="0.25">
      <c r="A59" s="567" t="str">
        <f t="shared" si="0"/>
        <v>KU</v>
      </c>
      <c r="B59" s="567" t="str">
        <f t="shared" si="1"/>
        <v>KY</v>
      </c>
      <c r="C59" s="567" t="str">
        <f t="shared" si="4"/>
        <v>E</v>
      </c>
      <c r="D59" s="567" t="s">
        <v>2645</v>
      </c>
      <c r="E59" s="567" t="str">
        <f t="shared" si="2"/>
        <v>350</v>
      </c>
      <c r="F59" s="864" t="s">
        <v>1661</v>
      </c>
      <c r="G59" s="566" t="str">
        <f t="shared" si="6"/>
        <v/>
      </c>
      <c r="H59" s="567">
        <v>29761.60298</v>
      </c>
      <c r="I59" s="567">
        <v>29761.60298</v>
      </c>
      <c r="J59" s="567">
        <v>29761.60298</v>
      </c>
      <c r="K59" s="567">
        <v>29761.60298</v>
      </c>
      <c r="L59" s="567">
        <v>29761.60298</v>
      </c>
      <c r="M59" s="567">
        <v>29761.60298</v>
      </c>
      <c r="N59" s="567">
        <v>29761.60298</v>
      </c>
      <c r="O59" s="567">
        <v>29761.60298</v>
      </c>
      <c r="P59" s="567">
        <v>29761.60298</v>
      </c>
      <c r="Q59" s="567">
        <v>29761.60298</v>
      </c>
      <c r="R59" s="567">
        <v>29761.60298</v>
      </c>
      <c r="S59" s="567">
        <v>29761.60298</v>
      </c>
      <c r="T59" s="567">
        <v>29761.60298</v>
      </c>
      <c r="V59" s="567">
        <f t="shared" si="5"/>
        <v>29761.602980000007</v>
      </c>
    </row>
    <row r="60" spans="1:22" x14ac:dyDescent="0.25">
      <c r="A60" s="567" t="str">
        <f t="shared" si="0"/>
        <v>KU</v>
      </c>
      <c r="B60" s="567" t="str">
        <f t="shared" si="1"/>
        <v>TN</v>
      </c>
      <c r="C60" s="567" t="str">
        <f t="shared" si="4"/>
        <v>E</v>
      </c>
      <c r="D60" s="567" t="s">
        <v>2645</v>
      </c>
      <c r="E60" s="567" t="str">
        <f t="shared" si="2"/>
        <v>350</v>
      </c>
      <c r="F60" s="864" t="s">
        <v>1662</v>
      </c>
      <c r="G60" s="566" t="str">
        <f t="shared" si="6"/>
        <v/>
      </c>
      <c r="H60" s="567">
        <v>0.43952999999999998</v>
      </c>
      <c r="I60" s="567">
        <v>0.43952999999999998</v>
      </c>
      <c r="J60" s="567">
        <v>0.43952999999999998</v>
      </c>
      <c r="K60" s="567">
        <v>0.43952999999999998</v>
      </c>
      <c r="L60" s="567">
        <v>0.43952999999999998</v>
      </c>
      <c r="M60" s="567">
        <v>0.43952999999999998</v>
      </c>
      <c r="N60" s="567">
        <v>0.43952999999999998</v>
      </c>
      <c r="O60" s="567">
        <v>0.43952999999999998</v>
      </c>
      <c r="P60" s="567">
        <v>0.43952999999999998</v>
      </c>
      <c r="Q60" s="567">
        <v>0.43952999999999998</v>
      </c>
      <c r="R60" s="567">
        <v>0.43952999999999998</v>
      </c>
      <c r="S60" s="567">
        <v>0.43952999999999998</v>
      </c>
      <c r="T60" s="567">
        <v>0.43952999999999998</v>
      </c>
      <c r="V60" s="567">
        <f t="shared" si="5"/>
        <v>0.43952999999999992</v>
      </c>
    </row>
    <row r="61" spans="1:22" x14ac:dyDescent="0.25">
      <c r="A61" s="567" t="str">
        <f t="shared" si="0"/>
        <v>KU</v>
      </c>
      <c r="B61" s="567" t="str">
        <f t="shared" si="1"/>
        <v>VA</v>
      </c>
      <c r="C61" s="567" t="str">
        <f t="shared" si="4"/>
        <v>E</v>
      </c>
      <c r="D61" s="567" t="s">
        <v>2645</v>
      </c>
      <c r="E61" s="567" t="str">
        <f t="shared" si="2"/>
        <v>350</v>
      </c>
      <c r="F61" s="864" t="s">
        <v>1663</v>
      </c>
      <c r="G61" s="566" t="str">
        <f t="shared" si="6"/>
        <v/>
      </c>
      <c r="H61" s="567">
        <v>2265.1761000000001</v>
      </c>
      <c r="I61" s="567">
        <v>2265.1761000000001</v>
      </c>
      <c r="J61" s="567">
        <v>2265.1761000000001</v>
      </c>
      <c r="K61" s="567">
        <v>2265.1761000000001</v>
      </c>
      <c r="L61" s="567">
        <v>2265.1761000000001</v>
      </c>
      <c r="M61" s="567">
        <v>2265.1761000000001</v>
      </c>
      <c r="N61" s="567">
        <v>2265.1761000000001</v>
      </c>
      <c r="O61" s="567">
        <v>2265.1761000000001</v>
      </c>
      <c r="P61" s="567">
        <v>2569.6259</v>
      </c>
      <c r="Q61" s="567">
        <v>2569.6259</v>
      </c>
      <c r="R61" s="567">
        <v>2569.6259</v>
      </c>
      <c r="S61" s="567">
        <v>2569.6259</v>
      </c>
      <c r="T61" s="567">
        <v>2569.6259</v>
      </c>
      <c r="V61" s="567">
        <f t="shared" si="5"/>
        <v>2382.2721769230766</v>
      </c>
    </row>
    <row r="62" spans="1:22" x14ac:dyDescent="0.25">
      <c r="A62" s="567" t="str">
        <f t="shared" si="0"/>
        <v>KU</v>
      </c>
      <c r="B62" s="567" t="str">
        <f t="shared" si="1"/>
        <v>KY</v>
      </c>
      <c r="C62" s="567" t="str">
        <f t="shared" si="4"/>
        <v>E</v>
      </c>
      <c r="D62" s="567" t="s">
        <v>2645</v>
      </c>
      <c r="E62" s="567" t="str">
        <f t="shared" si="2"/>
        <v>352</v>
      </c>
      <c r="F62" s="864" t="s">
        <v>1664</v>
      </c>
      <c r="G62" s="566" t="str">
        <f t="shared" si="6"/>
        <v/>
      </c>
      <c r="H62" s="567">
        <v>1332.49217</v>
      </c>
      <c r="I62" s="567">
        <v>1332.49217</v>
      </c>
      <c r="J62" s="567">
        <v>1332.49217</v>
      </c>
      <c r="K62" s="567">
        <v>1332.49217</v>
      </c>
      <c r="L62" s="567">
        <v>1332.49217</v>
      </c>
      <c r="M62" s="567">
        <v>1332.49217</v>
      </c>
      <c r="N62" s="567">
        <v>1410.2816499999999</v>
      </c>
      <c r="O62" s="567">
        <v>1410.2816499999999</v>
      </c>
      <c r="P62" s="567">
        <v>1410.2816499999999</v>
      </c>
      <c r="Q62" s="567">
        <v>1410.2816499999999</v>
      </c>
      <c r="R62" s="567">
        <v>1410.2816499999999</v>
      </c>
      <c r="S62" s="567">
        <v>1410.2816499999999</v>
      </c>
      <c r="T62" s="567">
        <v>1410.2816499999999</v>
      </c>
      <c r="V62" s="567">
        <f t="shared" si="5"/>
        <v>1374.3788130769233</v>
      </c>
    </row>
    <row r="63" spans="1:22" x14ac:dyDescent="0.25">
      <c r="A63" s="567" t="str">
        <f t="shared" si="0"/>
        <v>KU</v>
      </c>
      <c r="B63" s="567" t="str">
        <f t="shared" si="1"/>
        <v>KY</v>
      </c>
      <c r="C63" s="567" t="str">
        <f t="shared" si="4"/>
        <v>E</v>
      </c>
      <c r="D63" s="567" t="s">
        <v>2645</v>
      </c>
      <c r="E63" s="567" t="str">
        <f t="shared" si="2"/>
        <v>352</v>
      </c>
      <c r="F63" s="864" t="s">
        <v>1665</v>
      </c>
      <c r="G63" s="566" t="str">
        <f t="shared" si="6"/>
        <v/>
      </c>
      <c r="H63" s="567">
        <v>26550.403569999999</v>
      </c>
      <c r="I63" s="567">
        <v>26550.403569999999</v>
      </c>
      <c r="J63" s="567">
        <v>26550.403569999999</v>
      </c>
      <c r="K63" s="567">
        <v>26550.403569999999</v>
      </c>
      <c r="L63" s="567">
        <v>26550.403569999999</v>
      </c>
      <c r="M63" s="567">
        <v>26550.403569999999</v>
      </c>
      <c r="N63" s="567">
        <v>26550.403569999999</v>
      </c>
      <c r="O63" s="567">
        <v>26550.403569999999</v>
      </c>
      <c r="P63" s="567">
        <v>26550.403569999999</v>
      </c>
      <c r="Q63" s="567">
        <v>26550.403569999999</v>
      </c>
      <c r="R63" s="567">
        <v>26550.403569999999</v>
      </c>
      <c r="S63" s="567">
        <v>26550.403569999999</v>
      </c>
      <c r="T63" s="567">
        <v>26550.403569999999</v>
      </c>
      <c r="V63" s="567">
        <f t="shared" si="5"/>
        <v>26550.403570000006</v>
      </c>
    </row>
    <row r="64" spans="1:22" x14ac:dyDescent="0.25">
      <c r="A64" s="567" t="str">
        <f t="shared" si="0"/>
        <v>KU</v>
      </c>
      <c r="B64" s="567" t="str">
        <f t="shared" si="1"/>
        <v>VA</v>
      </c>
      <c r="C64" s="567" t="str">
        <f t="shared" si="4"/>
        <v>E</v>
      </c>
      <c r="D64" s="567" t="s">
        <v>2645</v>
      </c>
      <c r="E64" s="567" t="str">
        <f t="shared" si="2"/>
        <v>352</v>
      </c>
      <c r="F64" s="864" t="s">
        <v>1666</v>
      </c>
      <c r="G64" s="566" t="str">
        <f t="shared" si="6"/>
        <v/>
      </c>
      <c r="H64" s="567">
        <v>1743.1988799999999</v>
      </c>
      <c r="I64" s="567">
        <v>1743.1988799999999</v>
      </c>
      <c r="J64" s="567">
        <v>1743.1988799999999</v>
      </c>
      <c r="K64" s="567">
        <v>1743.1988799999999</v>
      </c>
      <c r="L64" s="567">
        <v>1743.1988799999999</v>
      </c>
      <c r="M64" s="567">
        <v>1743.1988799999999</v>
      </c>
      <c r="N64" s="567">
        <v>1743.1988799999999</v>
      </c>
      <c r="O64" s="567">
        <v>1743.1988799999999</v>
      </c>
      <c r="P64" s="567">
        <v>1743.1988799999999</v>
      </c>
      <c r="Q64" s="567">
        <v>1743.1988799999999</v>
      </c>
      <c r="R64" s="567">
        <v>1743.1988799999999</v>
      </c>
      <c r="S64" s="567">
        <v>1743.1988799999999</v>
      </c>
      <c r="T64" s="567">
        <v>1743.1988799999999</v>
      </c>
      <c r="V64" s="567">
        <f t="shared" si="5"/>
        <v>1743.1988799999999</v>
      </c>
    </row>
    <row r="65" spans="1:22" x14ac:dyDescent="0.25">
      <c r="A65" s="567" t="str">
        <f t="shared" si="0"/>
        <v>KU</v>
      </c>
      <c r="B65" s="567" t="str">
        <f t="shared" si="1"/>
        <v>KY</v>
      </c>
      <c r="C65" s="567" t="str">
        <f t="shared" si="4"/>
        <v>E</v>
      </c>
      <c r="D65" s="567" t="s">
        <v>2645</v>
      </c>
      <c r="E65" s="567" t="str">
        <f t="shared" si="2"/>
        <v>353</v>
      </c>
      <c r="F65" s="864" t="s">
        <v>1667</v>
      </c>
      <c r="G65" s="566" t="str">
        <f t="shared" si="6"/>
        <v/>
      </c>
      <c r="H65" s="567">
        <v>331043.91509999899</v>
      </c>
      <c r="I65" s="567">
        <v>331355.42965999898</v>
      </c>
      <c r="J65" s="567">
        <v>333431.62496999901</v>
      </c>
      <c r="K65" s="567">
        <v>335967.495709999</v>
      </c>
      <c r="L65" s="567">
        <v>335909.614899999</v>
      </c>
      <c r="M65" s="567">
        <v>336364.85174999898</v>
      </c>
      <c r="N65" s="567">
        <v>336426.89480999898</v>
      </c>
      <c r="O65" s="567">
        <v>336475.596179999</v>
      </c>
      <c r="P65" s="567">
        <v>354965.956379999</v>
      </c>
      <c r="Q65" s="567">
        <v>355207.06655999902</v>
      </c>
      <c r="R65" s="567">
        <v>355581.41005999898</v>
      </c>
      <c r="S65" s="567">
        <v>357865.73595999897</v>
      </c>
      <c r="T65" s="567">
        <v>358929.83772999898</v>
      </c>
      <c r="V65" s="567">
        <f t="shared" si="5"/>
        <v>343040.41767461435</v>
      </c>
    </row>
    <row r="66" spans="1:22" x14ac:dyDescent="0.25">
      <c r="A66" s="567" t="str">
        <f t="shared" si="0"/>
        <v>KU</v>
      </c>
      <c r="B66" s="567" t="str">
        <f>IF(MID($F66,12,2)="- ","KY",IF(MID($F66,12,2)="SY","KY",MID($F66,12,2)))</f>
        <v>KY</v>
      </c>
      <c r="C66" s="567" t="str">
        <f t="shared" si="4"/>
        <v>E</v>
      </c>
      <c r="D66" s="567" t="s">
        <v>2645</v>
      </c>
      <c r="E66" s="567" t="str">
        <f t="shared" si="2"/>
        <v>353</v>
      </c>
      <c r="F66" s="864" t="s">
        <v>1668</v>
      </c>
      <c r="G66" s="566" t="str">
        <f t="shared" si="6"/>
        <v/>
      </c>
      <c r="H66" s="567">
        <v>3160.7372700000001</v>
      </c>
      <c r="I66" s="567">
        <v>3160.7372700000001</v>
      </c>
      <c r="J66" s="567">
        <v>3160.7372700000001</v>
      </c>
      <c r="K66" s="567">
        <v>3160.7372700000001</v>
      </c>
      <c r="L66" s="567">
        <v>3160.7372700000001</v>
      </c>
      <c r="M66" s="567">
        <v>3160.7372700000001</v>
      </c>
      <c r="N66" s="567">
        <v>3160.7372700000001</v>
      </c>
      <c r="O66" s="567">
        <v>3160.7372700000001</v>
      </c>
      <c r="P66" s="567">
        <v>3160.7372700000001</v>
      </c>
      <c r="Q66" s="567">
        <v>3160.7372700000001</v>
      </c>
      <c r="R66" s="567">
        <v>3160.7372700000001</v>
      </c>
      <c r="S66" s="567">
        <v>3160.7372700000001</v>
      </c>
      <c r="T66" s="567">
        <v>3160.7372700000001</v>
      </c>
      <c r="V66" s="567">
        <f t="shared" si="5"/>
        <v>3160.7372700000001</v>
      </c>
    </row>
    <row r="67" spans="1:22" x14ac:dyDescent="0.25">
      <c r="A67" s="567" t="str">
        <f t="shared" si="0"/>
        <v>KU</v>
      </c>
      <c r="B67" s="567" t="str">
        <f t="shared" ref="B67:B131" si="7">IF(MID($F67,12,2)="- ","KY",IF(MID($F67,12,2)="SY","KY",MID($F67,12,2)))</f>
        <v>VA</v>
      </c>
      <c r="C67" s="567" t="str">
        <f t="shared" si="4"/>
        <v>E</v>
      </c>
      <c r="D67" s="567" t="s">
        <v>2645</v>
      </c>
      <c r="E67" s="567" t="str">
        <f t="shared" si="2"/>
        <v>353</v>
      </c>
      <c r="F67" s="864" t="s">
        <v>1669</v>
      </c>
      <c r="G67" s="566" t="str">
        <f t="shared" si="6"/>
        <v/>
      </c>
      <c r="H67" s="567">
        <v>22952.135109999999</v>
      </c>
      <c r="I67" s="567">
        <v>22952.135109999999</v>
      </c>
      <c r="J67" s="567">
        <v>22952.135109999999</v>
      </c>
      <c r="K67" s="567">
        <v>22952.135109999999</v>
      </c>
      <c r="L67" s="567">
        <v>22952.135109999999</v>
      </c>
      <c r="M67" s="567">
        <v>22952.135109999999</v>
      </c>
      <c r="N67" s="567">
        <v>22952.135109999999</v>
      </c>
      <c r="O67" s="567">
        <v>22952.135109999999</v>
      </c>
      <c r="P67" s="567">
        <v>22952.135109999999</v>
      </c>
      <c r="Q67" s="567">
        <v>22952.135109999999</v>
      </c>
      <c r="R67" s="567">
        <v>22952.135109999999</v>
      </c>
      <c r="S67" s="567">
        <v>22952.135109999999</v>
      </c>
      <c r="T67" s="567">
        <v>22952.135109999999</v>
      </c>
      <c r="V67" s="567">
        <f t="shared" si="5"/>
        <v>22952.135109999996</v>
      </c>
    </row>
    <row r="68" spans="1:22" x14ac:dyDescent="0.25">
      <c r="A68" s="567" t="str">
        <f t="shared" si="0"/>
        <v>KU</v>
      </c>
      <c r="B68" s="567" t="str">
        <f t="shared" si="7"/>
        <v>KY</v>
      </c>
      <c r="C68" s="567" t="str">
        <f t="shared" si="4"/>
        <v>E</v>
      </c>
      <c r="D68" s="567" t="s">
        <v>2645</v>
      </c>
      <c r="E68" s="567" t="str">
        <f t="shared" si="2"/>
        <v>354</v>
      </c>
      <c r="F68" s="864" t="s">
        <v>1670</v>
      </c>
      <c r="G68" s="566" t="str">
        <f t="shared" si="6"/>
        <v/>
      </c>
      <c r="H68" s="567">
        <v>70852.012849999999</v>
      </c>
      <c r="I68" s="567">
        <v>70852.012849999999</v>
      </c>
      <c r="J68" s="567">
        <v>70852.012849999999</v>
      </c>
      <c r="K68" s="567">
        <v>70852.012849999999</v>
      </c>
      <c r="L68" s="567">
        <v>70852.012849999999</v>
      </c>
      <c r="M68" s="567">
        <v>70852.012849999999</v>
      </c>
      <c r="N68" s="567">
        <v>70852.012849999999</v>
      </c>
      <c r="O68" s="567">
        <v>70852.012849999999</v>
      </c>
      <c r="P68" s="567">
        <v>70852.012849999999</v>
      </c>
      <c r="Q68" s="567">
        <v>70852.012849999999</v>
      </c>
      <c r="R68" s="567">
        <v>70852.012849999999</v>
      </c>
      <c r="S68" s="567">
        <v>70852.012849999999</v>
      </c>
      <c r="T68" s="567">
        <v>70852.012849999999</v>
      </c>
      <c r="V68" s="567">
        <f t="shared" si="5"/>
        <v>70852.012850000028</v>
      </c>
    </row>
    <row r="69" spans="1:22" x14ac:dyDescent="0.25">
      <c r="A69" s="567" t="str">
        <f t="shared" si="0"/>
        <v>KU</v>
      </c>
      <c r="B69" s="567" t="str">
        <f t="shared" si="7"/>
        <v>VA</v>
      </c>
      <c r="C69" s="567" t="str">
        <f t="shared" si="4"/>
        <v>E</v>
      </c>
      <c r="D69" s="567" t="s">
        <v>2645</v>
      </c>
      <c r="E69" s="567" t="str">
        <f t="shared" si="2"/>
        <v>354</v>
      </c>
      <c r="F69" s="864" t="s">
        <v>1671</v>
      </c>
      <c r="G69" s="566" t="str">
        <f t="shared" si="6"/>
        <v/>
      </c>
      <c r="H69" s="567">
        <v>7181.0812999999998</v>
      </c>
      <c r="I69" s="567">
        <v>7181.0812999999998</v>
      </c>
      <c r="J69" s="567">
        <v>7181.0812999999998</v>
      </c>
      <c r="K69" s="567">
        <v>7181.0812999999998</v>
      </c>
      <c r="L69" s="567">
        <v>7181.0812999999998</v>
      </c>
      <c r="M69" s="567">
        <v>7181.0812999999998</v>
      </c>
      <c r="N69" s="567">
        <v>7181.0812999999998</v>
      </c>
      <c r="O69" s="567">
        <v>7181.0812999999998</v>
      </c>
      <c r="P69" s="567">
        <v>7181.0812999999998</v>
      </c>
      <c r="Q69" s="567">
        <v>7181.0812999999998</v>
      </c>
      <c r="R69" s="567">
        <v>7181.0812999999998</v>
      </c>
      <c r="S69" s="567">
        <v>7181.0812999999998</v>
      </c>
      <c r="T69" s="567">
        <v>7181.0812999999998</v>
      </c>
      <c r="V69" s="567">
        <f t="shared" si="5"/>
        <v>7181.0813000000007</v>
      </c>
    </row>
    <row r="70" spans="1:22" x14ac:dyDescent="0.25">
      <c r="A70" s="567" t="str">
        <f t="shared" ref="A70:A134" si="8">MID($F70,4,2)</f>
        <v>KU</v>
      </c>
      <c r="B70" s="567" t="str">
        <f t="shared" si="7"/>
        <v>KY</v>
      </c>
      <c r="C70" s="567" t="str">
        <f t="shared" si="4"/>
        <v>E</v>
      </c>
      <c r="D70" s="567" t="s">
        <v>2645</v>
      </c>
      <c r="E70" s="567" t="str">
        <f t="shared" ref="E70:E157" si="9">MID($F70,8,3)</f>
        <v>355</v>
      </c>
      <c r="F70" s="864" t="s">
        <v>1672</v>
      </c>
      <c r="G70" s="566" t="str">
        <f t="shared" si="6"/>
        <v/>
      </c>
      <c r="H70" s="567">
        <v>389488.91693000001</v>
      </c>
      <c r="I70" s="567">
        <v>395510.46266999998</v>
      </c>
      <c r="J70" s="567">
        <v>398555.12563999998</v>
      </c>
      <c r="K70" s="567">
        <v>402527.29307000001</v>
      </c>
      <c r="L70" s="567">
        <v>405572.58022</v>
      </c>
      <c r="M70" s="567">
        <v>408297.07146000001</v>
      </c>
      <c r="N70" s="567">
        <v>411769.75903000002</v>
      </c>
      <c r="O70" s="567">
        <v>414219.20536999998</v>
      </c>
      <c r="P70" s="567">
        <v>438579.06052999903</v>
      </c>
      <c r="Q70" s="567">
        <v>438568.48299999902</v>
      </c>
      <c r="R70" s="567">
        <v>442966.91310999898</v>
      </c>
      <c r="S70" s="567">
        <v>443475.78003999998</v>
      </c>
      <c r="T70" s="567">
        <v>447947.06688</v>
      </c>
      <c r="V70" s="567">
        <f t="shared" si="5"/>
        <v>418267.51676538429</v>
      </c>
    </row>
    <row r="71" spans="1:22" x14ac:dyDescent="0.25">
      <c r="A71" s="567" t="str">
        <f t="shared" si="8"/>
        <v>KU</v>
      </c>
      <c r="B71" s="567" t="str">
        <f t="shared" si="7"/>
        <v>TN</v>
      </c>
      <c r="C71" s="567" t="str">
        <f t="shared" ref="C71:C135" si="10">IF(ISTEXT(MID($F71,SEARCH("FUTURE USE",$F71),3)),"F",IF(MID($F71,7,1)="1","E",IF(MID($F71,7,1)="2","G",IF(MID($F71,7,1)="3","C",""))))</f>
        <v>E</v>
      </c>
      <c r="D71" s="567" t="s">
        <v>2645</v>
      </c>
      <c r="E71" s="567" t="str">
        <f t="shared" si="9"/>
        <v>355</v>
      </c>
      <c r="F71" s="864" t="s">
        <v>1673</v>
      </c>
      <c r="G71" s="566" t="str">
        <f t="shared" si="6"/>
        <v/>
      </c>
      <c r="H71" s="567">
        <v>128.75153</v>
      </c>
      <c r="I71" s="567">
        <v>128.75153</v>
      </c>
      <c r="J71" s="567">
        <v>128.75153</v>
      </c>
      <c r="K71" s="567">
        <v>128.75153</v>
      </c>
      <c r="L71" s="567">
        <v>128.75153</v>
      </c>
      <c r="M71" s="567">
        <v>128.75153</v>
      </c>
      <c r="N71" s="567">
        <v>128.75153</v>
      </c>
      <c r="O71" s="567">
        <v>128.75153</v>
      </c>
      <c r="P71" s="567">
        <v>128.75153</v>
      </c>
      <c r="Q71" s="567">
        <v>128.75153</v>
      </c>
      <c r="R71" s="567">
        <v>128.75153</v>
      </c>
      <c r="S71" s="567">
        <v>128.75153</v>
      </c>
      <c r="T71" s="567">
        <v>128.75153</v>
      </c>
      <c r="V71" s="567">
        <f t="shared" ref="V71:V135" si="11">SUM(H71:T71)/13</f>
        <v>128.75153</v>
      </c>
    </row>
    <row r="72" spans="1:22" x14ac:dyDescent="0.25">
      <c r="A72" s="567" t="str">
        <f t="shared" si="8"/>
        <v>KU</v>
      </c>
      <c r="B72" s="567" t="str">
        <f t="shared" si="7"/>
        <v>VA</v>
      </c>
      <c r="C72" s="567" t="str">
        <f t="shared" si="10"/>
        <v>E</v>
      </c>
      <c r="D72" s="567" t="s">
        <v>2645</v>
      </c>
      <c r="E72" s="567" t="str">
        <f t="shared" si="9"/>
        <v>355</v>
      </c>
      <c r="F72" s="864" t="s">
        <v>1674</v>
      </c>
      <c r="G72" s="566" t="str">
        <f t="shared" si="6"/>
        <v/>
      </c>
      <c r="H72" s="567">
        <v>14553.42396</v>
      </c>
      <c r="I72" s="567">
        <v>14553.42396</v>
      </c>
      <c r="J72" s="567">
        <v>15037.87667</v>
      </c>
      <c r="K72" s="567">
        <v>15037.87667</v>
      </c>
      <c r="L72" s="567">
        <v>15037.87667</v>
      </c>
      <c r="M72" s="567">
        <v>15037.87667</v>
      </c>
      <c r="N72" s="567">
        <v>15037.87667</v>
      </c>
      <c r="O72" s="567">
        <v>15037.87667</v>
      </c>
      <c r="P72" s="567">
        <v>15037.87667</v>
      </c>
      <c r="Q72" s="567">
        <v>15037.87667</v>
      </c>
      <c r="R72" s="567">
        <v>15037.87667</v>
      </c>
      <c r="S72" s="567">
        <v>15037.87667</v>
      </c>
      <c r="T72" s="567">
        <v>15037.87667</v>
      </c>
      <c r="V72" s="567">
        <f t="shared" si="11"/>
        <v>14963.345483846151</v>
      </c>
    </row>
    <row r="73" spans="1:22" x14ac:dyDescent="0.25">
      <c r="A73" s="567" t="str">
        <f t="shared" si="8"/>
        <v>KU</v>
      </c>
      <c r="B73" s="567" t="str">
        <f t="shared" si="7"/>
        <v>KY</v>
      </c>
      <c r="C73" s="567" t="str">
        <f t="shared" si="10"/>
        <v>E</v>
      </c>
      <c r="D73" s="567" t="s">
        <v>2645</v>
      </c>
      <c r="E73" s="567" t="str">
        <f t="shared" si="9"/>
        <v>356</v>
      </c>
      <c r="F73" s="864" t="s">
        <v>1675</v>
      </c>
      <c r="G73" s="566" t="str">
        <f t="shared" si="6"/>
        <v/>
      </c>
      <c r="H73" s="567">
        <v>170842.02411</v>
      </c>
      <c r="I73" s="567">
        <v>170798.64079</v>
      </c>
      <c r="J73" s="567">
        <v>170657.67361999999</v>
      </c>
      <c r="K73" s="567">
        <v>170669.08991000001</v>
      </c>
      <c r="L73" s="567">
        <v>170574.36361</v>
      </c>
      <c r="M73" s="567">
        <v>170606.31336999999</v>
      </c>
      <c r="N73" s="567">
        <v>170526.31928</v>
      </c>
      <c r="O73" s="567">
        <v>170502.62766</v>
      </c>
      <c r="P73" s="567">
        <v>170390.86588999999</v>
      </c>
      <c r="Q73" s="567">
        <v>170443.51779000001</v>
      </c>
      <c r="R73" s="567">
        <v>170429.51795000001</v>
      </c>
      <c r="S73" s="567">
        <v>170440.49917</v>
      </c>
      <c r="T73" s="567">
        <v>174938.2046</v>
      </c>
      <c r="V73" s="567">
        <f t="shared" si="11"/>
        <v>170909.20444230767</v>
      </c>
    </row>
    <row r="74" spans="1:22" x14ac:dyDescent="0.25">
      <c r="A74" s="567" t="str">
        <f t="shared" si="8"/>
        <v>KU</v>
      </c>
      <c r="B74" s="567" t="str">
        <f t="shared" si="7"/>
        <v>TN</v>
      </c>
      <c r="C74" s="567" t="str">
        <f t="shared" si="10"/>
        <v>E</v>
      </c>
      <c r="D74" s="567" t="s">
        <v>2645</v>
      </c>
      <c r="E74" s="567" t="str">
        <f t="shared" si="9"/>
        <v>356</v>
      </c>
      <c r="F74" s="864" t="s">
        <v>1676</v>
      </c>
      <c r="G74" s="566" t="str">
        <f t="shared" si="6"/>
        <v/>
      </c>
      <c r="H74" s="567">
        <v>80.691329999999994</v>
      </c>
      <c r="I74" s="567">
        <v>80.691329999999994</v>
      </c>
      <c r="J74" s="567">
        <v>80.691329999999994</v>
      </c>
      <c r="K74" s="567">
        <v>80.691329999999994</v>
      </c>
      <c r="L74" s="567">
        <v>80.691329999999994</v>
      </c>
      <c r="M74" s="567">
        <v>80.691329999999994</v>
      </c>
      <c r="N74" s="567">
        <v>80.691329999999994</v>
      </c>
      <c r="O74" s="567">
        <v>80.691329999999994</v>
      </c>
      <c r="P74" s="567">
        <v>80.691329999999994</v>
      </c>
      <c r="Q74" s="567">
        <v>80.691329999999994</v>
      </c>
      <c r="R74" s="567">
        <v>80.691329999999994</v>
      </c>
      <c r="S74" s="567">
        <v>80.691329999999994</v>
      </c>
      <c r="T74" s="567">
        <v>80.691329999999994</v>
      </c>
      <c r="V74" s="567">
        <f t="shared" si="11"/>
        <v>80.691330000000008</v>
      </c>
    </row>
    <row r="75" spans="1:22" x14ac:dyDescent="0.25">
      <c r="A75" s="567" t="str">
        <f t="shared" si="8"/>
        <v>KU</v>
      </c>
      <c r="B75" s="567" t="str">
        <f t="shared" si="7"/>
        <v>VA</v>
      </c>
      <c r="C75" s="567" t="str">
        <f t="shared" si="10"/>
        <v>E</v>
      </c>
      <c r="D75" s="567" t="s">
        <v>2645</v>
      </c>
      <c r="E75" s="567" t="str">
        <f t="shared" si="9"/>
        <v>356</v>
      </c>
      <c r="F75" s="864" t="s">
        <v>1677</v>
      </c>
      <c r="G75" s="566" t="str">
        <f t="shared" si="6"/>
        <v/>
      </c>
      <c r="H75" s="567">
        <v>18696.50129</v>
      </c>
      <c r="I75" s="567">
        <v>18696.50129</v>
      </c>
      <c r="J75" s="567">
        <v>18696.50129</v>
      </c>
      <c r="K75" s="567">
        <v>18696.50129</v>
      </c>
      <c r="L75" s="567">
        <v>18696.50129</v>
      </c>
      <c r="M75" s="567">
        <v>18696.50129</v>
      </c>
      <c r="N75" s="567">
        <v>18696.50129</v>
      </c>
      <c r="O75" s="567">
        <v>18696.50129</v>
      </c>
      <c r="P75" s="567">
        <v>18696.50129</v>
      </c>
      <c r="Q75" s="567">
        <v>18696.50129</v>
      </c>
      <c r="R75" s="567">
        <v>18696.50129</v>
      </c>
      <c r="S75" s="567">
        <v>18696.50129</v>
      </c>
      <c r="T75" s="567">
        <v>18696.50129</v>
      </c>
      <c r="V75" s="567">
        <f t="shared" si="11"/>
        <v>18696.501289999993</v>
      </c>
    </row>
    <row r="76" spans="1:22" x14ac:dyDescent="0.25">
      <c r="A76" s="567" t="str">
        <f t="shared" si="8"/>
        <v>KU</v>
      </c>
      <c r="B76" s="567" t="str">
        <f t="shared" si="7"/>
        <v>KY</v>
      </c>
      <c r="C76" s="567" t="str">
        <f t="shared" si="10"/>
        <v>E</v>
      </c>
      <c r="D76" s="567" t="s">
        <v>2645</v>
      </c>
      <c r="E76" s="567" t="str">
        <f t="shared" si="9"/>
        <v>357</v>
      </c>
      <c r="F76" s="864" t="s">
        <v>1678</v>
      </c>
      <c r="G76" s="566" t="str">
        <f t="shared" si="6"/>
        <v/>
      </c>
      <c r="H76" s="567">
        <v>448.76026000000002</v>
      </c>
      <c r="I76" s="567">
        <v>448.76026000000002</v>
      </c>
      <c r="J76" s="567">
        <v>448.76026000000002</v>
      </c>
      <c r="K76" s="567">
        <v>448.76026000000002</v>
      </c>
      <c r="L76" s="567">
        <v>448.76026000000002</v>
      </c>
      <c r="M76" s="567">
        <v>448.76026000000002</v>
      </c>
      <c r="N76" s="567">
        <v>448.76026000000002</v>
      </c>
      <c r="O76" s="567">
        <v>448.76026000000002</v>
      </c>
      <c r="P76" s="567">
        <v>448.76026000000002</v>
      </c>
      <c r="Q76" s="567">
        <v>448.76026000000002</v>
      </c>
      <c r="R76" s="567">
        <v>448.76026000000002</v>
      </c>
      <c r="S76" s="567">
        <v>448.76026000000002</v>
      </c>
      <c r="T76" s="567">
        <v>448.76026000000002</v>
      </c>
      <c r="V76" s="567">
        <f t="shared" si="11"/>
        <v>448.76026000000002</v>
      </c>
    </row>
    <row r="77" spans="1:22" x14ac:dyDescent="0.25">
      <c r="A77" s="567" t="str">
        <f t="shared" si="8"/>
        <v>KU</v>
      </c>
      <c r="B77" s="567" t="str">
        <f t="shared" si="7"/>
        <v>KY</v>
      </c>
      <c r="C77" s="567" t="str">
        <f t="shared" si="10"/>
        <v>E</v>
      </c>
      <c r="D77" s="567" t="s">
        <v>2645</v>
      </c>
      <c r="E77" s="567" t="str">
        <f t="shared" si="9"/>
        <v>358</v>
      </c>
      <c r="F77" s="864" t="s">
        <v>1679</v>
      </c>
      <c r="G77" s="566" t="str">
        <f t="shared" si="6"/>
        <v/>
      </c>
      <c r="H77" s="567">
        <v>1299.5925500000001</v>
      </c>
      <c r="I77" s="567">
        <v>1299.5925500000001</v>
      </c>
      <c r="J77" s="567">
        <v>1299.5925500000001</v>
      </c>
      <c r="K77" s="567">
        <v>1299.5925500000001</v>
      </c>
      <c r="L77" s="567">
        <v>1299.5925500000001</v>
      </c>
      <c r="M77" s="567">
        <v>1299.5925500000001</v>
      </c>
      <c r="N77" s="567">
        <v>1299.5925500000001</v>
      </c>
      <c r="O77" s="567">
        <v>1299.5925500000001</v>
      </c>
      <c r="P77" s="567">
        <v>10184.64201</v>
      </c>
      <c r="Q77" s="567">
        <v>10328.209559999999</v>
      </c>
      <c r="R77" s="567">
        <v>10591.81086</v>
      </c>
      <c r="S77" s="567">
        <v>10855.41216</v>
      </c>
      <c r="T77" s="567">
        <v>10855.41216</v>
      </c>
      <c r="V77" s="567">
        <f t="shared" si="11"/>
        <v>4862.4790115384612</v>
      </c>
    </row>
    <row r="78" spans="1:22" x14ac:dyDescent="0.25">
      <c r="A78" s="567" t="str">
        <f t="shared" si="8"/>
        <v>KU</v>
      </c>
      <c r="B78" s="567" t="str">
        <f t="shared" si="7"/>
        <v>KY</v>
      </c>
      <c r="C78" s="567" t="str">
        <f t="shared" si="10"/>
        <v>E</v>
      </c>
      <c r="D78" s="567" t="s">
        <v>2645</v>
      </c>
      <c r="E78" s="567" t="str">
        <f t="shared" si="9"/>
        <v>359</v>
      </c>
      <c r="F78" s="864" t="s">
        <v>1680</v>
      </c>
      <c r="G78" s="566" t="str">
        <f t="shared" si="6"/>
        <v>ARO</v>
      </c>
      <c r="H78" s="567">
        <v>551.32388000000003</v>
      </c>
      <c r="I78" s="567">
        <v>551.32388000000003</v>
      </c>
      <c r="J78" s="567">
        <v>551.32388000000003</v>
      </c>
      <c r="K78" s="567">
        <v>551.32388000000003</v>
      </c>
      <c r="L78" s="567">
        <v>551.32388000000003</v>
      </c>
      <c r="M78" s="567">
        <v>551.32388000000003</v>
      </c>
      <c r="N78" s="567">
        <v>551.32388000000003</v>
      </c>
      <c r="O78" s="567">
        <v>551.32388000000003</v>
      </c>
      <c r="P78" s="567">
        <v>551.32388000000003</v>
      </c>
      <c r="Q78" s="567">
        <v>551.32388000000003</v>
      </c>
      <c r="R78" s="567">
        <v>551.32388000000003</v>
      </c>
      <c r="S78" s="567">
        <v>551.32388000000003</v>
      </c>
      <c r="T78" s="567">
        <v>551.32388000000003</v>
      </c>
      <c r="V78" s="567">
        <f t="shared" si="11"/>
        <v>551.32388000000003</v>
      </c>
    </row>
    <row r="79" spans="1:22" x14ac:dyDescent="0.25">
      <c r="A79" s="567" t="str">
        <f t="shared" si="8"/>
        <v>KU</v>
      </c>
      <c r="B79" s="567" t="str">
        <f t="shared" si="7"/>
        <v>KY</v>
      </c>
      <c r="C79" s="567" t="str">
        <f t="shared" si="10"/>
        <v>F</v>
      </c>
      <c r="D79" s="567" t="s">
        <v>2645</v>
      </c>
      <c r="E79" s="567" t="str">
        <f t="shared" si="9"/>
        <v>360</v>
      </c>
      <c r="F79" s="864" t="s">
        <v>1681</v>
      </c>
      <c r="G79" s="566" t="str">
        <f t="shared" si="6"/>
        <v>FUTURE USE</v>
      </c>
      <c r="H79" s="567">
        <v>1471.4225899999999</v>
      </c>
      <c r="I79" s="567">
        <v>1471.4225899999999</v>
      </c>
      <c r="J79" s="567">
        <v>1471.4225899999999</v>
      </c>
      <c r="K79" s="567">
        <v>1471.4225899999999</v>
      </c>
      <c r="L79" s="567">
        <v>1471.4225899999999</v>
      </c>
      <c r="M79" s="567">
        <v>1471.4225899999999</v>
      </c>
      <c r="N79" s="567">
        <v>1471.4225899999999</v>
      </c>
      <c r="O79" s="567">
        <v>1471.4225899999999</v>
      </c>
      <c r="P79" s="567">
        <v>1471.4225899999999</v>
      </c>
      <c r="Q79" s="567">
        <v>1471.4225899999999</v>
      </c>
      <c r="R79" s="567">
        <v>1471.4225899999999</v>
      </c>
      <c r="S79" s="567">
        <v>1471.4225899999999</v>
      </c>
      <c r="T79" s="567">
        <v>1471.4225899999999</v>
      </c>
      <c r="V79" s="567">
        <f t="shared" si="11"/>
        <v>1471.4225899999997</v>
      </c>
    </row>
    <row r="80" spans="1:22" x14ac:dyDescent="0.25">
      <c r="A80" s="567" t="str">
        <f t="shared" si="8"/>
        <v>KU</v>
      </c>
      <c r="B80" s="567" t="str">
        <f t="shared" si="7"/>
        <v>KY</v>
      </c>
      <c r="C80" s="567" t="str">
        <f t="shared" si="10"/>
        <v>E</v>
      </c>
      <c r="D80" s="567" t="s">
        <v>2645</v>
      </c>
      <c r="E80" s="567" t="str">
        <f t="shared" si="9"/>
        <v>360</v>
      </c>
      <c r="F80" s="864" t="s">
        <v>1682</v>
      </c>
      <c r="G80" s="566" t="str">
        <f t="shared" si="6"/>
        <v/>
      </c>
      <c r="H80" s="567">
        <v>9123.7509999999893</v>
      </c>
      <c r="I80" s="567">
        <v>9123.7509999999893</v>
      </c>
      <c r="J80" s="567">
        <v>9123.7509999999893</v>
      </c>
      <c r="K80" s="567">
        <v>9123.7509999999893</v>
      </c>
      <c r="L80" s="567">
        <v>9123.7509999999893</v>
      </c>
      <c r="M80" s="567">
        <v>9123.7509999999893</v>
      </c>
      <c r="N80" s="567">
        <v>9123.7509999999893</v>
      </c>
      <c r="O80" s="567">
        <v>9123.7509999999893</v>
      </c>
      <c r="P80" s="567">
        <v>9411.8325899999909</v>
      </c>
      <c r="Q80" s="567">
        <v>9411.8325899999909</v>
      </c>
      <c r="R80" s="567">
        <v>9411.8325899999909</v>
      </c>
      <c r="S80" s="567">
        <v>9411.8325899999909</v>
      </c>
      <c r="T80" s="567">
        <v>9411.8325899999909</v>
      </c>
      <c r="V80" s="567">
        <f t="shared" si="11"/>
        <v>9234.5516115384507</v>
      </c>
    </row>
    <row r="81" spans="1:22" x14ac:dyDescent="0.25">
      <c r="A81" s="567" t="str">
        <f t="shared" si="8"/>
        <v>KU</v>
      </c>
      <c r="B81" s="567" t="str">
        <f t="shared" si="7"/>
        <v>TN</v>
      </c>
      <c r="C81" s="567" t="str">
        <f t="shared" si="10"/>
        <v>E</v>
      </c>
      <c r="D81" s="567" t="s">
        <v>2645</v>
      </c>
      <c r="E81" s="567" t="str">
        <f t="shared" si="9"/>
        <v>360</v>
      </c>
      <c r="F81" s="864" t="s">
        <v>1683</v>
      </c>
      <c r="G81" s="566" t="str">
        <f t="shared" si="6"/>
        <v/>
      </c>
      <c r="H81" s="567">
        <v>475.57252999999997</v>
      </c>
      <c r="I81" s="567">
        <v>475.57252999999997</v>
      </c>
      <c r="J81" s="567">
        <v>475.57252999999997</v>
      </c>
      <c r="K81" s="567">
        <v>475.57252999999997</v>
      </c>
      <c r="L81" s="567">
        <v>475.57252999999997</v>
      </c>
      <c r="M81" s="567">
        <v>475.57252999999997</v>
      </c>
      <c r="N81" s="567">
        <v>475.57252999999997</v>
      </c>
      <c r="O81" s="567">
        <v>475.57252999999997</v>
      </c>
      <c r="P81" s="567">
        <v>475.57252999999997</v>
      </c>
      <c r="Q81" s="567">
        <v>475.57252999999997</v>
      </c>
      <c r="R81" s="567">
        <v>475.57252999999997</v>
      </c>
      <c r="S81" s="567">
        <v>475.57252999999997</v>
      </c>
      <c r="T81" s="567">
        <v>475.57252999999997</v>
      </c>
      <c r="V81" s="567">
        <f t="shared" si="11"/>
        <v>475.57253000000009</v>
      </c>
    </row>
    <row r="82" spans="1:22" x14ac:dyDescent="0.25">
      <c r="A82" s="567" t="str">
        <f t="shared" si="8"/>
        <v>KU</v>
      </c>
      <c r="B82" s="567" t="str">
        <f t="shared" si="7"/>
        <v>VA</v>
      </c>
      <c r="C82" s="567" t="str">
        <f t="shared" si="10"/>
        <v>E</v>
      </c>
      <c r="D82" s="567" t="s">
        <v>2645</v>
      </c>
      <c r="E82" s="567" t="str">
        <f t="shared" si="9"/>
        <v>360</v>
      </c>
      <c r="F82" s="864" t="s">
        <v>1684</v>
      </c>
      <c r="G82" s="566" t="str">
        <f t="shared" si="6"/>
        <v/>
      </c>
      <c r="H82" s="567">
        <v>313.284189999999</v>
      </c>
      <c r="I82" s="567">
        <v>313.284189999999</v>
      </c>
      <c r="J82" s="567">
        <v>313.284189999999</v>
      </c>
      <c r="K82" s="567">
        <v>313.284189999999</v>
      </c>
      <c r="L82" s="567">
        <v>313.284189999999</v>
      </c>
      <c r="M82" s="567">
        <v>313.284189999999</v>
      </c>
      <c r="N82" s="567">
        <v>313.284189999999</v>
      </c>
      <c r="O82" s="567">
        <v>313.284189999999</v>
      </c>
      <c r="P82" s="567">
        <v>313.284189999999</v>
      </c>
      <c r="Q82" s="567">
        <v>313.284189999999</v>
      </c>
      <c r="R82" s="567">
        <v>313.284189999999</v>
      </c>
      <c r="S82" s="567">
        <v>313.284189999999</v>
      </c>
      <c r="T82" s="567">
        <v>313.284189999999</v>
      </c>
      <c r="V82" s="567">
        <f t="shared" si="11"/>
        <v>313.284189999999</v>
      </c>
    </row>
    <row r="83" spans="1:22" x14ac:dyDescent="0.25">
      <c r="A83" s="567" t="str">
        <f t="shared" si="8"/>
        <v>KU</v>
      </c>
      <c r="B83" s="567" t="str">
        <f t="shared" si="7"/>
        <v>KY</v>
      </c>
      <c r="C83" s="567" t="str">
        <f t="shared" si="10"/>
        <v>E</v>
      </c>
      <c r="D83" s="567" t="s">
        <v>2645</v>
      </c>
      <c r="E83" s="567" t="str">
        <f t="shared" si="9"/>
        <v>361</v>
      </c>
      <c r="F83" s="864" t="s">
        <v>1685</v>
      </c>
      <c r="G83" s="566" t="str">
        <f t="shared" si="6"/>
        <v/>
      </c>
      <c r="H83" s="567">
        <v>23004.345069999999</v>
      </c>
      <c r="I83" s="567">
        <v>23767.192569999999</v>
      </c>
      <c r="J83" s="567">
        <v>24530.052360000001</v>
      </c>
      <c r="K83" s="567">
        <v>25292.895700000001</v>
      </c>
      <c r="L83" s="567">
        <v>26055.74049</v>
      </c>
      <c r="M83" s="567">
        <v>26818.602709999999</v>
      </c>
      <c r="N83" s="567">
        <v>27581.45679</v>
      </c>
      <c r="O83" s="567">
        <v>28344.313389999999</v>
      </c>
      <c r="P83" s="567">
        <v>29765.86031</v>
      </c>
      <c r="Q83" s="567">
        <v>30446.093270000001</v>
      </c>
      <c r="R83" s="567">
        <v>31126.332399999999</v>
      </c>
      <c r="S83" s="567">
        <v>31806.565320000002</v>
      </c>
      <c r="T83" s="567">
        <v>32536.61334</v>
      </c>
      <c r="V83" s="567">
        <f t="shared" si="11"/>
        <v>27775.081824615383</v>
      </c>
    </row>
    <row r="84" spans="1:22" x14ac:dyDescent="0.25">
      <c r="A84" s="567" t="str">
        <f t="shared" si="8"/>
        <v>KU</v>
      </c>
      <c r="B84" s="567" t="str">
        <f t="shared" si="7"/>
        <v>TN</v>
      </c>
      <c r="C84" s="567" t="str">
        <f t="shared" si="10"/>
        <v>E</v>
      </c>
      <c r="D84" s="567" t="s">
        <v>2645</v>
      </c>
      <c r="E84" s="567" t="str">
        <f t="shared" si="9"/>
        <v>361</v>
      </c>
      <c r="F84" s="864" t="s">
        <v>1686</v>
      </c>
      <c r="G84" s="566" t="str">
        <f t="shared" si="6"/>
        <v/>
      </c>
      <c r="H84" s="567">
        <v>2.5451299999999999</v>
      </c>
      <c r="I84" s="567">
        <v>2.5451299999999999</v>
      </c>
      <c r="J84" s="567">
        <v>2.5451299999999999</v>
      </c>
      <c r="K84" s="567">
        <v>2.5451299999999999</v>
      </c>
      <c r="L84" s="567">
        <v>2.5451299999999999</v>
      </c>
      <c r="M84" s="567">
        <v>2.5451299999999999</v>
      </c>
      <c r="N84" s="567">
        <v>2.5451299999999999</v>
      </c>
      <c r="O84" s="567">
        <v>2.5451299999999999</v>
      </c>
      <c r="P84" s="567">
        <v>2.5451299999999999</v>
      </c>
      <c r="Q84" s="567">
        <v>2.5451299999999999</v>
      </c>
      <c r="R84" s="567">
        <v>2.5451299999999999</v>
      </c>
      <c r="S84" s="567">
        <v>2.5451299999999999</v>
      </c>
      <c r="T84" s="567">
        <v>2.5451299999999999</v>
      </c>
      <c r="V84" s="567">
        <f t="shared" si="11"/>
        <v>2.5451299999999999</v>
      </c>
    </row>
    <row r="85" spans="1:22" x14ac:dyDescent="0.25">
      <c r="A85" s="567" t="str">
        <f t="shared" si="8"/>
        <v>KU</v>
      </c>
      <c r="B85" s="567" t="str">
        <f t="shared" si="7"/>
        <v>VA</v>
      </c>
      <c r="C85" s="567" t="str">
        <f t="shared" si="10"/>
        <v>E</v>
      </c>
      <c r="D85" s="567" t="s">
        <v>2645</v>
      </c>
      <c r="E85" s="567" t="str">
        <f t="shared" si="9"/>
        <v>361</v>
      </c>
      <c r="F85" s="864" t="s">
        <v>1687</v>
      </c>
      <c r="G85" s="566" t="str">
        <f t="shared" si="6"/>
        <v/>
      </c>
      <c r="H85" s="567">
        <v>767.59402</v>
      </c>
      <c r="I85" s="567">
        <v>767.59402</v>
      </c>
      <c r="J85" s="567">
        <v>767.59402</v>
      </c>
      <c r="K85" s="567">
        <v>767.59402</v>
      </c>
      <c r="L85" s="567">
        <v>767.59402</v>
      </c>
      <c r="M85" s="567">
        <v>767.59402</v>
      </c>
      <c r="N85" s="567">
        <v>767.59402</v>
      </c>
      <c r="O85" s="567">
        <v>767.59402</v>
      </c>
      <c r="P85" s="567">
        <v>767.59402</v>
      </c>
      <c r="Q85" s="567">
        <v>767.59402</v>
      </c>
      <c r="R85" s="567">
        <v>767.59402</v>
      </c>
      <c r="S85" s="567">
        <v>767.59402</v>
      </c>
      <c r="T85" s="567">
        <v>767.59402</v>
      </c>
      <c r="V85" s="567">
        <f t="shared" si="11"/>
        <v>767.59402000000023</v>
      </c>
    </row>
    <row r="86" spans="1:22" x14ac:dyDescent="0.25">
      <c r="A86" s="567" t="str">
        <f t="shared" si="8"/>
        <v>KU</v>
      </c>
      <c r="B86" s="567" t="str">
        <f t="shared" si="7"/>
        <v>KY</v>
      </c>
      <c r="C86" s="567" t="str">
        <f t="shared" si="10"/>
        <v>E</v>
      </c>
      <c r="D86" s="567" t="s">
        <v>2645</v>
      </c>
      <c r="E86" s="567" t="str">
        <f t="shared" si="9"/>
        <v>362</v>
      </c>
      <c r="F86" s="864" t="s">
        <v>1688</v>
      </c>
      <c r="G86" s="566" t="str">
        <f t="shared" ref="G86:G153" si="12">IF(ISTEXT(MID($F86,SEARCH("FUTURE USE",$F86),3)),"FUTURE USE",IF(ISTEXT(MID($F86,SEARCH("ECR",$F86),3)),"ECR",IF(ISTEXT(MID($F86,SEARCH("ARO",$F86),3)),"ARO",IF(ISTEXT(MID($F86,SEARCH("DSM",$F86),3)),"DSM",""))))</f>
        <v/>
      </c>
      <c r="H86" s="567">
        <v>233344.80883999899</v>
      </c>
      <c r="I86" s="567">
        <v>233741.74429999999</v>
      </c>
      <c r="J86" s="567">
        <v>236755.01397</v>
      </c>
      <c r="K86" s="567">
        <v>237321.63109000001</v>
      </c>
      <c r="L86" s="567">
        <v>237932.72102999999</v>
      </c>
      <c r="M86" s="567">
        <v>239938.19205000001</v>
      </c>
      <c r="N86" s="567">
        <v>240433.34270000001</v>
      </c>
      <c r="O86" s="567">
        <v>240937.78571</v>
      </c>
      <c r="P86" s="567">
        <v>256218.67196000001</v>
      </c>
      <c r="Q86" s="567">
        <v>256467.91649999999</v>
      </c>
      <c r="R86" s="567">
        <v>256747.43513</v>
      </c>
      <c r="S86" s="567">
        <v>258453.41326999999</v>
      </c>
      <c r="T86" s="567">
        <v>259011.49072999999</v>
      </c>
      <c r="V86" s="567">
        <f t="shared" si="11"/>
        <v>245177.24363692297</v>
      </c>
    </row>
    <row r="87" spans="1:22" x14ac:dyDescent="0.25">
      <c r="A87" s="567" t="str">
        <f t="shared" si="8"/>
        <v>KU</v>
      </c>
      <c r="B87" s="567" t="str">
        <f t="shared" si="7"/>
        <v>TN</v>
      </c>
      <c r="C87" s="567" t="str">
        <f t="shared" si="10"/>
        <v>E</v>
      </c>
      <c r="D87" s="567" t="s">
        <v>2645</v>
      </c>
      <c r="E87" s="567" t="str">
        <f t="shared" si="9"/>
        <v>362</v>
      </c>
      <c r="F87" s="864" t="s">
        <v>1689</v>
      </c>
      <c r="G87" s="566" t="str">
        <f t="shared" si="12"/>
        <v/>
      </c>
      <c r="H87" s="567">
        <v>66.88015</v>
      </c>
      <c r="I87" s="567">
        <v>66.88015</v>
      </c>
      <c r="J87" s="567">
        <v>66.88015</v>
      </c>
      <c r="K87" s="567">
        <v>66.88015</v>
      </c>
      <c r="L87" s="567">
        <v>66.88015</v>
      </c>
      <c r="M87" s="567">
        <v>66.88015</v>
      </c>
      <c r="N87" s="567">
        <v>66.88015</v>
      </c>
      <c r="O87" s="567">
        <v>66.88015</v>
      </c>
      <c r="P87" s="567">
        <v>66.88015</v>
      </c>
      <c r="Q87" s="567">
        <v>66.88015</v>
      </c>
      <c r="R87" s="567">
        <v>66.88015</v>
      </c>
      <c r="S87" s="567">
        <v>66.88015</v>
      </c>
      <c r="T87" s="567">
        <v>66.88015</v>
      </c>
      <c r="V87" s="567">
        <f t="shared" si="11"/>
        <v>66.880149999999986</v>
      </c>
    </row>
    <row r="88" spans="1:22" x14ac:dyDescent="0.25">
      <c r="A88" s="567" t="str">
        <f t="shared" si="8"/>
        <v>KU</v>
      </c>
      <c r="B88" s="567" t="str">
        <f t="shared" si="7"/>
        <v>VA</v>
      </c>
      <c r="C88" s="567" t="str">
        <f t="shared" si="10"/>
        <v>E</v>
      </c>
      <c r="D88" s="567" t="s">
        <v>2645</v>
      </c>
      <c r="E88" s="567" t="str">
        <f t="shared" si="9"/>
        <v>362</v>
      </c>
      <c r="F88" s="864" t="s">
        <v>1690</v>
      </c>
      <c r="G88" s="566" t="str">
        <f t="shared" si="12"/>
        <v/>
      </c>
      <c r="H88" s="567">
        <v>8513.2319299999999</v>
      </c>
      <c r="I88" s="567">
        <v>8513.2319299999999</v>
      </c>
      <c r="J88" s="567">
        <v>8513.2319299999999</v>
      </c>
      <c r="K88" s="567">
        <v>8513.2319299999999</v>
      </c>
      <c r="L88" s="567">
        <v>8513.2319299999999</v>
      </c>
      <c r="M88" s="567">
        <v>8513.2319299999999</v>
      </c>
      <c r="N88" s="567">
        <v>8513.2319299999999</v>
      </c>
      <c r="O88" s="567">
        <v>8513.2319299999999</v>
      </c>
      <c r="P88" s="567">
        <v>8513.2319299999999</v>
      </c>
      <c r="Q88" s="567">
        <v>8513.2319299999999</v>
      </c>
      <c r="R88" s="567">
        <v>8513.2319299999999</v>
      </c>
      <c r="S88" s="567">
        <v>8513.2319299999999</v>
      </c>
      <c r="T88" s="567">
        <v>8513.2319299999999</v>
      </c>
      <c r="V88" s="567">
        <f t="shared" si="11"/>
        <v>8513.2319299999981</v>
      </c>
    </row>
    <row r="89" spans="1:22" x14ac:dyDescent="0.25">
      <c r="A89" s="567" t="str">
        <f t="shared" si="8"/>
        <v>KU</v>
      </c>
      <c r="B89" s="567" t="str">
        <f t="shared" si="7"/>
        <v>KY</v>
      </c>
      <c r="C89" s="567" t="str">
        <f t="shared" si="10"/>
        <v>E</v>
      </c>
      <c r="D89" s="567" t="s">
        <v>2645</v>
      </c>
      <c r="E89" s="567" t="str">
        <f t="shared" si="9"/>
        <v>364</v>
      </c>
      <c r="F89" s="864" t="s">
        <v>1691</v>
      </c>
      <c r="G89" s="566" t="str">
        <f t="shared" si="12"/>
        <v>ECR</v>
      </c>
      <c r="H89" s="567">
        <v>26.531199999999998</v>
      </c>
      <c r="I89" s="567">
        <v>26.531199999999998</v>
      </c>
      <c r="J89" s="567">
        <v>26.531199999999998</v>
      </c>
      <c r="K89" s="567">
        <v>26.531199999999998</v>
      </c>
      <c r="L89" s="567">
        <v>26.531199999999998</v>
      </c>
      <c r="M89" s="567">
        <v>26.531199999999998</v>
      </c>
      <c r="N89" s="567">
        <v>26.531199999999998</v>
      </c>
      <c r="O89" s="567">
        <v>26.531199999999998</v>
      </c>
      <c r="P89" s="567">
        <v>26.531199999999998</v>
      </c>
      <c r="Q89" s="567">
        <v>26.531199999999998</v>
      </c>
      <c r="R89" s="567">
        <v>26.531199999999998</v>
      </c>
      <c r="S89" s="567">
        <v>26.531199999999998</v>
      </c>
      <c r="T89" s="567">
        <v>26.531199999999998</v>
      </c>
      <c r="V89" s="567">
        <f t="shared" si="11"/>
        <v>26.531200000000009</v>
      </c>
    </row>
    <row r="90" spans="1:22" x14ac:dyDescent="0.25">
      <c r="A90" s="567" t="str">
        <f t="shared" si="8"/>
        <v>KU</v>
      </c>
      <c r="B90" s="567" t="str">
        <f t="shared" si="7"/>
        <v>KY</v>
      </c>
      <c r="C90" s="567" t="str">
        <f t="shared" si="10"/>
        <v>E</v>
      </c>
      <c r="D90" s="567" t="s">
        <v>2645</v>
      </c>
      <c r="E90" s="567" t="str">
        <f t="shared" si="9"/>
        <v>364</v>
      </c>
      <c r="F90" s="864" t="s">
        <v>1692</v>
      </c>
      <c r="G90" s="566" t="str">
        <f t="shared" si="12"/>
        <v/>
      </c>
      <c r="H90" s="567">
        <v>387838.16230999999</v>
      </c>
      <c r="I90" s="567">
        <v>389438.05222000001</v>
      </c>
      <c r="J90" s="567">
        <v>391111.41811000003</v>
      </c>
      <c r="K90" s="567">
        <v>392643.71895000001</v>
      </c>
      <c r="L90" s="567">
        <v>394443.86612000002</v>
      </c>
      <c r="M90" s="567">
        <v>396550.96295000002</v>
      </c>
      <c r="N90" s="567">
        <v>398164.56757999997</v>
      </c>
      <c r="O90" s="567">
        <v>399473.54596999998</v>
      </c>
      <c r="P90" s="567">
        <v>400588.59291000001</v>
      </c>
      <c r="Q90" s="567">
        <v>401904.78175000002</v>
      </c>
      <c r="R90" s="567">
        <v>403083.18903000001</v>
      </c>
      <c r="S90" s="567">
        <v>404633.81176000001</v>
      </c>
      <c r="T90" s="567">
        <v>406265.39311</v>
      </c>
      <c r="V90" s="567">
        <f t="shared" si="11"/>
        <v>397395.38944384613</v>
      </c>
    </row>
    <row r="91" spans="1:22" x14ac:dyDescent="0.25">
      <c r="A91" s="567" t="str">
        <f t="shared" si="8"/>
        <v>KU</v>
      </c>
      <c r="B91" s="567" t="str">
        <f t="shared" si="7"/>
        <v>TN</v>
      </c>
      <c r="C91" s="567" t="str">
        <f t="shared" si="10"/>
        <v>E</v>
      </c>
      <c r="D91" s="567" t="s">
        <v>2645</v>
      </c>
      <c r="E91" s="567" t="str">
        <f t="shared" si="9"/>
        <v>364</v>
      </c>
      <c r="F91" s="864" t="s">
        <v>1693</v>
      </c>
      <c r="G91" s="566" t="str">
        <f t="shared" si="12"/>
        <v/>
      </c>
      <c r="H91" s="567">
        <v>47.785559999999997</v>
      </c>
      <c r="I91" s="567">
        <v>47.785559999999997</v>
      </c>
      <c r="J91" s="567">
        <v>47.785559999999997</v>
      </c>
      <c r="K91" s="567">
        <v>47.785559999999997</v>
      </c>
      <c r="L91" s="567">
        <v>47.785559999999997</v>
      </c>
      <c r="M91" s="567">
        <v>47.785559999999997</v>
      </c>
      <c r="N91" s="567">
        <v>47.785559999999997</v>
      </c>
      <c r="O91" s="567">
        <v>47.785559999999997</v>
      </c>
      <c r="P91" s="567">
        <v>47.785559999999997</v>
      </c>
      <c r="Q91" s="567">
        <v>47.785559999999997</v>
      </c>
      <c r="R91" s="567">
        <v>47.785559999999997</v>
      </c>
      <c r="S91" s="567">
        <v>47.785559999999997</v>
      </c>
      <c r="T91" s="567">
        <v>47.785559999999997</v>
      </c>
      <c r="V91" s="567">
        <f t="shared" si="11"/>
        <v>47.785559999999997</v>
      </c>
    </row>
    <row r="92" spans="1:22" x14ac:dyDescent="0.25">
      <c r="A92" s="567" t="str">
        <f t="shared" si="8"/>
        <v>KU</v>
      </c>
      <c r="B92" s="567" t="str">
        <f t="shared" si="7"/>
        <v>VA</v>
      </c>
      <c r="C92" s="567" t="str">
        <f t="shared" si="10"/>
        <v>E</v>
      </c>
      <c r="D92" s="567" t="s">
        <v>2645</v>
      </c>
      <c r="E92" s="567" t="str">
        <f t="shared" si="9"/>
        <v>364</v>
      </c>
      <c r="F92" s="864" t="s">
        <v>1694</v>
      </c>
      <c r="G92" s="566" t="str">
        <f t="shared" si="12"/>
        <v/>
      </c>
      <c r="H92" s="567">
        <v>30518.263470000002</v>
      </c>
      <c r="I92" s="567">
        <v>30553.793799999999</v>
      </c>
      <c r="J92" s="567">
        <v>30580.49654</v>
      </c>
      <c r="K92" s="567">
        <v>30620.66591</v>
      </c>
      <c r="L92" s="567">
        <v>30651.60168</v>
      </c>
      <c r="M92" s="567">
        <v>30681.87686</v>
      </c>
      <c r="N92" s="567">
        <v>30713.803950000001</v>
      </c>
      <c r="O92" s="567">
        <v>30740.790489999999</v>
      </c>
      <c r="P92" s="567">
        <v>30763.946909999999</v>
      </c>
      <c r="Q92" s="567">
        <v>30796.10987</v>
      </c>
      <c r="R92" s="567">
        <v>30822.36635</v>
      </c>
      <c r="S92" s="567">
        <v>30851.909039999999</v>
      </c>
      <c r="T92" s="567">
        <v>30884.937709999998</v>
      </c>
      <c r="V92" s="567">
        <f t="shared" si="11"/>
        <v>30706.197121538462</v>
      </c>
    </row>
    <row r="93" spans="1:22" x14ac:dyDescent="0.25">
      <c r="A93" s="567" t="str">
        <f t="shared" si="8"/>
        <v>KU</v>
      </c>
      <c r="B93" s="567" t="str">
        <f t="shared" si="7"/>
        <v>KY</v>
      </c>
      <c r="C93" s="567" t="str">
        <f t="shared" si="10"/>
        <v>E</v>
      </c>
      <c r="D93" s="567" t="s">
        <v>2645</v>
      </c>
      <c r="E93" s="567" t="str">
        <f t="shared" si="9"/>
        <v>365</v>
      </c>
      <c r="F93" s="864" t="s">
        <v>1695</v>
      </c>
      <c r="G93" s="566" t="str">
        <f t="shared" si="12"/>
        <v>ECR</v>
      </c>
      <c r="H93" s="567">
        <v>23.599409999999999</v>
      </c>
      <c r="I93" s="567">
        <v>23.599409999999999</v>
      </c>
      <c r="J93" s="567">
        <v>23.599409999999999</v>
      </c>
      <c r="K93" s="567">
        <v>23.599409999999999</v>
      </c>
      <c r="L93" s="567">
        <v>23.599409999999999</v>
      </c>
      <c r="M93" s="567">
        <v>23.599409999999999</v>
      </c>
      <c r="N93" s="567">
        <v>23.599409999999999</v>
      </c>
      <c r="O93" s="567">
        <v>23.599409999999999</v>
      </c>
      <c r="P93" s="567">
        <v>23.599409999999999</v>
      </c>
      <c r="Q93" s="567">
        <v>23.599409999999999</v>
      </c>
      <c r="R93" s="567">
        <v>23.599409999999999</v>
      </c>
      <c r="S93" s="567">
        <v>23.599409999999999</v>
      </c>
      <c r="T93" s="567">
        <v>23.599409999999999</v>
      </c>
      <c r="V93" s="567">
        <f t="shared" si="11"/>
        <v>23.599409999999999</v>
      </c>
    </row>
    <row r="94" spans="1:22" x14ac:dyDescent="0.25">
      <c r="A94" s="567" t="str">
        <f t="shared" si="8"/>
        <v>KU</v>
      </c>
      <c r="B94" s="567" t="str">
        <f t="shared" si="7"/>
        <v>KY</v>
      </c>
      <c r="C94" s="567" t="str">
        <f t="shared" si="10"/>
        <v>E</v>
      </c>
      <c r="D94" s="567" t="s">
        <v>2645</v>
      </c>
      <c r="E94" s="567" t="str">
        <f t="shared" si="9"/>
        <v>365</v>
      </c>
      <c r="F94" s="864" t="s">
        <v>1696</v>
      </c>
      <c r="G94" s="566" t="str">
        <f t="shared" si="12"/>
        <v/>
      </c>
      <c r="H94" s="567">
        <v>386787.78508</v>
      </c>
      <c r="I94" s="567">
        <v>388668.54089</v>
      </c>
      <c r="J94" s="567">
        <v>390893.28274</v>
      </c>
      <c r="K94" s="567">
        <v>392102.93232999998</v>
      </c>
      <c r="L94" s="567">
        <v>395004.27984999999</v>
      </c>
      <c r="M94" s="567">
        <v>397024.25468999997</v>
      </c>
      <c r="N94" s="567">
        <v>398535.08944000001</v>
      </c>
      <c r="O94" s="567">
        <v>400376.21149999998</v>
      </c>
      <c r="P94" s="567">
        <v>403549.06985999999</v>
      </c>
      <c r="Q94" s="567">
        <v>405410.43371000001</v>
      </c>
      <c r="R94" s="567">
        <v>406700.81131000002</v>
      </c>
      <c r="S94" s="567">
        <v>408499.83098000003</v>
      </c>
      <c r="T94" s="567">
        <v>409998.10008</v>
      </c>
      <c r="V94" s="567">
        <f t="shared" si="11"/>
        <v>398734.66326615395</v>
      </c>
    </row>
    <row r="95" spans="1:22" x14ac:dyDescent="0.25">
      <c r="A95" s="567" t="str">
        <f t="shared" si="8"/>
        <v>KU</v>
      </c>
      <c r="B95" s="567" t="str">
        <f t="shared" si="7"/>
        <v>TN</v>
      </c>
      <c r="C95" s="567" t="str">
        <f t="shared" si="10"/>
        <v>E</v>
      </c>
      <c r="D95" s="567" t="s">
        <v>2645</v>
      </c>
      <c r="E95" s="567" t="str">
        <f t="shared" si="9"/>
        <v>365</v>
      </c>
      <c r="F95" s="864" t="s">
        <v>1697</v>
      </c>
      <c r="G95" s="566" t="str">
        <f t="shared" si="12"/>
        <v/>
      </c>
      <c r="H95" s="567">
        <v>46.763219999999997</v>
      </c>
      <c r="I95" s="567">
        <v>46.763219999999997</v>
      </c>
      <c r="J95" s="567">
        <v>46.763219999999997</v>
      </c>
      <c r="K95" s="567">
        <v>46.763219999999997</v>
      </c>
      <c r="L95" s="567">
        <v>46.763219999999997</v>
      </c>
      <c r="M95" s="567">
        <v>46.763219999999997</v>
      </c>
      <c r="N95" s="567">
        <v>46.763219999999997</v>
      </c>
      <c r="O95" s="567">
        <v>46.763219999999997</v>
      </c>
      <c r="P95" s="567">
        <v>46.763219999999997</v>
      </c>
      <c r="Q95" s="567">
        <v>46.763219999999997</v>
      </c>
      <c r="R95" s="567">
        <v>46.763219999999997</v>
      </c>
      <c r="S95" s="567">
        <v>46.763219999999997</v>
      </c>
      <c r="T95" s="567">
        <v>46.763219999999997</v>
      </c>
      <c r="V95" s="567">
        <f t="shared" si="11"/>
        <v>46.763220000000004</v>
      </c>
    </row>
    <row r="96" spans="1:22" x14ac:dyDescent="0.25">
      <c r="A96" s="567" t="str">
        <f t="shared" si="8"/>
        <v>KU</v>
      </c>
      <c r="B96" s="567" t="str">
        <f t="shared" si="7"/>
        <v>VA</v>
      </c>
      <c r="C96" s="567" t="str">
        <f t="shared" si="10"/>
        <v>E</v>
      </c>
      <c r="D96" s="567" t="s">
        <v>2645</v>
      </c>
      <c r="E96" s="567" t="str">
        <f t="shared" si="9"/>
        <v>365</v>
      </c>
      <c r="F96" s="864" t="s">
        <v>1698</v>
      </c>
      <c r="G96" s="566" t="str">
        <f t="shared" si="12"/>
        <v/>
      </c>
      <c r="H96" s="567">
        <v>28401.346409999998</v>
      </c>
      <c r="I96" s="567">
        <v>28526.3279</v>
      </c>
      <c r="J96" s="567">
        <v>28658.033879999999</v>
      </c>
      <c r="K96" s="567">
        <v>29019.54797</v>
      </c>
      <c r="L96" s="567">
        <v>29146.3900499999</v>
      </c>
      <c r="M96" s="567">
        <v>29251.755809999999</v>
      </c>
      <c r="N96" s="567">
        <v>29376.657219999899</v>
      </c>
      <c r="O96" s="567">
        <v>29466.350499999899</v>
      </c>
      <c r="P96" s="567">
        <v>29544.585679999898</v>
      </c>
      <c r="Q96" s="567">
        <v>29675.784099999899</v>
      </c>
      <c r="R96" s="567">
        <v>29787.583879999998</v>
      </c>
      <c r="S96" s="567">
        <v>29881.020729999898</v>
      </c>
      <c r="T96" s="567">
        <v>29984.262199999899</v>
      </c>
      <c r="V96" s="567">
        <f t="shared" si="11"/>
        <v>29286.126640769173</v>
      </c>
    </row>
    <row r="97" spans="1:22" x14ac:dyDescent="0.25">
      <c r="A97" s="567" t="str">
        <f t="shared" si="8"/>
        <v>KU</v>
      </c>
      <c r="B97" s="567" t="str">
        <f t="shared" si="7"/>
        <v>KY</v>
      </c>
      <c r="C97" s="567" t="str">
        <f t="shared" si="10"/>
        <v>E</v>
      </c>
      <c r="D97" s="567" t="s">
        <v>2645</v>
      </c>
      <c r="E97" s="567" t="str">
        <f t="shared" si="9"/>
        <v>366</v>
      </c>
      <c r="F97" s="864" t="s">
        <v>1699</v>
      </c>
      <c r="G97" s="566" t="str">
        <f t="shared" si="12"/>
        <v>ECR</v>
      </c>
      <c r="H97" s="567">
        <v>171.00252</v>
      </c>
      <c r="I97" s="567">
        <v>171.00252</v>
      </c>
      <c r="J97" s="567">
        <v>171.00252</v>
      </c>
      <c r="K97" s="567">
        <v>171.00252</v>
      </c>
      <c r="L97" s="567">
        <v>171.00252</v>
      </c>
      <c r="M97" s="567">
        <v>171.00252</v>
      </c>
      <c r="N97" s="567">
        <v>171.00252</v>
      </c>
      <c r="O97" s="567">
        <v>171.00252</v>
      </c>
      <c r="P97" s="567">
        <v>171.00252</v>
      </c>
      <c r="Q97" s="567">
        <v>171.00252</v>
      </c>
      <c r="R97" s="567">
        <v>171.00252</v>
      </c>
      <c r="S97" s="567">
        <v>171.00252</v>
      </c>
      <c r="T97" s="567">
        <v>171.00252</v>
      </c>
      <c r="V97" s="567">
        <f t="shared" si="11"/>
        <v>171.00252</v>
      </c>
    </row>
    <row r="98" spans="1:22" x14ac:dyDescent="0.25">
      <c r="A98" s="567" t="str">
        <f t="shared" si="8"/>
        <v>KU</v>
      </c>
      <c r="B98" s="567" t="str">
        <f t="shared" si="7"/>
        <v>KY</v>
      </c>
      <c r="C98" s="567" t="str">
        <f t="shared" si="10"/>
        <v>E</v>
      </c>
      <c r="D98" s="567" t="s">
        <v>2645</v>
      </c>
      <c r="E98" s="567" t="str">
        <f t="shared" si="9"/>
        <v>366</v>
      </c>
      <c r="F98" s="864" t="s">
        <v>1700</v>
      </c>
      <c r="G98" s="566" t="str">
        <f t="shared" si="12"/>
        <v/>
      </c>
      <c r="H98" s="567">
        <v>2219.1035200000001</v>
      </c>
      <c r="I98" s="567">
        <v>2219.1035200000001</v>
      </c>
      <c r="J98" s="567">
        <v>2219.1035200000001</v>
      </c>
      <c r="K98" s="567">
        <v>2219.1035200000001</v>
      </c>
      <c r="L98" s="567">
        <v>2219.1035200000001</v>
      </c>
      <c r="M98" s="567">
        <v>2219.1035200000001</v>
      </c>
      <c r="N98" s="567">
        <v>2219.1035200000001</v>
      </c>
      <c r="O98" s="567">
        <v>2219.1035200000001</v>
      </c>
      <c r="P98" s="567">
        <v>2219.1035200000001</v>
      </c>
      <c r="Q98" s="567">
        <v>2219.1035200000001</v>
      </c>
      <c r="R98" s="567">
        <v>2219.1035200000001</v>
      </c>
      <c r="S98" s="567">
        <v>2219.1035200000001</v>
      </c>
      <c r="T98" s="567">
        <v>2219.1035200000001</v>
      </c>
      <c r="V98" s="567">
        <f t="shared" si="11"/>
        <v>2219.1035200000001</v>
      </c>
    </row>
    <row r="99" spans="1:22" x14ac:dyDescent="0.25">
      <c r="A99" s="567" t="str">
        <f t="shared" si="8"/>
        <v>KU</v>
      </c>
      <c r="B99" s="567" t="str">
        <f t="shared" si="7"/>
        <v>KY</v>
      </c>
      <c r="C99" s="567" t="str">
        <f t="shared" si="10"/>
        <v>E</v>
      </c>
      <c r="D99" s="567" t="s">
        <v>2645</v>
      </c>
      <c r="E99" s="567" t="str">
        <f t="shared" si="9"/>
        <v>367</v>
      </c>
      <c r="F99" s="864" t="s">
        <v>1701</v>
      </c>
      <c r="G99" s="566" t="str">
        <f t="shared" si="12"/>
        <v>ECR</v>
      </c>
      <c r="H99" s="567">
        <v>1326.11537</v>
      </c>
      <c r="I99" s="567">
        <v>1326.11537</v>
      </c>
      <c r="J99" s="567">
        <v>1326.11537</v>
      </c>
      <c r="K99" s="567">
        <v>1326.11537</v>
      </c>
      <c r="L99" s="567">
        <v>1326.11537</v>
      </c>
      <c r="M99" s="567">
        <v>1326.11537</v>
      </c>
      <c r="N99" s="567">
        <v>1326.11537</v>
      </c>
      <c r="O99" s="567">
        <v>1326.11537</v>
      </c>
      <c r="P99" s="567">
        <v>1326.11537</v>
      </c>
      <c r="Q99" s="567">
        <v>1326.11537</v>
      </c>
      <c r="R99" s="567">
        <v>1326.11537</v>
      </c>
      <c r="S99" s="567">
        <v>1326.11537</v>
      </c>
      <c r="T99" s="567">
        <v>1326.11537</v>
      </c>
      <c r="V99" s="567">
        <f t="shared" si="11"/>
        <v>1326.1153699999998</v>
      </c>
    </row>
    <row r="100" spans="1:22" x14ac:dyDescent="0.25">
      <c r="A100" s="567" t="str">
        <f t="shared" si="8"/>
        <v>KU</v>
      </c>
      <c r="B100" s="567" t="str">
        <f t="shared" si="7"/>
        <v>KY</v>
      </c>
      <c r="C100" s="567" t="str">
        <f t="shared" si="10"/>
        <v>E</v>
      </c>
      <c r="D100" s="567" t="s">
        <v>2645</v>
      </c>
      <c r="E100" s="567" t="str">
        <f t="shared" si="9"/>
        <v>367</v>
      </c>
      <c r="F100" s="864" t="s">
        <v>1702</v>
      </c>
      <c r="G100" s="566" t="str">
        <f t="shared" si="12"/>
        <v/>
      </c>
      <c r="H100" s="567">
        <v>206563.6759</v>
      </c>
      <c r="I100" s="567">
        <v>207919.27129</v>
      </c>
      <c r="J100" s="567">
        <v>209097.43283000001</v>
      </c>
      <c r="K100" s="567">
        <v>210506.21085999999</v>
      </c>
      <c r="L100" s="567">
        <v>211851.53128</v>
      </c>
      <c r="M100" s="567">
        <v>213062.71846</v>
      </c>
      <c r="N100" s="567">
        <v>215638.54861999999</v>
      </c>
      <c r="O100" s="567">
        <v>216748.65807</v>
      </c>
      <c r="P100" s="567">
        <v>218765.01949000001</v>
      </c>
      <c r="Q100" s="567">
        <v>220068.40278</v>
      </c>
      <c r="R100" s="567">
        <v>221235.49437999999</v>
      </c>
      <c r="S100" s="567">
        <v>222482.75354999999</v>
      </c>
      <c r="T100" s="567">
        <v>223696.82347999999</v>
      </c>
      <c r="V100" s="567">
        <f t="shared" si="11"/>
        <v>215202.81084538458</v>
      </c>
    </row>
    <row r="101" spans="1:22" x14ac:dyDescent="0.25">
      <c r="A101" s="567" t="str">
        <f t="shared" si="8"/>
        <v>KU</v>
      </c>
      <c r="B101" s="567" t="str">
        <f t="shared" si="7"/>
        <v>VA</v>
      </c>
      <c r="C101" s="567" t="str">
        <f t="shared" si="10"/>
        <v>E</v>
      </c>
      <c r="D101" s="567" t="s">
        <v>2645</v>
      </c>
      <c r="E101" s="567" t="str">
        <f t="shared" si="9"/>
        <v>367</v>
      </c>
      <c r="F101" s="864" t="s">
        <v>1703</v>
      </c>
      <c r="G101" s="566" t="str">
        <f t="shared" si="12"/>
        <v/>
      </c>
      <c r="H101" s="567">
        <v>4856.8629000000001</v>
      </c>
      <c r="I101" s="567">
        <v>4907.1487200000001</v>
      </c>
      <c r="J101" s="567">
        <v>4936.2324600000002</v>
      </c>
      <c r="K101" s="567">
        <v>4988.3303900000001</v>
      </c>
      <c r="L101" s="567">
        <v>5046.9304400000001</v>
      </c>
      <c r="M101" s="567">
        <v>5084.3347100000001</v>
      </c>
      <c r="N101" s="567">
        <v>5143.3120900000004</v>
      </c>
      <c r="O101" s="567">
        <v>5171.68858</v>
      </c>
      <c r="P101" s="567">
        <v>5189.6486299999997</v>
      </c>
      <c r="Q101" s="567">
        <v>5246.1343499999903</v>
      </c>
      <c r="R101" s="567">
        <v>5289.28441999999</v>
      </c>
      <c r="S101" s="567">
        <v>5338.5159699999904</v>
      </c>
      <c r="T101" s="567">
        <v>5374.2929699999904</v>
      </c>
      <c r="V101" s="567">
        <f t="shared" si="11"/>
        <v>5120.9782023076896</v>
      </c>
    </row>
    <row r="102" spans="1:22" x14ac:dyDescent="0.25">
      <c r="A102" s="567" t="str">
        <f t="shared" si="8"/>
        <v>KU</v>
      </c>
      <c r="B102" s="567" t="str">
        <f t="shared" si="7"/>
        <v>KY</v>
      </c>
      <c r="C102" s="567" t="str">
        <f t="shared" si="10"/>
        <v>E</v>
      </c>
      <c r="D102" s="567" t="s">
        <v>2645</v>
      </c>
      <c r="E102" s="567" t="str">
        <f t="shared" si="9"/>
        <v>368</v>
      </c>
      <c r="F102" s="864" t="s">
        <v>1704</v>
      </c>
      <c r="G102" s="566" t="str">
        <f t="shared" si="12"/>
        <v/>
      </c>
      <c r="H102" s="567">
        <v>312190.74648999999</v>
      </c>
      <c r="I102" s="567">
        <v>312743.09087000001</v>
      </c>
      <c r="J102" s="567">
        <v>313483.83614999999</v>
      </c>
      <c r="K102" s="567">
        <v>313466.20882</v>
      </c>
      <c r="L102" s="567">
        <v>313654.34571000002</v>
      </c>
      <c r="M102" s="567">
        <v>314541.8737</v>
      </c>
      <c r="N102" s="567">
        <v>315459.57695000002</v>
      </c>
      <c r="O102" s="567">
        <v>316247.61952000001</v>
      </c>
      <c r="P102" s="567">
        <v>316762.59480999998</v>
      </c>
      <c r="Q102" s="567">
        <v>317151.55936000001</v>
      </c>
      <c r="R102" s="567">
        <v>317732.01465000003</v>
      </c>
      <c r="S102" s="567">
        <v>318389.16525999998</v>
      </c>
      <c r="T102" s="567">
        <v>318860.22453000001</v>
      </c>
      <c r="V102" s="567">
        <f t="shared" si="11"/>
        <v>315437.14283230773</v>
      </c>
    </row>
    <row r="103" spans="1:22" x14ac:dyDescent="0.25">
      <c r="A103" s="567" t="str">
        <f t="shared" si="8"/>
        <v>KU</v>
      </c>
      <c r="B103" s="567" t="str">
        <f t="shared" si="7"/>
        <v>TN</v>
      </c>
      <c r="C103" s="567" t="str">
        <f t="shared" si="10"/>
        <v>E</v>
      </c>
      <c r="D103" s="567" t="s">
        <v>2645</v>
      </c>
      <c r="E103" s="567" t="str">
        <f t="shared" si="9"/>
        <v>368</v>
      </c>
      <c r="F103" s="864" t="s">
        <v>1705</v>
      </c>
      <c r="G103" s="566" t="str">
        <f t="shared" si="12"/>
        <v/>
      </c>
      <c r="H103" s="567">
        <v>3.1182799999999999</v>
      </c>
      <c r="I103" s="567">
        <v>3.1182799999999999</v>
      </c>
      <c r="J103" s="567">
        <v>3.1182799999999999</v>
      </c>
      <c r="K103" s="567">
        <v>3.1182799999999999</v>
      </c>
      <c r="L103" s="567">
        <v>3.1182799999999999</v>
      </c>
      <c r="M103" s="567">
        <v>3.1182799999999999</v>
      </c>
      <c r="N103" s="567">
        <v>3.1182799999999999</v>
      </c>
      <c r="O103" s="567">
        <v>3.1182799999999999</v>
      </c>
      <c r="P103" s="567">
        <v>3.1182799999999999</v>
      </c>
      <c r="Q103" s="567">
        <v>3.1182799999999999</v>
      </c>
      <c r="R103" s="567">
        <v>3.1182799999999999</v>
      </c>
      <c r="S103" s="567">
        <v>3.1182799999999999</v>
      </c>
      <c r="T103" s="567">
        <v>3.1182799999999999</v>
      </c>
      <c r="V103" s="567">
        <f t="shared" si="11"/>
        <v>3.1182799999999991</v>
      </c>
    </row>
    <row r="104" spans="1:22" x14ac:dyDescent="0.25">
      <c r="A104" s="567" t="str">
        <f t="shared" si="8"/>
        <v>KU</v>
      </c>
      <c r="B104" s="567" t="str">
        <f t="shared" si="7"/>
        <v>VA</v>
      </c>
      <c r="C104" s="567" t="str">
        <f t="shared" si="10"/>
        <v>E</v>
      </c>
      <c r="D104" s="567" t="s">
        <v>2645</v>
      </c>
      <c r="E104" s="567" t="str">
        <f t="shared" si="9"/>
        <v>368</v>
      </c>
      <c r="F104" s="864" t="s">
        <v>1706</v>
      </c>
      <c r="G104" s="566" t="str">
        <f t="shared" si="12"/>
        <v/>
      </c>
      <c r="H104" s="567">
        <v>11144.005789999999</v>
      </c>
      <c r="I104" s="567">
        <v>11150.862590000001</v>
      </c>
      <c r="J104" s="567">
        <v>11154.29099</v>
      </c>
      <c r="K104" s="567">
        <v>11160.426939999999</v>
      </c>
      <c r="L104" s="567">
        <v>11164.808929999999</v>
      </c>
      <c r="M104" s="567">
        <v>11169.47474</v>
      </c>
      <c r="N104" s="567">
        <v>11177.28513</v>
      </c>
      <c r="O104" s="567">
        <v>11180.713530000001</v>
      </c>
      <c r="P104" s="567">
        <v>11182.90453</v>
      </c>
      <c r="Q104" s="567">
        <v>11188.48667</v>
      </c>
      <c r="R104" s="567">
        <v>11194.068810000001</v>
      </c>
      <c r="S104" s="567">
        <v>11199.650949999999</v>
      </c>
      <c r="T104" s="567">
        <v>11201.832909999999</v>
      </c>
      <c r="V104" s="567">
        <f t="shared" si="11"/>
        <v>11174.524039230768</v>
      </c>
    </row>
    <row r="105" spans="1:22" x14ac:dyDescent="0.25">
      <c r="A105" s="567" t="str">
        <f t="shared" si="8"/>
        <v>KU</v>
      </c>
      <c r="B105" s="567" t="str">
        <f t="shared" si="7"/>
        <v>KY</v>
      </c>
      <c r="C105" s="567" t="str">
        <f t="shared" si="10"/>
        <v>E</v>
      </c>
      <c r="D105" s="567" t="s">
        <v>2645</v>
      </c>
      <c r="E105" s="567" t="str">
        <f t="shared" si="9"/>
        <v>369</v>
      </c>
      <c r="F105" s="864" t="s">
        <v>1707</v>
      </c>
      <c r="G105" s="566" t="str">
        <f t="shared" si="12"/>
        <v/>
      </c>
      <c r="H105" s="567">
        <v>108650.5497</v>
      </c>
      <c r="I105" s="567">
        <v>108650.5497</v>
      </c>
      <c r="J105" s="567">
        <v>108650.5497</v>
      </c>
      <c r="K105" s="567">
        <v>108650.5497</v>
      </c>
      <c r="L105" s="567">
        <v>108650.5497</v>
      </c>
      <c r="M105" s="567">
        <v>108650.5497</v>
      </c>
      <c r="N105" s="567">
        <v>108650.5497</v>
      </c>
      <c r="O105" s="567">
        <v>108650.5497</v>
      </c>
      <c r="P105" s="567">
        <v>108704.32481999999</v>
      </c>
      <c r="Q105" s="567">
        <v>108704.32481999999</v>
      </c>
      <c r="R105" s="567">
        <v>108704.32481999999</v>
      </c>
      <c r="S105" s="567">
        <v>108704.32481999999</v>
      </c>
      <c r="T105" s="567">
        <v>108704.32481999999</v>
      </c>
      <c r="V105" s="567">
        <f t="shared" si="11"/>
        <v>108671.23243846153</v>
      </c>
    </row>
    <row r="106" spans="1:22" x14ac:dyDescent="0.25">
      <c r="A106" s="567" t="str">
        <f t="shared" si="8"/>
        <v>KU</v>
      </c>
      <c r="B106" s="567" t="str">
        <f t="shared" si="7"/>
        <v>TN</v>
      </c>
      <c r="C106" s="567" t="str">
        <f t="shared" si="10"/>
        <v>E</v>
      </c>
      <c r="D106" s="567" t="s">
        <v>2645</v>
      </c>
      <c r="E106" s="567" t="str">
        <f t="shared" si="9"/>
        <v>369</v>
      </c>
      <c r="F106" s="864" t="s">
        <v>1708</v>
      </c>
      <c r="G106" s="566" t="str">
        <f t="shared" si="12"/>
        <v/>
      </c>
      <c r="H106" s="567">
        <v>0.25462000000000001</v>
      </c>
      <c r="I106" s="567">
        <v>0.25462000000000001</v>
      </c>
      <c r="J106" s="567">
        <v>0.25462000000000001</v>
      </c>
      <c r="K106" s="567">
        <v>0.25462000000000001</v>
      </c>
      <c r="L106" s="567">
        <v>0.25462000000000001</v>
      </c>
      <c r="M106" s="567">
        <v>0.25462000000000001</v>
      </c>
      <c r="N106" s="567">
        <v>0.25462000000000001</v>
      </c>
      <c r="O106" s="567">
        <v>0.25462000000000001</v>
      </c>
      <c r="P106" s="567">
        <v>0.25462000000000001</v>
      </c>
      <c r="Q106" s="567">
        <v>0.25462000000000001</v>
      </c>
      <c r="R106" s="567">
        <v>0.25462000000000001</v>
      </c>
      <c r="S106" s="567">
        <v>0.25462000000000001</v>
      </c>
      <c r="T106" s="567">
        <v>0.25462000000000001</v>
      </c>
      <c r="V106" s="567">
        <f t="shared" si="11"/>
        <v>0.25462000000000001</v>
      </c>
    </row>
    <row r="107" spans="1:22" x14ac:dyDescent="0.25">
      <c r="A107" s="567" t="str">
        <f t="shared" si="8"/>
        <v>KU</v>
      </c>
      <c r="B107" s="567" t="str">
        <f t="shared" si="7"/>
        <v>VA</v>
      </c>
      <c r="C107" s="567" t="str">
        <f t="shared" si="10"/>
        <v>E</v>
      </c>
      <c r="D107" s="567" t="s">
        <v>2645</v>
      </c>
      <c r="E107" s="567" t="str">
        <f t="shared" si="9"/>
        <v>369</v>
      </c>
      <c r="F107" s="864" t="s">
        <v>1709</v>
      </c>
      <c r="G107" s="566" t="str">
        <f t="shared" si="12"/>
        <v/>
      </c>
      <c r="H107" s="567">
        <v>5852.9475300000004</v>
      </c>
      <c r="I107" s="567">
        <v>5852.9475300000004</v>
      </c>
      <c r="J107" s="567">
        <v>5852.9475300000004</v>
      </c>
      <c r="K107" s="567">
        <v>5852.9475300000004</v>
      </c>
      <c r="L107" s="567">
        <v>5852.9475300000004</v>
      </c>
      <c r="M107" s="567">
        <v>5852.9475300000004</v>
      </c>
      <c r="N107" s="567">
        <v>5852.9475300000004</v>
      </c>
      <c r="O107" s="567">
        <v>5852.9475300000004</v>
      </c>
      <c r="P107" s="567">
        <v>5852.9475300000004</v>
      </c>
      <c r="Q107" s="567">
        <v>5852.9475300000004</v>
      </c>
      <c r="R107" s="567">
        <v>5852.9475300000004</v>
      </c>
      <c r="S107" s="567">
        <v>5852.9475300000004</v>
      </c>
      <c r="T107" s="567">
        <v>5852.9475300000004</v>
      </c>
      <c r="V107" s="567">
        <f t="shared" si="11"/>
        <v>5852.9475299999995</v>
      </c>
    </row>
    <row r="108" spans="1:22" x14ac:dyDescent="0.25">
      <c r="A108" s="567" t="str">
        <f t="shared" si="8"/>
        <v>KU</v>
      </c>
      <c r="B108" s="567" t="str">
        <f t="shared" si="7"/>
        <v>KY</v>
      </c>
      <c r="C108" s="567" t="str">
        <f t="shared" si="10"/>
        <v>E</v>
      </c>
      <c r="D108" s="567" t="s">
        <v>2645</v>
      </c>
      <c r="E108" s="567" t="str">
        <f t="shared" si="9"/>
        <v>370</v>
      </c>
      <c r="F108" s="864" t="s">
        <v>1710</v>
      </c>
      <c r="G108" s="566" t="str">
        <f t="shared" si="12"/>
        <v/>
      </c>
      <c r="H108" s="567">
        <v>76398.372430000003</v>
      </c>
      <c r="I108" s="567">
        <v>76540.578320000001</v>
      </c>
      <c r="J108" s="567">
        <v>76678.122650000005</v>
      </c>
      <c r="K108" s="567">
        <v>76811.726190000001</v>
      </c>
      <c r="L108" s="567">
        <v>76952.758629999997</v>
      </c>
      <c r="M108" s="567">
        <v>77048.010240000003</v>
      </c>
      <c r="N108" s="567">
        <v>77181.192110000004</v>
      </c>
      <c r="O108" s="567">
        <v>77325.169940000007</v>
      </c>
      <c r="P108" s="567">
        <v>78155.546539999996</v>
      </c>
      <c r="Q108" s="567">
        <v>78216.552479999998</v>
      </c>
      <c r="R108" s="567">
        <v>78441.985119999998</v>
      </c>
      <c r="S108" s="567">
        <v>78540.508260000002</v>
      </c>
      <c r="T108" s="567">
        <v>78683.245819999996</v>
      </c>
      <c r="V108" s="567">
        <f t="shared" si="11"/>
        <v>77459.520671538456</v>
      </c>
    </row>
    <row r="109" spans="1:22" x14ac:dyDescent="0.25">
      <c r="A109" s="567" t="str">
        <f t="shared" si="8"/>
        <v>KU</v>
      </c>
      <c r="B109" s="567" t="str">
        <f t="shared" si="7"/>
        <v>KY</v>
      </c>
      <c r="C109" s="567" t="str">
        <f t="shared" si="10"/>
        <v>E</v>
      </c>
      <c r="D109" s="567" t="s">
        <v>2645</v>
      </c>
      <c r="E109" s="567" t="str">
        <f t="shared" si="9"/>
        <v>370</v>
      </c>
      <c r="F109" s="864" t="s">
        <v>2428</v>
      </c>
      <c r="G109" s="566" t="str">
        <f t="shared" si="12"/>
        <v>DSM</v>
      </c>
      <c r="H109" s="567">
        <v>1331.3335999999999</v>
      </c>
      <c r="I109" s="567">
        <v>1331.3335999999999</v>
      </c>
      <c r="J109" s="567">
        <v>1331.3335999999999</v>
      </c>
      <c r="K109" s="567">
        <v>1331.3335999999999</v>
      </c>
      <c r="L109" s="567">
        <v>1331.3335999999999</v>
      </c>
      <c r="M109" s="567">
        <v>1331.3335999999999</v>
      </c>
      <c r="N109" s="567">
        <v>1331.3335999999999</v>
      </c>
      <c r="O109" s="567">
        <v>1331.3335999999999</v>
      </c>
      <c r="P109" s="567">
        <v>1331.3335999999999</v>
      </c>
      <c r="Q109" s="567">
        <v>1331.3335999999999</v>
      </c>
      <c r="R109" s="567">
        <v>1331.3335999999999</v>
      </c>
      <c r="S109" s="567">
        <v>1331.3335999999999</v>
      </c>
      <c r="T109" s="567">
        <v>1331.3335999999999</v>
      </c>
      <c r="V109" s="567">
        <f t="shared" si="11"/>
        <v>1331.3335999999997</v>
      </c>
    </row>
    <row r="110" spans="1:22" x14ac:dyDescent="0.25">
      <c r="A110" s="567" t="str">
        <f t="shared" si="8"/>
        <v>KU</v>
      </c>
      <c r="B110" s="567" t="str">
        <f t="shared" si="7"/>
        <v>TN</v>
      </c>
      <c r="C110" s="567" t="str">
        <f t="shared" si="10"/>
        <v>E</v>
      </c>
      <c r="D110" s="567" t="s">
        <v>2645</v>
      </c>
      <c r="E110" s="567" t="str">
        <f t="shared" si="9"/>
        <v>370</v>
      </c>
      <c r="F110" s="864" t="s">
        <v>1711</v>
      </c>
      <c r="G110" s="566" t="str">
        <f t="shared" si="12"/>
        <v/>
      </c>
      <c r="H110" s="567">
        <v>4.1992099999999999</v>
      </c>
      <c r="I110" s="567">
        <v>4.1992099999999999</v>
      </c>
      <c r="J110" s="567">
        <v>4.1992099999999999</v>
      </c>
      <c r="K110" s="567">
        <v>4.1992099999999999</v>
      </c>
      <c r="L110" s="567">
        <v>4.1992099999999999</v>
      </c>
      <c r="M110" s="567">
        <v>4.1992099999999999</v>
      </c>
      <c r="N110" s="567">
        <v>4.1992099999999999</v>
      </c>
      <c r="O110" s="567">
        <v>4.1992099999999999</v>
      </c>
      <c r="P110" s="567">
        <v>4.1992099999999999</v>
      </c>
      <c r="Q110" s="567">
        <v>4.1992099999999999</v>
      </c>
      <c r="R110" s="567">
        <v>4.1992099999999999</v>
      </c>
      <c r="S110" s="567">
        <v>4.1992099999999999</v>
      </c>
      <c r="T110" s="567">
        <v>4.1992099999999999</v>
      </c>
      <c r="V110" s="567">
        <f t="shared" si="11"/>
        <v>4.1992099999999999</v>
      </c>
    </row>
    <row r="111" spans="1:22" x14ac:dyDescent="0.25">
      <c r="A111" s="567" t="str">
        <f t="shared" si="8"/>
        <v>KU</v>
      </c>
      <c r="B111" s="567" t="str">
        <f t="shared" si="7"/>
        <v>VA</v>
      </c>
      <c r="C111" s="567" t="str">
        <f t="shared" si="10"/>
        <v>E</v>
      </c>
      <c r="D111" s="567" t="s">
        <v>2645</v>
      </c>
      <c r="E111" s="567" t="str">
        <f t="shared" si="9"/>
        <v>370</v>
      </c>
      <c r="F111" s="864" t="s">
        <v>1712</v>
      </c>
      <c r="G111" s="566" t="str">
        <f t="shared" si="12"/>
        <v/>
      </c>
      <c r="H111" s="567">
        <v>3783.5452</v>
      </c>
      <c r="I111" s="567">
        <v>3783.5452</v>
      </c>
      <c r="J111" s="567">
        <v>3783.5452</v>
      </c>
      <c r="K111" s="567">
        <v>3783.5452</v>
      </c>
      <c r="L111" s="567">
        <v>3783.5452</v>
      </c>
      <c r="M111" s="567">
        <v>3783.5452</v>
      </c>
      <c r="N111" s="567">
        <v>3783.5452</v>
      </c>
      <c r="O111" s="567">
        <v>3783.5452</v>
      </c>
      <c r="P111" s="567">
        <v>3783.5452</v>
      </c>
      <c r="Q111" s="567">
        <v>3783.5452</v>
      </c>
      <c r="R111" s="567">
        <v>3783.5452</v>
      </c>
      <c r="S111" s="567">
        <v>3783.5452</v>
      </c>
      <c r="T111" s="567">
        <v>3783.5452</v>
      </c>
      <c r="V111" s="567">
        <f t="shared" si="11"/>
        <v>3783.5452</v>
      </c>
    </row>
    <row r="112" spans="1:22" x14ac:dyDescent="0.25">
      <c r="A112" s="567" t="str">
        <f t="shared" si="8"/>
        <v>KU</v>
      </c>
      <c r="B112" s="567" t="str">
        <f t="shared" si="7"/>
        <v>KY</v>
      </c>
      <c r="C112" s="567" t="str">
        <f t="shared" si="10"/>
        <v>E</v>
      </c>
      <c r="D112" s="567" t="s">
        <v>2645</v>
      </c>
      <c r="E112" s="567" t="str">
        <f t="shared" si="9"/>
        <v>371</v>
      </c>
      <c r="F112" s="864" t="s">
        <v>1713</v>
      </c>
      <c r="G112" s="566" t="str">
        <f t="shared" si="12"/>
        <v/>
      </c>
      <c r="H112" s="567">
        <v>8.3373600000000003</v>
      </c>
      <c r="I112" s="567">
        <v>8.3373600000000003</v>
      </c>
      <c r="J112" s="567">
        <v>8.3373600000000003</v>
      </c>
      <c r="K112" s="567">
        <v>8.3373600000000003</v>
      </c>
      <c r="L112" s="567">
        <v>8.3373600000000003</v>
      </c>
      <c r="M112" s="567">
        <v>8.3373600000000003</v>
      </c>
      <c r="N112" s="567">
        <v>8.3373600000000003</v>
      </c>
      <c r="O112" s="567">
        <v>8.3373600000000003</v>
      </c>
      <c r="P112" s="567">
        <v>8.3373600000000003</v>
      </c>
      <c r="Q112" s="567">
        <v>8.3373600000000003</v>
      </c>
      <c r="R112" s="567">
        <v>8.3373600000000003</v>
      </c>
      <c r="S112" s="567">
        <v>8.3373600000000003</v>
      </c>
      <c r="T112" s="567">
        <v>8.3373600000000003</v>
      </c>
      <c r="V112" s="567">
        <f t="shared" si="11"/>
        <v>8.3373600000000021</v>
      </c>
    </row>
    <row r="113" spans="1:22" x14ac:dyDescent="0.25">
      <c r="A113" s="567" t="str">
        <f t="shared" si="8"/>
        <v>KU</v>
      </c>
      <c r="B113" s="567" t="str">
        <f t="shared" si="7"/>
        <v>KY</v>
      </c>
      <c r="C113" s="567" t="str">
        <f t="shared" si="10"/>
        <v>E</v>
      </c>
      <c r="D113" s="567" t="s">
        <v>2645</v>
      </c>
      <c r="E113" s="567" t="str">
        <f t="shared" si="9"/>
        <v>371</v>
      </c>
      <c r="F113" s="864" t="s">
        <v>2636</v>
      </c>
      <c r="G113" s="566" t="str">
        <f t="shared" si="12"/>
        <v/>
      </c>
      <c r="H113" s="567">
        <v>137.32259999999999</v>
      </c>
      <c r="I113" s="567">
        <v>137.32259999999999</v>
      </c>
      <c r="J113" s="567">
        <v>137.32259999999999</v>
      </c>
      <c r="K113" s="567">
        <v>137.32259999999999</v>
      </c>
      <c r="L113" s="567">
        <v>137.32259999999999</v>
      </c>
      <c r="M113" s="567">
        <v>137.32259999999999</v>
      </c>
      <c r="N113" s="567">
        <v>137.32259999999999</v>
      </c>
      <c r="O113" s="567">
        <v>137.32259999999999</v>
      </c>
      <c r="P113" s="567">
        <v>137.32259999999999</v>
      </c>
      <c r="Q113" s="567">
        <v>137.32259999999999</v>
      </c>
      <c r="R113" s="567">
        <v>137.32259999999999</v>
      </c>
      <c r="S113" s="567">
        <v>137.32259999999999</v>
      </c>
      <c r="T113" s="567">
        <v>137.32259999999999</v>
      </c>
      <c r="V113" s="567">
        <f t="shared" ref="V113" si="13">SUM(H113:T113)/13</f>
        <v>137.32259999999999</v>
      </c>
    </row>
    <row r="114" spans="1:22" x14ac:dyDescent="0.25">
      <c r="A114" s="567" t="str">
        <f t="shared" si="8"/>
        <v>KU</v>
      </c>
      <c r="B114" s="567" t="str">
        <f t="shared" si="7"/>
        <v>KY</v>
      </c>
      <c r="C114" s="567" t="str">
        <f t="shared" si="10"/>
        <v>E</v>
      </c>
      <c r="D114" s="567" t="s">
        <v>2645</v>
      </c>
      <c r="E114" s="567" t="str">
        <f t="shared" si="9"/>
        <v>373</v>
      </c>
      <c r="F114" s="864" t="s">
        <v>1714</v>
      </c>
      <c r="G114" s="566" t="str">
        <f t="shared" si="12"/>
        <v/>
      </c>
      <c r="H114" s="567">
        <v>125330.29102</v>
      </c>
      <c r="I114" s="567">
        <v>125537.0566</v>
      </c>
      <c r="J114" s="567">
        <v>125995.01194</v>
      </c>
      <c r="K114" s="567">
        <v>125753.81935999999</v>
      </c>
      <c r="L114" s="567">
        <v>125673.70465</v>
      </c>
      <c r="M114" s="567">
        <v>126220.09641</v>
      </c>
      <c r="N114" s="567">
        <v>126631.75492000001</v>
      </c>
      <c r="O114" s="567">
        <v>127131.11817</v>
      </c>
      <c r="P114" s="567">
        <v>127279.02493</v>
      </c>
      <c r="Q114" s="567">
        <v>127898.98815999999</v>
      </c>
      <c r="R114" s="567">
        <v>128186.4641</v>
      </c>
      <c r="S114" s="567">
        <v>128596.44560000001</v>
      </c>
      <c r="T114" s="567">
        <v>128905.51815</v>
      </c>
      <c r="V114" s="567">
        <f t="shared" si="11"/>
        <v>126856.86876999999</v>
      </c>
    </row>
    <row r="115" spans="1:22" x14ac:dyDescent="0.25">
      <c r="A115" s="567" t="str">
        <f t="shared" si="8"/>
        <v>KU</v>
      </c>
      <c r="B115" s="567" t="str">
        <f t="shared" si="7"/>
        <v>VA</v>
      </c>
      <c r="C115" s="567" t="str">
        <f t="shared" si="10"/>
        <v>E</v>
      </c>
      <c r="D115" s="567" t="s">
        <v>2645</v>
      </c>
      <c r="E115" s="567" t="str">
        <f t="shared" si="9"/>
        <v>373</v>
      </c>
      <c r="F115" s="864" t="s">
        <v>1715</v>
      </c>
      <c r="G115" s="566" t="str">
        <f t="shared" si="12"/>
        <v/>
      </c>
      <c r="H115" s="567">
        <v>3888.9616999999998</v>
      </c>
      <c r="I115" s="567">
        <v>3907.3411099999998</v>
      </c>
      <c r="J115" s="567">
        <v>3923.52952</v>
      </c>
      <c r="K115" s="567">
        <v>3943.14633</v>
      </c>
      <c r="L115" s="567">
        <v>3963.7167399999998</v>
      </c>
      <c r="M115" s="567">
        <v>3982.0961600000001</v>
      </c>
      <c r="N115" s="567">
        <v>3997.0471600000001</v>
      </c>
      <c r="O115" s="567">
        <v>4007.6161699999998</v>
      </c>
      <c r="P115" s="567">
        <v>4016.94778</v>
      </c>
      <c r="Q115" s="567">
        <v>4037.3487799999998</v>
      </c>
      <c r="R115" s="567">
        <v>4056.5315799999998</v>
      </c>
      <c r="S115" s="567">
        <v>4076.9325800000001</v>
      </c>
      <c r="T115" s="567">
        <v>4092.7152099999998</v>
      </c>
      <c r="V115" s="567">
        <f t="shared" si="11"/>
        <v>3991.8408323076928</v>
      </c>
    </row>
    <row r="116" spans="1:22" x14ac:dyDescent="0.25">
      <c r="A116" s="567" t="str">
        <f t="shared" si="8"/>
        <v>KU</v>
      </c>
      <c r="B116" s="567" t="str">
        <f t="shared" si="7"/>
        <v>KY</v>
      </c>
      <c r="C116" s="567" t="str">
        <f t="shared" si="10"/>
        <v>E</v>
      </c>
      <c r="D116" s="567" t="s">
        <v>2645</v>
      </c>
      <c r="E116" s="567" t="str">
        <f t="shared" si="9"/>
        <v>374</v>
      </c>
      <c r="F116" s="864" t="s">
        <v>1716</v>
      </c>
      <c r="G116" s="566" t="str">
        <f t="shared" si="12"/>
        <v>ARO</v>
      </c>
      <c r="H116" s="567">
        <v>658.28719000000001</v>
      </c>
      <c r="I116" s="567">
        <v>658.28719000000001</v>
      </c>
      <c r="J116" s="567">
        <v>658.28719000000001</v>
      </c>
      <c r="K116" s="567">
        <v>658.28719000000001</v>
      </c>
      <c r="L116" s="567">
        <v>658.28719000000001</v>
      </c>
      <c r="M116" s="567">
        <v>658.28719000000001</v>
      </c>
      <c r="N116" s="567">
        <v>658.28719000000001</v>
      </c>
      <c r="O116" s="567">
        <v>658.28719000000001</v>
      </c>
      <c r="P116" s="567">
        <v>658.28719000000001</v>
      </c>
      <c r="Q116" s="567">
        <v>658.28719000000001</v>
      </c>
      <c r="R116" s="567">
        <v>658.28719000000001</v>
      </c>
      <c r="S116" s="567">
        <v>658.28719000000001</v>
      </c>
      <c r="T116" s="567">
        <v>658.28719000000001</v>
      </c>
      <c r="V116" s="567">
        <f t="shared" si="11"/>
        <v>658.2871899999999</v>
      </c>
    </row>
    <row r="117" spans="1:22" x14ac:dyDescent="0.25">
      <c r="A117" s="567" t="str">
        <f t="shared" si="8"/>
        <v>KU</v>
      </c>
      <c r="B117" s="567" t="str">
        <f t="shared" si="7"/>
        <v>KY</v>
      </c>
      <c r="C117" s="567" t="str">
        <f t="shared" si="10"/>
        <v>F</v>
      </c>
      <c r="D117" s="567" t="s">
        <v>2645</v>
      </c>
      <c r="E117" s="567" t="str">
        <f t="shared" si="9"/>
        <v>389</v>
      </c>
      <c r="F117" s="864" t="s">
        <v>2433</v>
      </c>
      <c r="G117" s="566" t="str">
        <f t="shared" si="12"/>
        <v>FUTURE USE</v>
      </c>
      <c r="H117" s="567">
        <v>131.95631</v>
      </c>
      <c r="I117" s="567">
        <v>131.95631</v>
      </c>
      <c r="J117" s="567">
        <v>131.95631</v>
      </c>
      <c r="K117" s="567">
        <v>131.95631</v>
      </c>
      <c r="L117" s="567">
        <v>131.95631</v>
      </c>
      <c r="M117" s="567">
        <v>131.95631</v>
      </c>
      <c r="N117" s="567">
        <v>131.95631</v>
      </c>
      <c r="O117" s="567">
        <v>131.95631</v>
      </c>
      <c r="P117" s="567">
        <v>131.95631</v>
      </c>
      <c r="Q117" s="567">
        <v>131.95631</v>
      </c>
      <c r="R117" s="567">
        <v>131.95631</v>
      </c>
      <c r="S117" s="567">
        <v>131.95631</v>
      </c>
      <c r="T117" s="567">
        <v>131.95631</v>
      </c>
      <c r="V117" s="567">
        <f t="shared" si="11"/>
        <v>131.95631</v>
      </c>
    </row>
    <row r="118" spans="1:22" x14ac:dyDescent="0.25">
      <c r="A118" s="567" t="str">
        <f t="shared" si="8"/>
        <v>KU</v>
      </c>
      <c r="B118" s="567" t="str">
        <f t="shared" si="7"/>
        <v>KY</v>
      </c>
      <c r="C118" s="567" t="str">
        <f t="shared" si="10"/>
        <v>E</v>
      </c>
      <c r="D118" s="567" t="s">
        <v>2645</v>
      </c>
      <c r="E118" s="567" t="str">
        <f t="shared" si="9"/>
        <v>389</v>
      </c>
      <c r="F118" s="864" t="s">
        <v>1717</v>
      </c>
      <c r="G118" s="566" t="str">
        <f t="shared" si="12"/>
        <v/>
      </c>
      <c r="H118" s="567">
        <v>3127.45507</v>
      </c>
      <c r="I118" s="567">
        <v>3127.45507</v>
      </c>
      <c r="J118" s="567">
        <v>3127.45507</v>
      </c>
      <c r="K118" s="567">
        <v>3127.45507</v>
      </c>
      <c r="L118" s="567">
        <v>3127.45507</v>
      </c>
      <c r="M118" s="567">
        <v>3127.45507</v>
      </c>
      <c r="N118" s="567">
        <v>3127.45507</v>
      </c>
      <c r="O118" s="567">
        <v>3745.06322</v>
      </c>
      <c r="P118" s="567">
        <v>3764.2691399999999</v>
      </c>
      <c r="Q118" s="567">
        <v>3764.2691399999999</v>
      </c>
      <c r="R118" s="567">
        <v>3764.2691399999999</v>
      </c>
      <c r="S118" s="567">
        <v>3764.2691399999999</v>
      </c>
      <c r="T118" s="567">
        <v>3764.2691399999999</v>
      </c>
      <c r="V118" s="567">
        <f t="shared" si="11"/>
        <v>3419.8918776923069</v>
      </c>
    </row>
    <row r="119" spans="1:22" x14ac:dyDescent="0.25">
      <c r="A119" s="567" t="str">
        <f t="shared" si="8"/>
        <v>KU</v>
      </c>
      <c r="B119" s="567" t="str">
        <f t="shared" si="7"/>
        <v>VA</v>
      </c>
      <c r="C119" s="567" t="str">
        <f t="shared" si="10"/>
        <v>E</v>
      </c>
      <c r="D119" s="567" t="s">
        <v>2645</v>
      </c>
      <c r="E119" s="567" t="str">
        <f t="shared" si="9"/>
        <v>389</v>
      </c>
      <c r="F119" s="864" t="s">
        <v>1718</v>
      </c>
      <c r="G119" s="566" t="str">
        <f t="shared" si="12"/>
        <v/>
      </c>
      <c r="H119" s="567">
        <v>987.24770999999998</v>
      </c>
      <c r="I119" s="567">
        <v>987.24770999999998</v>
      </c>
      <c r="J119" s="567">
        <v>987.24770999999998</v>
      </c>
      <c r="K119" s="567">
        <v>987.24770999999998</v>
      </c>
      <c r="L119" s="567">
        <v>987.24770999999998</v>
      </c>
      <c r="M119" s="567">
        <v>987.24770999999998</v>
      </c>
      <c r="N119" s="567">
        <v>987.24770999999998</v>
      </c>
      <c r="O119" s="567">
        <v>987.24770999999998</v>
      </c>
      <c r="P119" s="567">
        <v>987.24770999999998</v>
      </c>
      <c r="Q119" s="567">
        <v>987.24770999999998</v>
      </c>
      <c r="R119" s="567">
        <v>987.24770999999998</v>
      </c>
      <c r="S119" s="567">
        <v>987.24770999999998</v>
      </c>
      <c r="T119" s="567">
        <v>987.24770999999998</v>
      </c>
      <c r="V119" s="567">
        <f t="shared" si="11"/>
        <v>987.24770999999976</v>
      </c>
    </row>
    <row r="120" spans="1:22" x14ac:dyDescent="0.25">
      <c r="A120" s="567" t="str">
        <f t="shared" si="8"/>
        <v>KU</v>
      </c>
      <c r="B120" s="567" t="str">
        <f t="shared" si="7"/>
        <v>KY</v>
      </c>
      <c r="C120" s="567" t="str">
        <f t="shared" si="10"/>
        <v>E</v>
      </c>
      <c r="D120" s="567" t="s">
        <v>2645</v>
      </c>
      <c r="E120" s="567" t="str">
        <f t="shared" si="9"/>
        <v>390</v>
      </c>
      <c r="F120" s="864" t="s">
        <v>1719</v>
      </c>
      <c r="G120" s="566" t="str">
        <f t="shared" si="12"/>
        <v/>
      </c>
      <c r="H120" s="567">
        <v>3097.0738099999999</v>
      </c>
      <c r="I120" s="567">
        <v>3097.0738099999999</v>
      </c>
      <c r="J120" s="567">
        <v>3097.0738099999999</v>
      </c>
      <c r="K120" s="567">
        <v>3097.0738099999999</v>
      </c>
      <c r="L120" s="567">
        <v>3097.0738099999999</v>
      </c>
      <c r="M120" s="567">
        <v>3097.0738099999999</v>
      </c>
      <c r="N120" s="567">
        <v>3097.0738099999999</v>
      </c>
      <c r="O120" s="567">
        <v>3097.0738099999999</v>
      </c>
      <c r="P120" s="567">
        <v>3097.0738099999999</v>
      </c>
      <c r="Q120" s="567">
        <v>3097.0738099999999</v>
      </c>
      <c r="R120" s="567">
        <v>3097.0738099999999</v>
      </c>
      <c r="S120" s="567">
        <v>3097.0738099999999</v>
      </c>
      <c r="T120" s="567">
        <v>3097.0738099999999</v>
      </c>
      <c r="V120" s="567">
        <f t="shared" si="11"/>
        <v>3097.0738100000008</v>
      </c>
    </row>
    <row r="121" spans="1:22" x14ac:dyDescent="0.25">
      <c r="A121" s="567" t="str">
        <f t="shared" si="8"/>
        <v>KU</v>
      </c>
      <c r="B121" s="567" t="str">
        <f t="shared" si="7"/>
        <v>KY</v>
      </c>
      <c r="C121" s="567" t="str">
        <f t="shared" si="10"/>
        <v>E</v>
      </c>
      <c r="D121" s="567" t="s">
        <v>2645</v>
      </c>
      <c r="E121" s="567" t="str">
        <f t="shared" si="9"/>
        <v>390</v>
      </c>
      <c r="F121" s="864" t="s">
        <v>1720</v>
      </c>
      <c r="G121" s="566" t="str">
        <f t="shared" si="12"/>
        <v/>
      </c>
      <c r="H121" s="567">
        <v>65995.815029999998</v>
      </c>
      <c r="I121" s="567">
        <v>66023.360629999996</v>
      </c>
      <c r="J121" s="567">
        <v>73464.295249999996</v>
      </c>
      <c r="K121" s="567">
        <v>73486.509179999994</v>
      </c>
      <c r="L121" s="567">
        <v>73653.15367</v>
      </c>
      <c r="M121" s="567">
        <v>74061.004019999993</v>
      </c>
      <c r="N121" s="567">
        <v>74773.804990000004</v>
      </c>
      <c r="O121" s="567">
        <v>76271.21054</v>
      </c>
      <c r="P121" s="567">
        <v>78164.455809999999</v>
      </c>
      <c r="Q121" s="567">
        <v>78186.825299999997</v>
      </c>
      <c r="R121" s="567">
        <v>78203.734689999997</v>
      </c>
      <c r="S121" s="567">
        <v>78221.380609999993</v>
      </c>
      <c r="T121" s="567">
        <v>78236.098669999905</v>
      </c>
      <c r="V121" s="567">
        <f t="shared" si="11"/>
        <v>74518.588337692287</v>
      </c>
    </row>
    <row r="122" spans="1:22" x14ac:dyDescent="0.25">
      <c r="A122" s="567" t="str">
        <f t="shared" si="8"/>
        <v>KU</v>
      </c>
      <c r="B122" s="567" t="str">
        <f t="shared" si="7"/>
        <v>VA</v>
      </c>
      <c r="C122" s="567" t="str">
        <f t="shared" si="10"/>
        <v>E</v>
      </c>
      <c r="D122" s="567" t="s">
        <v>2645</v>
      </c>
      <c r="E122" s="567" t="str">
        <f t="shared" si="9"/>
        <v>390</v>
      </c>
      <c r="F122" s="864" t="s">
        <v>1721</v>
      </c>
      <c r="G122" s="566" t="str">
        <f t="shared" si="12"/>
        <v/>
      </c>
      <c r="H122" s="567">
        <v>1160.9040600000001</v>
      </c>
      <c r="I122" s="567">
        <v>1373.9842200000001</v>
      </c>
      <c r="J122" s="567">
        <v>1373.9842200000001</v>
      </c>
      <c r="K122" s="567">
        <v>5860.8122199999998</v>
      </c>
      <c r="L122" s="567">
        <v>5889.6242000000002</v>
      </c>
      <c r="M122" s="567">
        <v>5889.6242000000002</v>
      </c>
      <c r="N122" s="567">
        <v>5889.6242000000002</v>
      </c>
      <c r="O122" s="567">
        <v>5889.6242000000002</v>
      </c>
      <c r="P122" s="567">
        <v>5889.6242000000002</v>
      </c>
      <c r="Q122" s="567">
        <v>5889.6242000000002</v>
      </c>
      <c r="R122" s="567">
        <v>5889.6242000000002</v>
      </c>
      <c r="S122" s="567">
        <v>5889.6242000000002</v>
      </c>
      <c r="T122" s="567">
        <v>5889.6242000000002</v>
      </c>
      <c r="V122" s="567">
        <f t="shared" si="11"/>
        <v>4828.9463476923065</v>
      </c>
    </row>
    <row r="123" spans="1:22" x14ac:dyDescent="0.25">
      <c r="A123" s="567" t="str">
        <f t="shared" si="8"/>
        <v>KU</v>
      </c>
      <c r="B123" s="567" t="str">
        <f t="shared" si="7"/>
        <v>KY</v>
      </c>
      <c r="C123" s="567" t="str">
        <f t="shared" si="10"/>
        <v>E</v>
      </c>
      <c r="D123" s="567" t="s">
        <v>2645</v>
      </c>
      <c r="E123" s="567" t="str">
        <f t="shared" si="9"/>
        <v>391</v>
      </c>
      <c r="F123" s="864" t="s">
        <v>1722</v>
      </c>
      <c r="G123" s="566" t="str">
        <f t="shared" si="12"/>
        <v/>
      </c>
      <c r="H123" s="567">
        <v>5848.5733899999996</v>
      </c>
      <c r="I123" s="567">
        <v>5848.5733899999996</v>
      </c>
      <c r="J123" s="567">
        <v>5848.5733899999996</v>
      </c>
      <c r="K123" s="567">
        <v>5848.5733899999996</v>
      </c>
      <c r="L123" s="567">
        <v>5848.5733899999996</v>
      </c>
      <c r="M123" s="567">
        <v>5836.0363200000002</v>
      </c>
      <c r="N123" s="567">
        <v>5083.3713399999997</v>
      </c>
      <c r="O123" s="567">
        <v>6307.6404899999998</v>
      </c>
      <c r="P123" s="567">
        <v>6395.0461100000002</v>
      </c>
      <c r="Q123" s="567">
        <v>6373.1135599999998</v>
      </c>
      <c r="R123" s="567">
        <v>6373.1135599999998</v>
      </c>
      <c r="S123" s="567">
        <v>6373.1135599999998</v>
      </c>
      <c r="T123" s="567">
        <v>6373.1135599999998</v>
      </c>
      <c r="V123" s="567">
        <f t="shared" si="11"/>
        <v>6027.4934961538447</v>
      </c>
    </row>
    <row r="124" spans="1:22" x14ac:dyDescent="0.25">
      <c r="A124" s="567" t="str">
        <f t="shared" si="8"/>
        <v>KU</v>
      </c>
      <c r="B124" s="567" t="str">
        <f t="shared" si="7"/>
        <v>KY</v>
      </c>
      <c r="C124" s="567" t="str">
        <f t="shared" si="10"/>
        <v>E</v>
      </c>
      <c r="D124" s="567" t="s">
        <v>2645</v>
      </c>
      <c r="E124" s="567" t="str">
        <f t="shared" si="9"/>
        <v>391</v>
      </c>
      <c r="F124" s="864" t="s">
        <v>1723</v>
      </c>
      <c r="G124" s="566" t="str">
        <f t="shared" si="12"/>
        <v/>
      </c>
      <c r="H124" s="567">
        <v>39540.786279999898</v>
      </c>
      <c r="I124" s="567">
        <v>38103.393989999902</v>
      </c>
      <c r="J124" s="567">
        <v>37479.228889999897</v>
      </c>
      <c r="K124" s="567">
        <v>37432.282509999997</v>
      </c>
      <c r="L124" s="567">
        <v>37183.55949</v>
      </c>
      <c r="M124" s="567">
        <v>37593.352149999999</v>
      </c>
      <c r="N124" s="567">
        <v>37134.910770000002</v>
      </c>
      <c r="O124" s="567">
        <v>37730.490660000003</v>
      </c>
      <c r="P124" s="567">
        <v>38559.4493</v>
      </c>
      <c r="Q124" s="567">
        <v>37812.616099999999</v>
      </c>
      <c r="R124" s="567">
        <v>36125.70059</v>
      </c>
      <c r="S124" s="567">
        <v>35994.631529999999</v>
      </c>
      <c r="T124" s="567">
        <v>36067.831279999999</v>
      </c>
      <c r="V124" s="567">
        <f t="shared" si="11"/>
        <v>37442.941041538441</v>
      </c>
    </row>
    <row r="125" spans="1:22" x14ac:dyDescent="0.25">
      <c r="A125" s="567" t="str">
        <f t="shared" si="8"/>
        <v>KU</v>
      </c>
      <c r="B125" s="567" t="str">
        <f t="shared" si="7"/>
        <v>KY</v>
      </c>
      <c r="C125" s="567" t="str">
        <f t="shared" si="10"/>
        <v>E</v>
      </c>
      <c r="D125" s="567" t="s">
        <v>2645</v>
      </c>
      <c r="E125" s="567" t="str">
        <f t="shared" si="9"/>
        <v>392</v>
      </c>
      <c r="F125" s="864" t="s">
        <v>1725</v>
      </c>
      <c r="G125" s="566" t="str">
        <f t="shared" si="12"/>
        <v>ECR</v>
      </c>
      <c r="H125" s="567">
        <v>19.40382</v>
      </c>
      <c r="I125" s="567">
        <v>19.40382</v>
      </c>
      <c r="J125" s="567">
        <v>19.40382</v>
      </c>
      <c r="K125" s="567">
        <v>19.40382</v>
      </c>
      <c r="L125" s="567">
        <v>19.40382</v>
      </c>
      <c r="M125" s="567">
        <v>19.40382</v>
      </c>
      <c r="N125" s="567">
        <v>19.40382</v>
      </c>
      <c r="O125" s="567">
        <v>19.40382</v>
      </c>
      <c r="P125" s="567">
        <v>19.40382</v>
      </c>
      <c r="Q125" s="567">
        <v>19.40382</v>
      </c>
      <c r="R125" s="567">
        <v>19.40382</v>
      </c>
      <c r="S125" s="567">
        <v>19.40382</v>
      </c>
      <c r="T125" s="567">
        <v>19.40382</v>
      </c>
      <c r="V125" s="567">
        <f t="shared" si="11"/>
        <v>19.40382</v>
      </c>
    </row>
    <row r="126" spans="1:22" x14ac:dyDescent="0.25">
      <c r="A126" s="567" t="str">
        <f t="shared" si="8"/>
        <v>KU</v>
      </c>
      <c r="B126" s="567" t="str">
        <f t="shared" si="7"/>
        <v>KY</v>
      </c>
      <c r="C126" s="567" t="str">
        <f t="shared" si="10"/>
        <v>E</v>
      </c>
      <c r="D126" s="567" t="s">
        <v>2645</v>
      </c>
      <c r="E126" s="567" t="str">
        <f t="shared" si="9"/>
        <v>392</v>
      </c>
      <c r="F126" s="864" t="s">
        <v>1726</v>
      </c>
      <c r="G126" s="566" t="str">
        <f t="shared" si="12"/>
        <v/>
      </c>
      <c r="H126" s="567">
        <v>7503.92148</v>
      </c>
      <c r="I126" s="567">
        <v>7503.92148</v>
      </c>
      <c r="J126" s="567">
        <v>7503.92148</v>
      </c>
      <c r="K126" s="567">
        <v>7503.92148</v>
      </c>
      <c r="L126" s="567">
        <v>7503.92148</v>
      </c>
      <c r="M126" s="567">
        <v>7503.92148</v>
      </c>
      <c r="N126" s="567">
        <v>7503.92148</v>
      </c>
      <c r="O126" s="567">
        <v>7503.92148</v>
      </c>
      <c r="P126" s="567">
        <v>7503.92148</v>
      </c>
      <c r="Q126" s="567">
        <v>7503.92148</v>
      </c>
      <c r="R126" s="567">
        <v>7503.92148</v>
      </c>
      <c r="S126" s="567">
        <v>7503.92148</v>
      </c>
      <c r="T126" s="567">
        <v>7503.92148</v>
      </c>
      <c r="V126" s="567">
        <f t="shared" si="11"/>
        <v>7503.9214800000009</v>
      </c>
    </row>
    <row r="127" spans="1:22" x14ac:dyDescent="0.25">
      <c r="A127" s="567" t="str">
        <f t="shared" si="8"/>
        <v>KU</v>
      </c>
      <c r="B127" s="567" t="str">
        <f t="shared" si="7"/>
        <v>VA</v>
      </c>
      <c r="C127" s="567" t="str">
        <f t="shared" si="10"/>
        <v>E</v>
      </c>
      <c r="D127" s="567" t="s">
        <v>2645</v>
      </c>
      <c r="E127" s="567" t="str">
        <f t="shared" si="9"/>
        <v>392</v>
      </c>
      <c r="F127" s="864" t="s">
        <v>2429</v>
      </c>
      <c r="G127" s="566" t="str">
        <f t="shared" si="12"/>
        <v/>
      </c>
      <c r="H127" s="567">
        <v>14.946400000000001</v>
      </c>
      <c r="I127" s="567">
        <v>14.946400000000001</v>
      </c>
      <c r="J127" s="567">
        <v>14.946400000000001</v>
      </c>
      <c r="K127" s="567">
        <v>14.946400000000001</v>
      </c>
      <c r="L127" s="567">
        <v>14.946400000000001</v>
      </c>
      <c r="M127" s="567">
        <v>14.946400000000001</v>
      </c>
      <c r="N127" s="567">
        <v>14.946400000000001</v>
      </c>
      <c r="O127" s="567">
        <v>14.946400000000001</v>
      </c>
      <c r="P127" s="567">
        <v>14.946400000000001</v>
      </c>
      <c r="Q127" s="567">
        <v>14.946400000000001</v>
      </c>
      <c r="R127" s="567">
        <v>14.946400000000001</v>
      </c>
      <c r="S127" s="567">
        <v>14.946400000000001</v>
      </c>
      <c r="T127" s="567">
        <v>14.946400000000001</v>
      </c>
      <c r="V127" s="567">
        <f t="shared" si="11"/>
        <v>14.946400000000002</v>
      </c>
    </row>
    <row r="128" spans="1:22" x14ac:dyDescent="0.25">
      <c r="A128" s="567" t="str">
        <f t="shared" si="8"/>
        <v>KU</v>
      </c>
      <c r="B128" s="567" t="str">
        <f t="shared" si="7"/>
        <v>KY</v>
      </c>
      <c r="C128" s="567" t="str">
        <f t="shared" si="10"/>
        <v>E</v>
      </c>
      <c r="D128" s="567" t="s">
        <v>2645</v>
      </c>
      <c r="E128" s="567" t="str">
        <f t="shared" si="9"/>
        <v>393</v>
      </c>
      <c r="F128" s="864" t="s">
        <v>1727</v>
      </c>
      <c r="G128" s="566" t="str">
        <f t="shared" si="12"/>
        <v/>
      </c>
      <c r="H128" s="567">
        <v>930.09664999999995</v>
      </c>
      <c r="I128" s="567">
        <v>917.04897000000005</v>
      </c>
      <c r="J128" s="567">
        <v>917.04897000000005</v>
      </c>
      <c r="K128" s="567">
        <v>917.04897000000005</v>
      </c>
      <c r="L128" s="567">
        <v>915.45047999999997</v>
      </c>
      <c r="M128" s="567">
        <v>908.93033000000003</v>
      </c>
      <c r="N128" s="567">
        <v>898.25582999999995</v>
      </c>
      <c r="O128" s="567">
        <v>898.25582999999995</v>
      </c>
      <c r="P128" s="567">
        <v>898.25582999999995</v>
      </c>
      <c r="Q128" s="567">
        <v>898.25582999999995</v>
      </c>
      <c r="R128" s="567">
        <v>898.25582999999995</v>
      </c>
      <c r="S128" s="567">
        <v>898.25582999999995</v>
      </c>
      <c r="T128" s="567">
        <v>898.25582999999995</v>
      </c>
      <c r="V128" s="567">
        <f t="shared" si="11"/>
        <v>907.18578307692303</v>
      </c>
    </row>
    <row r="129" spans="1:22" x14ac:dyDescent="0.25">
      <c r="A129" s="567" t="str">
        <f t="shared" si="8"/>
        <v>KU</v>
      </c>
      <c r="B129" s="567" t="str">
        <f t="shared" si="7"/>
        <v>VA</v>
      </c>
      <c r="C129" s="567" t="str">
        <f t="shared" si="10"/>
        <v>E</v>
      </c>
      <c r="D129" s="567" t="s">
        <v>2645</v>
      </c>
      <c r="E129" s="567" t="str">
        <f t="shared" si="9"/>
        <v>393</v>
      </c>
      <c r="F129" s="864" t="s">
        <v>1728</v>
      </c>
      <c r="G129" s="566" t="str">
        <f t="shared" si="12"/>
        <v/>
      </c>
      <c r="H129" s="567">
        <v>0.87655000000000005</v>
      </c>
      <c r="I129" s="567">
        <v>0.87655000000000005</v>
      </c>
      <c r="J129" s="567">
        <v>0.87655000000000005</v>
      </c>
      <c r="K129" s="567">
        <v>0.87655000000000005</v>
      </c>
      <c r="L129" s="567">
        <v>0.87655000000000005</v>
      </c>
      <c r="M129" s="567">
        <v>0.87655000000000005</v>
      </c>
      <c r="N129" s="567">
        <v>0.87655000000000005</v>
      </c>
      <c r="O129" s="567">
        <v>0.87655000000000005</v>
      </c>
      <c r="P129" s="567">
        <v>0.87655000000000005</v>
      </c>
      <c r="Q129" s="567">
        <v>0.87655000000000005</v>
      </c>
      <c r="R129" s="567">
        <v>0.87655000000000005</v>
      </c>
      <c r="S129" s="567">
        <v>0.87655000000000005</v>
      </c>
      <c r="T129" s="567">
        <v>0.87655000000000005</v>
      </c>
      <c r="V129" s="567">
        <f t="shared" si="11"/>
        <v>0.87655000000000005</v>
      </c>
    </row>
    <row r="130" spans="1:22" x14ac:dyDescent="0.25">
      <c r="A130" s="567" t="str">
        <f t="shared" si="8"/>
        <v>KU</v>
      </c>
      <c r="B130" s="567" t="str">
        <f t="shared" si="7"/>
        <v>KY</v>
      </c>
      <c r="C130" s="567" t="str">
        <f t="shared" si="10"/>
        <v>E</v>
      </c>
      <c r="D130" s="567" t="s">
        <v>2645</v>
      </c>
      <c r="E130" s="567" t="str">
        <f t="shared" si="9"/>
        <v>394</v>
      </c>
      <c r="F130" s="864" t="s">
        <v>1729</v>
      </c>
      <c r="G130" s="566" t="str">
        <f t="shared" si="12"/>
        <v/>
      </c>
      <c r="H130" s="567">
        <v>14952.78096</v>
      </c>
      <c r="I130" s="567">
        <v>15207.02672</v>
      </c>
      <c r="J130" s="567">
        <v>15621.79617</v>
      </c>
      <c r="K130" s="567">
        <v>15689.174349999999</v>
      </c>
      <c r="L130" s="567">
        <v>15829.810289999999</v>
      </c>
      <c r="M130" s="567">
        <v>16487.3763699999</v>
      </c>
      <c r="N130" s="567">
        <v>16498.094159999899</v>
      </c>
      <c r="O130" s="567">
        <v>16512.9790499999</v>
      </c>
      <c r="P130" s="567">
        <v>16638.040569999899</v>
      </c>
      <c r="Q130" s="567">
        <v>16638.313909999899</v>
      </c>
      <c r="R130" s="567">
        <v>16654.5154899999</v>
      </c>
      <c r="S130" s="567">
        <v>16880.850789999899</v>
      </c>
      <c r="T130" s="567">
        <v>17186.705749999899</v>
      </c>
      <c r="V130" s="567">
        <f t="shared" si="11"/>
        <v>16215.189583076863</v>
      </c>
    </row>
    <row r="131" spans="1:22" x14ac:dyDescent="0.25">
      <c r="A131" s="567" t="str">
        <f t="shared" si="8"/>
        <v>KU</v>
      </c>
      <c r="B131" s="567" t="str">
        <f t="shared" si="7"/>
        <v>VA</v>
      </c>
      <c r="C131" s="567" t="str">
        <f t="shared" si="10"/>
        <v>E</v>
      </c>
      <c r="D131" s="567" t="s">
        <v>2645</v>
      </c>
      <c r="E131" s="567" t="str">
        <f t="shared" si="9"/>
        <v>394</v>
      </c>
      <c r="F131" s="864" t="s">
        <v>1730</v>
      </c>
      <c r="G131" s="566" t="str">
        <f t="shared" si="12"/>
        <v/>
      </c>
      <c r="H131" s="567">
        <v>680.43967999999995</v>
      </c>
      <c r="I131" s="567">
        <v>680.43967999999995</v>
      </c>
      <c r="J131" s="567">
        <v>694.05111999999997</v>
      </c>
      <c r="K131" s="567">
        <v>694.05111999999997</v>
      </c>
      <c r="L131" s="567">
        <v>700.94370000000004</v>
      </c>
      <c r="M131" s="567">
        <v>700.94370000000004</v>
      </c>
      <c r="N131" s="567">
        <v>700.94370000000004</v>
      </c>
      <c r="O131" s="567">
        <v>700.94370000000004</v>
      </c>
      <c r="P131" s="567">
        <v>694.66636000000005</v>
      </c>
      <c r="Q131" s="567">
        <v>694.66636000000005</v>
      </c>
      <c r="R131" s="567">
        <v>694.66636000000005</v>
      </c>
      <c r="S131" s="567">
        <v>706.84834999999998</v>
      </c>
      <c r="T131" s="567">
        <v>706.84834999999998</v>
      </c>
      <c r="V131" s="567">
        <f t="shared" si="11"/>
        <v>696.18862923076927</v>
      </c>
    </row>
    <row r="132" spans="1:22" x14ac:dyDescent="0.25">
      <c r="A132" s="567" t="str">
        <f t="shared" si="8"/>
        <v>KU</v>
      </c>
      <c r="B132" s="567" t="str">
        <f t="shared" ref="B132:B195" si="14">IF(MID($F132,12,2)="- ","KY",IF(MID($F132,12,2)="SY","KY",MID($F132,12,2)))</f>
        <v>KY</v>
      </c>
      <c r="C132" s="567" t="str">
        <f t="shared" si="10"/>
        <v>E</v>
      </c>
      <c r="D132" s="567" t="s">
        <v>2645</v>
      </c>
      <c r="E132" s="567" t="str">
        <f t="shared" si="9"/>
        <v>396</v>
      </c>
      <c r="F132" s="864" t="s">
        <v>1731</v>
      </c>
      <c r="G132" s="566" t="str">
        <f t="shared" si="12"/>
        <v/>
      </c>
      <c r="H132" s="567">
        <v>623.32951000000003</v>
      </c>
      <c r="I132" s="567">
        <v>623.32951000000003</v>
      </c>
      <c r="J132" s="567">
        <v>623.32951000000003</v>
      </c>
      <c r="K132" s="567">
        <v>623.32951000000003</v>
      </c>
      <c r="L132" s="567">
        <v>623.32951000000003</v>
      </c>
      <c r="M132" s="567">
        <v>623.32951000000003</v>
      </c>
      <c r="N132" s="567">
        <v>623.32951000000003</v>
      </c>
      <c r="O132" s="567">
        <v>623.32951000000003</v>
      </c>
      <c r="P132" s="567">
        <v>623.32951000000003</v>
      </c>
      <c r="Q132" s="567">
        <v>623.32951000000003</v>
      </c>
      <c r="R132" s="567">
        <v>623.32951000000003</v>
      </c>
      <c r="S132" s="567">
        <v>623.32951000000003</v>
      </c>
      <c r="T132" s="567">
        <v>623.32951000000003</v>
      </c>
      <c r="V132" s="567">
        <f t="shared" si="11"/>
        <v>623.3295099999998</v>
      </c>
    </row>
    <row r="133" spans="1:22" x14ac:dyDescent="0.25">
      <c r="A133" s="567" t="str">
        <f t="shared" si="8"/>
        <v>KU</v>
      </c>
      <c r="B133" s="567" t="str">
        <f t="shared" si="14"/>
        <v>KY</v>
      </c>
      <c r="C133" s="567" t="str">
        <f t="shared" si="10"/>
        <v>E</v>
      </c>
      <c r="D133" s="567" t="s">
        <v>2645</v>
      </c>
      <c r="E133" s="567" t="str">
        <f t="shared" si="9"/>
        <v>396</v>
      </c>
      <c r="F133" s="864" t="s">
        <v>2430</v>
      </c>
      <c r="G133" s="566" t="str">
        <f t="shared" si="12"/>
        <v/>
      </c>
      <c r="H133" s="567">
        <v>3232.3006300000002</v>
      </c>
      <c r="I133" s="567">
        <v>3232.3006300000002</v>
      </c>
      <c r="J133" s="567">
        <v>3232.3006300000002</v>
      </c>
      <c r="K133" s="567">
        <v>3232.3006300000002</v>
      </c>
      <c r="L133" s="567">
        <v>3232.3006300000002</v>
      </c>
      <c r="M133" s="567">
        <v>3232.3006300000002</v>
      </c>
      <c r="N133" s="567">
        <v>3232.3006300000002</v>
      </c>
      <c r="O133" s="567">
        <v>3232.3006300000002</v>
      </c>
      <c r="P133" s="567">
        <v>3232.3006300000002</v>
      </c>
      <c r="Q133" s="567">
        <v>3232.3006300000002</v>
      </c>
      <c r="R133" s="567">
        <v>3232.3006300000002</v>
      </c>
      <c r="S133" s="567">
        <v>3232.3006300000002</v>
      </c>
      <c r="T133" s="567">
        <v>3232.3006300000002</v>
      </c>
      <c r="V133" s="567">
        <f t="shared" si="11"/>
        <v>3232.3006300000002</v>
      </c>
    </row>
    <row r="134" spans="1:22" x14ac:dyDescent="0.25">
      <c r="A134" s="567" t="str">
        <f t="shared" si="8"/>
        <v>KU</v>
      </c>
      <c r="B134" s="567" t="str">
        <f t="shared" si="14"/>
        <v>VA</v>
      </c>
      <c r="C134" s="567" t="str">
        <f t="shared" si="10"/>
        <v>E</v>
      </c>
      <c r="D134" s="567" t="s">
        <v>2645</v>
      </c>
      <c r="E134" s="567" t="str">
        <f t="shared" si="9"/>
        <v>396</v>
      </c>
      <c r="F134" s="864" t="s">
        <v>1732</v>
      </c>
      <c r="G134" s="566" t="str">
        <f t="shared" si="12"/>
        <v/>
      </c>
      <c r="H134" s="567">
        <v>0</v>
      </c>
      <c r="I134" s="567">
        <v>0</v>
      </c>
      <c r="J134" s="567">
        <v>0</v>
      </c>
      <c r="K134" s="567">
        <v>0</v>
      </c>
      <c r="L134" s="567">
        <v>0</v>
      </c>
      <c r="M134" s="567">
        <v>0</v>
      </c>
      <c r="N134" s="567">
        <v>0</v>
      </c>
      <c r="O134" s="567">
        <v>0</v>
      </c>
      <c r="P134" s="567">
        <v>0</v>
      </c>
      <c r="Q134" s="567">
        <v>0</v>
      </c>
      <c r="R134" s="567">
        <v>0</v>
      </c>
      <c r="S134" s="567">
        <v>0</v>
      </c>
      <c r="T134" s="567">
        <v>0</v>
      </c>
      <c r="V134" s="567">
        <f t="shared" si="11"/>
        <v>0</v>
      </c>
    </row>
    <row r="135" spans="1:22" x14ac:dyDescent="0.25">
      <c r="A135" s="567" t="str">
        <f t="shared" ref="A135:A198" si="15">MID($F135,4,2)</f>
        <v>KU</v>
      </c>
      <c r="B135" s="567" t="str">
        <f t="shared" si="14"/>
        <v>VA</v>
      </c>
      <c r="C135" s="567" t="str">
        <f t="shared" si="10"/>
        <v>E</v>
      </c>
      <c r="D135" s="567" t="s">
        <v>2645</v>
      </c>
      <c r="E135" s="567" t="str">
        <f t="shared" si="9"/>
        <v>396</v>
      </c>
      <c r="F135" s="864" t="s">
        <v>2431</v>
      </c>
      <c r="G135" s="566" t="str">
        <f t="shared" si="12"/>
        <v/>
      </c>
      <c r="H135" s="567">
        <v>282.27726000000001</v>
      </c>
      <c r="I135" s="567">
        <v>282.27726000000001</v>
      </c>
      <c r="J135" s="567">
        <v>282.27726000000001</v>
      </c>
      <c r="K135" s="567">
        <v>282.27726000000001</v>
      </c>
      <c r="L135" s="567">
        <v>282.27726000000001</v>
      </c>
      <c r="M135" s="567">
        <v>282.27726000000001</v>
      </c>
      <c r="N135" s="567">
        <v>282.27726000000001</v>
      </c>
      <c r="O135" s="567">
        <v>282.27726000000001</v>
      </c>
      <c r="P135" s="567">
        <v>282.27726000000001</v>
      </c>
      <c r="Q135" s="567">
        <v>282.27726000000001</v>
      </c>
      <c r="R135" s="567">
        <v>282.27726000000001</v>
      </c>
      <c r="S135" s="567">
        <v>282.27726000000001</v>
      </c>
      <c r="T135" s="567">
        <v>282.27726000000001</v>
      </c>
      <c r="V135" s="567">
        <f t="shared" si="11"/>
        <v>282.27725999999996</v>
      </c>
    </row>
    <row r="136" spans="1:22" x14ac:dyDescent="0.25">
      <c r="A136" s="567" t="str">
        <f t="shared" si="15"/>
        <v>KU</v>
      </c>
      <c r="B136" s="567" t="str">
        <f t="shared" si="14"/>
        <v>KY</v>
      </c>
      <c r="C136" s="567" t="str">
        <f t="shared" ref="C136:C199" si="16">IF(ISTEXT(MID($F136,SEARCH("FUTURE USE",$F136),3)),"F",IF(MID($F136,7,1)="1","E",IF(MID($F136,7,1)="2","G",IF(MID($F136,7,1)="3","C",""))))</f>
        <v>E</v>
      </c>
      <c r="D136" s="567" t="s">
        <v>2645</v>
      </c>
      <c r="E136" s="775">
        <v>3972</v>
      </c>
      <c r="F136" s="864" t="s">
        <v>1733</v>
      </c>
      <c r="G136" s="566" t="str">
        <f t="shared" si="12"/>
        <v>DSM</v>
      </c>
      <c r="H136" s="567">
        <v>7860.5236800000002</v>
      </c>
      <c r="I136" s="567">
        <v>7881.3570099999997</v>
      </c>
      <c r="J136" s="567">
        <v>7902.1903400000001</v>
      </c>
      <c r="K136" s="567">
        <v>7923.0236699999996</v>
      </c>
      <c r="L136" s="567">
        <v>7943.857</v>
      </c>
      <c r="M136" s="567">
        <v>7964.6903300000004</v>
      </c>
      <c r="N136" s="567">
        <v>7985.5236599999998</v>
      </c>
      <c r="O136" s="567">
        <v>8006.3569900000002</v>
      </c>
      <c r="P136" s="567">
        <v>8027.1903199999997</v>
      </c>
      <c r="Q136" s="567">
        <v>8029.7319799999996</v>
      </c>
      <c r="R136" s="567">
        <v>8032.2736500000001</v>
      </c>
      <c r="S136" s="567">
        <v>8034.8153199999997</v>
      </c>
      <c r="T136" s="567">
        <v>8037.3569900000002</v>
      </c>
      <c r="V136" s="567">
        <f>SUM(H136:T136)/13</f>
        <v>7971.4531492307678</v>
      </c>
    </row>
    <row r="137" spans="1:22" x14ac:dyDescent="0.25">
      <c r="A137" s="567" t="str">
        <f t="shared" si="15"/>
        <v>KU</v>
      </c>
      <c r="B137" s="567" t="str">
        <f t="shared" si="14"/>
        <v>KY</v>
      </c>
      <c r="C137" s="567" t="str">
        <f t="shared" si="16"/>
        <v>E</v>
      </c>
      <c r="D137" s="567" t="s">
        <v>2645</v>
      </c>
      <c r="E137" s="567" t="str">
        <f t="shared" si="9"/>
        <v>397</v>
      </c>
      <c r="F137" s="864" t="s">
        <v>1734</v>
      </c>
      <c r="G137" s="566" t="str">
        <f t="shared" si="12"/>
        <v/>
      </c>
      <c r="H137" s="567">
        <v>57215.159389999899</v>
      </c>
      <c r="I137" s="567">
        <v>57215.159389999899</v>
      </c>
      <c r="J137" s="567">
        <v>57215.159389999899</v>
      </c>
      <c r="K137" s="567">
        <v>57215.159389999899</v>
      </c>
      <c r="L137" s="567">
        <v>57352.279369999997</v>
      </c>
      <c r="M137" s="567">
        <v>57649.963069999998</v>
      </c>
      <c r="N137" s="567">
        <v>57673.009549999901</v>
      </c>
      <c r="O137" s="567">
        <v>58923.824999999997</v>
      </c>
      <c r="P137" s="567">
        <v>59963.7827799999</v>
      </c>
      <c r="Q137" s="567">
        <v>59963.7827799999</v>
      </c>
      <c r="R137" s="567">
        <v>59963.7827799999</v>
      </c>
      <c r="S137" s="567">
        <v>59963.7827799999</v>
      </c>
      <c r="T137" s="567">
        <v>59963.7827799999</v>
      </c>
      <c r="V137" s="567">
        <f>SUM(H137:T137)/13</f>
        <v>58482.971419230693</v>
      </c>
    </row>
    <row r="138" spans="1:22" x14ac:dyDescent="0.25">
      <c r="A138" s="567" t="str">
        <f t="shared" si="15"/>
        <v>KU</v>
      </c>
      <c r="B138" s="567" t="str">
        <f t="shared" si="14"/>
        <v>VA</v>
      </c>
      <c r="C138" s="567" t="str">
        <f t="shared" si="16"/>
        <v>E</v>
      </c>
      <c r="D138" s="567" t="s">
        <v>2645</v>
      </c>
      <c r="E138" s="567" t="str">
        <f t="shared" si="9"/>
        <v>397</v>
      </c>
      <c r="F138" s="864" t="s">
        <v>1735</v>
      </c>
      <c r="G138" s="566" t="str">
        <f t="shared" si="12"/>
        <v/>
      </c>
      <c r="H138" s="567">
        <v>980.09861000000001</v>
      </c>
      <c r="I138" s="567">
        <v>980.09861000000001</v>
      </c>
      <c r="J138" s="567">
        <v>980.09861000000001</v>
      </c>
      <c r="K138" s="567">
        <v>980.09861000000001</v>
      </c>
      <c r="L138" s="567">
        <v>980.09861000000001</v>
      </c>
      <c r="M138" s="567">
        <v>980.09861000000001</v>
      </c>
      <c r="N138" s="567">
        <v>980.09861000000001</v>
      </c>
      <c r="O138" s="567">
        <v>980.09861000000001</v>
      </c>
      <c r="P138" s="567">
        <v>980.09861000000001</v>
      </c>
      <c r="Q138" s="567">
        <v>980.09861000000001</v>
      </c>
      <c r="R138" s="567">
        <v>980.09861000000001</v>
      </c>
      <c r="S138" s="567">
        <v>980.09861000000001</v>
      </c>
      <c r="T138" s="567">
        <v>980.09861000000001</v>
      </c>
      <c r="V138" s="567">
        <f>SUM(H138:T138)/13</f>
        <v>980.09861000000035</v>
      </c>
    </row>
    <row r="139" spans="1:22" x14ac:dyDescent="0.25">
      <c r="A139" s="567" t="str">
        <f t="shared" si="15"/>
        <v>KU</v>
      </c>
      <c r="B139" s="567" t="str">
        <f t="shared" si="14"/>
        <v>KY</v>
      </c>
      <c r="C139" s="567" t="str">
        <f t="shared" si="16"/>
        <v>C</v>
      </c>
      <c r="D139" s="567" t="s">
        <v>2645</v>
      </c>
      <c r="E139" s="567" t="str">
        <f t="shared" si="9"/>
        <v>121</v>
      </c>
      <c r="F139" s="864" t="s">
        <v>1736</v>
      </c>
      <c r="G139" s="566" t="str">
        <f t="shared" si="12"/>
        <v/>
      </c>
      <c r="H139" s="567">
        <v>178.71388999999999</v>
      </c>
      <c r="I139" s="567">
        <v>178.71388999999999</v>
      </c>
      <c r="J139" s="567">
        <v>178.71388999999999</v>
      </c>
      <c r="K139" s="567">
        <v>178.71388999999999</v>
      </c>
      <c r="L139" s="567">
        <v>178.71388999999999</v>
      </c>
      <c r="M139" s="567">
        <v>178.71388999999999</v>
      </c>
      <c r="N139" s="567">
        <v>178.71388999999999</v>
      </c>
      <c r="O139" s="567">
        <v>178.71388999999999</v>
      </c>
      <c r="P139" s="567">
        <v>178.71388999999999</v>
      </c>
      <c r="Q139" s="567">
        <v>178.71388999999999</v>
      </c>
      <c r="R139" s="567">
        <v>178.71388999999999</v>
      </c>
      <c r="S139" s="567">
        <v>178.71388999999999</v>
      </c>
      <c r="T139" s="567">
        <v>178.71388999999999</v>
      </c>
      <c r="V139" s="567">
        <f>SUM(H139:T139)/13</f>
        <v>178.71388999999999</v>
      </c>
    </row>
    <row r="140" spans="1:22" x14ac:dyDescent="0.25">
      <c r="A140" s="567" t="str">
        <f t="shared" si="15"/>
        <v>KY</v>
      </c>
      <c r="B140" s="567" t="str">
        <f t="shared" si="14"/>
        <v xml:space="preserve"> A</v>
      </c>
      <c r="C140" s="567" t="str">
        <f t="shared" si="16"/>
        <v/>
      </c>
      <c r="D140" s="567" t="s">
        <v>2645</v>
      </c>
      <c r="E140" s="567" t="str">
        <f t="shared" si="9"/>
        <v>lan</v>
      </c>
      <c r="F140" s="864" t="s">
        <v>1740</v>
      </c>
      <c r="G140" s="566" t="str">
        <f t="shared" si="12"/>
        <v/>
      </c>
      <c r="H140" s="567">
        <v>9723550.1541899983</v>
      </c>
      <c r="I140" s="567">
        <v>9887885.2696000021</v>
      </c>
      <c r="J140" s="567">
        <v>9937559.8619799968</v>
      </c>
      <c r="K140" s="567">
        <v>9959760.0102999974</v>
      </c>
      <c r="L140" s="567">
        <v>9972981.8179899957</v>
      </c>
      <c r="M140" s="567">
        <v>10011983.104810001</v>
      </c>
      <c r="N140" s="567">
        <v>10043819.262119997</v>
      </c>
      <c r="O140" s="567">
        <v>10102538.388719996</v>
      </c>
      <c r="P140" s="567">
        <v>10259763.101519994</v>
      </c>
      <c r="Q140" s="567">
        <v>10203737.517299993</v>
      </c>
      <c r="R140" s="567">
        <v>10208622.584749991</v>
      </c>
      <c r="S140" s="567">
        <v>10235944.125569992</v>
      </c>
      <c r="T140" s="567">
        <v>10265309.099779993</v>
      </c>
      <c r="V140" s="567">
        <f t="shared" ref="V140:V143" si="17">SUM(H140:T140)/13</f>
        <v>10062573.407586919</v>
      </c>
    </row>
    <row r="141" spans="1:22" x14ac:dyDescent="0.25">
      <c r="A141" s="567" t="str">
        <f t="shared" si="15"/>
        <v/>
      </c>
      <c r="B141" s="567" t="str">
        <f t="shared" si="14"/>
        <v/>
      </c>
      <c r="C141" s="567" t="str">
        <f t="shared" si="16"/>
        <v/>
      </c>
      <c r="H141" s="567">
        <v>0</v>
      </c>
      <c r="I141" s="567">
        <v>0</v>
      </c>
      <c r="J141" s="567">
        <v>0</v>
      </c>
      <c r="K141" s="567">
        <v>0</v>
      </c>
      <c r="L141" s="567">
        <v>0</v>
      </c>
      <c r="M141" s="567">
        <v>0</v>
      </c>
      <c r="N141" s="567">
        <v>0</v>
      </c>
      <c r="O141" s="567">
        <v>9.6857547760009766E-8</v>
      </c>
      <c r="P141" s="567">
        <v>0</v>
      </c>
      <c r="Q141" s="567">
        <v>0</v>
      </c>
      <c r="R141" s="567">
        <v>9.1269612312316895E-8</v>
      </c>
      <c r="S141" s="567">
        <v>9.1269612312316895E-8</v>
      </c>
      <c r="T141" s="567">
        <v>9.3132257461547852E-8</v>
      </c>
      <c r="V141" s="567">
        <f t="shared" si="17"/>
        <v>2.8656079218937801E-8</v>
      </c>
    </row>
    <row r="142" spans="1:22" x14ac:dyDescent="0.25">
      <c r="A142" s="567" t="str">
        <f t="shared" si="15"/>
        <v>it</v>
      </c>
      <c r="B142" s="567" t="str">
        <f t="shared" si="14"/>
        <v/>
      </c>
      <c r="C142" s="567" t="str">
        <f t="shared" si="16"/>
        <v/>
      </c>
      <c r="F142" s="862" t="s">
        <v>721</v>
      </c>
      <c r="G142" s="566" t="str">
        <f t="shared" si="12"/>
        <v/>
      </c>
      <c r="U142" s="567">
        <f>SUM(I142:T142)</f>
        <v>0</v>
      </c>
      <c r="V142" s="567">
        <f t="shared" si="17"/>
        <v>0</v>
      </c>
    </row>
    <row r="143" spans="1:22" x14ac:dyDescent="0.25">
      <c r="A143" s="567" t="str">
        <f t="shared" si="15"/>
        <v>KU</v>
      </c>
      <c r="B143" s="567" t="str">
        <f t="shared" si="14"/>
        <v>KY</v>
      </c>
      <c r="C143" s="567" t="str">
        <f t="shared" si="16"/>
        <v>E</v>
      </c>
      <c r="D143" s="567" t="s">
        <v>2646</v>
      </c>
      <c r="E143" s="567" t="str">
        <f t="shared" si="9"/>
        <v>303</v>
      </c>
      <c r="F143" s="864" t="s">
        <v>1613</v>
      </c>
      <c r="G143" s="566" t="str">
        <f t="shared" si="12"/>
        <v/>
      </c>
      <c r="H143" s="567">
        <v>623.49042999999995</v>
      </c>
      <c r="I143" s="567">
        <v>443.82542999999998</v>
      </c>
      <c r="J143" s="567">
        <v>6477.5337799999998</v>
      </c>
      <c r="K143" s="567">
        <v>815.37893999999994</v>
      </c>
      <c r="L143" s="567">
        <v>704.90863000000002</v>
      </c>
      <c r="M143" s="567">
        <v>528.90409999999997</v>
      </c>
      <c r="N143" s="567">
        <v>655.22711000000004</v>
      </c>
      <c r="O143" s="567">
        <v>1348.9873</v>
      </c>
      <c r="P143" s="567">
        <v>2042.2999299999999</v>
      </c>
      <c r="Q143" s="567">
        <v>0</v>
      </c>
      <c r="R143" s="567">
        <v>0</v>
      </c>
      <c r="S143" s="567">
        <v>8205.2391200000002</v>
      </c>
      <c r="T143" s="567">
        <v>989.13006999999902</v>
      </c>
      <c r="U143" s="567">
        <f t="shared" ref="U143:U206" si="18">SUM(I143:T143)</f>
        <v>22211.434409999998</v>
      </c>
      <c r="V143" s="567">
        <f t="shared" si="17"/>
        <v>1756.53268</v>
      </c>
    </row>
    <row r="144" spans="1:22" x14ac:dyDescent="0.25">
      <c r="A144" s="567" t="str">
        <f t="shared" si="15"/>
        <v>KU</v>
      </c>
      <c r="B144" s="567" t="str">
        <f t="shared" si="14"/>
        <v>KY</v>
      </c>
      <c r="C144" s="567" t="str">
        <f t="shared" si="16"/>
        <v>E</v>
      </c>
      <c r="D144" s="567" t="s">
        <v>2646</v>
      </c>
      <c r="E144" s="567" t="str">
        <f t="shared" si="9"/>
        <v>303</v>
      </c>
      <c r="F144" s="864" t="s">
        <v>1614</v>
      </c>
      <c r="G144" s="566" t="str">
        <f t="shared" si="12"/>
        <v/>
      </c>
      <c r="H144" s="567">
        <v>256.25722999999999</v>
      </c>
      <c r="I144" s="567">
        <v>53.775120000000001</v>
      </c>
      <c r="J144" s="567">
        <v>0</v>
      </c>
      <c r="K144" s="567">
        <v>0</v>
      </c>
      <c r="L144" s="567">
        <v>0</v>
      </c>
      <c r="M144" s="567">
        <v>0</v>
      </c>
      <c r="N144" s="567">
        <v>0</v>
      </c>
      <c r="O144" s="567">
        <v>0</v>
      </c>
      <c r="P144" s="567">
        <v>106.38543</v>
      </c>
      <c r="Q144" s="567">
        <v>0</v>
      </c>
      <c r="R144" s="567">
        <v>96.027000000000001</v>
      </c>
      <c r="S144" s="567">
        <v>0</v>
      </c>
      <c r="T144" s="567">
        <v>161.32535999999999</v>
      </c>
      <c r="U144" s="567">
        <f t="shared" si="18"/>
        <v>417.51290999999998</v>
      </c>
    </row>
    <row r="145" spans="1:21" x14ac:dyDescent="0.25">
      <c r="A145" s="567" t="str">
        <f t="shared" si="15"/>
        <v>KU</v>
      </c>
      <c r="B145" s="567" t="str">
        <f t="shared" si="14"/>
        <v>KY</v>
      </c>
      <c r="C145" s="567" t="str">
        <f t="shared" si="16"/>
        <v>E</v>
      </c>
      <c r="D145" s="567" t="s">
        <v>2646</v>
      </c>
      <c r="E145" s="567" t="str">
        <f t="shared" si="9"/>
        <v>310</v>
      </c>
      <c r="F145" s="864" t="s">
        <v>1615</v>
      </c>
      <c r="G145" s="566" t="str">
        <f t="shared" si="12"/>
        <v>ECR</v>
      </c>
      <c r="H145" s="567">
        <v>0</v>
      </c>
      <c r="I145" s="567">
        <v>0</v>
      </c>
      <c r="J145" s="567">
        <v>0</v>
      </c>
      <c r="K145" s="567">
        <v>0</v>
      </c>
      <c r="L145" s="567">
        <v>0</v>
      </c>
      <c r="M145" s="567">
        <v>0</v>
      </c>
      <c r="N145" s="567">
        <v>0</v>
      </c>
      <c r="O145" s="567">
        <v>0</v>
      </c>
      <c r="P145" s="567">
        <v>0</v>
      </c>
      <c r="Q145" s="567">
        <v>0</v>
      </c>
      <c r="R145" s="567">
        <v>0</v>
      </c>
      <c r="S145" s="567">
        <v>0</v>
      </c>
      <c r="T145" s="567">
        <v>0</v>
      </c>
      <c r="U145" s="567">
        <f t="shared" si="18"/>
        <v>0</v>
      </c>
    </row>
    <row r="146" spans="1:21" x14ac:dyDescent="0.25">
      <c r="A146" s="567" t="str">
        <f t="shared" si="15"/>
        <v>KU</v>
      </c>
      <c r="B146" s="567" t="str">
        <f t="shared" si="14"/>
        <v>KY</v>
      </c>
      <c r="C146" s="567" t="str">
        <f t="shared" si="16"/>
        <v>E</v>
      </c>
      <c r="D146" s="567" t="s">
        <v>2646</v>
      </c>
      <c r="E146" s="567" t="str">
        <f t="shared" si="9"/>
        <v>310</v>
      </c>
      <c r="F146" s="864" t="s">
        <v>2432</v>
      </c>
      <c r="G146" s="566" t="str">
        <f t="shared" si="12"/>
        <v>ECR</v>
      </c>
      <c r="H146" s="567">
        <v>0</v>
      </c>
      <c r="I146" s="567">
        <v>0</v>
      </c>
      <c r="J146" s="567">
        <v>0</v>
      </c>
      <c r="K146" s="567">
        <v>0</v>
      </c>
      <c r="L146" s="567">
        <v>0</v>
      </c>
      <c r="M146" s="567">
        <v>0</v>
      </c>
      <c r="N146" s="567">
        <v>0</v>
      </c>
      <c r="O146" s="567">
        <v>0</v>
      </c>
      <c r="P146" s="567">
        <v>0</v>
      </c>
      <c r="Q146" s="567">
        <v>0</v>
      </c>
      <c r="R146" s="567">
        <v>0</v>
      </c>
      <c r="S146" s="567">
        <v>0</v>
      </c>
      <c r="T146" s="567">
        <v>0</v>
      </c>
      <c r="U146" s="567">
        <f t="shared" si="18"/>
        <v>0</v>
      </c>
    </row>
    <row r="147" spans="1:21" x14ac:dyDescent="0.25">
      <c r="A147" s="567" t="str">
        <f t="shared" si="15"/>
        <v>KU</v>
      </c>
      <c r="B147" s="567" t="str">
        <f t="shared" si="14"/>
        <v>KY</v>
      </c>
      <c r="C147" s="567" t="str">
        <f t="shared" si="16"/>
        <v>E</v>
      </c>
      <c r="D147" s="567" t="s">
        <v>2646</v>
      </c>
      <c r="E147" s="567" t="str">
        <f t="shared" si="9"/>
        <v>310</v>
      </c>
      <c r="F147" s="864" t="s">
        <v>1617</v>
      </c>
      <c r="G147" s="566" t="str">
        <f t="shared" si="12"/>
        <v/>
      </c>
      <c r="H147" s="567">
        <v>0</v>
      </c>
      <c r="I147" s="567">
        <v>0</v>
      </c>
      <c r="J147" s="567">
        <v>0</v>
      </c>
      <c r="K147" s="567">
        <v>0</v>
      </c>
      <c r="L147" s="567">
        <v>0</v>
      </c>
      <c r="M147" s="567">
        <v>0</v>
      </c>
      <c r="N147" s="567">
        <v>0</v>
      </c>
      <c r="O147" s="567">
        <v>0</v>
      </c>
      <c r="P147" s="567">
        <v>0</v>
      </c>
      <c r="Q147" s="567">
        <v>0</v>
      </c>
      <c r="R147" s="567">
        <v>0</v>
      </c>
      <c r="S147" s="567">
        <v>0</v>
      </c>
      <c r="T147" s="567">
        <v>0</v>
      </c>
      <c r="U147" s="567">
        <f t="shared" si="18"/>
        <v>0</v>
      </c>
    </row>
    <row r="148" spans="1:21" x14ac:dyDescent="0.25">
      <c r="A148" s="567" t="str">
        <f t="shared" si="15"/>
        <v>KU</v>
      </c>
      <c r="B148" s="567" t="str">
        <f t="shared" si="14"/>
        <v>KY</v>
      </c>
      <c r="C148" s="567" t="str">
        <f t="shared" si="16"/>
        <v>E</v>
      </c>
      <c r="D148" s="567" t="s">
        <v>2646</v>
      </c>
      <c r="E148" s="567" t="str">
        <f t="shared" si="9"/>
        <v>311</v>
      </c>
      <c r="F148" s="864" t="s">
        <v>1620</v>
      </c>
      <c r="G148" s="566" t="str">
        <f t="shared" si="12"/>
        <v/>
      </c>
      <c r="H148" s="567">
        <v>974.47235999999998</v>
      </c>
      <c r="I148" s="567">
        <v>490.35755999999998</v>
      </c>
      <c r="J148" s="567">
        <v>360.78321</v>
      </c>
      <c r="K148" s="567">
        <v>1128.0124800000001</v>
      </c>
      <c r="L148" s="567">
        <v>417.52285999999998</v>
      </c>
      <c r="M148" s="567">
        <v>20.479599999999898</v>
      </c>
      <c r="N148" s="567">
        <v>214.52852999999999</v>
      </c>
      <c r="O148" s="567">
        <v>366.80649</v>
      </c>
      <c r="P148" s="567">
        <v>0</v>
      </c>
      <c r="Q148" s="567">
        <v>0</v>
      </c>
      <c r="R148" s="567">
        <v>0</v>
      </c>
      <c r="S148" s="567">
        <v>188.35504</v>
      </c>
      <c r="T148" s="567">
        <v>50.889690000000002</v>
      </c>
      <c r="U148" s="567">
        <f t="shared" si="18"/>
        <v>3237.7354599999999</v>
      </c>
    </row>
    <row r="149" spans="1:21" x14ac:dyDescent="0.25">
      <c r="A149" s="567" t="str">
        <f t="shared" si="15"/>
        <v>KU</v>
      </c>
      <c r="B149" s="567" t="str">
        <f t="shared" si="14"/>
        <v>KY</v>
      </c>
      <c r="C149" s="567" t="str">
        <f t="shared" si="16"/>
        <v>E</v>
      </c>
      <c r="D149" s="567" t="s">
        <v>2646</v>
      </c>
      <c r="E149" s="567" t="str">
        <f t="shared" si="9"/>
        <v>312</v>
      </c>
      <c r="F149" s="864" t="s">
        <v>1621</v>
      </c>
      <c r="G149" s="566" t="str">
        <f t="shared" si="12"/>
        <v/>
      </c>
      <c r="H149" s="567">
        <v>3549.0473199999901</v>
      </c>
      <c r="I149" s="567">
        <v>3528.4935999999998</v>
      </c>
      <c r="J149" s="567">
        <v>14152.57581</v>
      </c>
      <c r="K149" s="567">
        <v>2564.7815500000002</v>
      </c>
      <c r="L149" s="567">
        <v>1532.4853900000001</v>
      </c>
      <c r="M149" s="567">
        <v>1266.2453700000001</v>
      </c>
      <c r="N149" s="567">
        <v>1345.05818</v>
      </c>
      <c r="O149" s="567">
        <v>12387.2610799999</v>
      </c>
      <c r="P149" s="567">
        <v>6374.8057599999902</v>
      </c>
      <c r="Q149" s="567">
        <v>8.0022900000000003</v>
      </c>
      <c r="R149" s="567">
        <v>8.0022500000000001</v>
      </c>
      <c r="S149" s="567">
        <v>6739.1983899999996</v>
      </c>
      <c r="T149" s="567">
        <v>3410.5932699999998</v>
      </c>
      <c r="U149" s="567">
        <f t="shared" si="18"/>
        <v>53317.502939999882</v>
      </c>
    </row>
    <row r="150" spans="1:21" x14ac:dyDescent="0.25">
      <c r="A150" s="567" t="str">
        <f t="shared" si="15"/>
        <v>KU</v>
      </c>
      <c r="B150" s="567" t="str">
        <f t="shared" si="14"/>
        <v>KY</v>
      </c>
      <c r="C150" s="567" t="str">
        <f t="shared" si="16"/>
        <v>E</v>
      </c>
      <c r="D150" s="567" t="s">
        <v>2646</v>
      </c>
      <c r="E150" s="567" t="str">
        <f t="shared" si="9"/>
        <v>312</v>
      </c>
      <c r="F150" s="864" t="s">
        <v>1622</v>
      </c>
      <c r="G150" s="566" t="str">
        <f t="shared" si="12"/>
        <v>ECR</v>
      </c>
      <c r="H150" s="567">
        <v>123.9</v>
      </c>
      <c r="I150" s="567">
        <v>25.5</v>
      </c>
      <c r="J150" s="567">
        <v>25.5</v>
      </c>
      <c r="K150" s="567">
        <v>25.5</v>
      </c>
      <c r="L150" s="567">
        <v>25.5</v>
      </c>
      <c r="M150" s="567">
        <v>25.5</v>
      </c>
      <c r="N150" s="567">
        <v>25.5</v>
      </c>
      <c r="O150" s="567">
        <v>23537.283079999899</v>
      </c>
      <c r="P150" s="567">
        <v>40117.923320000002</v>
      </c>
      <c r="Q150" s="567">
        <v>475.32</v>
      </c>
      <c r="R150" s="567">
        <v>1470.6</v>
      </c>
      <c r="S150" s="567">
        <v>64.2</v>
      </c>
      <c r="T150" s="567">
        <v>139.4</v>
      </c>
      <c r="U150" s="567">
        <f t="shared" si="18"/>
        <v>65957.726399999898</v>
      </c>
    </row>
    <row r="151" spans="1:21" x14ac:dyDescent="0.25">
      <c r="A151" s="567" t="str">
        <f t="shared" si="15"/>
        <v>KU</v>
      </c>
      <c r="B151" s="567" t="str">
        <f t="shared" si="14"/>
        <v>KY</v>
      </c>
      <c r="C151" s="567" t="str">
        <f t="shared" si="16"/>
        <v>E</v>
      </c>
      <c r="D151" s="567" t="s">
        <v>2646</v>
      </c>
      <c r="E151" s="567" t="str">
        <f t="shared" si="9"/>
        <v>312</v>
      </c>
      <c r="F151" s="864" t="s">
        <v>1623</v>
      </c>
      <c r="G151" s="566" t="str">
        <f t="shared" si="12"/>
        <v>ECR</v>
      </c>
      <c r="H151" s="567">
        <v>0</v>
      </c>
      <c r="I151" s="567">
        <v>0</v>
      </c>
      <c r="J151" s="567">
        <v>0</v>
      </c>
      <c r="K151" s="567">
        <v>0</v>
      </c>
      <c r="L151" s="567">
        <v>0</v>
      </c>
      <c r="M151" s="567">
        <v>0</v>
      </c>
      <c r="N151" s="567">
        <v>0</v>
      </c>
      <c r="O151" s="567">
        <v>0</v>
      </c>
      <c r="P151" s="567">
        <v>2574.5241599999999</v>
      </c>
      <c r="Q151" s="567">
        <v>0</v>
      </c>
      <c r="R151" s="567">
        <v>0</v>
      </c>
      <c r="S151" s="567">
        <v>2217.7591200000002</v>
      </c>
      <c r="T151" s="567">
        <v>0</v>
      </c>
      <c r="U151" s="567">
        <f t="shared" si="18"/>
        <v>4792.2832799999996</v>
      </c>
    </row>
    <row r="152" spans="1:21" x14ac:dyDescent="0.25">
      <c r="A152" s="567" t="str">
        <f t="shared" si="15"/>
        <v>KU</v>
      </c>
      <c r="B152" s="567" t="str">
        <f t="shared" si="14"/>
        <v>KY</v>
      </c>
      <c r="C152" s="567" t="str">
        <f t="shared" si="16"/>
        <v>E</v>
      </c>
      <c r="D152" s="567" t="s">
        <v>2646</v>
      </c>
      <c r="E152" s="567" t="str">
        <f t="shared" si="9"/>
        <v>312</v>
      </c>
      <c r="F152" s="864" t="s">
        <v>1624</v>
      </c>
      <c r="G152" s="566" t="str">
        <f t="shared" si="12"/>
        <v>ECR</v>
      </c>
      <c r="H152" s="567">
        <v>38029.876029999999</v>
      </c>
      <c r="I152" s="567">
        <v>132950.27437</v>
      </c>
      <c r="J152" s="567">
        <v>4287.9252399999996</v>
      </c>
      <c r="K152" s="567">
        <v>1007.00111</v>
      </c>
      <c r="L152" s="567">
        <v>1068.0011399999901</v>
      </c>
      <c r="M152" s="567">
        <v>918.00096999999903</v>
      </c>
      <c r="N152" s="567">
        <v>17737.852129999999</v>
      </c>
      <c r="O152" s="567">
        <v>881.14996999999903</v>
      </c>
      <c r="P152" s="567">
        <v>32072.197889999999</v>
      </c>
      <c r="Q152" s="567">
        <v>0</v>
      </c>
      <c r="R152" s="567">
        <v>100</v>
      </c>
      <c r="S152" s="567">
        <v>100</v>
      </c>
      <c r="T152" s="567">
        <v>200</v>
      </c>
      <c r="U152" s="567">
        <f t="shared" si="18"/>
        <v>191322.40281999999</v>
      </c>
    </row>
    <row r="153" spans="1:21" x14ac:dyDescent="0.25">
      <c r="A153" s="567" t="str">
        <f t="shared" si="15"/>
        <v>KU</v>
      </c>
      <c r="B153" s="567" t="str">
        <f t="shared" si="14"/>
        <v>KY</v>
      </c>
      <c r="C153" s="567" t="str">
        <f t="shared" si="16"/>
        <v>E</v>
      </c>
      <c r="D153" s="567" t="s">
        <v>2646</v>
      </c>
      <c r="E153" s="567" t="str">
        <f t="shared" si="9"/>
        <v>314</v>
      </c>
      <c r="F153" s="864" t="s">
        <v>1625</v>
      </c>
      <c r="G153" s="566" t="str">
        <f t="shared" si="12"/>
        <v/>
      </c>
      <c r="H153" s="567">
        <v>653.72017000000005</v>
      </c>
      <c r="I153" s="567">
        <v>514.17961000000003</v>
      </c>
      <c r="J153" s="567">
        <v>1013.7699</v>
      </c>
      <c r="K153" s="567">
        <v>169.61469</v>
      </c>
      <c r="L153" s="567">
        <v>0</v>
      </c>
      <c r="M153" s="567">
        <v>0</v>
      </c>
      <c r="N153" s="567">
        <v>0</v>
      </c>
      <c r="O153" s="567">
        <v>2066.2533599999902</v>
      </c>
      <c r="P153" s="567">
        <v>6433.5114199999998</v>
      </c>
      <c r="Q153" s="567">
        <v>0</v>
      </c>
      <c r="R153" s="567">
        <v>0</v>
      </c>
      <c r="S153" s="567">
        <v>0</v>
      </c>
      <c r="T153" s="567">
        <v>0</v>
      </c>
      <c r="U153" s="567">
        <f t="shared" si="18"/>
        <v>10197.328979999989</v>
      </c>
    </row>
    <row r="154" spans="1:21" x14ac:dyDescent="0.25">
      <c r="A154" s="567" t="str">
        <f t="shared" si="15"/>
        <v>KU</v>
      </c>
      <c r="B154" s="567" t="str">
        <f t="shared" si="14"/>
        <v>KY</v>
      </c>
      <c r="C154" s="567" t="str">
        <f t="shared" si="16"/>
        <v>E</v>
      </c>
      <c r="D154" s="567" t="s">
        <v>2646</v>
      </c>
      <c r="E154" s="567" t="str">
        <f t="shared" si="9"/>
        <v>315</v>
      </c>
      <c r="F154" s="864" t="s">
        <v>1626</v>
      </c>
      <c r="G154" s="566" t="str">
        <f t="shared" ref="G154:G218" si="19">IF(ISTEXT(MID($F154,SEARCH("FUTURE USE",$F154),3)),"FUTURE USE",IF(ISTEXT(MID($F154,SEARCH("ECR",$F154),3)),"ECR",IF(ISTEXT(MID($F154,SEARCH("ARO",$F154),3)),"ARO",IF(ISTEXT(MID($F154,SEARCH("DSM",$F154),3)),"DSM",""))))</f>
        <v/>
      </c>
      <c r="H154" s="567">
        <v>0</v>
      </c>
      <c r="I154" s="567">
        <v>70.986620000000002</v>
      </c>
      <c r="J154" s="567">
        <v>0</v>
      </c>
      <c r="K154" s="567">
        <v>0</v>
      </c>
      <c r="L154" s="567">
        <v>0</v>
      </c>
      <c r="M154" s="567">
        <v>0</v>
      </c>
      <c r="N154" s="567">
        <v>0</v>
      </c>
      <c r="O154" s="567">
        <v>6847.5650400000004</v>
      </c>
      <c r="P154" s="567">
        <v>1037.4236900000001</v>
      </c>
      <c r="Q154" s="567">
        <v>0</v>
      </c>
      <c r="R154" s="567">
        <v>0</v>
      </c>
      <c r="S154" s="567">
        <v>0</v>
      </c>
      <c r="T154" s="567">
        <v>0</v>
      </c>
      <c r="U154" s="567">
        <f t="shared" si="18"/>
        <v>7955.9753500000006</v>
      </c>
    </row>
    <row r="155" spans="1:21" x14ac:dyDescent="0.25">
      <c r="A155" s="567" t="str">
        <f t="shared" si="15"/>
        <v>KU</v>
      </c>
      <c r="B155" s="567" t="str">
        <f t="shared" si="14"/>
        <v>KY</v>
      </c>
      <c r="C155" s="567" t="str">
        <f t="shared" si="16"/>
        <v>E</v>
      </c>
      <c r="D155" s="567" t="s">
        <v>2646</v>
      </c>
      <c r="E155" s="567" t="str">
        <f t="shared" si="9"/>
        <v>315</v>
      </c>
      <c r="F155" s="864" t="s">
        <v>1628</v>
      </c>
      <c r="G155" s="566" t="str">
        <f t="shared" si="19"/>
        <v>ECR</v>
      </c>
      <c r="H155" s="567">
        <v>0</v>
      </c>
      <c r="I155" s="567">
        <v>0</v>
      </c>
      <c r="J155" s="567">
        <v>0</v>
      </c>
      <c r="K155" s="567">
        <v>0</v>
      </c>
      <c r="L155" s="567">
        <v>0</v>
      </c>
      <c r="M155" s="567">
        <v>0</v>
      </c>
      <c r="N155" s="567">
        <v>0</v>
      </c>
      <c r="O155" s="567">
        <v>0</v>
      </c>
      <c r="P155" s="567">
        <v>0</v>
      </c>
      <c r="Q155" s="567">
        <v>0</v>
      </c>
      <c r="R155" s="567">
        <v>0</v>
      </c>
      <c r="S155" s="567">
        <v>0</v>
      </c>
      <c r="T155" s="567">
        <v>0</v>
      </c>
      <c r="U155" s="567">
        <f t="shared" si="18"/>
        <v>0</v>
      </c>
    </row>
    <row r="156" spans="1:21" x14ac:dyDescent="0.25">
      <c r="A156" s="567" t="str">
        <f t="shared" si="15"/>
        <v>KU</v>
      </c>
      <c r="B156" s="567" t="str">
        <f t="shared" si="14"/>
        <v>KY</v>
      </c>
      <c r="C156" s="567" t="str">
        <f t="shared" si="16"/>
        <v>E</v>
      </c>
      <c r="D156" s="567" t="s">
        <v>2646</v>
      </c>
      <c r="E156" s="567" t="str">
        <f t="shared" si="9"/>
        <v>316</v>
      </c>
      <c r="F156" s="864" t="s">
        <v>1630</v>
      </c>
      <c r="G156" s="566" t="str">
        <f t="shared" si="19"/>
        <v/>
      </c>
      <c r="H156" s="567">
        <v>1809.2945</v>
      </c>
      <c r="I156" s="567">
        <v>1925.32089</v>
      </c>
      <c r="J156" s="567">
        <v>64.356170000000006</v>
      </c>
      <c r="K156" s="567">
        <v>0</v>
      </c>
      <c r="L156" s="567">
        <v>408.042339999999</v>
      </c>
      <c r="M156" s="567">
        <v>0</v>
      </c>
      <c r="N156" s="567">
        <v>397.15082000000001</v>
      </c>
      <c r="O156" s="567">
        <v>424.13233000000002</v>
      </c>
      <c r="P156" s="567">
        <v>3389.7305499999902</v>
      </c>
      <c r="Q156" s="567">
        <v>0</v>
      </c>
      <c r="R156" s="567">
        <v>0</v>
      </c>
      <c r="S156" s="567">
        <v>209.91506999999999</v>
      </c>
      <c r="T156" s="567">
        <v>321.16611999999998</v>
      </c>
      <c r="U156" s="567">
        <f t="shared" si="18"/>
        <v>7139.8142899999884</v>
      </c>
    </row>
    <row r="157" spans="1:21" x14ac:dyDescent="0.25">
      <c r="A157" s="567" t="str">
        <f t="shared" si="15"/>
        <v>KU</v>
      </c>
      <c r="B157" s="567" t="str">
        <f t="shared" si="14"/>
        <v>KY</v>
      </c>
      <c r="C157" s="567" t="str">
        <f t="shared" si="16"/>
        <v>E</v>
      </c>
      <c r="D157" s="567" t="s">
        <v>2646</v>
      </c>
      <c r="E157" s="567" t="str">
        <f t="shared" si="9"/>
        <v>317</v>
      </c>
      <c r="F157" s="864" t="s">
        <v>1631</v>
      </c>
      <c r="G157" s="566" t="str">
        <f t="shared" si="19"/>
        <v>ARO</v>
      </c>
      <c r="H157" s="567">
        <v>0</v>
      </c>
      <c r="I157" s="567">
        <v>0</v>
      </c>
      <c r="J157" s="567">
        <v>0</v>
      </c>
      <c r="K157" s="567">
        <v>0</v>
      </c>
      <c r="L157" s="567">
        <v>0</v>
      </c>
      <c r="M157" s="567">
        <v>0</v>
      </c>
      <c r="N157" s="567">
        <v>0</v>
      </c>
      <c r="O157" s="567">
        <v>0</v>
      </c>
      <c r="P157" s="567">
        <v>0</v>
      </c>
      <c r="Q157" s="567">
        <v>0</v>
      </c>
      <c r="R157" s="567">
        <v>0</v>
      </c>
      <c r="S157" s="567">
        <v>0</v>
      </c>
      <c r="T157" s="567">
        <v>0</v>
      </c>
      <c r="U157" s="567">
        <f t="shared" si="18"/>
        <v>0</v>
      </c>
    </row>
    <row r="158" spans="1:21" x14ac:dyDescent="0.25">
      <c r="A158" s="567" t="str">
        <f t="shared" si="15"/>
        <v>KU</v>
      </c>
      <c r="B158" s="567" t="str">
        <f t="shared" si="14"/>
        <v>KY</v>
      </c>
      <c r="C158" s="567" t="str">
        <f t="shared" si="16"/>
        <v>E</v>
      </c>
      <c r="D158" s="567" t="s">
        <v>2646</v>
      </c>
      <c r="E158" s="567" t="str">
        <f t="shared" ref="E158:E239" si="20">MID($F158,8,3)</f>
        <v>317</v>
      </c>
      <c r="F158" s="864" t="s">
        <v>2427</v>
      </c>
      <c r="G158" s="566" t="str">
        <f t="shared" si="19"/>
        <v>ARO</v>
      </c>
      <c r="H158" s="567">
        <v>0</v>
      </c>
      <c r="I158" s="567">
        <v>0</v>
      </c>
      <c r="J158" s="567">
        <v>0</v>
      </c>
      <c r="K158" s="567">
        <v>0</v>
      </c>
      <c r="L158" s="567">
        <v>0</v>
      </c>
      <c r="M158" s="567">
        <v>0</v>
      </c>
      <c r="N158" s="567">
        <v>0</v>
      </c>
      <c r="O158" s="567">
        <v>0</v>
      </c>
      <c r="P158" s="567">
        <v>0</v>
      </c>
      <c r="Q158" s="567">
        <v>0</v>
      </c>
      <c r="R158" s="567">
        <v>0</v>
      </c>
      <c r="S158" s="567">
        <v>0</v>
      </c>
      <c r="T158" s="567">
        <v>0</v>
      </c>
      <c r="U158" s="567">
        <f t="shared" si="18"/>
        <v>0</v>
      </c>
    </row>
    <row r="159" spans="1:21" x14ac:dyDescent="0.25">
      <c r="A159" s="567" t="str">
        <f t="shared" si="15"/>
        <v>KU</v>
      </c>
      <c r="B159" s="567" t="str">
        <f t="shared" si="14"/>
        <v>KY</v>
      </c>
      <c r="C159" s="567" t="str">
        <f t="shared" si="16"/>
        <v>E</v>
      </c>
      <c r="D159" s="567" t="s">
        <v>2646</v>
      </c>
      <c r="E159" s="567" t="str">
        <f t="shared" si="20"/>
        <v>331</v>
      </c>
      <c r="F159" s="864" t="s">
        <v>1633</v>
      </c>
      <c r="G159" s="566" t="str">
        <f t="shared" si="19"/>
        <v/>
      </c>
      <c r="H159" s="567">
        <v>0</v>
      </c>
      <c r="I159" s="567">
        <v>0</v>
      </c>
      <c r="J159" s="567">
        <v>93.505330000000001</v>
      </c>
      <c r="K159" s="567">
        <v>0</v>
      </c>
      <c r="L159" s="567">
        <v>0</v>
      </c>
      <c r="M159" s="567">
        <v>0</v>
      </c>
      <c r="N159" s="567">
        <v>0</v>
      </c>
      <c r="O159" s="567">
        <v>0</v>
      </c>
      <c r="P159" s="567">
        <v>0</v>
      </c>
      <c r="Q159" s="567">
        <v>0</v>
      </c>
      <c r="R159" s="567">
        <v>0</v>
      </c>
      <c r="S159" s="567">
        <v>0</v>
      </c>
      <c r="T159" s="567">
        <v>0</v>
      </c>
      <c r="U159" s="567">
        <f t="shared" si="18"/>
        <v>93.505330000000001</v>
      </c>
    </row>
    <row r="160" spans="1:21" x14ac:dyDescent="0.25">
      <c r="A160" s="567" t="str">
        <f t="shared" si="15"/>
        <v>KU</v>
      </c>
      <c r="B160" s="567" t="str">
        <f t="shared" si="14"/>
        <v>KY</v>
      </c>
      <c r="C160" s="567" t="str">
        <f t="shared" si="16"/>
        <v>E</v>
      </c>
      <c r="D160" s="567" t="s">
        <v>2646</v>
      </c>
      <c r="E160" s="567" t="str">
        <f t="shared" si="20"/>
        <v>334</v>
      </c>
      <c r="F160" s="864" t="s">
        <v>1636</v>
      </c>
      <c r="G160" s="566" t="str">
        <f t="shared" si="19"/>
        <v/>
      </c>
      <c r="H160" s="567">
        <v>0</v>
      </c>
      <c r="I160" s="567">
        <v>0</v>
      </c>
      <c r="J160" s="567">
        <v>0</v>
      </c>
      <c r="K160" s="567">
        <v>0</v>
      </c>
      <c r="L160" s="567">
        <v>0</v>
      </c>
      <c r="M160" s="567">
        <v>0</v>
      </c>
      <c r="N160" s="567">
        <v>0</v>
      </c>
      <c r="O160" s="567">
        <v>0</v>
      </c>
      <c r="P160" s="567">
        <v>0</v>
      </c>
      <c r="Q160" s="567">
        <v>0</v>
      </c>
      <c r="R160" s="567">
        <v>0</v>
      </c>
      <c r="S160" s="567">
        <v>0</v>
      </c>
      <c r="T160" s="567">
        <v>0</v>
      </c>
      <c r="U160" s="567">
        <f t="shared" si="18"/>
        <v>0</v>
      </c>
    </row>
    <row r="161" spans="1:21" x14ac:dyDescent="0.25">
      <c r="A161" s="567" t="str">
        <f t="shared" si="15"/>
        <v>KU</v>
      </c>
      <c r="B161" s="567" t="str">
        <f t="shared" si="14"/>
        <v>KY</v>
      </c>
      <c r="C161" s="567" t="str">
        <f t="shared" si="16"/>
        <v>E</v>
      </c>
      <c r="D161" s="567" t="s">
        <v>2646</v>
      </c>
      <c r="E161" s="567" t="str">
        <f t="shared" si="20"/>
        <v>340</v>
      </c>
      <c r="F161" s="864" t="s">
        <v>1641</v>
      </c>
      <c r="G161" s="566" t="str">
        <f t="shared" si="19"/>
        <v/>
      </c>
      <c r="H161" s="567">
        <v>0</v>
      </c>
      <c r="I161" s="567">
        <v>0</v>
      </c>
      <c r="J161" s="567">
        <v>0</v>
      </c>
      <c r="K161" s="567">
        <v>0</v>
      </c>
      <c r="L161" s="567">
        <v>0</v>
      </c>
      <c r="M161" s="567">
        <v>0</v>
      </c>
      <c r="N161" s="567">
        <v>0</v>
      </c>
      <c r="O161" s="567">
        <v>0</v>
      </c>
      <c r="P161" s="567">
        <v>0</v>
      </c>
      <c r="Q161" s="567">
        <v>0</v>
      </c>
      <c r="R161" s="567">
        <v>0</v>
      </c>
      <c r="S161" s="567">
        <v>0</v>
      </c>
      <c r="T161" s="567">
        <v>0</v>
      </c>
      <c r="U161" s="567">
        <f t="shared" si="18"/>
        <v>0</v>
      </c>
    </row>
    <row r="162" spans="1:21" x14ac:dyDescent="0.25">
      <c r="A162" s="567" t="str">
        <f t="shared" si="15"/>
        <v>KU</v>
      </c>
      <c r="B162" s="567" t="str">
        <f t="shared" si="14"/>
        <v>KY</v>
      </c>
      <c r="C162" s="567" t="str">
        <f t="shared" si="16"/>
        <v>E</v>
      </c>
      <c r="D162" s="567" t="s">
        <v>2646</v>
      </c>
      <c r="E162" s="567" t="str">
        <f t="shared" si="20"/>
        <v>340</v>
      </c>
      <c r="F162" s="864" t="s">
        <v>1642</v>
      </c>
      <c r="G162" s="566" t="str">
        <f t="shared" si="19"/>
        <v/>
      </c>
      <c r="H162" s="567">
        <v>0</v>
      </c>
      <c r="I162" s="567">
        <v>0</v>
      </c>
      <c r="J162" s="567">
        <v>0</v>
      </c>
      <c r="K162" s="567">
        <v>0</v>
      </c>
      <c r="L162" s="567">
        <v>0</v>
      </c>
      <c r="M162" s="567">
        <v>0</v>
      </c>
      <c r="N162" s="567">
        <v>0</v>
      </c>
      <c r="O162" s="567">
        <v>0</v>
      </c>
      <c r="P162" s="567">
        <v>0</v>
      </c>
      <c r="Q162" s="567">
        <v>0</v>
      </c>
      <c r="R162" s="567">
        <v>0</v>
      </c>
      <c r="S162" s="567">
        <v>0</v>
      </c>
      <c r="T162" s="567">
        <v>0</v>
      </c>
      <c r="U162" s="567">
        <f t="shared" si="18"/>
        <v>0</v>
      </c>
    </row>
    <row r="163" spans="1:21" x14ac:dyDescent="0.25">
      <c r="A163" s="567" t="str">
        <f t="shared" si="15"/>
        <v>KU</v>
      </c>
      <c r="B163" s="567" t="str">
        <f t="shared" si="14"/>
        <v>KY</v>
      </c>
      <c r="C163" s="567" t="str">
        <f t="shared" si="16"/>
        <v>E</v>
      </c>
      <c r="D163" s="567" t="s">
        <v>2646</v>
      </c>
      <c r="E163" s="567" t="str">
        <f t="shared" si="20"/>
        <v>341</v>
      </c>
      <c r="F163" s="864" t="s">
        <v>1643</v>
      </c>
      <c r="G163" s="566" t="str">
        <f t="shared" si="19"/>
        <v/>
      </c>
      <c r="H163" s="567">
        <v>0</v>
      </c>
      <c r="I163" s="567">
        <v>0</v>
      </c>
      <c r="J163" s="567">
        <v>0</v>
      </c>
      <c r="K163" s="567">
        <v>0</v>
      </c>
      <c r="L163" s="567">
        <v>0</v>
      </c>
      <c r="M163" s="567">
        <v>0</v>
      </c>
      <c r="N163" s="567">
        <v>0</v>
      </c>
      <c r="O163" s="567">
        <v>0</v>
      </c>
      <c r="P163" s="567">
        <v>0</v>
      </c>
      <c r="Q163" s="567">
        <v>0</v>
      </c>
      <c r="R163" s="567">
        <v>0</v>
      </c>
      <c r="S163" s="567">
        <v>0</v>
      </c>
      <c r="T163" s="567">
        <v>0</v>
      </c>
      <c r="U163" s="567">
        <f t="shared" si="18"/>
        <v>0</v>
      </c>
    </row>
    <row r="164" spans="1:21" x14ac:dyDescent="0.25">
      <c r="A164" s="567" t="str">
        <f t="shared" si="15"/>
        <v>KU</v>
      </c>
      <c r="B164" s="567" t="str">
        <f t="shared" si="14"/>
        <v>KY</v>
      </c>
      <c r="C164" s="567" t="str">
        <f t="shared" si="16"/>
        <v>E</v>
      </c>
      <c r="D164" s="567" t="s">
        <v>2646</v>
      </c>
      <c r="E164" s="567" t="str">
        <f t="shared" si="20"/>
        <v>341</v>
      </c>
      <c r="F164" s="864" t="s">
        <v>1644</v>
      </c>
      <c r="G164" s="566" t="str">
        <f t="shared" si="19"/>
        <v/>
      </c>
      <c r="H164" s="567">
        <v>0</v>
      </c>
      <c r="I164" s="567">
        <v>0</v>
      </c>
      <c r="J164" s="567">
        <v>0</v>
      </c>
      <c r="K164" s="567">
        <v>0</v>
      </c>
      <c r="L164" s="567">
        <v>0</v>
      </c>
      <c r="M164" s="567">
        <v>0</v>
      </c>
      <c r="N164" s="567">
        <v>0</v>
      </c>
      <c r="O164" s="567">
        <v>0</v>
      </c>
      <c r="P164" s="567">
        <v>0</v>
      </c>
      <c r="Q164" s="567">
        <v>0</v>
      </c>
      <c r="R164" s="567">
        <v>0</v>
      </c>
      <c r="S164" s="567">
        <v>0</v>
      </c>
      <c r="T164" s="567">
        <v>0</v>
      </c>
      <c r="U164" s="567">
        <f t="shared" si="18"/>
        <v>0</v>
      </c>
    </row>
    <row r="165" spans="1:21" x14ac:dyDescent="0.25">
      <c r="A165" s="567" t="str">
        <f t="shared" si="15"/>
        <v>KU</v>
      </c>
      <c r="B165" s="567" t="str">
        <f t="shared" si="14"/>
        <v>KY</v>
      </c>
      <c r="C165" s="567" t="str">
        <f t="shared" si="16"/>
        <v>E</v>
      </c>
      <c r="D165" s="567" t="s">
        <v>2646</v>
      </c>
      <c r="E165" s="567" t="str">
        <f t="shared" si="20"/>
        <v>341</v>
      </c>
      <c r="F165" s="864" t="s">
        <v>1645</v>
      </c>
      <c r="G165" s="566" t="str">
        <f t="shared" si="19"/>
        <v/>
      </c>
      <c r="H165" s="567">
        <v>0</v>
      </c>
      <c r="I165" s="567">
        <v>0</v>
      </c>
      <c r="J165" s="567">
        <v>0</v>
      </c>
      <c r="K165" s="567">
        <v>0</v>
      </c>
      <c r="L165" s="567">
        <v>0</v>
      </c>
      <c r="M165" s="567">
        <v>0</v>
      </c>
      <c r="N165" s="567">
        <v>0</v>
      </c>
      <c r="O165" s="567">
        <v>0</v>
      </c>
      <c r="P165" s="567">
        <v>0</v>
      </c>
      <c r="Q165" s="567">
        <v>0</v>
      </c>
      <c r="R165" s="567">
        <v>0</v>
      </c>
      <c r="S165" s="567">
        <v>0</v>
      </c>
      <c r="T165" s="567">
        <v>0</v>
      </c>
      <c r="U165" s="567">
        <f t="shared" si="18"/>
        <v>0</v>
      </c>
    </row>
    <row r="166" spans="1:21" x14ac:dyDescent="0.25">
      <c r="A166" s="567" t="str">
        <f t="shared" si="15"/>
        <v>KU</v>
      </c>
      <c r="B166" s="567" t="str">
        <f t="shared" si="14"/>
        <v>KY</v>
      </c>
      <c r="C166" s="567" t="str">
        <f t="shared" si="16"/>
        <v>E</v>
      </c>
      <c r="D166" s="567" t="s">
        <v>2646</v>
      </c>
      <c r="E166" s="567" t="str">
        <f t="shared" si="20"/>
        <v>342</v>
      </c>
      <c r="F166" s="864" t="s">
        <v>1646</v>
      </c>
      <c r="G166" s="566" t="str">
        <f t="shared" si="19"/>
        <v/>
      </c>
      <c r="H166" s="567">
        <v>0</v>
      </c>
      <c r="I166" s="567">
        <v>0</v>
      </c>
      <c r="J166" s="567">
        <v>0</v>
      </c>
      <c r="K166" s="567">
        <v>0</v>
      </c>
      <c r="L166" s="567">
        <v>0</v>
      </c>
      <c r="M166" s="567">
        <v>0</v>
      </c>
      <c r="N166" s="567">
        <v>0</v>
      </c>
      <c r="O166" s="567">
        <v>0</v>
      </c>
      <c r="P166" s="567">
        <v>0</v>
      </c>
      <c r="Q166" s="567">
        <v>0</v>
      </c>
      <c r="R166" s="567">
        <v>0</v>
      </c>
      <c r="S166" s="567">
        <v>0</v>
      </c>
      <c r="T166" s="567">
        <v>0</v>
      </c>
      <c r="U166" s="567">
        <f t="shared" si="18"/>
        <v>0</v>
      </c>
    </row>
    <row r="167" spans="1:21" x14ac:dyDescent="0.25">
      <c r="A167" s="567" t="str">
        <f t="shared" si="15"/>
        <v>KU</v>
      </c>
      <c r="B167" s="567" t="str">
        <f t="shared" si="14"/>
        <v>KY</v>
      </c>
      <c r="C167" s="567" t="str">
        <f t="shared" si="16"/>
        <v>E</v>
      </c>
      <c r="D167" s="567" t="s">
        <v>2646</v>
      </c>
      <c r="E167" s="567" t="str">
        <f t="shared" si="20"/>
        <v>342</v>
      </c>
      <c r="F167" s="864" t="s">
        <v>1648</v>
      </c>
      <c r="G167" s="566" t="str">
        <f t="shared" si="19"/>
        <v/>
      </c>
      <c r="H167" s="567">
        <v>0</v>
      </c>
      <c r="I167" s="567">
        <v>0</v>
      </c>
      <c r="J167" s="567">
        <v>0</v>
      </c>
      <c r="K167" s="567">
        <v>0</v>
      </c>
      <c r="L167" s="567">
        <v>0</v>
      </c>
      <c r="M167" s="567">
        <v>18473.639149999999</v>
      </c>
      <c r="N167" s="567">
        <v>1474.0144499999999</v>
      </c>
      <c r="O167" s="567">
        <v>0</v>
      </c>
      <c r="P167" s="567">
        <v>0</v>
      </c>
      <c r="Q167" s="567">
        <v>0</v>
      </c>
      <c r="R167" s="567">
        <v>0</v>
      </c>
      <c r="S167" s="567">
        <v>0</v>
      </c>
      <c r="T167" s="567">
        <v>0</v>
      </c>
      <c r="U167" s="567">
        <f t="shared" si="18"/>
        <v>19947.653599999998</v>
      </c>
    </row>
    <row r="168" spans="1:21" x14ac:dyDescent="0.25">
      <c r="A168" s="567" t="str">
        <f t="shared" si="15"/>
        <v>KU</v>
      </c>
      <c r="B168" s="567" t="str">
        <f t="shared" si="14"/>
        <v>KY</v>
      </c>
      <c r="C168" s="567" t="str">
        <f t="shared" si="16"/>
        <v>E</v>
      </c>
      <c r="D168" s="567" t="s">
        <v>2646</v>
      </c>
      <c r="E168" s="567" t="str">
        <f t="shared" si="20"/>
        <v>343</v>
      </c>
      <c r="F168" s="864" t="s">
        <v>1649</v>
      </c>
      <c r="G168" s="566" t="str">
        <f t="shared" si="19"/>
        <v/>
      </c>
      <c r="H168" s="567">
        <v>111.38673</v>
      </c>
      <c r="I168" s="567">
        <v>12737.056989999999</v>
      </c>
      <c r="J168" s="567">
        <v>0</v>
      </c>
      <c r="K168" s="567">
        <v>0</v>
      </c>
      <c r="L168" s="567">
        <v>0</v>
      </c>
      <c r="M168" s="567">
        <v>521.15148999999997</v>
      </c>
      <c r="N168" s="567">
        <v>186.07829999999899</v>
      </c>
      <c r="O168" s="567">
        <v>248.57588999999999</v>
      </c>
      <c r="P168" s="567">
        <v>935.26811999999995</v>
      </c>
      <c r="Q168" s="567">
        <v>0</v>
      </c>
      <c r="R168" s="567">
        <v>0</v>
      </c>
      <c r="S168" s="567">
        <v>0</v>
      </c>
      <c r="T168" s="567">
        <v>0</v>
      </c>
      <c r="U168" s="567">
        <f t="shared" si="18"/>
        <v>14628.130789999999</v>
      </c>
    </row>
    <row r="169" spans="1:21" x14ac:dyDescent="0.25">
      <c r="A169" s="567" t="str">
        <f t="shared" si="15"/>
        <v>KU</v>
      </c>
      <c r="B169" s="567" t="str">
        <f t="shared" si="14"/>
        <v>KY</v>
      </c>
      <c r="C169" s="567" t="str">
        <f t="shared" si="16"/>
        <v>E</v>
      </c>
      <c r="D169" s="567" t="s">
        <v>2646</v>
      </c>
      <c r="E169" s="567" t="str">
        <f t="shared" si="20"/>
        <v>343</v>
      </c>
      <c r="F169" s="864" t="s">
        <v>1650</v>
      </c>
      <c r="G169" s="566" t="str">
        <f t="shared" si="19"/>
        <v/>
      </c>
      <c r="H169" s="567">
        <v>0</v>
      </c>
      <c r="I169" s="567">
        <v>0</v>
      </c>
      <c r="J169" s="567">
        <v>98.775800000000004</v>
      </c>
      <c r="K169" s="567">
        <v>0</v>
      </c>
      <c r="L169" s="567">
        <v>0</v>
      </c>
      <c r="M169" s="567">
        <v>98.775800000000004</v>
      </c>
      <c r="N169" s="567">
        <v>68.479230000000001</v>
      </c>
      <c r="O169" s="567">
        <v>0</v>
      </c>
      <c r="P169" s="567">
        <v>98.775800000000004</v>
      </c>
      <c r="Q169" s="567">
        <v>0</v>
      </c>
      <c r="R169" s="567">
        <v>0</v>
      </c>
      <c r="S169" s="567">
        <v>99.004800000000003</v>
      </c>
      <c r="T169" s="567">
        <v>17026.565340000001</v>
      </c>
      <c r="U169" s="567">
        <f t="shared" si="18"/>
        <v>17490.376770000003</v>
      </c>
    </row>
    <row r="170" spans="1:21" x14ac:dyDescent="0.25">
      <c r="A170" s="567" t="str">
        <f t="shared" si="15"/>
        <v>KU</v>
      </c>
      <c r="B170" s="567" t="str">
        <f t="shared" si="14"/>
        <v>KY</v>
      </c>
      <c r="C170" s="567" t="str">
        <f t="shared" si="16"/>
        <v>E</v>
      </c>
      <c r="D170" s="567" t="s">
        <v>2646</v>
      </c>
      <c r="E170" s="567" t="str">
        <f t="shared" si="20"/>
        <v>344</v>
      </c>
      <c r="F170" s="864" t="s">
        <v>1651</v>
      </c>
      <c r="G170" s="566" t="str">
        <f t="shared" si="19"/>
        <v/>
      </c>
      <c r="H170" s="567">
        <v>0</v>
      </c>
      <c r="I170" s="567">
        <v>0</v>
      </c>
      <c r="J170" s="567">
        <v>0</v>
      </c>
      <c r="K170" s="567">
        <v>0</v>
      </c>
      <c r="L170" s="567">
        <v>0</v>
      </c>
      <c r="M170" s="567">
        <v>0</v>
      </c>
      <c r="N170" s="567">
        <v>0</v>
      </c>
      <c r="O170" s="567">
        <v>0</v>
      </c>
      <c r="P170" s="567">
        <v>0</v>
      </c>
      <c r="Q170" s="567">
        <v>0</v>
      </c>
      <c r="R170" s="567">
        <v>0</v>
      </c>
      <c r="S170" s="567">
        <v>0</v>
      </c>
      <c r="T170" s="567">
        <v>795.37266</v>
      </c>
      <c r="U170" s="567">
        <f t="shared" si="18"/>
        <v>795.37266</v>
      </c>
    </row>
    <row r="171" spans="1:21" x14ac:dyDescent="0.25">
      <c r="A171" s="567" t="str">
        <f t="shared" si="15"/>
        <v>KU</v>
      </c>
      <c r="B171" s="567" t="str">
        <f t="shared" si="14"/>
        <v>KY</v>
      </c>
      <c r="C171" s="567" t="str">
        <f t="shared" si="16"/>
        <v>E</v>
      </c>
      <c r="D171" s="567" t="s">
        <v>2646</v>
      </c>
      <c r="E171" s="567" t="str">
        <f t="shared" si="20"/>
        <v>344</v>
      </c>
      <c r="F171" s="864" t="s">
        <v>1652</v>
      </c>
      <c r="G171" s="566" t="str">
        <f t="shared" si="19"/>
        <v/>
      </c>
      <c r="H171" s="567">
        <v>0</v>
      </c>
      <c r="I171" s="567">
        <v>0</v>
      </c>
      <c r="J171" s="567">
        <v>0</v>
      </c>
      <c r="K171" s="567">
        <v>0</v>
      </c>
      <c r="L171" s="567">
        <v>0</v>
      </c>
      <c r="M171" s="567">
        <v>0</v>
      </c>
      <c r="N171" s="567">
        <v>0</v>
      </c>
      <c r="O171" s="567">
        <v>0</v>
      </c>
      <c r="P171" s="567">
        <v>0</v>
      </c>
      <c r="Q171" s="567">
        <v>0</v>
      </c>
      <c r="R171" s="567">
        <v>0</v>
      </c>
      <c r="S171" s="567">
        <v>0</v>
      </c>
      <c r="T171" s="567">
        <v>0</v>
      </c>
      <c r="U171" s="567">
        <f t="shared" si="18"/>
        <v>0</v>
      </c>
    </row>
    <row r="172" spans="1:21" x14ac:dyDescent="0.25">
      <c r="A172" s="567" t="str">
        <f t="shared" si="15"/>
        <v>KU</v>
      </c>
      <c r="B172" s="567" t="str">
        <f t="shared" si="14"/>
        <v>KY</v>
      </c>
      <c r="C172" s="567" t="str">
        <f t="shared" si="16"/>
        <v>E</v>
      </c>
      <c r="D172" s="567" t="s">
        <v>2646</v>
      </c>
      <c r="E172" s="567" t="str">
        <f t="shared" si="20"/>
        <v>344</v>
      </c>
      <c r="F172" s="864" t="s">
        <v>1653</v>
      </c>
      <c r="G172" s="566" t="str">
        <f t="shared" si="19"/>
        <v/>
      </c>
      <c r="H172" s="567">
        <v>0</v>
      </c>
      <c r="I172" s="567">
        <v>0</v>
      </c>
      <c r="J172" s="567">
        <v>0</v>
      </c>
      <c r="K172" s="567">
        <v>0</v>
      </c>
      <c r="L172" s="567">
        <v>0</v>
      </c>
      <c r="M172" s="567">
        <v>0</v>
      </c>
      <c r="N172" s="567">
        <v>0</v>
      </c>
      <c r="O172" s="567">
        <v>0</v>
      </c>
      <c r="P172" s="567">
        <v>0</v>
      </c>
      <c r="Q172" s="567">
        <v>0</v>
      </c>
      <c r="R172" s="567">
        <v>0</v>
      </c>
      <c r="S172" s="567">
        <v>0</v>
      </c>
      <c r="T172" s="567">
        <v>0</v>
      </c>
      <c r="U172" s="567">
        <f t="shared" si="18"/>
        <v>0</v>
      </c>
    </row>
    <row r="173" spans="1:21" x14ac:dyDescent="0.25">
      <c r="A173" s="567" t="str">
        <f t="shared" si="15"/>
        <v>KU</v>
      </c>
      <c r="B173" s="567" t="str">
        <f t="shared" si="14"/>
        <v>KY</v>
      </c>
      <c r="C173" s="567" t="str">
        <f t="shared" si="16"/>
        <v>E</v>
      </c>
      <c r="D173" s="567" t="s">
        <v>2646</v>
      </c>
      <c r="E173" s="567" t="str">
        <f t="shared" si="20"/>
        <v>345</v>
      </c>
      <c r="F173" s="864" t="s">
        <v>1654</v>
      </c>
      <c r="G173" s="566" t="str">
        <f t="shared" si="19"/>
        <v/>
      </c>
      <c r="H173" s="567">
        <v>47.423969999999997</v>
      </c>
      <c r="I173" s="567">
        <v>0</v>
      </c>
      <c r="J173" s="567">
        <v>0</v>
      </c>
      <c r="K173" s="567">
        <v>0</v>
      </c>
      <c r="L173" s="567">
        <v>0</v>
      </c>
      <c r="M173" s="567">
        <v>0</v>
      </c>
      <c r="N173" s="567">
        <v>0</v>
      </c>
      <c r="O173" s="567">
        <v>0</v>
      </c>
      <c r="P173" s="567">
        <v>0</v>
      </c>
      <c r="Q173" s="567">
        <v>0</v>
      </c>
      <c r="R173" s="567">
        <v>0</v>
      </c>
      <c r="S173" s="567">
        <v>0</v>
      </c>
      <c r="T173" s="567">
        <v>283.94551999999999</v>
      </c>
      <c r="U173" s="567">
        <f t="shared" si="18"/>
        <v>283.94551999999999</v>
      </c>
    </row>
    <row r="174" spans="1:21" x14ac:dyDescent="0.25">
      <c r="A174" s="567" t="str">
        <f t="shared" si="15"/>
        <v>KU</v>
      </c>
      <c r="B174" s="567" t="str">
        <f t="shared" si="14"/>
        <v>KY</v>
      </c>
      <c r="C174" s="567" t="str">
        <f t="shared" si="16"/>
        <v>E</v>
      </c>
      <c r="D174" s="567" t="s">
        <v>2646</v>
      </c>
      <c r="E174" s="567" t="str">
        <f t="shared" si="20"/>
        <v>345</v>
      </c>
      <c r="F174" s="864" t="s">
        <v>1655</v>
      </c>
      <c r="G174" s="566" t="str">
        <f t="shared" si="19"/>
        <v/>
      </c>
      <c r="H174" s="567">
        <v>0</v>
      </c>
      <c r="I174" s="567">
        <v>0</v>
      </c>
      <c r="J174" s="567">
        <v>0</v>
      </c>
      <c r="K174" s="567">
        <v>0</v>
      </c>
      <c r="L174" s="567">
        <v>0</v>
      </c>
      <c r="M174" s="567">
        <v>0</v>
      </c>
      <c r="N174" s="567">
        <v>0</v>
      </c>
      <c r="O174" s="567">
        <v>0</v>
      </c>
      <c r="P174" s="567">
        <v>0</v>
      </c>
      <c r="Q174" s="567">
        <v>0</v>
      </c>
      <c r="R174" s="567">
        <v>0</v>
      </c>
      <c r="S174" s="567">
        <v>0</v>
      </c>
      <c r="T174" s="567">
        <v>0</v>
      </c>
      <c r="U174" s="567">
        <f t="shared" si="18"/>
        <v>0</v>
      </c>
    </row>
    <row r="175" spans="1:21" x14ac:dyDescent="0.25">
      <c r="A175" s="567" t="str">
        <f t="shared" si="15"/>
        <v>KU</v>
      </c>
      <c r="B175" s="567" t="str">
        <f t="shared" si="14"/>
        <v>KY</v>
      </c>
      <c r="C175" s="567" t="str">
        <f t="shared" si="16"/>
        <v>E</v>
      </c>
      <c r="D175" s="567" t="s">
        <v>2646</v>
      </c>
      <c r="E175" s="567" t="str">
        <f t="shared" si="20"/>
        <v>345</v>
      </c>
      <c r="F175" s="864" t="s">
        <v>1656</v>
      </c>
      <c r="G175" s="566" t="str">
        <f t="shared" si="19"/>
        <v/>
      </c>
      <c r="H175" s="567">
        <v>0</v>
      </c>
      <c r="I175" s="567">
        <v>0</v>
      </c>
      <c r="J175" s="567">
        <v>0</v>
      </c>
      <c r="K175" s="567">
        <v>0</v>
      </c>
      <c r="L175" s="567">
        <v>0</v>
      </c>
      <c r="M175" s="567">
        <v>0</v>
      </c>
      <c r="N175" s="567">
        <v>0</v>
      </c>
      <c r="O175" s="567">
        <v>0</v>
      </c>
      <c r="P175" s="567">
        <v>1029.8818900000001</v>
      </c>
      <c r="Q175" s="567">
        <v>40.971589999999999</v>
      </c>
      <c r="R175" s="567">
        <v>40.971510000000002</v>
      </c>
      <c r="S175" s="567">
        <v>40.971510000000002</v>
      </c>
      <c r="T175" s="567">
        <v>40.971510000000002</v>
      </c>
      <c r="U175" s="567">
        <f t="shared" si="18"/>
        <v>1193.7680100000005</v>
      </c>
    </row>
    <row r="176" spans="1:21" x14ac:dyDescent="0.25">
      <c r="A176" s="567" t="str">
        <f t="shared" si="15"/>
        <v>KU</v>
      </c>
      <c r="B176" s="567" t="str">
        <f t="shared" si="14"/>
        <v>KY</v>
      </c>
      <c r="C176" s="567" t="str">
        <f t="shared" si="16"/>
        <v>E</v>
      </c>
      <c r="D176" s="567" t="s">
        <v>2646</v>
      </c>
      <c r="E176" s="567" t="str">
        <f t="shared" si="20"/>
        <v>346</v>
      </c>
      <c r="F176" s="864" t="s">
        <v>1657</v>
      </c>
      <c r="G176" s="566" t="str">
        <f t="shared" si="19"/>
        <v/>
      </c>
      <c r="H176" s="567">
        <v>426.081109999999</v>
      </c>
      <c r="I176" s="567">
        <v>0</v>
      </c>
      <c r="J176" s="567">
        <v>11.182589999999999</v>
      </c>
      <c r="K176" s="567">
        <v>0</v>
      </c>
      <c r="L176" s="567">
        <v>0</v>
      </c>
      <c r="M176" s="567">
        <v>2873.9707699999999</v>
      </c>
      <c r="N176" s="567">
        <v>0</v>
      </c>
      <c r="O176" s="567">
        <v>0</v>
      </c>
      <c r="P176" s="567">
        <v>0</v>
      </c>
      <c r="Q176" s="567">
        <v>0</v>
      </c>
      <c r="R176" s="567">
        <v>541.50788999999997</v>
      </c>
      <c r="S176" s="567">
        <v>0</v>
      </c>
      <c r="T176" s="567">
        <v>508.18790000000001</v>
      </c>
      <c r="U176" s="567">
        <f t="shared" si="18"/>
        <v>3934.8491499999996</v>
      </c>
    </row>
    <row r="177" spans="1:21" x14ac:dyDescent="0.25">
      <c r="A177" s="567" t="str">
        <f t="shared" si="15"/>
        <v>KU</v>
      </c>
      <c r="B177" s="567" t="str">
        <f t="shared" si="14"/>
        <v>KY</v>
      </c>
      <c r="C177" s="567" t="str">
        <f t="shared" si="16"/>
        <v>E</v>
      </c>
      <c r="D177" s="567" t="s">
        <v>2646</v>
      </c>
      <c r="E177" s="567" t="str">
        <f t="shared" si="20"/>
        <v>346</v>
      </c>
      <c r="F177" s="864" t="s">
        <v>1658</v>
      </c>
      <c r="G177" s="566" t="str">
        <f t="shared" si="19"/>
        <v/>
      </c>
      <c r="H177" s="567">
        <v>0</v>
      </c>
      <c r="I177" s="567">
        <v>0</v>
      </c>
      <c r="J177" s="567">
        <v>267.40298000000001</v>
      </c>
      <c r="K177" s="567">
        <v>0</v>
      </c>
      <c r="L177" s="567">
        <v>0</v>
      </c>
      <c r="M177" s="567">
        <v>170.73674</v>
      </c>
      <c r="N177" s="567">
        <v>0</v>
      </c>
      <c r="O177" s="567">
        <v>0</v>
      </c>
      <c r="P177" s="567">
        <v>0</v>
      </c>
      <c r="Q177" s="567">
        <v>0</v>
      </c>
      <c r="R177" s="567">
        <v>0</v>
      </c>
      <c r="S177" s="567">
        <v>270.95175999999998</v>
      </c>
      <c r="T177" s="567">
        <v>0</v>
      </c>
      <c r="U177" s="567">
        <f t="shared" si="18"/>
        <v>709.09148000000005</v>
      </c>
    </row>
    <row r="178" spans="1:21" x14ac:dyDescent="0.25">
      <c r="A178" s="567" t="str">
        <f t="shared" si="15"/>
        <v>KU</v>
      </c>
      <c r="B178" s="567" t="str">
        <f t="shared" si="14"/>
        <v>KY</v>
      </c>
      <c r="C178" s="567" t="str">
        <f t="shared" si="16"/>
        <v>E</v>
      </c>
      <c r="D178" s="567" t="s">
        <v>2646</v>
      </c>
      <c r="E178" s="567" t="str">
        <f t="shared" si="20"/>
        <v>346</v>
      </c>
      <c r="F178" s="864" t="s">
        <v>1659</v>
      </c>
      <c r="G178" s="566" t="str">
        <f t="shared" si="19"/>
        <v/>
      </c>
      <c r="H178" s="567">
        <v>0</v>
      </c>
      <c r="I178" s="567">
        <v>0</v>
      </c>
      <c r="J178" s="567">
        <v>0</v>
      </c>
      <c r="K178" s="567">
        <v>0</v>
      </c>
      <c r="L178" s="567">
        <v>0</v>
      </c>
      <c r="M178" s="567">
        <v>0</v>
      </c>
      <c r="N178" s="567">
        <v>0</v>
      </c>
      <c r="O178" s="567">
        <v>0</v>
      </c>
      <c r="P178" s="567">
        <v>0</v>
      </c>
      <c r="Q178" s="567">
        <v>0</v>
      </c>
      <c r="R178" s="567">
        <v>0</v>
      </c>
      <c r="S178" s="567">
        <v>0</v>
      </c>
      <c r="T178" s="567">
        <v>0</v>
      </c>
      <c r="U178" s="567">
        <f t="shared" si="18"/>
        <v>0</v>
      </c>
    </row>
    <row r="179" spans="1:21" x14ac:dyDescent="0.25">
      <c r="A179" s="567" t="str">
        <f t="shared" si="15"/>
        <v>KU</v>
      </c>
      <c r="B179" s="567" t="str">
        <f t="shared" si="14"/>
        <v>KY</v>
      </c>
      <c r="C179" s="567" t="str">
        <f t="shared" si="16"/>
        <v>E</v>
      </c>
      <c r="D179" s="567" t="s">
        <v>2646</v>
      </c>
      <c r="E179" s="567" t="str">
        <f t="shared" si="20"/>
        <v>350</v>
      </c>
      <c r="F179" s="864" t="s">
        <v>1661</v>
      </c>
      <c r="G179" s="566" t="str">
        <f t="shared" si="19"/>
        <v/>
      </c>
      <c r="H179" s="567">
        <v>0</v>
      </c>
      <c r="I179" s="567">
        <v>0</v>
      </c>
      <c r="J179" s="567">
        <v>0</v>
      </c>
      <c r="K179" s="567">
        <v>0</v>
      </c>
      <c r="L179" s="567">
        <v>0</v>
      </c>
      <c r="M179" s="567">
        <v>0</v>
      </c>
      <c r="N179" s="567">
        <v>0</v>
      </c>
      <c r="O179" s="567">
        <v>0</v>
      </c>
      <c r="P179" s="567">
        <v>0</v>
      </c>
      <c r="Q179" s="567">
        <v>0</v>
      </c>
      <c r="R179" s="567">
        <v>0</v>
      </c>
      <c r="S179" s="567">
        <v>0</v>
      </c>
      <c r="T179" s="567">
        <v>0</v>
      </c>
      <c r="U179" s="567">
        <f t="shared" si="18"/>
        <v>0</v>
      </c>
    </row>
    <row r="180" spans="1:21" x14ac:dyDescent="0.25">
      <c r="A180" s="567" t="str">
        <f t="shared" si="15"/>
        <v>KU</v>
      </c>
      <c r="B180" s="567" t="str">
        <f t="shared" si="14"/>
        <v>VA</v>
      </c>
      <c r="C180" s="567" t="str">
        <f t="shared" si="16"/>
        <v>E</v>
      </c>
      <c r="D180" s="567" t="s">
        <v>2646</v>
      </c>
      <c r="E180" s="567" t="str">
        <f t="shared" si="20"/>
        <v>350</v>
      </c>
      <c r="F180" s="864" t="s">
        <v>1663</v>
      </c>
      <c r="G180" s="566" t="str">
        <f t="shared" si="19"/>
        <v/>
      </c>
      <c r="H180" s="567">
        <v>0</v>
      </c>
      <c r="I180" s="567">
        <v>0</v>
      </c>
      <c r="J180" s="567">
        <v>0</v>
      </c>
      <c r="K180" s="567">
        <v>0</v>
      </c>
      <c r="L180" s="567">
        <v>0</v>
      </c>
      <c r="M180" s="567">
        <v>0</v>
      </c>
      <c r="N180" s="567">
        <v>0</v>
      </c>
      <c r="O180" s="567">
        <v>0</v>
      </c>
      <c r="P180" s="567">
        <v>304.44979999999998</v>
      </c>
      <c r="Q180" s="567">
        <v>0</v>
      </c>
      <c r="R180" s="567">
        <v>0</v>
      </c>
      <c r="S180" s="567">
        <v>0</v>
      </c>
      <c r="T180" s="567">
        <v>0</v>
      </c>
      <c r="U180" s="567">
        <f t="shared" si="18"/>
        <v>304.44979999999998</v>
      </c>
    </row>
    <row r="181" spans="1:21" x14ac:dyDescent="0.25">
      <c r="A181" s="567" t="str">
        <f t="shared" si="15"/>
        <v>KU</v>
      </c>
      <c r="B181" s="567" t="str">
        <f t="shared" si="14"/>
        <v>KY</v>
      </c>
      <c r="C181" s="567" t="str">
        <f t="shared" si="16"/>
        <v>E</v>
      </c>
      <c r="D181" s="567" t="s">
        <v>2646</v>
      </c>
      <c r="E181" s="567" t="str">
        <f t="shared" si="20"/>
        <v>352</v>
      </c>
      <c r="F181" s="864" t="s">
        <v>1664</v>
      </c>
      <c r="G181" s="566" t="str">
        <f t="shared" si="19"/>
        <v/>
      </c>
      <c r="H181" s="567">
        <v>0</v>
      </c>
      <c r="I181" s="567">
        <v>0</v>
      </c>
      <c r="J181" s="567">
        <v>0</v>
      </c>
      <c r="K181" s="567">
        <v>0</v>
      </c>
      <c r="L181" s="567">
        <v>0</v>
      </c>
      <c r="M181" s="567">
        <v>0</v>
      </c>
      <c r="N181" s="567">
        <v>77.789479999999998</v>
      </c>
      <c r="O181" s="567">
        <v>0</v>
      </c>
      <c r="P181" s="567">
        <v>0</v>
      </c>
      <c r="Q181" s="567">
        <v>0</v>
      </c>
      <c r="R181" s="567">
        <v>0</v>
      </c>
      <c r="S181" s="567">
        <v>0</v>
      </c>
      <c r="T181" s="567">
        <v>0</v>
      </c>
      <c r="U181" s="567">
        <f t="shared" si="18"/>
        <v>77.789479999999998</v>
      </c>
    </row>
    <row r="182" spans="1:21" x14ac:dyDescent="0.25">
      <c r="A182" s="567" t="str">
        <f t="shared" si="15"/>
        <v>KU</v>
      </c>
      <c r="B182" s="567" t="str">
        <f t="shared" si="14"/>
        <v>KY</v>
      </c>
      <c r="C182" s="567" t="str">
        <f t="shared" si="16"/>
        <v>E</v>
      </c>
      <c r="D182" s="567" t="s">
        <v>2646</v>
      </c>
      <c r="E182" s="567" t="str">
        <f t="shared" si="20"/>
        <v>352</v>
      </c>
      <c r="F182" s="864" t="s">
        <v>1665</v>
      </c>
      <c r="G182" s="566" t="str">
        <f t="shared" si="19"/>
        <v/>
      </c>
      <c r="H182" s="567">
        <v>0</v>
      </c>
      <c r="I182" s="567">
        <v>0</v>
      </c>
      <c r="J182" s="567">
        <v>0</v>
      </c>
      <c r="K182" s="567">
        <v>0</v>
      </c>
      <c r="L182" s="567">
        <v>0</v>
      </c>
      <c r="M182" s="567">
        <v>0</v>
      </c>
      <c r="N182" s="567">
        <v>0</v>
      </c>
      <c r="O182" s="567">
        <v>0</v>
      </c>
      <c r="P182" s="567">
        <v>0</v>
      </c>
      <c r="Q182" s="567">
        <v>0</v>
      </c>
      <c r="R182" s="567">
        <v>0</v>
      </c>
      <c r="S182" s="567">
        <v>0</v>
      </c>
      <c r="T182" s="567">
        <v>0</v>
      </c>
      <c r="U182" s="567">
        <f t="shared" si="18"/>
        <v>0</v>
      </c>
    </row>
    <row r="183" spans="1:21" x14ac:dyDescent="0.25">
      <c r="A183" s="567" t="str">
        <f t="shared" si="15"/>
        <v>KU</v>
      </c>
      <c r="B183" s="567" t="str">
        <f t="shared" si="14"/>
        <v>KY</v>
      </c>
      <c r="C183" s="567" t="str">
        <f t="shared" si="16"/>
        <v>E</v>
      </c>
      <c r="D183" s="567" t="s">
        <v>2646</v>
      </c>
      <c r="E183" s="567" t="str">
        <f t="shared" si="20"/>
        <v>353</v>
      </c>
      <c r="F183" s="864" t="s">
        <v>1667</v>
      </c>
      <c r="G183" s="566" t="str">
        <f t="shared" si="19"/>
        <v/>
      </c>
      <c r="H183" s="567">
        <v>2659.9651399999998</v>
      </c>
      <c r="I183" s="567">
        <v>441.29818999999998</v>
      </c>
      <c r="J183" s="567">
        <v>2326.2132200000001</v>
      </c>
      <c r="K183" s="567">
        <v>2598.13508</v>
      </c>
      <c r="L183" s="567">
        <v>135.16315</v>
      </c>
      <c r="M183" s="567">
        <v>492.20163999999897</v>
      </c>
      <c r="N183" s="567">
        <v>236.93528000000001</v>
      </c>
      <c r="O183" s="567">
        <v>154.22261</v>
      </c>
      <c r="P183" s="567">
        <v>18704.393769999901</v>
      </c>
      <c r="Q183" s="567">
        <v>254.41290999999899</v>
      </c>
      <c r="R183" s="567">
        <v>469.76866999999999</v>
      </c>
      <c r="S183" s="567">
        <v>2348.9715799999999</v>
      </c>
      <c r="T183" s="567">
        <v>1268.9799499999999</v>
      </c>
      <c r="U183" s="567">
        <f t="shared" si="18"/>
        <v>29430.696049999904</v>
      </c>
    </row>
    <row r="184" spans="1:21" x14ac:dyDescent="0.25">
      <c r="A184" s="567" t="str">
        <f t="shared" si="15"/>
        <v>KU</v>
      </c>
      <c r="B184" s="567" t="str">
        <f t="shared" si="14"/>
        <v>KY</v>
      </c>
      <c r="C184" s="567" t="str">
        <f t="shared" si="16"/>
        <v>E</v>
      </c>
      <c r="D184" s="567" t="s">
        <v>2646</v>
      </c>
      <c r="E184" s="567" t="str">
        <f t="shared" si="20"/>
        <v>353</v>
      </c>
      <c r="F184" s="864" t="s">
        <v>1668</v>
      </c>
      <c r="G184" s="566" t="str">
        <f t="shared" si="19"/>
        <v/>
      </c>
      <c r="H184" s="567">
        <v>0</v>
      </c>
      <c r="I184" s="567">
        <v>0</v>
      </c>
      <c r="J184" s="567">
        <v>0</v>
      </c>
      <c r="K184" s="567">
        <v>0</v>
      </c>
      <c r="L184" s="567">
        <v>0</v>
      </c>
      <c r="M184" s="567">
        <v>0</v>
      </c>
      <c r="N184" s="567">
        <v>0</v>
      </c>
      <c r="O184" s="567">
        <v>0</v>
      </c>
      <c r="P184" s="567">
        <v>0</v>
      </c>
      <c r="Q184" s="567">
        <v>0</v>
      </c>
      <c r="R184" s="567">
        <v>0</v>
      </c>
      <c r="S184" s="567">
        <v>0</v>
      </c>
      <c r="T184" s="567">
        <v>0</v>
      </c>
      <c r="U184" s="567">
        <f t="shared" si="18"/>
        <v>0</v>
      </c>
    </row>
    <row r="185" spans="1:21" x14ac:dyDescent="0.25">
      <c r="A185" s="567" t="str">
        <f t="shared" si="15"/>
        <v>KU</v>
      </c>
      <c r="B185" s="567" t="str">
        <f t="shared" si="14"/>
        <v>VA</v>
      </c>
      <c r="C185" s="567" t="str">
        <f t="shared" si="16"/>
        <v>E</v>
      </c>
      <c r="D185" s="567" t="s">
        <v>2646</v>
      </c>
      <c r="E185" s="567" t="str">
        <f t="shared" si="20"/>
        <v>353</v>
      </c>
      <c r="F185" s="864" t="s">
        <v>1669</v>
      </c>
      <c r="G185" s="566" t="str">
        <f t="shared" si="19"/>
        <v/>
      </c>
      <c r="H185" s="567">
        <v>0</v>
      </c>
      <c r="I185" s="567">
        <v>0</v>
      </c>
      <c r="J185" s="567">
        <v>0</v>
      </c>
      <c r="K185" s="567">
        <v>0</v>
      </c>
      <c r="L185" s="567">
        <v>0</v>
      </c>
      <c r="M185" s="567">
        <v>0</v>
      </c>
      <c r="N185" s="567">
        <v>0</v>
      </c>
      <c r="O185" s="567">
        <v>0</v>
      </c>
      <c r="P185" s="567">
        <v>0</v>
      </c>
      <c r="Q185" s="567">
        <v>0</v>
      </c>
      <c r="R185" s="567">
        <v>0</v>
      </c>
      <c r="S185" s="567">
        <v>0</v>
      </c>
      <c r="T185" s="567">
        <v>0</v>
      </c>
      <c r="U185" s="567">
        <f t="shared" si="18"/>
        <v>0</v>
      </c>
    </row>
    <row r="186" spans="1:21" x14ac:dyDescent="0.25">
      <c r="A186" s="567" t="str">
        <f t="shared" si="15"/>
        <v>KU</v>
      </c>
      <c r="B186" s="567" t="str">
        <f t="shared" si="14"/>
        <v>KY</v>
      </c>
      <c r="C186" s="567" t="str">
        <f t="shared" si="16"/>
        <v>E</v>
      </c>
      <c r="D186" s="567" t="s">
        <v>2646</v>
      </c>
      <c r="E186" s="567" t="str">
        <f t="shared" si="20"/>
        <v>355</v>
      </c>
      <c r="F186" s="864" t="s">
        <v>1672</v>
      </c>
      <c r="G186" s="566" t="str">
        <f t="shared" si="19"/>
        <v/>
      </c>
      <c r="H186" s="567">
        <v>4906.8246900000004</v>
      </c>
      <c r="I186" s="567">
        <v>6206.5566500000004</v>
      </c>
      <c r="J186" s="567">
        <v>3401.0718900000002</v>
      </c>
      <c r="K186" s="567">
        <v>4060.92733</v>
      </c>
      <c r="L186" s="567">
        <v>3320.4777899999999</v>
      </c>
      <c r="M186" s="567">
        <v>2777.18579</v>
      </c>
      <c r="N186" s="567">
        <v>3722.0023000000001</v>
      </c>
      <c r="O186" s="567">
        <v>2599.87041</v>
      </c>
      <c r="P186" s="567">
        <v>24664.967179999901</v>
      </c>
      <c r="Q186" s="567">
        <v>8.3859599999999901</v>
      </c>
      <c r="R186" s="567">
        <v>4534.4618799999998</v>
      </c>
      <c r="S186" s="567">
        <v>601.02151000000003</v>
      </c>
      <c r="T186" s="567">
        <v>4763.3475600000002</v>
      </c>
      <c r="U186" s="567">
        <f t="shared" si="18"/>
        <v>60660.276249999908</v>
      </c>
    </row>
    <row r="187" spans="1:21" x14ac:dyDescent="0.25">
      <c r="A187" s="567" t="str">
        <f t="shared" si="15"/>
        <v>KU</v>
      </c>
      <c r="B187" s="567" t="str">
        <f t="shared" si="14"/>
        <v>TN</v>
      </c>
      <c r="C187" s="567" t="str">
        <f t="shared" si="16"/>
        <v>E</v>
      </c>
      <c r="D187" s="567" t="s">
        <v>2646</v>
      </c>
      <c r="E187" s="567" t="str">
        <f t="shared" si="20"/>
        <v>355</v>
      </c>
      <c r="F187" s="864" t="s">
        <v>1673</v>
      </c>
      <c r="G187" s="566" t="str">
        <f t="shared" si="19"/>
        <v/>
      </c>
      <c r="H187" s="567">
        <v>0</v>
      </c>
      <c r="I187" s="567">
        <v>0</v>
      </c>
      <c r="J187" s="567">
        <v>0</v>
      </c>
      <c r="K187" s="567">
        <v>0</v>
      </c>
      <c r="L187" s="567">
        <v>0</v>
      </c>
      <c r="M187" s="567">
        <v>0</v>
      </c>
      <c r="N187" s="567">
        <v>0</v>
      </c>
      <c r="O187" s="567">
        <v>0</v>
      </c>
      <c r="P187" s="567">
        <v>0</v>
      </c>
      <c r="Q187" s="567">
        <v>0</v>
      </c>
      <c r="R187" s="567">
        <v>0</v>
      </c>
      <c r="S187" s="567">
        <v>0</v>
      </c>
      <c r="T187" s="567">
        <v>0</v>
      </c>
      <c r="U187" s="567">
        <f t="shared" si="18"/>
        <v>0</v>
      </c>
    </row>
    <row r="188" spans="1:21" x14ac:dyDescent="0.25">
      <c r="A188" s="567" t="str">
        <f t="shared" si="15"/>
        <v>KU</v>
      </c>
      <c r="B188" s="567" t="str">
        <f t="shared" si="14"/>
        <v>VA</v>
      </c>
      <c r="C188" s="567" t="str">
        <f t="shared" si="16"/>
        <v>E</v>
      </c>
      <c r="D188" s="567" t="s">
        <v>2646</v>
      </c>
      <c r="E188" s="567" t="str">
        <f t="shared" si="20"/>
        <v>355</v>
      </c>
      <c r="F188" s="864" t="s">
        <v>1674</v>
      </c>
      <c r="G188" s="566" t="str">
        <f t="shared" si="19"/>
        <v/>
      </c>
      <c r="H188" s="567">
        <v>0</v>
      </c>
      <c r="I188" s="567">
        <v>0</v>
      </c>
      <c r="J188" s="567">
        <v>484.45271000000002</v>
      </c>
      <c r="K188" s="567">
        <v>0</v>
      </c>
      <c r="L188" s="567">
        <v>0</v>
      </c>
      <c r="M188" s="567">
        <v>0</v>
      </c>
      <c r="N188" s="567">
        <v>0</v>
      </c>
      <c r="O188" s="567">
        <v>0</v>
      </c>
      <c r="P188" s="567">
        <v>0</v>
      </c>
      <c r="Q188" s="567">
        <v>0</v>
      </c>
      <c r="R188" s="567">
        <v>0</v>
      </c>
      <c r="S188" s="567">
        <v>0</v>
      </c>
      <c r="T188" s="567">
        <v>0</v>
      </c>
      <c r="U188" s="567">
        <f t="shared" si="18"/>
        <v>484.45271000000002</v>
      </c>
    </row>
    <row r="189" spans="1:21" x14ac:dyDescent="0.25">
      <c r="A189" s="567" t="str">
        <f t="shared" si="15"/>
        <v>KU</v>
      </c>
      <c r="B189" s="567" t="str">
        <f t="shared" si="14"/>
        <v>KY</v>
      </c>
      <c r="C189" s="567" t="str">
        <f t="shared" si="16"/>
        <v>E</v>
      </c>
      <c r="D189" s="567" t="s">
        <v>2646</v>
      </c>
      <c r="E189" s="567" t="str">
        <f t="shared" si="20"/>
        <v>356</v>
      </c>
      <c r="F189" s="864" t="s">
        <v>1675</v>
      </c>
      <c r="G189" s="566" t="str">
        <f t="shared" si="19"/>
        <v/>
      </c>
      <c r="H189" s="567">
        <v>61.95091</v>
      </c>
      <c r="I189" s="567">
        <v>61.95091</v>
      </c>
      <c r="J189" s="567">
        <v>61.95091</v>
      </c>
      <c r="K189" s="567">
        <v>61.95091</v>
      </c>
      <c r="L189" s="567">
        <v>61.95091</v>
      </c>
      <c r="M189" s="567">
        <v>61.95091</v>
      </c>
      <c r="N189" s="567">
        <v>61.95091</v>
      </c>
      <c r="O189" s="567">
        <v>61.95091</v>
      </c>
      <c r="P189" s="567">
        <v>61.95091</v>
      </c>
      <c r="Q189" s="567">
        <v>63.44858</v>
      </c>
      <c r="R189" s="567">
        <v>63.448569999999997</v>
      </c>
      <c r="S189" s="567">
        <v>63.448569999999997</v>
      </c>
      <c r="T189" s="567">
        <v>4663.9874599999903</v>
      </c>
      <c r="U189" s="567">
        <f t="shared" si="18"/>
        <v>5349.9404599999907</v>
      </c>
    </row>
    <row r="190" spans="1:21" x14ac:dyDescent="0.25">
      <c r="A190" s="567" t="str">
        <f t="shared" si="15"/>
        <v>KU</v>
      </c>
      <c r="B190" s="567" t="str">
        <f t="shared" si="14"/>
        <v>TN</v>
      </c>
      <c r="C190" s="567" t="str">
        <f t="shared" si="16"/>
        <v>E</v>
      </c>
      <c r="D190" s="567" t="s">
        <v>2646</v>
      </c>
      <c r="E190" s="567" t="str">
        <f t="shared" si="20"/>
        <v>356</v>
      </c>
      <c r="F190" s="864" t="s">
        <v>1676</v>
      </c>
      <c r="G190" s="566" t="str">
        <f t="shared" si="19"/>
        <v/>
      </c>
      <c r="H190" s="567">
        <v>0</v>
      </c>
      <c r="I190" s="567">
        <v>0</v>
      </c>
      <c r="J190" s="567">
        <v>0</v>
      </c>
      <c r="K190" s="567">
        <v>0</v>
      </c>
      <c r="L190" s="567">
        <v>0</v>
      </c>
      <c r="M190" s="567">
        <v>0</v>
      </c>
      <c r="N190" s="567">
        <v>0</v>
      </c>
      <c r="O190" s="567">
        <v>0</v>
      </c>
      <c r="P190" s="567">
        <v>0</v>
      </c>
      <c r="Q190" s="567">
        <v>0</v>
      </c>
      <c r="R190" s="567">
        <v>0</v>
      </c>
      <c r="S190" s="567">
        <v>0</v>
      </c>
      <c r="T190" s="567">
        <v>0</v>
      </c>
      <c r="U190" s="567">
        <f t="shared" si="18"/>
        <v>0</v>
      </c>
    </row>
    <row r="191" spans="1:21" x14ac:dyDescent="0.25">
      <c r="A191" s="567" t="str">
        <f t="shared" si="15"/>
        <v>KU</v>
      </c>
      <c r="B191" s="567" t="str">
        <f t="shared" si="14"/>
        <v>VA</v>
      </c>
      <c r="C191" s="567" t="str">
        <f t="shared" si="16"/>
        <v>E</v>
      </c>
      <c r="D191" s="567" t="s">
        <v>2646</v>
      </c>
      <c r="E191" s="567" t="str">
        <f t="shared" si="20"/>
        <v>356</v>
      </c>
      <c r="F191" s="864" t="s">
        <v>1677</v>
      </c>
      <c r="G191" s="566" t="str">
        <f t="shared" si="19"/>
        <v/>
      </c>
      <c r="H191" s="567">
        <v>0</v>
      </c>
      <c r="I191" s="567">
        <v>0</v>
      </c>
      <c r="J191" s="567">
        <v>0</v>
      </c>
      <c r="K191" s="567">
        <v>0</v>
      </c>
      <c r="L191" s="567">
        <v>0</v>
      </c>
      <c r="M191" s="567">
        <v>0</v>
      </c>
      <c r="N191" s="567">
        <v>0</v>
      </c>
      <c r="O191" s="567">
        <v>0</v>
      </c>
      <c r="P191" s="567">
        <v>0</v>
      </c>
      <c r="Q191" s="567">
        <v>0</v>
      </c>
      <c r="R191" s="567">
        <v>0</v>
      </c>
      <c r="S191" s="567">
        <v>0</v>
      </c>
      <c r="T191" s="567">
        <v>0</v>
      </c>
      <c r="U191" s="567">
        <f t="shared" si="18"/>
        <v>0</v>
      </c>
    </row>
    <row r="192" spans="1:21" x14ac:dyDescent="0.25">
      <c r="A192" s="567" t="str">
        <f t="shared" si="15"/>
        <v>KU</v>
      </c>
      <c r="B192" s="567" t="str">
        <f t="shared" si="14"/>
        <v>KY</v>
      </c>
      <c r="C192" s="567" t="str">
        <f t="shared" si="16"/>
        <v>E</v>
      </c>
      <c r="D192" s="567" t="s">
        <v>2646</v>
      </c>
      <c r="E192" s="567" t="str">
        <f t="shared" si="20"/>
        <v>358</v>
      </c>
      <c r="F192" s="864" t="s">
        <v>1679</v>
      </c>
      <c r="G192" s="566" t="str">
        <f t="shared" si="19"/>
        <v/>
      </c>
      <c r="H192" s="567">
        <v>0</v>
      </c>
      <c r="I192" s="567">
        <v>0</v>
      </c>
      <c r="J192" s="567">
        <v>0</v>
      </c>
      <c r="K192" s="567">
        <v>0</v>
      </c>
      <c r="L192" s="567">
        <v>0</v>
      </c>
      <c r="M192" s="567">
        <v>0</v>
      </c>
      <c r="N192" s="567">
        <v>0</v>
      </c>
      <c r="O192" s="567">
        <v>0</v>
      </c>
      <c r="P192" s="567">
        <v>8885.0494600000002</v>
      </c>
      <c r="Q192" s="567">
        <v>143.56754999999899</v>
      </c>
      <c r="R192" s="567">
        <v>263.60129999999998</v>
      </c>
      <c r="S192" s="567">
        <v>263.60129999999998</v>
      </c>
      <c r="T192" s="567">
        <v>0</v>
      </c>
      <c r="U192" s="567">
        <f t="shared" si="18"/>
        <v>9555.8196100000005</v>
      </c>
    </row>
    <row r="193" spans="1:21" x14ac:dyDescent="0.25">
      <c r="A193" s="567" t="str">
        <f t="shared" si="15"/>
        <v>KU</v>
      </c>
      <c r="B193" s="567" t="str">
        <f t="shared" si="14"/>
        <v>KY</v>
      </c>
      <c r="C193" s="567" t="str">
        <f t="shared" si="16"/>
        <v>E</v>
      </c>
      <c r="D193" s="567" t="s">
        <v>2646</v>
      </c>
      <c r="E193" s="567" t="str">
        <f t="shared" si="20"/>
        <v>360</v>
      </c>
      <c r="F193" s="864" t="s">
        <v>1682</v>
      </c>
      <c r="G193" s="566" t="str">
        <f t="shared" si="19"/>
        <v/>
      </c>
      <c r="H193" s="567">
        <v>0</v>
      </c>
      <c r="I193" s="567">
        <v>0</v>
      </c>
      <c r="J193" s="567">
        <v>0</v>
      </c>
      <c r="K193" s="567">
        <v>0</v>
      </c>
      <c r="L193" s="567">
        <v>0</v>
      </c>
      <c r="M193" s="567">
        <v>0</v>
      </c>
      <c r="N193" s="567">
        <v>0</v>
      </c>
      <c r="O193" s="567">
        <v>0</v>
      </c>
      <c r="P193" s="567">
        <v>288.08159000000001</v>
      </c>
      <c r="Q193" s="567">
        <v>0</v>
      </c>
      <c r="R193" s="567">
        <v>0</v>
      </c>
      <c r="S193" s="567">
        <v>0</v>
      </c>
      <c r="T193" s="567">
        <v>0</v>
      </c>
      <c r="U193" s="567">
        <f t="shared" si="18"/>
        <v>288.08159000000001</v>
      </c>
    </row>
    <row r="194" spans="1:21" x14ac:dyDescent="0.25">
      <c r="A194" s="567" t="str">
        <f t="shared" si="15"/>
        <v>KU</v>
      </c>
      <c r="B194" s="567" t="str">
        <f t="shared" si="14"/>
        <v>TN</v>
      </c>
      <c r="C194" s="567" t="str">
        <f t="shared" si="16"/>
        <v>E</v>
      </c>
      <c r="D194" s="567" t="s">
        <v>2646</v>
      </c>
      <c r="E194" s="567" t="str">
        <f t="shared" si="20"/>
        <v>360</v>
      </c>
      <c r="F194" s="864" t="s">
        <v>1683</v>
      </c>
      <c r="G194" s="566" t="str">
        <f t="shared" si="19"/>
        <v/>
      </c>
      <c r="H194" s="567">
        <v>0</v>
      </c>
      <c r="I194" s="567">
        <v>0</v>
      </c>
      <c r="J194" s="567">
        <v>0</v>
      </c>
      <c r="K194" s="567">
        <v>0</v>
      </c>
      <c r="L194" s="567">
        <v>0</v>
      </c>
      <c r="M194" s="567">
        <v>0</v>
      </c>
      <c r="N194" s="567">
        <v>0</v>
      </c>
      <c r="O194" s="567">
        <v>0</v>
      </c>
      <c r="P194" s="567">
        <v>0</v>
      </c>
      <c r="Q194" s="567">
        <v>0</v>
      </c>
      <c r="R194" s="567">
        <v>0</v>
      </c>
      <c r="S194" s="567">
        <v>0</v>
      </c>
      <c r="T194" s="567">
        <v>0</v>
      </c>
      <c r="U194" s="567">
        <f t="shared" si="18"/>
        <v>0</v>
      </c>
    </row>
    <row r="195" spans="1:21" x14ac:dyDescent="0.25">
      <c r="A195" s="567" t="str">
        <f t="shared" si="15"/>
        <v>KU</v>
      </c>
      <c r="B195" s="567" t="str">
        <f t="shared" si="14"/>
        <v>VA</v>
      </c>
      <c r="C195" s="567" t="str">
        <f t="shared" si="16"/>
        <v>E</v>
      </c>
      <c r="D195" s="567" t="s">
        <v>2646</v>
      </c>
      <c r="E195" s="567" t="str">
        <f t="shared" si="20"/>
        <v>360</v>
      </c>
      <c r="F195" s="864" t="s">
        <v>1684</v>
      </c>
      <c r="G195" s="566" t="str">
        <f t="shared" si="19"/>
        <v/>
      </c>
      <c r="H195" s="567">
        <v>0</v>
      </c>
      <c r="I195" s="567">
        <v>0</v>
      </c>
      <c r="J195" s="567">
        <v>0</v>
      </c>
      <c r="K195" s="567">
        <v>0</v>
      </c>
      <c r="L195" s="567">
        <v>0</v>
      </c>
      <c r="M195" s="567">
        <v>0</v>
      </c>
      <c r="N195" s="567">
        <v>0</v>
      </c>
      <c r="O195" s="567">
        <v>0</v>
      </c>
      <c r="P195" s="567">
        <v>0</v>
      </c>
      <c r="Q195" s="567">
        <v>0</v>
      </c>
      <c r="R195" s="567">
        <v>0</v>
      </c>
      <c r="S195" s="567">
        <v>0</v>
      </c>
      <c r="T195" s="567">
        <v>0</v>
      </c>
      <c r="U195" s="567">
        <f t="shared" si="18"/>
        <v>0</v>
      </c>
    </row>
    <row r="196" spans="1:21" x14ac:dyDescent="0.25">
      <c r="A196" s="567" t="str">
        <f t="shared" si="15"/>
        <v>KU</v>
      </c>
      <c r="B196" s="567" t="str">
        <f t="shared" ref="B196:B259" si="21">IF(MID($F196,12,2)="- ","KY",IF(MID($F196,12,2)="SY","KY",MID($F196,12,2)))</f>
        <v>KY</v>
      </c>
      <c r="C196" s="567" t="str">
        <f t="shared" si="16"/>
        <v>E</v>
      </c>
      <c r="D196" s="567" t="s">
        <v>2646</v>
      </c>
      <c r="E196" s="567" t="str">
        <f t="shared" si="20"/>
        <v>361</v>
      </c>
      <c r="F196" s="864" t="s">
        <v>1685</v>
      </c>
      <c r="G196" s="566" t="str">
        <f t="shared" si="19"/>
        <v/>
      </c>
      <c r="H196" s="567">
        <v>762.84862999999996</v>
      </c>
      <c r="I196" s="567">
        <v>762.84749999999997</v>
      </c>
      <c r="J196" s="567">
        <v>762.85978999999998</v>
      </c>
      <c r="K196" s="567">
        <v>762.84334000000001</v>
      </c>
      <c r="L196" s="567">
        <v>762.84478999999999</v>
      </c>
      <c r="M196" s="567">
        <v>762.86221999999998</v>
      </c>
      <c r="N196" s="567">
        <v>762.85407999999995</v>
      </c>
      <c r="O196" s="567">
        <v>762.85659999999996</v>
      </c>
      <c r="P196" s="567">
        <v>1421.54692</v>
      </c>
      <c r="Q196" s="567">
        <v>680.23295999999903</v>
      </c>
      <c r="R196" s="567">
        <v>680.23913000000005</v>
      </c>
      <c r="S196" s="567">
        <v>680.23292000000004</v>
      </c>
      <c r="T196" s="567">
        <v>730.04801999999995</v>
      </c>
      <c r="U196" s="567">
        <f t="shared" si="18"/>
        <v>9532.2682699999987</v>
      </c>
    </row>
    <row r="197" spans="1:21" x14ac:dyDescent="0.25">
      <c r="A197" s="567" t="str">
        <f t="shared" si="15"/>
        <v>KU</v>
      </c>
      <c r="B197" s="567" t="str">
        <f t="shared" si="21"/>
        <v>VA</v>
      </c>
      <c r="C197" s="567" t="str">
        <f t="shared" si="16"/>
        <v>E</v>
      </c>
      <c r="D197" s="567" t="s">
        <v>2646</v>
      </c>
      <c r="E197" s="567" t="str">
        <f t="shared" si="20"/>
        <v>361</v>
      </c>
      <c r="F197" s="864" t="s">
        <v>1687</v>
      </c>
      <c r="G197" s="566" t="str">
        <f t="shared" si="19"/>
        <v/>
      </c>
      <c r="H197" s="567">
        <v>0</v>
      </c>
      <c r="I197" s="567">
        <v>0</v>
      </c>
      <c r="J197" s="567">
        <v>0</v>
      </c>
      <c r="K197" s="567">
        <v>0</v>
      </c>
      <c r="L197" s="567">
        <v>0</v>
      </c>
      <c r="M197" s="567">
        <v>0</v>
      </c>
      <c r="N197" s="567">
        <v>0</v>
      </c>
      <c r="O197" s="567">
        <v>0</v>
      </c>
      <c r="P197" s="567">
        <v>0</v>
      </c>
      <c r="Q197" s="567">
        <v>0</v>
      </c>
      <c r="R197" s="567">
        <v>0</v>
      </c>
      <c r="S197" s="567">
        <v>0</v>
      </c>
      <c r="T197" s="567">
        <v>0</v>
      </c>
      <c r="U197" s="567">
        <f t="shared" si="18"/>
        <v>0</v>
      </c>
    </row>
    <row r="198" spans="1:21" x14ac:dyDescent="0.25">
      <c r="A198" s="567" t="str">
        <f t="shared" si="15"/>
        <v>KU</v>
      </c>
      <c r="B198" s="567" t="str">
        <f t="shared" si="21"/>
        <v>KY</v>
      </c>
      <c r="C198" s="567" t="str">
        <f t="shared" si="16"/>
        <v>E</v>
      </c>
      <c r="D198" s="567" t="s">
        <v>2646</v>
      </c>
      <c r="E198" s="567" t="str">
        <f t="shared" si="20"/>
        <v>362</v>
      </c>
      <c r="F198" s="864" t="s">
        <v>1688</v>
      </c>
      <c r="G198" s="566" t="str">
        <f t="shared" si="19"/>
        <v/>
      </c>
      <c r="H198" s="567">
        <v>514.84662000000003</v>
      </c>
      <c r="I198" s="567">
        <v>509.89478000000003</v>
      </c>
      <c r="J198" s="567">
        <v>3058.3059800000001</v>
      </c>
      <c r="K198" s="567">
        <v>817.53757999999902</v>
      </c>
      <c r="L198" s="567">
        <v>813.49486000000002</v>
      </c>
      <c r="M198" s="567">
        <v>2017.01046</v>
      </c>
      <c r="N198" s="567">
        <v>559.28426000000002</v>
      </c>
      <c r="O198" s="567">
        <v>526.97186999999997</v>
      </c>
      <c r="P198" s="567">
        <v>15403.9883999999</v>
      </c>
      <c r="Q198" s="567">
        <v>256.07051999999999</v>
      </c>
      <c r="R198" s="567">
        <v>364.67876999999999</v>
      </c>
      <c r="S198" s="567">
        <v>1770.5247300000001</v>
      </c>
      <c r="T198" s="567">
        <v>638.77203999999995</v>
      </c>
      <c r="U198" s="567">
        <f t="shared" si="18"/>
        <v>26736.534249999899</v>
      </c>
    </row>
    <row r="199" spans="1:21" x14ac:dyDescent="0.25">
      <c r="A199" s="567" t="str">
        <f t="shared" ref="A199:A262" si="22">MID($F199,4,2)</f>
        <v>KU</v>
      </c>
      <c r="B199" s="567" t="str">
        <f t="shared" si="21"/>
        <v>VA</v>
      </c>
      <c r="C199" s="567" t="str">
        <f t="shared" si="16"/>
        <v>E</v>
      </c>
      <c r="D199" s="567" t="s">
        <v>2646</v>
      </c>
      <c r="E199" s="567" t="str">
        <f t="shared" si="20"/>
        <v>362</v>
      </c>
      <c r="F199" s="864" t="s">
        <v>1690</v>
      </c>
      <c r="G199" s="566" t="str">
        <f t="shared" si="19"/>
        <v/>
      </c>
      <c r="H199" s="567">
        <v>0</v>
      </c>
      <c r="I199" s="567">
        <v>0</v>
      </c>
      <c r="J199" s="567">
        <v>0</v>
      </c>
      <c r="K199" s="567">
        <v>0</v>
      </c>
      <c r="L199" s="567">
        <v>0</v>
      </c>
      <c r="M199" s="567">
        <v>0</v>
      </c>
      <c r="N199" s="567">
        <v>0</v>
      </c>
      <c r="O199" s="567">
        <v>0</v>
      </c>
      <c r="P199" s="567">
        <v>0</v>
      </c>
      <c r="Q199" s="567">
        <v>0</v>
      </c>
      <c r="R199" s="567">
        <v>0</v>
      </c>
      <c r="S199" s="567">
        <v>0</v>
      </c>
      <c r="T199" s="567">
        <v>0</v>
      </c>
      <c r="U199" s="567">
        <f t="shared" si="18"/>
        <v>0</v>
      </c>
    </row>
    <row r="200" spans="1:21" x14ac:dyDescent="0.25">
      <c r="A200" s="567" t="str">
        <f t="shared" si="22"/>
        <v>KU</v>
      </c>
      <c r="B200" s="567" t="str">
        <f t="shared" si="21"/>
        <v>KY</v>
      </c>
      <c r="C200" s="567" t="str">
        <f t="shared" ref="C200:C263" si="23">IF(ISTEXT(MID($F200,SEARCH("FUTURE USE",$F200),3)),"F",IF(MID($F200,7,1)="1","E",IF(MID($F200,7,1)="2","G",IF(MID($F200,7,1)="3","C",""))))</f>
        <v>E</v>
      </c>
      <c r="D200" s="567" t="s">
        <v>2646</v>
      </c>
      <c r="E200" s="567" t="str">
        <f t="shared" si="20"/>
        <v>364</v>
      </c>
      <c r="F200" s="864" t="s">
        <v>1692</v>
      </c>
      <c r="G200" s="566" t="str">
        <f t="shared" si="19"/>
        <v/>
      </c>
      <c r="H200" s="567">
        <v>1750.8220899999999</v>
      </c>
      <c r="I200" s="567">
        <v>1794.6709900000001</v>
      </c>
      <c r="J200" s="567">
        <v>1751.02412</v>
      </c>
      <c r="K200" s="567">
        <v>1964.9748</v>
      </c>
      <c r="L200" s="567">
        <v>2149.1635000000001</v>
      </c>
      <c r="M200" s="567">
        <v>2126.9948399999998</v>
      </c>
      <c r="N200" s="567">
        <v>1724.1932400000001</v>
      </c>
      <c r="O200" s="567">
        <v>1347.8259599999999</v>
      </c>
      <c r="P200" s="567">
        <v>1327.3177700000001</v>
      </c>
      <c r="Q200" s="567">
        <v>1327.95918999999</v>
      </c>
      <c r="R200" s="567">
        <v>1325.2529099999999</v>
      </c>
      <c r="S200" s="567">
        <v>1661.92346</v>
      </c>
      <c r="T200" s="567">
        <v>1770.7268099999901</v>
      </c>
      <c r="U200" s="567">
        <f t="shared" si="18"/>
        <v>20272.02758999998</v>
      </c>
    </row>
    <row r="201" spans="1:21" x14ac:dyDescent="0.25">
      <c r="A201" s="567" t="str">
        <f t="shared" si="22"/>
        <v>KU</v>
      </c>
      <c r="B201" s="567" t="str">
        <f t="shared" si="21"/>
        <v>VA</v>
      </c>
      <c r="C201" s="567" t="str">
        <f t="shared" si="23"/>
        <v>E</v>
      </c>
      <c r="D201" s="567" t="s">
        <v>2646</v>
      </c>
      <c r="E201" s="567" t="str">
        <f t="shared" si="20"/>
        <v>364</v>
      </c>
      <c r="F201" s="864" t="s">
        <v>1694</v>
      </c>
      <c r="G201" s="566" t="str">
        <f t="shared" si="19"/>
        <v/>
      </c>
      <c r="H201" s="567">
        <v>31.046319999999898</v>
      </c>
      <c r="I201" s="567">
        <v>35.530329999999999</v>
      </c>
      <c r="J201" s="567">
        <v>26.702739999999999</v>
      </c>
      <c r="K201" s="567">
        <v>40.169370000000001</v>
      </c>
      <c r="L201" s="567">
        <v>30.935770000000002</v>
      </c>
      <c r="M201" s="567">
        <v>30.275179999999999</v>
      </c>
      <c r="N201" s="567">
        <v>31.92709</v>
      </c>
      <c r="O201" s="567">
        <v>26.986540000000002</v>
      </c>
      <c r="P201" s="567">
        <v>23.156419999999901</v>
      </c>
      <c r="Q201" s="567">
        <v>32.162959999999998</v>
      </c>
      <c r="R201" s="567">
        <v>26.25648</v>
      </c>
      <c r="S201" s="567">
        <v>29.54269</v>
      </c>
      <c r="T201" s="567">
        <v>33.028669999999998</v>
      </c>
      <c r="U201" s="567">
        <f t="shared" si="18"/>
        <v>366.67423999999988</v>
      </c>
    </row>
    <row r="202" spans="1:21" x14ac:dyDescent="0.25">
      <c r="A202" s="567" t="str">
        <f t="shared" si="22"/>
        <v>KU</v>
      </c>
      <c r="B202" s="567" t="str">
        <f t="shared" si="21"/>
        <v>KY</v>
      </c>
      <c r="C202" s="567" t="str">
        <f t="shared" si="23"/>
        <v>E</v>
      </c>
      <c r="D202" s="567" t="s">
        <v>2646</v>
      </c>
      <c r="E202" s="567" t="str">
        <f t="shared" si="20"/>
        <v>365</v>
      </c>
      <c r="F202" s="864" t="s">
        <v>1696</v>
      </c>
      <c r="G202" s="566" t="str">
        <f t="shared" si="19"/>
        <v/>
      </c>
      <c r="H202" s="567">
        <v>2159.99728</v>
      </c>
      <c r="I202" s="567">
        <v>2583.5779599999901</v>
      </c>
      <c r="J202" s="567">
        <v>2504.9534799999901</v>
      </c>
      <c r="K202" s="567">
        <v>2770.8527899999899</v>
      </c>
      <c r="L202" s="567">
        <v>4160.69164</v>
      </c>
      <c r="M202" s="567">
        <v>2091.77216</v>
      </c>
      <c r="N202" s="567">
        <v>1909.86798999999</v>
      </c>
      <c r="O202" s="567">
        <v>1981.29446999999</v>
      </c>
      <c r="P202" s="567">
        <v>3938.7882599999998</v>
      </c>
      <c r="Q202" s="567">
        <v>1903.8344199999999</v>
      </c>
      <c r="R202" s="567">
        <v>1820.23585999999</v>
      </c>
      <c r="S202" s="567">
        <v>2200.6224200000001</v>
      </c>
      <c r="T202" s="567">
        <v>2000.3430800000001</v>
      </c>
      <c r="U202" s="567">
        <f t="shared" si="18"/>
        <v>29866.834529999942</v>
      </c>
    </row>
    <row r="203" spans="1:21" x14ac:dyDescent="0.25">
      <c r="A203" s="567" t="str">
        <f t="shared" si="22"/>
        <v>KU</v>
      </c>
      <c r="B203" s="567" t="str">
        <f t="shared" si="21"/>
        <v>VA</v>
      </c>
      <c r="C203" s="567" t="str">
        <f t="shared" si="23"/>
        <v>E</v>
      </c>
      <c r="D203" s="567" t="s">
        <v>2646</v>
      </c>
      <c r="E203" s="567" t="str">
        <f t="shared" si="20"/>
        <v>365</v>
      </c>
      <c r="F203" s="864" t="s">
        <v>1698</v>
      </c>
      <c r="G203" s="566" t="str">
        <f t="shared" si="19"/>
        <v/>
      </c>
      <c r="H203" s="567">
        <v>103.32283</v>
      </c>
      <c r="I203" s="567">
        <v>124.98148999999999</v>
      </c>
      <c r="J203" s="567">
        <v>131.70598000000001</v>
      </c>
      <c r="K203" s="567">
        <v>361.51409000000001</v>
      </c>
      <c r="L203" s="567">
        <v>126.84208</v>
      </c>
      <c r="M203" s="567">
        <v>105.36575999999999</v>
      </c>
      <c r="N203" s="567">
        <v>124.901409999999</v>
      </c>
      <c r="O203" s="567">
        <v>89.693280000000001</v>
      </c>
      <c r="P203" s="567">
        <v>78.23518</v>
      </c>
      <c r="Q203" s="567">
        <v>131.19842</v>
      </c>
      <c r="R203" s="567">
        <v>111.79978</v>
      </c>
      <c r="S203" s="567">
        <v>93.436850000000007</v>
      </c>
      <c r="T203" s="567">
        <v>103.24147000000001</v>
      </c>
      <c r="U203" s="567">
        <f t="shared" si="18"/>
        <v>1582.9157899999989</v>
      </c>
    </row>
    <row r="204" spans="1:21" x14ac:dyDescent="0.25">
      <c r="A204" s="567" t="str">
        <f t="shared" si="22"/>
        <v>KU</v>
      </c>
      <c r="B204" s="567" t="str">
        <f t="shared" si="21"/>
        <v>KY</v>
      </c>
      <c r="C204" s="567" t="str">
        <f t="shared" si="23"/>
        <v>E</v>
      </c>
      <c r="D204" s="567" t="s">
        <v>2646</v>
      </c>
      <c r="E204" s="567" t="str">
        <f t="shared" si="20"/>
        <v>366</v>
      </c>
      <c r="F204" s="864" t="s">
        <v>1700</v>
      </c>
      <c r="G204" s="566" t="str">
        <f t="shared" si="19"/>
        <v/>
      </c>
      <c r="H204" s="567">
        <v>0</v>
      </c>
      <c r="I204" s="567">
        <v>0</v>
      </c>
      <c r="J204" s="567">
        <v>0</v>
      </c>
      <c r="K204" s="567">
        <v>0</v>
      </c>
      <c r="L204" s="567">
        <v>0</v>
      </c>
      <c r="M204" s="567">
        <v>0</v>
      </c>
      <c r="N204" s="567">
        <v>0</v>
      </c>
      <c r="O204" s="567">
        <v>0</v>
      </c>
      <c r="P204" s="567">
        <v>0</v>
      </c>
      <c r="Q204" s="567">
        <v>0</v>
      </c>
      <c r="R204" s="567">
        <v>0</v>
      </c>
      <c r="S204" s="567">
        <v>0</v>
      </c>
      <c r="T204" s="567">
        <v>0</v>
      </c>
      <c r="U204" s="567">
        <f t="shared" si="18"/>
        <v>0</v>
      </c>
    </row>
    <row r="205" spans="1:21" x14ac:dyDescent="0.25">
      <c r="A205" s="567" t="str">
        <f t="shared" si="22"/>
        <v>KU</v>
      </c>
      <c r="B205" s="567" t="str">
        <f t="shared" si="21"/>
        <v>KY</v>
      </c>
      <c r="C205" s="567" t="str">
        <f t="shared" si="23"/>
        <v>E</v>
      </c>
      <c r="D205" s="567" t="s">
        <v>2646</v>
      </c>
      <c r="E205" s="567" t="str">
        <f t="shared" si="20"/>
        <v>367</v>
      </c>
      <c r="F205" s="864" t="s">
        <v>1702</v>
      </c>
      <c r="G205" s="566" t="str">
        <f t="shared" si="19"/>
        <v/>
      </c>
      <c r="H205" s="567">
        <v>1179.7330899999999</v>
      </c>
      <c r="I205" s="567">
        <v>1355.59539</v>
      </c>
      <c r="J205" s="567">
        <v>1178.1615400000001</v>
      </c>
      <c r="K205" s="567">
        <v>1408.7780299999999</v>
      </c>
      <c r="L205" s="567">
        <v>1345.32042</v>
      </c>
      <c r="M205" s="567">
        <v>1211.1871799999999</v>
      </c>
      <c r="N205" s="567">
        <v>2575.83016</v>
      </c>
      <c r="O205" s="567">
        <v>1110.1094499999899</v>
      </c>
      <c r="P205" s="567">
        <v>2016.36142</v>
      </c>
      <c r="Q205" s="567">
        <v>1303.38328999999</v>
      </c>
      <c r="R205" s="567">
        <v>1167.09159999999</v>
      </c>
      <c r="S205" s="567">
        <v>1247.25916999999</v>
      </c>
      <c r="T205" s="567">
        <v>1214.0699299999901</v>
      </c>
      <c r="U205" s="567">
        <f t="shared" si="18"/>
        <v>17133.14757999995</v>
      </c>
    </row>
    <row r="206" spans="1:21" x14ac:dyDescent="0.25">
      <c r="A206" s="567" t="str">
        <f t="shared" si="22"/>
        <v>KU</v>
      </c>
      <c r="B206" s="567" t="str">
        <f t="shared" si="21"/>
        <v>VA</v>
      </c>
      <c r="C206" s="567" t="str">
        <f t="shared" si="23"/>
        <v>E</v>
      </c>
      <c r="D206" s="567" t="s">
        <v>2646</v>
      </c>
      <c r="E206" s="567" t="str">
        <f t="shared" si="20"/>
        <v>367</v>
      </c>
      <c r="F206" s="864" t="s">
        <v>1703</v>
      </c>
      <c r="G206" s="566" t="str">
        <f t="shared" si="19"/>
        <v/>
      </c>
      <c r="H206" s="567">
        <v>32.592550000000003</v>
      </c>
      <c r="I206" s="567">
        <v>50.285820000000001</v>
      </c>
      <c r="J206" s="567">
        <v>29.083739999999999</v>
      </c>
      <c r="K206" s="567">
        <v>52.097929999999998</v>
      </c>
      <c r="L206" s="567">
        <v>58.600050000000003</v>
      </c>
      <c r="M206" s="567">
        <v>37.404269999999997</v>
      </c>
      <c r="N206" s="567">
        <v>58.977379999999997</v>
      </c>
      <c r="O206" s="567">
        <v>28.37649</v>
      </c>
      <c r="P206" s="567">
        <v>17.960049999999999</v>
      </c>
      <c r="Q206" s="567">
        <v>56.485720000000001</v>
      </c>
      <c r="R206" s="567">
        <v>43.150069999999999</v>
      </c>
      <c r="S206" s="567">
        <v>49.231549999999999</v>
      </c>
      <c r="T206" s="567">
        <v>35.777000000000001</v>
      </c>
      <c r="U206" s="567">
        <f t="shared" si="18"/>
        <v>517.43007</v>
      </c>
    </row>
    <row r="207" spans="1:21" x14ac:dyDescent="0.25">
      <c r="A207" s="567" t="str">
        <f t="shared" si="22"/>
        <v>KU</v>
      </c>
      <c r="B207" s="567" t="str">
        <f t="shared" si="21"/>
        <v>KY</v>
      </c>
      <c r="C207" s="567" t="str">
        <f t="shared" si="23"/>
        <v>E</v>
      </c>
      <c r="D207" s="567" t="s">
        <v>2646</v>
      </c>
      <c r="E207" s="567" t="str">
        <f t="shared" si="20"/>
        <v>368</v>
      </c>
      <c r="F207" s="864" t="s">
        <v>1704</v>
      </c>
      <c r="G207" s="566" t="str">
        <f t="shared" si="19"/>
        <v/>
      </c>
      <c r="H207" s="567">
        <v>711.39927999999998</v>
      </c>
      <c r="I207" s="567">
        <v>920.623549999999</v>
      </c>
      <c r="J207" s="567">
        <v>887.57632000000001</v>
      </c>
      <c r="K207" s="567">
        <v>800.44394999999997</v>
      </c>
      <c r="L207" s="567">
        <v>848.03386</v>
      </c>
      <c r="M207" s="567">
        <v>925.14981999999998</v>
      </c>
      <c r="N207" s="567">
        <v>1126.7968699999999</v>
      </c>
      <c r="O207" s="567">
        <v>861.49297999999999</v>
      </c>
      <c r="P207" s="567">
        <v>916.32294999999999</v>
      </c>
      <c r="Q207" s="567">
        <v>411.21915000000001</v>
      </c>
      <c r="R207" s="567">
        <v>858.10128999999995</v>
      </c>
      <c r="S207" s="567">
        <v>867.59065999999996</v>
      </c>
      <c r="T207" s="567">
        <v>734.146289999999</v>
      </c>
      <c r="U207" s="567">
        <f t="shared" ref="U207:U270" si="24">SUM(I207:T207)</f>
        <v>10157.497689999997</v>
      </c>
    </row>
    <row r="208" spans="1:21" x14ac:dyDescent="0.25">
      <c r="A208" s="567" t="str">
        <f t="shared" si="22"/>
        <v>KU</v>
      </c>
      <c r="B208" s="567" t="str">
        <f t="shared" si="21"/>
        <v>VA</v>
      </c>
      <c r="C208" s="567" t="str">
        <f t="shared" si="23"/>
        <v>E</v>
      </c>
      <c r="D208" s="567" t="s">
        <v>2646</v>
      </c>
      <c r="E208" s="567" t="str">
        <f t="shared" si="20"/>
        <v>368</v>
      </c>
      <c r="F208" s="864" t="s">
        <v>1706</v>
      </c>
      <c r="G208" s="566" t="str">
        <f t="shared" si="19"/>
        <v/>
      </c>
      <c r="H208" s="567">
        <v>3.4283999999999999</v>
      </c>
      <c r="I208" s="567">
        <v>6.8567999999999998</v>
      </c>
      <c r="J208" s="567">
        <v>3.4283999999999999</v>
      </c>
      <c r="K208" s="567">
        <v>6.1359500000000002</v>
      </c>
      <c r="L208" s="567">
        <v>4.3819900000000001</v>
      </c>
      <c r="M208" s="567">
        <v>4.6658099999999996</v>
      </c>
      <c r="N208" s="567">
        <v>7.8103899999999999</v>
      </c>
      <c r="O208" s="567">
        <v>3.4283999999999999</v>
      </c>
      <c r="P208" s="567">
        <v>2.1909999999999998</v>
      </c>
      <c r="Q208" s="567">
        <v>5.5821399999999999</v>
      </c>
      <c r="R208" s="567">
        <v>5.5821399999999999</v>
      </c>
      <c r="S208" s="567">
        <v>5.5821399999999999</v>
      </c>
      <c r="T208" s="567">
        <v>2.1819600000000001</v>
      </c>
      <c r="U208" s="567">
        <f t="shared" si="24"/>
        <v>57.827120000000008</v>
      </c>
    </row>
    <row r="209" spans="1:21" x14ac:dyDescent="0.25">
      <c r="A209" s="567" t="str">
        <f t="shared" si="22"/>
        <v>KU</v>
      </c>
      <c r="B209" s="567" t="str">
        <f t="shared" si="21"/>
        <v>KY</v>
      </c>
      <c r="C209" s="567" t="str">
        <f t="shared" si="23"/>
        <v>E</v>
      </c>
      <c r="D209" s="567" t="s">
        <v>2646</v>
      </c>
      <c r="E209" s="567" t="str">
        <f t="shared" si="20"/>
        <v>369</v>
      </c>
      <c r="F209" s="864" t="s">
        <v>1707</v>
      </c>
      <c r="G209" s="566" t="str">
        <f t="shared" si="19"/>
        <v/>
      </c>
      <c r="H209" s="567">
        <v>0</v>
      </c>
      <c r="I209" s="567">
        <v>0</v>
      </c>
      <c r="J209" s="567">
        <v>0</v>
      </c>
      <c r="K209" s="567">
        <v>0</v>
      </c>
      <c r="L209" s="567">
        <v>0</v>
      </c>
      <c r="M209" s="567">
        <v>0</v>
      </c>
      <c r="N209" s="567">
        <v>0</v>
      </c>
      <c r="O209" s="567">
        <v>0</v>
      </c>
      <c r="P209" s="567">
        <v>53.775120000000001</v>
      </c>
      <c r="Q209" s="567">
        <v>0</v>
      </c>
      <c r="R209" s="567">
        <v>0</v>
      </c>
      <c r="S209" s="567">
        <v>0</v>
      </c>
      <c r="T209" s="567">
        <v>0</v>
      </c>
      <c r="U209" s="567">
        <f t="shared" si="24"/>
        <v>53.775120000000001</v>
      </c>
    </row>
    <row r="210" spans="1:21" x14ac:dyDescent="0.25">
      <c r="A210" s="567" t="str">
        <f t="shared" si="22"/>
        <v>KU</v>
      </c>
      <c r="B210" s="567" t="str">
        <f t="shared" si="21"/>
        <v>KY</v>
      </c>
      <c r="C210" s="567" t="str">
        <f t="shared" si="23"/>
        <v>E</v>
      </c>
      <c r="D210" s="567" t="s">
        <v>2646</v>
      </c>
      <c r="E210" s="567" t="str">
        <f t="shared" si="20"/>
        <v>370</v>
      </c>
      <c r="F210" s="864" t="s">
        <v>1710</v>
      </c>
      <c r="G210" s="566" t="str">
        <f t="shared" si="19"/>
        <v/>
      </c>
      <c r="H210" s="567">
        <v>136.73845</v>
      </c>
      <c r="I210" s="567">
        <v>142.20589000000001</v>
      </c>
      <c r="J210" s="567">
        <v>137.54433</v>
      </c>
      <c r="K210" s="567">
        <v>133.60354000000001</v>
      </c>
      <c r="L210" s="567">
        <v>141.03244000000001</v>
      </c>
      <c r="M210" s="567">
        <v>95.251609999999999</v>
      </c>
      <c r="N210" s="567">
        <v>133.18187</v>
      </c>
      <c r="O210" s="567">
        <v>143.97782999999899</v>
      </c>
      <c r="P210" s="567">
        <v>830.37660000000005</v>
      </c>
      <c r="Q210" s="567">
        <v>61.005940000000002</v>
      </c>
      <c r="R210" s="567">
        <v>225.43263999999999</v>
      </c>
      <c r="S210" s="567">
        <v>98.523139999999998</v>
      </c>
      <c r="T210" s="567">
        <v>142.73756</v>
      </c>
      <c r="U210" s="567">
        <f t="shared" si="24"/>
        <v>2284.8733899999988</v>
      </c>
    </row>
    <row r="211" spans="1:21" x14ac:dyDescent="0.25">
      <c r="A211" s="567" t="str">
        <f t="shared" si="22"/>
        <v>KU</v>
      </c>
      <c r="B211" s="567" t="str">
        <f t="shared" si="21"/>
        <v>KY</v>
      </c>
      <c r="C211" s="567" t="str">
        <f t="shared" si="23"/>
        <v>E</v>
      </c>
      <c r="D211" s="567" t="s">
        <v>2646</v>
      </c>
      <c r="E211" s="567" t="str">
        <f t="shared" si="20"/>
        <v>370</v>
      </c>
      <c r="F211" s="864" t="s">
        <v>2428</v>
      </c>
      <c r="G211" s="566" t="str">
        <f t="shared" si="19"/>
        <v>DSM</v>
      </c>
      <c r="H211" s="567">
        <v>0</v>
      </c>
      <c r="I211" s="567">
        <v>0</v>
      </c>
      <c r="J211" s="567">
        <v>0</v>
      </c>
      <c r="K211" s="567">
        <v>0</v>
      </c>
      <c r="L211" s="567">
        <v>0</v>
      </c>
      <c r="M211" s="567">
        <v>0</v>
      </c>
      <c r="N211" s="567">
        <v>0</v>
      </c>
      <c r="O211" s="567">
        <v>0</v>
      </c>
      <c r="P211" s="567">
        <v>0</v>
      </c>
      <c r="Q211" s="567">
        <v>0</v>
      </c>
      <c r="R211" s="567">
        <v>0</v>
      </c>
      <c r="S211" s="567">
        <v>0</v>
      </c>
      <c r="T211" s="567">
        <v>0</v>
      </c>
      <c r="U211" s="567">
        <f t="shared" si="24"/>
        <v>0</v>
      </c>
    </row>
    <row r="212" spans="1:21" x14ac:dyDescent="0.25">
      <c r="A212" s="567" t="str">
        <f t="shared" si="22"/>
        <v>KU</v>
      </c>
      <c r="B212" s="567" t="str">
        <f t="shared" si="21"/>
        <v>VA</v>
      </c>
      <c r="C212" s="567" t="str">
        <f t="shared" si="23"/>
        <v>E</v>
      </c>
      <c r="D212" s="567" t="s">
        <v>2646</v>
      </c>
      <c r="E212" s="567" t="str">
        <f t="shared" si="20"/>
        <v>370</v>
      </c>
      <c r="F212" s="864" t="s">
        <v>1712</v>
      </c>
      <c r="G212" s="566" t="str">
        <f t="shared" si="19"/>
        <v/>
      </c>
      <c r="H212" s="567">
        <v>0</v>
      </c>
      <c r="I212" s="567">
        <v>0</v>
      </c>
      <c r="J212" s="567">
        <v>0</v>
      </c>
      <c r="K212" s="567">
        <v>0</v>
      </c>
      <c r="L212" s="567">
        <v>0</v>
      </c>
      <c r="M212" s="567">
        <v>0</v>
      </c>
      <c r="N212" s="567">
        <v>0</v>
      </c>
      <c r="O212" s="567">
        <v>0</v>
      </c>
      <c r="P212" s="567">
        <v>0</v>
      </c>
      <c r="Q212" s="567">
        <v>0</v>
      </c>
      <c r="R212" s="567">
        <v>0</v>
      </c>
      <c r="S212" s="567">
        <v>0</v>
      </c>
      <c r="T212" s="567">
        <v>0</v>
      </c>
      <c r="U212" s="567">
        <f t="shared" si="24"/>
        <v>0</v>
      </c>
    </row>
    <row r="213" spans="1:21" x14ac:dyDescent="0.25">
      <c r="A213" s="567" t="str">
        <f t="shared" si="22"/>
        <v>KU</v>
      </c>
      <c r="B213" s="567" t="str">
        <f t="shared" si="21"/>
        <v>KY</v>
      </c>
      <c r="C213" s="567" t="str">
        <f t="shared" si="23"/>
        <v>E</v>
      </c>
      <c r="D213" s="567" t="s">
        <v>2646</v>
      </c>
      <c r="E213" s="567" t="str">
        <f t="shared" si="20"/>
        <v>371</v>
      </c>
      <c r="F213" s="864" t="s">
        <v>1713</v>
      </c>
      <c r="G213" s="566" t="str">
        <f t="shared" si="19"/>
        <v/>
      </c>
      <c r="H213" s="567">
        <v>0</v>
      </c>
      <c r="I213" s="567">
        <v>0</v>
      </c>
      <c r="J213" s="567">
        <v>0</v>
      </c>
      <c r="K213" s="567">
        <v>0</v>
      </c>
      <c r="L213" s="567">
        <v>0</v>
      </c>
      <c r="M213" s="567">
        <v>0</v>
      </c>
      <c r="N213" s="567">
        <v>0</v>
      </c>
      <c r="O213" s="567">
        <v>0</v>
      </c>
      <c r="P213" s="567">
        <v>0</v>
      </c>
      <c r="Q213" s="567">
        <v>0</v>
      </c>
      <c r="R213" s="567">
        <v>0</v>
      </c>
      <c r="S213" s="567">
        <v>0</v>
      </c>
      <c r="T213" s="567">
        <v>0</v>
      </c>
      <c r="U213" s="567">
        <f t="shared" si="24"/>
        <v>0</v>
      </c>
    </row>
    <row r="214" spans="1:21" x14ac:dyDescent="0.25">
      <c r="A214" s="567" t="str">
        <f t="shared" si="22"/>
        <v>KU</v>
      </c>
      <c r="B214" s="567" t="str">
        <f t="shared" si="21"/>
        <v>KY</v>
      </c>
      <c r="C214" s="567" t="str">
        <f t="shared" si="23"/>
        <v>E</v>
      </c>
      <c r="D214" s="567" t="s">
        <v>2646</v>
      </c>
      <c r="E214" s="567" t="str">
        <f t="shared" si="20"/>
        <v>371</v>
      </c>
      <c r="F214" s="864" t="s">
        <v>2636</v>
      </c>
      <c r="G214" s="566" t="str">
        <f t="shared" si="19"/>
        <v/>
      </c>
      <c r="H214" s="567">
        <v>0</v>
      </c>
      <c r="I214" s="567">
        <v>0</v>
      </c>
      <c r="J214" s="567">
        <v>0</v>
      </c>
      <c r="K214" s="567">
        <v>0</v>
      </c>
      <c r="L214" s="567">
        <v>0</v>
      </c>
      <c r="M214" s="567">
        <v>0</v>
      </c>
      <c r="N214" s="567">
        <v>0</v>
      </c>
      <c r="O214" s="567">
        <v>0</v>
      </c>
      <c r="P214" s="567">
        <v>0</v>
      </c>
      <c r="Q214" s="567">
        <v>0</v>
      </c>
      <c r="R214" s="567">
        <v>0</v>
      </c>
      <c r="S214" s="567">
        <v>0</v>
      </c>
      <c r="T214" s="567">
        <v>0</v>
      </c>
      <c r="U214" s="567">
        <f t="shared" si="24"/>
        <v>0</v>
      </c>
    </row>
    <row r="215" spans="1:21" x14ac:dyDescent="0.25">
      <c r="A215" s="567" t="str">
        <f t="shared" si="22"/>
        <v>KU</v>
      </c>
      <c r="B215" s="567" t="str">
        <f t="shared" si="21"/>
        <v>KY</v>
      </c>
      <c r="C215" s="567" t="str">
        <f t="shared" si="23"/>
        <v>E</v>
      </c>
      <c r="D215" s="567" t="s">
        <v>2646</v>
      </c>
      <c r="E215" s="567" t="str">
        <f t="shared" si="20"/>
        <v>373</v>
      </c>
      <c r="F215" s="864" t="s">
        <v>1714</v>
      </c>
      <c r="G215" s="566" t="str">
        <f t="shared" si="19"/>
        <v/>
      </c>
      <c r="H215" s="567">
        <v>566.62777000000006</v>
      </c>
      <c r="I215" s="567">
        <v>597.11266999999998</v>
      </c>
      <c r="J215" s="567">
        <v>613.58473999999899</v>
      </c>
      <c r="K215" s="567">
        <v>625.89893999999902</v>
      </c>
      <c r="L215" s="567">
        <v>619.32441999999901</v>
      </c>
      <c r="M215" s="567">
        <v>586.26796000000002</v>
      </c>
      <c r="N215" s="567">
        <v>633.28138000000001</v>
      </c>
      <c r="O215" s="567">
        <v>577.21493999999996</v>
      </c>
      <c r="P215" s="567">
        <v>573.303889999999</v>
      </c>
      <c r="Q215" s="567">
        <v>643.55136000000005</v>
      </c>
      <c r="R215" s="567">
        <v>581.75896999999998</v>
      </c>
      <c r="S215" s="567">
        <v>633.03147999999999</v>
      </c>
      <c r="T215" s="567">
        <v>587.92420000000004</v>
      </c>
      <c r="U215" s="567">
        <f t="shared" si="24"/>
        <v>7272.2549499999968</v>
      </c>
    </row>
    <row r="216" spans="1:21" x14ac:dyDescent="0.25">
      <c r="A216" s="567" t="str">
        <f t="shared" si="22"/>
        <v>KU</v>
      </c>
      <c r="B216" s="567" t="str">
        <f t="shared" si="21"/>
        <v>VA</v>
      </c>
      <c r="C216" s="567" t="str">
        <f t="shared" si="23"/>
        <v>E</v>
      </c>
      <c r="D216" s="567" t="s">
        <v>2646</v>
      </c>
      <c r="E216" s="567" t="str">
        <f t="shared" si="20"/>
        <v>373</v>
      </c>
      <c r="F216" s="864" t="s">
        <v>1715</v>
      </c>
      <c r="G216" s="566" t="str">
        <f t="shared" si="19"/>
        <v/>
      </c>
      <c r="H216" s="567">
        <v>13.71359</v>
      </c>
      <c r="I216" s="567">
        <v>18.37941</v>
      </c>
      <c r="J216" s="567">
        <v>16.188410000000001</v>
      </c>
      <c r="K216" s="567">
        <v>19.616810000000001</v>
      </c>
      <c r="L216" s="567">
        <v>20.570409999999999</v>
      </c>
      <c r="M216" s="567">
        <v>18.37942</v>
      </c>
      <c r="N216" s="567">
        <v>14.951000000000001</v>
      </c>
      <c r="O216" s="567">
        <v>10.56901</v>
      </c>
      <c r="P216" s="567">
        <v>9.3316099999999995</v>
      </c>
      <c r="Q216" s="567">
        <v>20.401</v>
      </c>
      <c r="R216" s="567">
        <v>19.1828</v>
      </c>
      <c r="S216" s="567">
        <v>20.401</v>
      </c>
      <c r="T216" s="567">
        <v>15.782629999999999</v>
      </c>
      <c r="U216" s="567">
        <f t="shared" si="24"/>
        <v>203.75351000000003</v>
      </c>
    </row>
    <row r="217" spans="1:21" x14ac:dyDescent="0.25">
      <c r="A217" s="567" t="str">
        <f t="shared" si="22"/>
        <v>KU</v>
      </c>
      <c r="B217" s="567" t="str">
        <f t="shared" si="21"/>
        <v>KY</v>
      </c>
      <c r="C217" s="567" t="str">
        <f t="shared" si="23"/>
        <v>E</v>
      </c>
      <c r="D217" s="567" t="s">
        <v>2646</v>
      </c>
      <c r="E217" s="567" t="str">
        <f t="shared" si="20"/>
        <v>389</v>
      </c>
      <c r="F217" s="864" t="s">
        <v>1717</v>
      </c>
      <c r="G217" s="566" t="str">
        <f t="shared" si="19"/>
        <v/>
      </c>
      <c r="H217" s="567">
        <v>0</v>
      </c>
      <c r="I217" s="567">
        <v>0</v>
      </c>
      <c r="J217" s="567">
        <v>0</v>
      </c>
      <c r="K217" s="567">
        <v>0</v>
      </c>
      <c r="L217" s="567">
        <v>0</v>
      </c>
      <c r="M217" s="567">
        <v>0</v>
      </c>
      <c r="N217" s="567">
        <v>0</v>
      </c>
      <c r="O217" s="567">
        <v>617.60815000000002</v>
      </c>
      <c r="P217" s="567">
        <v>19.205919999999999</v>
      </c>
      <c r="Q217" s="567">
        <v>0</v>
      </c>
      <c r="R217" s="567">
        <v>0</v>
      </c>
      <c r="S217" s="567">
        <v>0</v>
      </c>
      <c r="T217" s="567">
        <v>0</v>
      </c>
      <c r="U217" s="567">
        <f t="shared" si="24"/>
        <v>636.81407000000002</v>
      </c>
    </row>
    <row r="218" spans="1:21" x14ac:dyDescent="0.25">
      <c r="A218" s="567" t="str">
        <f t="shared" si="22"/>
        <v>KU</v>
      </c>
      <c r="B218" s="567" t="str">
        <f t="shared" si="21"/>
        <v>VA</v>
      </c>
      <c r="C218" s="567" t="str">
        <f t="shared" si="23"/>
        <v>E</v>
      </c>
      <c r="D218" s="567" t="s">
        <v>2646</v>
      </c>
      <c r="E218" s="567" t="str">
        <f t="shared" si="20"/>
        <v>389</v>
      </c>
      <c r="F218" s="864" t="s">
        <v>1718</v>
      </c>
      <c r="G218" s="566" t="str">
        <f t="shared" si="19"/>
        <v/>
      </c>
      <c r="H218" s="567">
        <v>0</v>
      </c>
      <c r="I218" s="567">
        <v>0</v>
      </c>
      <c r="J218" s="567">
        <v>0</v>
      </c>
      <c r="K218" s="567">
        <v>0</v>
      </c>
      <c r="L218" s="567">
        <v>0</v>
      </c>
      <c r="M218" s="567">
        <v>0</v>
      </c>
      <c r="N218" s="567">
        <v>0</v>
      </c>
      <c r="O218" s="567">
        <v>0</v>
      </c>
      <c r="P218" s="567">
        <v>0</v>
      </c>
      <c r="Q218" s="567">
        <v>0</v>
      </c>
      <c r="R218" s="567">
        <v>0</v>
      </c>
      <c r="S218" s="567">
        <v>0</v>
      </c>
      <c r="T218" s="567">
        <v>0</v>
      </c>
      <c r="U218" s="567">
        <f t="shared" si="24"/>
        <v>0</v>
      </c>
    </row>
    <row r="219" spans="1:21" x14ac:dyDescent="0.25">
      <c r="A219" s="567" t="str">
        <f t="shared" si="22"/>
        <v>KU</v>
      </c>
      <c r="B219" s="567" t="str">
        <f t="shared" si="21"/>
        <v>KY</v>
      </c>
      <c r="C219" s="567" t="str">
        <f t="shared" si="23"/>
        <v>E</v>
      </c>
      <c r="D219" s="567" t="s">
        <v>2646</v>
      </c>
      <c r="E219" s="567" t="str">
        <f t="shared" si="20"/>
        <v>390</v>
      </c>
      <c r="F219" s="864" t="s">
        <v>1719</v>
      </c>
      <c r="G219" s="566" t="str">
        <f t="shared" ref="G219:G282" si="25">IF(ISTEXT(MID($F219,SEARCH("FUTURE USE",$F219),3)),"FUTURE USE",IF(ISTEXT(MID($F219,SEARCH("ECR",$F219),3)),"ECR",IF(ISTEXT(MID($F219,SEARCH("ARO",$F219),3)),"ARO",IF(ISTEXT(MID($F219,SEARCH("DSM",$F219),3)),"DSM",""))))</f>
        <v/>
      </c>
      <c r="H219" s="567">
        <v>0</v>
      </c>
      <c r="I219" s="567">
        <v>0</v>
      </c>
      <c r="J219" s="567">
        <v>0</v>
      </c>
      <c r="K219" s="567">
        <v>0</v>
      </c>
      <c r="L219" s="567">
        <v>0</v>
      </c>
      <c r="M219" s="567">
        <v>0</v>
      </c>
      <c r="N219" s="567">
        <v>0</v>
      </c>
      <c r="O219" s="567">
        <v>0</v>
      </c>
      <c r="P219" s="567">
        <v>0</v>
      </c>
      <c r="Q219" s="567">
        <v>0</v>
      </c>
      <c r="R219" s="567">
        <v>0</v>
      </c>
      <c r="S219" s="567">
        <v>0</v>
      </c>
      <c r="T219" s="567">
        <v>0</v>
      </c>
      <c r="U219" s="567">
        <f t="shared" si="24"/>
        <v>0</v>
      </c>
    </row>
    <row r="220" spans="1:21" x14ac:dyDescent="0.25">
      <c r="A220" s="567" t="str">
        <f t="shared" si="22"/>
        <v>KU</v>
      </c>
      <c r="B220" s="567" t="str">
        <f t="shared" si="21"/>
        <v>KY</v>
      </c>
      <c r="C220" s="567" t="str">
        <f t="shared" si="23"/>
        <v>E</v>
      </c>
      <c r="D220" s="567" t="s">
        <v>2646</v>
      </c>
      <c r="E220" s="567" t="str">
        <f t="shared" si="20"/>
        <v>390</v>
      </c>
      <c r="F220" s="864" t="s">
        <v>1720</v>
      </c>
      <c r="G220" s="566" t="str">
        <f t="shared" si="25"/>
        <v/>
      </c>
      <c r="H220" s="567">
        <v>19.063279999999999</v>
      </c>
      <c r="I220" s="567">
        <v>27.5456</v>
      </c>
      <c r="J220" s="567">
        <v>7440.93462</v>
      </c>
      <c r="K220" s="567">
        <v>22.213930000000001</v>
      </c>
      <c r="L220" s="567">
        <v>166.64448999999999</v>
      </c>
      <c r="M220" s="567">
        <v>407.85034999999999</v>
      </c>
      <c r="N220" s="567">
        <v>712.80097000000001</v>
      </c>
      <c r="O220" s="567">
        <v>1497.4055499999999</v>
      </c>
      <c r="P220" s="567">
        <v>1893.2452699999999</v>
      </c>
      <c r="Q220" s="567">
        <v>22.369489999999999</v>
      </c>
      <c r="R220" s="567">
        <v>16.909389999999998</v>
      </c>
      <c r="S220" s="567">
        <v>17.64592</v>
      </c>
      <c r="T220" s="567">
        <v>14.718059999999999</v>
      </c>
      <c r="U220" s="567">
        <f t="shared" si="24"/>
        <v>12240.283639999998</v>
      </c>
    </row>
    <row r="221" spans="1:21" x14ac:dyDescent="0.25">
      <c r="A221" s="567" t="str">
        <f t="shared" si="22"/>
        <v>KU</v>
      </c>
      <c r="B221" s="567" t="str">
        <f t="shared" si="21"/>
        <v>VA</v>
      </c>
      <c r="C221" s="567" t="str">
        <f t="shared" si="23"/>
        <v>E</v>
      </c>
      <c r="D221" s="567" t="s">
        <v>2646</v>
      </c>
      <c r="E221" s="567" t="str">
        <f t="shared" si="20"/>
        <v>390</v>
      </c>
      <c r="F221" s="864" t="s">
        <v>1721</v>
      </c>
      <c r="G221" s="566" t="str">
        <f t="shared" si="25"/>
        <v/>
      </c>
      <c r="H221" s="567">
        <v>6.7221500000000001</v>
      </c>
      <c r="I221" s="567">
        <v>213.08016000000001</v>
      </c>
      <c r="J221" s="567">
        <v>0</v>
      </c>
      <c r="K221" s="567">
        <v>4486.8280000000004</v>
      </c>
      <c r="L221" s="567">
        <v>28.811979999999998</v>
      </c>
      <c r="M221" s="567">
        <v>0</v>
      </c>
      <c r="N221" s="567">
        <v>0</v>
      </c>
      <c r="O221" s="567">
        <v>0</v>
      </c>
      <c r="P221" s="567">
        <v>0</v>
      </c>
      <c r="Q221" s="567">
        <v>0</v>
      </c>
      <c r="R221" s="567">
        <v>0</v>
      </c>
      <c r="S221" s="567">
        <v>0</v>
      </c>
      <c r="T221" s="567">
        <v>0</v>
      </c>
      <c r="U221" s="567">
        <f t="shared" si="24"/>
        <v>4728.7201400000013</v>
      </c>
    </row>
    <row r="222" spans="1:21" x14ac:dyDescent="0.25">
      <c r="A222" s="567" t="str">
        <f t="shared" si="22"/>
        <v>KU</v>
      </c>
      <c r="B222" s="567" t="str">
        <f t="shared" si="21"/>
        <v>KY</v>
      </c>
      <c r="C222" s="567" t="str">
        <f t="shared" si="23"/>
        <v>E</v>
      </c>
      <c r="D222" s="567" t="s">
        <v>2646</v>
      </c>
      <c r="E222" s="567" t="str">
        <f t="shared" si="20"/>
        <v>391</v>
      </c>
      <c r="F222" s="864" t="s">
        <v>1722</v>
      </c>
      <c r="G222" s="566" t="str">
        <f t="shared" si="25"/>
        <v/>
      </c>
      <c r="H222" s="567">
        <v>0</v>
      </c>
      <c r="I222" s="567">
        <v>0</v>
      </c>
      <c r="J222" s="567">
        <v>0</v>
      </c>
      <c r="K222" s="567">
        <v>0</v>
      </c>
      <c r="L222" s="567">
        <v>0</v>
      </c>
      <c r="M222" s="567">
        <v>37.967460000000003</v>
      </c>
      <c r="N222" s="567">
        <v>0</v>
      </c>
      <c r="O222" s="567">
        <v>1234.91743</v>
      </c>
      <c r="P222" s="567">
        <v>87.405619999999999</v>
      </c>
      <c r="Q222" s="567">
        <v>0</v>
      </c>
      <c r="R222" s="567">
        <v>0</v>
      </c>
      <c r="S222" s="567">
        <v>0</v>
      </c>
      <c r="T222" s="567">
        <v>0</v>
      </c>
      <c r="U222" s="567">
        <f t="shared" si="24"/>
        <v>1360.29051</v>
      </c>
    </row>
    <row r="223" spans="1:21" x14ac:dyDescent="0.25">
      <c r="A223" s="567" t="str">
        <f t="shared" si="22"/>
        <v>KU</v>
      </c>
      <c r="B223" s="567" t="str">
        <f t="shared" si="21"/>
        <v>KY</v>
      </c>
      <c r="C223" s="567" t="str">
        <f t="shared" si="23"/>
        <v>E</v>
      </c>
      <c r="D223" s="567" t="s">
        <v>2646</v>
      </c>
      <c r="E223" s="567" t="str">
        <f t="shared" si="20"/>
        <v>391</v>
      </c>
      <c r="F223" s="864" t="s">
        <v>1723</v>
      </c>
      <c r="G223" s="566" t="str">
        <f t="shared" si="25"/>
        <v/>
      </c>
      <c r="H223" s="567">
        <v>0</v>
      </c>
      <c r="I223" s="567">
        <v>222.53305</v>
      </c>
      <c r="J223" s="567">
        <v>232.76945000000001</v>
      </c>
      <c r="K223" s="567">
        <v>142.11995999999999</v>
      </c>
      <c r="L223" s="567">
        <v>532.75779999999997</v>
      </c>
      <c r="M223" s="567">
        <v>409.79266000000001</v>
      </c>
      <c r="N223" s="567">
        <v>147.00282000000001</v>
      </c>
      <c r="O223" s="567">
        <v>706.82667000000004</v>
      </c>
      <c r="P223" s="567">
        <v>1222.5468599999999</v>
      </c>
      <c r="Q223" s="567">
        <v>0</v>
      </c>
      <c r="R223" s="567">
        <v>0</v>
      </c>
      <c r="S223" s="567">
        <v>115.2324</v>
      </c>
      <c r="T223" s="567">
        <v>115.2324</v>
      </c>
      <c r="U223" s="567">
        <f t="shared" si="24"/>
        <v>3846.8140699999999</v>
      </c>
    </row>
    <row r="224" spans="1:21" x14ac:dyDescent="0.25">
      <c r="A224" s="567" t="str">
        <f t="shared" si="22"/>
        <v>KU</v>
      </c>
      <c r="B224" s="567" t="str">
        <f t="shared" si="21"/>
        <v>KY</v>
      </c>
      <c r="C224" s="567" t="str">
        <f t="shared" si="23"/>
        <v>E</v>
      </c>
      <c r="D224" s="567" t="s">
        <v>2646</v>
      </c>
      <c r="E224" s="567" t="str">
        <f t="shared" si="20"/>
        <v>392</v>
      </c>
      <c r="F224" s="864" t="s">
        <v>1726</v>
      </c>
      <c r="G224" s="566" t="str">
        <f t="shared" si="25"/>
        <v/>
      </c>
      <c r="H224" s="567">
        <v>0</v>
      </c>
      <c r="I224" s="567">
        <v>0</v>
      </c>
      <c r="J224" s="567">
        <v>0</v>
      </c>
      <c r="K224" s="567">
        <v>0</v>
      </c>
      <c r="L224" s="567">
        <v>0</v>
      </c>
      <c r="M224" s="567">
        <v>0</v>
      </c>
      <c r="N224" s="567">
        <v>0</v>
      </c>
      <c r="O224" s="567">
        <v>0</v>
      </c>
      <c r="P224" s="567">
        <v>0</v>
      </c>
      <c r="Q224" s="567">
        <v>0</v>
      </c>
      <c r="R224" s="567">
        <v>0</v>
      </c>
      <c r="S224" s="567">
        <v>0</v>
      </c>
      <c r="T224" s="567">
        <v>0</v>
      </c>
      <c r="U224" s="567">
        <f t="shared" si="24"/>
        <v>0</v>
      </c>
    </row>
    <row r="225" spans="1:21" x14ac:dyDescent="0.25">
      <c r="A225" s="567" t="str">
        <f t="shared" si="22"/>
        <v>KU</v>
      </c>
      <c r="B225" s="567" t="str">
        <f t="shared" si="21"/>
        <v>VA</v>
      </c>
      <c r="C225" s="567" t="str">
        <f t="shared" si="23"/>
        <v>E</v>
      </c>
      <c r="D225" s="567" t="s">
        <v>2646</v>
      </c>
      <c r="E225" s="567" t="str">
        <f t="shared" si="20"/>
        <v>392</v>
      </c>
      <c r="F225" s="864" t="s">
        <v>2429</v>
      </c>
      <c r="G225" s="566" t="str">
        <f t="shared" si="25"/>
        <v/>
      </c>
      <c r="H225" s="567">
        <v>0</v>
      </c>
      <c r="I225" s="567">
        <v>0</v>
      </c>
      <c r="J225" s="567">
        <v>0</v>
      </c>
      <c r="K225" s="567">
        <v>0</v>
      </c>
      <c r="L225" s="567">
        <v>0</v>
      </c>
      <c r="M225" s="567">
        <v>0</v>
      </c>
      <c r="N225" s="567">
        <v>0</v>
      </c>
      <c r="O225" s="567">
        <v>0</v>
      </c>
      <c r="P225" s="567">
        <v>0</v>
      </c>
      <c r="Q225" s="567">
        <v>0</v>
      </c>
      <c r="R225" s="567">
        <v>0</v>
      </c>
      <c r="S225" s="567">
        <v>0</v>
      </c>
      <c r="T225" s="567">
        <v>0</v>
      </c>
      <c r="U225" s="567">
        <f t="shared" si="24"/>
        <v>0</v>
      </c>
    </row>
    <row r="226" spans="1:21" x14ac:dyDescent="0.25">
      <c r="A226" s="567" t="str">
        <f t="shared" si="22"/>
        <v>KU</v>
      </c>
      <c r="B226" s="567" t="str">
        <f t="shared" si="21"/>
        <v>KY</v>
      </c>
      <c r="C226" s="567" t="str">
        <f t="shared" si="23"/>
        <v>E</v>
      </c>
      <c r="D226" s="567" t="s">
        <v>2646</v>
      </c>
      <c r="E226" s="567" t="str">
        <f t="shared" si="20"/>
        <v>393</v>
      </c>
      <c r="F226" s="864" t="s">
        <v>1727</v>
      </c>
      <c r="G226" s="566" t="str">
        <f t="shared" si="25"/>
        <v/>
      </c>
      <c r="H226" s="567">
        <v>0</v>
      </c>
      <c r="I226" s="567">
        <v>0</v>
      </c>
      <c r="J226" s="567">
        <v>0</v>
      </c>
      <c r="K226" s="567">
        <v>0</v>
      </c>
      <c r="L226" s="567">
        <v>0</v>
      </c>
      <c r="M226" s="567">
        <v>0</v>
      </c>
      <c r="N226" s="567">
        <v>0</v>
      </c>
      <c r="O226" s="567">
        <v>0</v>
      </c>
      <c r="P226" s="567">
        <v>0</v>
      </c>
      <c r="Q226" s="567">
        <v>0</v>
      </c>
      <c r="R226" s="567">
        <v>0</v>
      </c>
      <c r="S226" s="567">
        <v>0</v>
      </c>
      <c r="T226" s="567">
        <v>0</v>
      </c>
      <c r="U226" s="567">
        <f t="shared" si="24"/>
        <v>0</v>
      </c>
    </row>
    <row r="227" spans="1:21" x14ac:dyDescent="0.25">
      <c r="A227" s="567" t="str">
        <f t="shared" si="22"/>
        <v>KU</v>
      </c>
      <c r="B227" s="567" t="str">
        <f t="shared" si="21"/>
        <v>KY</v>
      </c>
      <c r="C227" s="567" t="str">
        <f t="shared" si="23"/>
        <v>E</v>
      </c>
      <c r="D227" s="567" t="s">
        <v>2646</v>
      </c>
      <c r="E227" s="567" t="str">
        <f t="shared" si="20"/>
        <v>394</v>
      </c>
      <c r="F227" s="864" t="s">
        <v>1729</v>
      </c>
      <c r="G227" s="566" t="str">
        <f t="shared" si="25"/>
        <v/>
      </c>
      <c r="H227" s="567">
        <v>104.874839999999</v>
      </c>
      <c r="I227" s="567">
        <v>256.60318000000001</v>
      </c>
      <c r="J227" s="567">
        <v>430.51247999999998</v>
      </c>
      <c r="K227" s="567">
        <v>69.918219999999906</v>
      </c>
      <c r="L227" s="567">
        <v>162.35941</v>
      </c>
      <c r="M227" s="567">
        <v>678.48009000000002</v>
      </c>
      <c r="N227" s="567">
        <v>12.302020000000001</v>
      </c>
      <c r="O227" s="567">
        <v>17.127890000000001</v>
      </c>
      <c r="P227" s="567">
        <v>135.94488999999999</v>
      </c>
      <c r="Q227" s="567">
        <v>0.27333999999999897</v>
      </c>
      <c r="R227" s="567">
        <v>16.20158</v>
      </c>
      <c r="S227" s="567">
        <v>226.33529999999999</v>
      </c>
      <c r="T227" s="567">
        <v>320.88515999999998</v>
      </c>
      <c r="U227" s="567">
        <f t="shared" si="24"/>
        <v>2326.9435599999997</v>
      </c>
    </row>
    <row r="228" spans="1:21" x14ac:dyDescent="0.25">
      <c r="A228" s="567" t="str">
        <f t="shared" si="22"/>
        <v>KU</v>
      </c>
      <c r="B228" s="567" t="str">
        <f t="shared" si="21"/>
        <v>VA</v>
      </c>
      <c r="C228" s="567" t="str">
        <f t="shared" si="23"/>
        <v>E</v>
      </c>
      <c r="D228" s="567" t="s">
        <v>2646</v>
      </c>
      <c r="E228" s="567" t="str">
        <f t="shared" si="20"/>
        <v>394</v>
      </c>
      <c r="F228" s="864" t="s">
        <v>1730</v>
      </c>
      <c r="G228" s="566" t="str">
        <f t="shared" si="25"/>
        <v/>
      </c>
      <c r="H228" s="567">
        <v>0</v>
      </c>
      <c r="I228" s="567">
        <v>0</v>
      </c>
      <c r="J228" s="567">
        <v>13.61144</v>
      </c>
      <c r="K228" s="567">
        <v>0</v>
      </c>
      <c r="L228" s="567">
        <v>13.61144</v>
      </c>
      <c r="M228" s="567">
        <v>0</v>
      </c>
      <c r="N228" s="567">
        <v>0</v>
      </c>
      <c r="O228" s="567">
        <v>0</v>
      </c>
      <c r="P228" s="567">
        <v>0</v>
      </c>
      <c r="Q228" s="567">
        <v>0</v>
      </c>
      <c r="R228" s="567">
        <v>0</v>
      </c>
      <c r="S228" s="567">
        <v>12.181990000000001</v>
      </c>
      <c r="T228" s="567">
        <v>0</v>
      </c>
      <c r="U228" s="567">
        <f t="shared" si="24"/>
        <v>39.404870000000003</v>
      </c>
    </row>
    <row r="229" spans="1:21" x14ac:dyDescent="0.25">
      <c r="A229" s="567" t="str">
        <f t="shared" si="22"/>
        <v>KU</v>
      </c>
      <c r="B229" s="567" t="str">
        <f t="shared" si="21"/>
        <v>KY</v>
      </c>
      <c r="C229" s="567" t="str">
        <f t="shared" si="23"/>
        <v>E</v>
      </c>
      <c r="D229" s="567" t="s">
        <v>2646</v>
      </c>
      <c r="E229" s="567" t="str">
        <f t="shared" si="20"/>
        <v>396</v>
      </c>
      <c r="F229" s="864" t="s">
        <v>1731</v>
      </c>
      <c r="G229" s="566" t="str">
        <f t="shared" si="25"/>
        <v/>
      </c>
      <c r="H229" s="567">
        <v>0</v>
      </c>
      <c r="I229" s="567">
        <v>0</v>
      </c>
      <c r="J229" s="567">
        <v>0</v>
      </c>
      <c r="K229" s="567">
        <v>0</v>
      </c>
      <c r="L229" s="567">
        <v>0</v>
      </c>
      <c r="M229" s="567">
        <v>0</v>
      </c>
      <c r="N229" s="567">
        <v>0</v>
      </c>
      <c r="O229" s="567">
        <v>0</v>
      </c>
      <c r="P229" s="567">
        <v>0</v>
      </c>
      <c r="Q229" s="567">
        <v>0</v>
      </c>
      <c r="R229" s="567">
        <v>0</v>
      </c>
      <c r="S229" s="567">
        <v>0</v>
      </c>
      <c r="T229" s="567">
        <v>0</v>
      </c>
      <c r="U229" s="567">
        <f t="shared" si="24"/>
        <v>0</v>
      </c>
    </row>
    <row r="230" spans="1:21" x14ac:dyDescent="0.25">
      <c r="A230" s="567" t="str">
        <f t="shared" si="22"/>
        <v>KU</v>
      </c>
      <c r="B230" s="567" t="str">
        <f t="shared" si="21"/>
        <v>KY</v>
      </c>
      <c r="C230" s="567" t="str">
        <f t="shared" si="23"/>
        <v>E</v>
      </c>
      <c r="D230" s="567" t="s">
        <v>2646</v>
      </c>
      <c r="E230" s="567" t="str">
        <f t="shared" si="20"/>
        <v>396</v>
      </c>
      <c r="F230" s="864" t="s">
        <v>2430</v>
      </c>
      <c r="G230" s="566" t="str">
        <f t="shared" si="25"/>
        <v/>
      </c>
      <c r="H230" s="567">
        <v>0</v>
      </c>
      <c r="I230" s="567">
        <v>0</v>
      </c>
      <c r="J230" s="567">
        <v>0</v>
      </c>
      <c r="K230" s="567">
        <v>0</v>
      </c>
      <c r="L230" s="567">
        <v>0</v>
      </c>
      <c r="M230" s="567">
        <v>0</v>
      </c>
      <c r="N230" s="567">
        <v>0</v>
      </c>
      <c r="O230" s="567">
        <v>0</v>
      </c>
      <c r="P230" s="567">
        <v>0</v>
      </c>
      <c r="Q230" s="567">
        <v>0</v>
      </c>
      <c r="R230" s="567">
        <v>0</v>
      </c>
      <c r="S230" s="567">
        <v>0</v>
      </c>
      <c r="T230" s="567">
        <v>0</v>
      </c>
      <c r="U230" s="567">
        <f t="shared" si="24"/>
        <v>0</v>
      </c>
    </row>
    <row r="231" spans="1:21" x14ac:dyDescent="0.25">
      <c r="A231" s="567" t="str">
        <f t="shared" si="22"/>
        <v>KU</v>
      </c>
      <c r="B231" s="567" t="str">
        <f t="shared" si="21"/>
        <v>KY</v>
      </c>
      <c r="C231" s="567" t="str">
        <f t="shared" si="23"/>
        <v>E</v>
      </c>
      <c r="D231" s="567" t="s">
        <v>2646</v>
      </c>
      <c r="E231" s="775">
        <v>3972</v>
      </c>
      <c r="F231" s="864" t="s">
        <v>1733</v>
      </c>
      <c r="G231" s="566" t="str">
        <f t="shared" si="25"/>
        <v>DSM</v>
      </c>
      <c r="H231" s="567">
        <v>20.83333</v>
      </c>
      <c r="I231" s="567">
        <v>20.83333</v>
      </c>
      <c r="J231" s="567">
        <v>20.83333</v>
      </c>
      <c r="K231" s="567">
        <v>20.83333</v>
      </c>
      <c r="L231" s="567">
        <v>20.83333</v>
      </c>
      <c r="M231" s="567">
        <v>20.83333</v>
      </c>
      <c r="N231" s="567">
        <v>20.83333</v>
      </c>
      <c r="O231" s="567">
        <v>20.83333</v>
      </c>
      <c r="P231" s="567">
        <v>20.83333</v>
      </c>
      <c r="Q231" s="567">
        <v>2.5416599999999998</v>
      </c>
      <c r="R231" s="567">
        <v>2.5416699999999999</v>
      </c>
      <c r="S231" s="567">
        <v>2.5416699999999999</v>
      </c>
      <c r="T231" s="567">
        <v>2.5416699999999999</v>
      </c>
      <c r="U231" s="567">
        <f t="shared" si="24"/>
        <v>176.83331000000004</v>
      </c>
    </row>
    <row r="232" spans="1:21" x14ac:dyDescent="0.25">
      <c r="A232" s="567" t="str">
        <f t="shared" si="22"/>
        <v>KU</v>
      </c>
      <c r="B232" s="567" t="str">
        <f t="shared" si="21"/>
        <v>KY</v>
      </c>
      <c r="C232" s="567" t="str">
        <f t="shared" si="23"/>
        <v>E</v>
      </c>
      <c r="D232" s="567" t="s">
        <v>2646</v>
      </c>
      <c r="E232" s="567" t="str">
        <f t="shared" si="20"/>
        <v>397</v>
      </c>
      <c r="F232" s="864" t="s">
        <v>1734</v>
      </c>
      <c r="G232" s="566" t="str">
        <f t="shared" si="25"/>
        <v/>
      </c>
      <c r="H232" s="567">
        <v>0</v>
      </c>
      <c r="I232" s="567">
        <v>0</v>
      </c>
      <c r="J232" s="567">
        <v>0</v>
      </c>
      <c r="K232" s="567">
        <v>0</v>
      </c>
      <c r="L232" s="567">
        <v>137.11998</v>
      </c>
      <c r="M232" s="567">
        <v>297.68369999999999</v>
      </c>
      <c r="N232" s="567">
        <v>23.046479999999999</v>
      </c>
      <c r="O232" s="567">
        <v>1250.8154499999901</v>
      </c>
      <c r="P232" s="567">
        <v>1039.95778</v>
      </c>
      <c r="Q232" s="567">
        <v>0</v>
      </c>
      <c r="R232" s="567">
        <v>0</v>
      </c>
      <c r="S232" s="567">
        <v>0</v>
      </c>
      <c r="T232" s="567">
        <v>0</v>
      </c>
      <c r="U232" s="567">
        <f t="shared" si="24"/>
        <v>2748.6233899999897</v>
      </c>
    </row>
    <row r="233" spans="1:21" x14ac:dyDescent="0.25">
      <c r="A233" s="567" t="str">
        <f t="shared" si="22"/>
        <v>KY</v>
      </c>
      <c r="B233" s="567" t="str">
        <f t="shared" si="21"/>
        <v xml:space="preserve"> A</v>
      </c>
      <c r="C233" s="567" t="str">
        <f t="shared" si="23"/>
        <v/>
      </c>
      <c r="D233" s="567" t="s">
        <v>2646</v>
      </c>
      <c r="E233" s="567" t="str">
        <f t="shared" si="20"/>
        <v>lan</v>
      </c>
      <c r="F233" s="864" t="s">
        <v>1740</v>
      </c>
      <c r="G233" s="566" t="str">
        <f t="shared" si="25"/>
        <v/>
      </c>
      <c r="H233" s="567">
        <v>62352.301089999986</v>
      </c>
      <c r="I233" s="567">
        <v>169092.73384000009</v>
      </c>
      <c r="J233" s="567">
        <v>52366.780429999984</v>
      </c>
      <c r="K233" s="567">
        <v>26937.682649999992</v>
      </c>
      <c r="L233" s="567">
        <v>19817.426869999988</v>
      </c>
      <c r="M233" s="567">
        <v>40093.93660999999</v>
      </c>
      <c r="N233" s="567">
        <v>36782.409459999981</v>
      </c>
      <c r="O233" s="567">
        <v>63740.390759999762</v>
      </c>
      <c r="P233" s="567">
        <v>180153.41592999967</v>
      </c>
      <c r="Q233" s="567">
        <v>7852.3804399999763</v>
      </c>
      <c r="R233" s="567">
        <v>14852.804149999984</v>
      </c>
      <c r="S233" s="567">
        <v>31144.477259999989</v>
      </c>
      <c r="T233" s="567">
        <v>43086.019359999984</v>
      </c>
      <c r="U233" s="567">
        <f t="shared" si="24"/>
        <v>685920.45775999932</v>
      </c>
    </row>
    <row r="234" spans="1:21" x14ac:dyDescent="0.25">
      <c r="A234" s="567" t="str">
        <f t="shared" si="22"/>
        <v/>
      </c>
      <c r="B234" s="567" t="str">
        <f t="shared" si="21"/>
        <v/>
      </c>
      <c r="C234" s="567" t="str">
        <f t="shared" si="23"/>
        <v/>
      </c>
      <c r="G234" s="566" t="str">
        <f t="shared" si="25"/>
        <v/>
      </c>
      <c r="H234" s="567">
        <v>0</v>
      </c>
      <c r="I234" s="567">
        <v>0</v>
      </c>
      <c r="J234" s="567">
        <v>8.7311491370201111E-11</v>
      </c>
      <c r="K234" s="567">
        <v>0</v>
      </c>
      <c r="L234" s="567">
        <v>0</v>
      </c>
      <c r="M234" s="567">
        <v>8.7311491370201111E-11</v>
      </c>
      <c r="N234" s="567">
        <v>8.0035533756017685E-11</v>
      </c>
      <c r="O234" s="567">
        <v>-2.4010660126805305E-10</v>
      </c>
      <c r="P234" s="567">
        <v>-3.2014213502407074E-10</v>
      </c>
      <c r="Q234" s="567">
        <v>-1.3642420526593924E-11</v>
      </c>
      <c r="R234" s="567">
        <v>-1.6370904631912708E-11</v>
      </c>
      <c r="S234" s="567">
        <v>0</v>
      </c>
      <c r="T234" s="567">
        <v>0</v>
      </c>
      <c r="U234" s="567">
        <f t="shared" si="24"/>
        <v>-3.3560354495421052E-10</v>
      </c>
    </row>
    <row r="235" spans="1:21" x14ac:dyDescent="0.25">
      <c r="A235" s="567" t="str">
        <f t="shared" si="22"/>
        <v>s:</v>
      </c>
      <c r="B235" s="567" t="str">
        <f t="shared" si="21"/>
        <v>em</v>
      </c>
      <c r="C235" s="567" t="str">
        <f t="shared" si="23"/>
        <v/>
      </c>
      <c r="E235" s="567" t="str">
        <f t="shared" si="20"/>
        <v>eti</v>
      </c>
      <c r="F235" s="862" t="s">
        <v>1737</v>
      </c>
      <c r="G235" s="566" t="str">
        <f t="shared" si="25"/>
        <v/>
      </c>
      <c r="U235" s="567">
        <f t="shared" si="24"/>
        <v>0</v>
      </c>
    </row>
    <row r="236" spans="1:21" x14ac:dyDescent="0.25">
      <c r="A236" s="567" t="str">
        <f t="shared" si="22"/>
        <v>KU</v>
      </c>
      <c r="B236" s="567" t="str">
        <f t="shared" si="21"/>
        <v>KY</v>
      </c>
      <c r="C236" s="567" t="str">
        <f t="shared" si="23"/>
        <v>E</v>
      </c>
      <c r="D236" s="567" t="s">
        <v>2647</v>
      </c>
      <c r="E236" s="567" t="str">
        <f t="shared" si="20"/>
        <v>303</v>
      </c>
      <c r="F236" s="864" t="s">
        <v>1613</v>
      </c>
      <c r="G236" s="566" t="str">
        <f t="shared" si="25"/>
        <v/>
      </c>
      <c r="H236" s="567">
        <v>625.15374999999995</v>
      </c>
      <c r="I236" s="567">
        <v>243.64063999999999</v>
      </c>
      <c r="J236" s="567">
        <v>224.13146</v>
      </c>
      <c r="K236" s="567">
        <v>337.56756999999999</v>
      </c>
      <c r="L236" s="567">
        <v>1162.06402</v>
      </c>
      <c r="M236" s="567">
        <v>388.75876</v>
      </c>
      <c r="N236" s="567">
        <v>1944.6188500000001</v>
      </c>
      <c r="O236" s="567">
        <v>3732.3015299999902</v>
      </c>
      <c r="P236" s="567">
        <v>108.45041999999999</v>
      </c>
      <c r="Q236" s="567">
        <v>923.06745999999998</v>
      </c>
      <c r="R236" s="567">
        <v>2635.9066499999999</v>
      </c>
      <c r="S236" s="567">
        <v>261.11140999999998</v>
      </c>
      <c r="T236" s="567">
        <v>26.30894</v>
      </c>
      <c r="U236" s="567">
        <f t="shared" si="24"/>
        <v>11987.927709999989</v>
      </c>
    </row>
    <row r="237" spans="1:21" x14ac:dyDescent="0.25">
      <c r="A237" s="567" t="str">
        <f t="shared" si="22"/>
        <v>KU</v>
      </c>
      <c r="B237" s="567" t="str">
        <f t="shared" si="21"/>
        <v>KY</v>
      </c>
      <c r="C237" s="567" t="str">
        <f t="shared" si="23"/>
        <v>E</v>
      </c>
      <c r="D237" s="567" t="s">
        <v>2647</v>
      </c>
      <c r="E237" s="567" t="str">
        <f t="shared" si="20"/>
        <v>303</v>
      </c>
      <c r="F237" s="864" t="s">
        <v>1614</v>
      </c>
      <c r="G237" s="566" t="str">
        <f t="shared" si="25"/>
        <v/>
      </c>
      <c r="H237" s="567">
        <v>37077.853470000002</v>
      </c>
      <c r="I237" s="567">
        <v>0</v>
      </c>
      <c r="J237" s="567">
        <v>0</v>
      </c>
      <c r="K237" s="567">
        <v>0</v>
      </c>
      <c r="L237" s="567">
        <v>0</v>
      </c>
      <c r="M237" s="567">
        <v>0</v>
      </c>
      <c r="N237" s="567">
        <v>0</v>
      </c>
      <c r="O237" s="567">
        <v>0</v>
      </c>
      <c r="P237" s="567">
        <v>0</v>
      </c>
      <c r="Q237" s="567">
        <v>0</v>
      </c>
      <c r="R237" s="567">
        <v>0</v>
      </c>
      <c r="S237" s="567">
        <v>0</v>
      </c>
      <c r="T237" s="567">
        <v>0</v>
      </c>
      <c r="U237" s="567">
        <f t="shared" si="24"/>
        <v>0</v>
      </c>
    </row>
    <row r="238" spans="1:21" x14ac:dyDescent="0.25">
      <c r="A238" s="567" t="str">
        <f t="shared" si="22"/>
        <v>KU</v>
      </c>
      <c r="B238" s="567" t="str">
        <f t="shared" si="21"/>
        <v>KY</v>
      </c>
      <c r="C238" s="567" t="str">
        <f t="shared" si="23"/>
        <v>E</v>
      </c>
      <c r="D238" s="567" t="s">
        <v>2647</v>
      </c>
      <c r="E238" s="567" t="str">
        <f t="shared" si="20"/>
        <v>311</v>
      </c>
      <c r="F238" s="864" t="s">
        <v>1620</v>
      </c>
      <c r="G238" s="566" t="str">
        <f t="shared" si="25"/>
        <v/>
      </c>
      <c r="H238" s="567">
        <v>0</v>
      </c>
      <c r="I238" s="567">
        <v>0</v>
      </c>
      <c r="J238" s="567">
        <v>0</v>
      </c>
      <c r="K238" s="567">
        <v>0</v>
      </c>
      <c r="L238" s="567">
        <v>0</v>
      </c>
      <c r="M238" s="567">
        <v>0</v>
      </c>
      <c r="N238" s="567">
        <v>0</v>
      </c>
      <c r="O238" s="567">
        <v>0</v>
      </c>
      <c r="P238" s="567">
        <v>10675.505010000001</v>
      </c>
      <c r="Q238" s="567">
        <v>0</v>
      </c>
      <c r="R238" s="567">
        <v>0</v>
      </c>
      <c r="S238" s="567">
        <v>0</v>
      </c>
      <c r="T238" s="567">
        <v>0</v>
      </c>
      <c r="U238" s="567">
        <f t="shared" si="24"/>
        <v>10675.505010000001</v>
      </c>
    </row>
    <row r="239" spans="1:21" x14ac:dyDescent="0.25">
      <c r="A239" s="567" t="str">
        <f t="shared" si="22"/>
        <v>KU</v>
      </c>
      <c r="B239" s="567" t="str">
        <f t="shared" si="21"/>
        <v>KY</v>
      </c>
      <c r="C239" s="567" t="str">
        <f t="shared" si="23"/>
        <v>E</v>
      </c>
      <c r="D239" s="567" t="s">
        <v>2647</v>
      </c>
      <c r="E239" s="567" t="str">
        <f t="shared" si="20"/>
        <v>312</v>
      </c>
      <c r="F239" s="864" t="s">
        <v>1621</v>
      </c>
      <c r="G239" s="566" t="str">
        <f t="shared" si="25"/>
        <v/>
      </c>
      <c r="H239" s="567">
        <v>87.606629999999996</v>
      </c>
      <c r="I239" s="567">
        <v>649.32977000000005</v>
      </c>
      <c r="J239" s="567">
        <v>80.667490000000001</v>
      </c>
      <c r="K239" s="567">
        <v>76.841099999999997</v>
      </c>
      <c r="L239" s="567">
        <v>827.02023999999994</v>
      </c>
      <c r="M239" s="567">
        <v>325.55905000000001</v>
      </c>
      <c r="N239" s="567">
        <v>60.641489999999997</v>
      </c>
      <c r="O239" s="567">
        <v>470.38578999999999</v>
      </c>
      <c r="P239" s="567">
        <v>6049.8340799999996</v>
      </c>
      <c r="Q239" s="567">
        <v>71.4041</v>
      </c>
      <c r="R239" s="567">
        <v>4002.2161299999998</v>
      </c>
      <c r="S239" s="567">
        <v>370.31585999999999</v>
      </c>
      <c r="T239" s="567">
        <v>87.606629999999996</v>
      </c>
      <c r="U239" s="567">
        <f t="shared" si="24"/>
        <v>13071.82173</v>
      </c>
    </row>
    <row r="240" spans="1:21" x14ac:dyDescent="0.25">
      <c r="A240" s="567" t="str">
        <f t="shared" si="22"/>
        <v>KU</v>
      </c>
      <c r="B240" s="567" t="str">
        <f t="shared" si="21"/>
        <v>KY</v>
      </c>
      <c r="C240" s="567" t="str">
        <f t="shared" si="23"/>
        <v>E</v>
      </c>
      <c r="D240" s="567" t="s">
        <v>2647</v>
      </c>
      <c r="E240" s="567" t="str">
        <f t="shared" ref="E240:E303" si="26">MID($F240,8,3)</f>
        <v>312</v>
      </c>
      <c r="F240" s="864" t="s">
        <v>1622</v>
      </c>
      <c r="G240" s="566" t="str">
        <f t="shared" si="25"/>
        <v>ECR</v>
      </c>
      <c r="H240" s="567">
        <v>0</v>
      </c>
      <c r="I240" s="567">
        <v>0</v>
      </c>
      <c r="J240" s="567">
        <v>0</v>
      </c>
      <c r="K240" s="567">
        <v>0</v>
      </c>
      <c r="L240" s="567">
        <v>0</v>
      </c>
      <c r="M240" s="567">
        <v>0</v>
      </c>
      <c r="N240" s="567">
        <v>0</v>
      </c>
      <c r="O240" s="567">
        <v>0</v>
      </c>
      <c r="P240" s="567">
        <v>595</v>
      </c>
      <c r="Q240" s="567">
        <v>0</v>
      </c>
      <c r="R240" s="567">
        <v>0</v>
      </c>
      <c r="S240" s="567">
        <v>0</v>
      </c>
      <c r="T240" s="567">
        <v>0</v>
      </c>
      <c r="U240" s="567">
        <f t="shared" si="24"/>
        <v>595</v>
      </c>
    </row>
    <row r="241" spans="1:21" x14ac:dyDescent="0.25">
      <c r="A241" s="567" t="str">
        <f t="shared" si="22"/>
        <v>KU</v>
      </c>
      <c r="B241" s="567" t="str">
        <f t="shared" si="21"/>
        <v>KY</v>
      </c>
      <c r="C241" s="567" t="str">
        <f t="shared" si="23"/>
        <v>E</v>
      </c>
      <c r="D241" s="567" t="s">
        <v>2647</v>
      </c>
      <c r="E241" s="567" t="str">
        <f t="shared" si="26"/>
        <v>312</v>
      </c>
      <c r="F241" s="864" t="s">
        <v>1623</v>
      </c>
      <c r="G241" s="566" t="str">
        <f t="shared" si="25"/>
        <v>ECR</v>
      </c>
      <c r="H241" s="567">
        <v>0</v>
      </c>
      <c r="I241" s="567">
        <v>0</v>
      </c>
      <c r="J241" s="567">
        <v>0</v>
      </c>
      <c r="K241" s="567">
        <v>0</v>
      </c>
      <c r="L241" s="567">
        <v>0</v>
      </c>
      <c r="M241" s="567">
        <v>0</v>
      </c>
      <c r="N241" s="567">
        <v>0</v>
      </c>
      <c r="O241" s="567">
        <v>0</v>
      </c>
      <c r="P241" s="567">
        <v>1108.0859499999999</v>
      </c>
      <c r="Q241" s="567">
        <v>0</v>
      </c>
      <c r="R241" s="567">
        <v>0</v>
      </c>
      <c r="S241" s="567">
        <v>1725</v>
      </c>
      <c r="T241" s="567">
        <v>0</v>
      </c>
      <c r="U241" s="567">
        <f t="shared" si="24"/>
        <v>2833.0859499999997</v>
      </c>
    </row>
    <row r="242" spans="1:21" x14ac:dyDescent="0.25">
      <c r="A242" s="567" t="str">
        <f t="shared" si="22"/>
        <v>KU</v>
      </c>
      <c r="B242" s="567" t="str">
        <f t="shared" si="21"/>
        <v>KY</v>
      </c>
      <c r="C242" s="567" t="str">
        <f t="shared" si="23"/>
        <v>E</v>
      </c>
      <c r="D242" s="567" t="s">
        <v>2647</v>
      </c>
      <c r="E242" s="567" t="str">
        <f t="shared" si="26"/>
        <v>314</v>
      </c>
      <c r="F242" s="864" t="s">
        <v>1625</v>
      </c>
      <c r="G242" s="566" t="str">
        <f t="shared" si="25"/>
        <v/>
      </c>
      <c r="H242" s="567">
        <v>0</v>
      </c>
      <c r="I242" s="567">
        <v>0</v>
      </c>
      <c r="J242" s="567">
        <v>0</v>
      </c>
      <c r="K242" s="567">
        <v>0</v>
      </c>
      <c r="L242" s="567">
        <v>0</v>
      </c>
      <c r="M242" s="567">
        <v>0</v>
      </c>
      <c r="N242" s="567">
        <v>0</v>
      </c>
      <c r="O242" s="567">
        <v>0</v>
      </c>
      <c r="P242" s="567">
        <v>164.48625999999999</v>
      </c>
      <c r="Q242" s="567">
        <v>0</v>
      </c>
      <c r="R242" s="567">
        <v>0</v>
      </c>
      <c r="S242" s="567">
        <v>0</v>
      </c>
      <c r="T242" s="567">
        <v>7130.0203799999999</v>
      </c>
      <c r="U242" s="567">
        <f t="shared" si="24"/>
        <v>7294.5066399999996</v>
      </c>
    </row>
    <row r="243" spans="1:21" x14ac:dyDescent="0.25">
      <c r="A243" s="567" t="str">
        <f t="shared" si="22"/>
        <v>KU</v>
      </c>
      <c r="B243" s="567" t="str">
        <f t="shared" si="21"/>
        <v>KY</v>
      </c>
      <c r="C243" s="567" t="str">
        <f t="shared" si="23"/>
        <v>E</v>
      </c>
      <c r="D243" s="567" t="s">
        <v>2647</v>
      </c>
      <c r="E243" s="567" t="str">
        <f t="shared" si="26"/>
        <v>315</v>
      </c>
      <c r="F243" s="864" t="s">
        <v>1626</v>
      </c>
      <c r="G243" s="566" t="str">
        <f t="shared" si="25"/>
        <v/>
      </c>
      <c r="H243" s="567">
        <v>0</v>
      </c>
      <c r="I243" s="567">
        <v>0</v>
      </c>
      <c r="J243" s="567">
        <v>0</v>
      </c>
      <c r="K243" s="567">
        <v>0</v>
      </c>
      <c r="L243" s="567">
        <v>0</v>
      </c>
      <c r="M243" s="567">
        <v>0</v>
      </c>
      <c r="N243" s="567">
        <v>0</v>
      </c>
      <c r="O243" s="567">
        <v>0</v>
      </c>
      <c r="P243" s="567">
        <v>670.41705999999999</v>
      </c>
      <c r="Q243" s="567">
        <v>0</v>
      </c>
      <c r="R243" s="567">
        <v>0</v>
      </c>
      <c r="S243" s="567">
        <v>0</v>
      </c>
      <c r="T243" s="567">
        <v>388.56673999999998</v>
      </c>
      <c r="U243" s="567">
        <f t="shared" si="24"/>
        <v>1058.9838</v>
      </c>
    </row>
    <row r="244" spans="1:21" x14ac:dyDescent="0.25">
      <c r="A244" s="567" t="str">
        <f t="shared" si="22"/>
        <v>KU</v>
      </c>
      <c r="B244" s="567" t="str">
        <f t="shared" si="21"/>
        <v>KY</v>
      </c>
      <c r="C244" s="567" t="str">
        <f t="shared" si="23"/>
        <v>E</v>
      </c>
      <c r="D244" s="567" t="s">
        <v>2647</v>
      </c>
      <c r="E244" s="567" t="str">
        <f t="shared" si="26"/>
        <v>316</v>
      </c>
      <c r="F244" s="864" t="s">
        <v>1630</v>
      </c>
      <c r="G244" s="566" t="str">
        <f t="shared" si="25"/>
        <v/>
      </c>
      <c r="H244" s="567">
        <v>0</v>
      </c>
      <c r="I244" s="567">
        <v>0</v>
      </c>
      <c r="J244" s="567">
        <v>0</v>
      </c>
      <c r="K244" s="567">
        <v>0</v>
      </c>
      <c r="L244" s="567">
        <v>0</v>
      </c>
      <c r="M244" s="567">
        <v>0</v>
      </c>
      <c r="N244" s="567">
        <v>0</v>
      </c>
      <c r="O244" s="567">
        <v>0</v>
      </c>
      <c r="P244" s="567">
        <v>525.26948000000004</v>
      </c>
      <c r="Q244" s="567">
        <v>0</v>
      </c>
      <c r="R244" s="567">
        <v>0</v>
      </c>
      <c r="S244" s="567">
        <v>0</v>
      </c>
      <c r="T244" s="567">
        <v>11.04279</v>
      </c>
      <c r="U244" s="567">
        <f t="shared" si="24"/>
        <v>536.31227000000001</v>
      </c>
    </row>
    <row r="245" spans="1:21" x14ac:dyDescent="0.25">
      <c r="A245" s="567" t="str">
        <f t="shared" si="22"/>
        <v>KU</v>
      </c>
      <c r="B245" s="567" t="str">
        <f t="shared" si="21"/>
        <v>KY</v>
      </c>
      <c r="C245" s="567" t="str">
        <f t="shared" si="23"/>
        <v>E</v>
      </c>
      <c r="D245" s="567" t="s">
        <v>2647</v>
      </c>
      <c r="E245" s="567" t="str">
        <f t="shared" si="26"/>
        <v>317</v>
      </c>
      <c r="F245" s="864" t="s">
        <v>1631</v>
      </c>
      <c r="G245" s="566" t="str">
        <f t="shared" si="25"/>
        <v>ARO</v>
      </c>
      <c r="H245" s="567">
        <v>0</v>
      </c>
      <c r="I245" s="567">
        <v>0</v>
      </c>
      <c r="J245" s="567">
        <v>0</v>
      </c>
      <c r="K245" s="567">
        <v>0</v>
      </c>
      <c r="L245" s="567">
        <v>0</v>
      </c>
      <c r="M245" s="567">
        <v>0</v>
      </c>
      <c r="N245" s="567">
        <v>0</v>
      </c>
      <c r="O245" s="567">
        <v>0</v>
      </c>
      <c r="P245" s="567">
        <v>0</v>
      </c>
      <c r="Q245" s="567">
        <v>13619.83841</v>
      </c>
      <c r="R245" s="567">
        <v>0</v>
      </c>
      <c r="S245" s="567">
        <v>0</v>
      </c>
      <c r="T245" s="567">
        <v>0</v>
      </c>
      <c r="U245" s="567">
        <f t="shared" si="24"/>
        <v>13619.83841</v>
      </c>
    </row>
    <row r="246" spans="1:21" x14ac:dyDescent="0.25">
      <c r="A246" s="567" t="str">
        <f t="shared" si="22"/>
        <v>KU</v>
      </c>
      <c r="B246" s="567" t="str">
        <f t="shared" si="21"/>
        <v>KY</v>
      </c>
      <c r="C246" s="567" t="str">
        <f t="shared" si="23"/>
        <v>E</v>
      </c>
      <c r="D246" s="567" t="s">
        <v>2647</v>
      </c>
      <c r="E246" s="567" t="str">
        <f t="shared" si="26"/>
        <v>317</v>
      </c>
      <c r="F246" s="864" t="s">
        <v>2427</v>
      </c>
      <c r="G246" s="566" t="str">
        <f t="shared" si="25"/>
        <v>ARO</v>
      </c>
      <c r="H246" s="567">
        <v>0</v>
      </c>
      <c r="I246" s="567">
        <v>0</v>
      </c>
      <c r="J246" s="567">
        <v>0</v>
      </c>
      <c r="K246" s="567">
        <v>0</v>
      </c>
      <c r="L246" s="567">
        <v>0</v>
      </c>
      <c r="M246" s="567">
        <v>0</v>
      </c>
      <c r="N246" s="567">
        <v>0</v>
      </c>
      <c r="O246" s="567">
        <v>0</v>
      </c>
      <c r="P246" s="567">
        <v>0</v>
      </c>
      <c r="Q246" s="567">
        <v>48344.916409999998</v>
      </c>
      <c r="R246" s="567">
        <v>0</v>
      </c>
      <c r="S246" s="567">
        <v>0</v>
      </c>
      <c r="T246" s="567">
        <v>0</v>
      </c>
      <c r="U246" s="567">
        <f t="shared" si="24"/>
        <v>48344.916409999998</v>
      </c>
    </row>
    <row r="247" spans="1:21" x14ac:dyDescent="0.25">
      <c r="A247" s="567" t="str">
        <f t="shared" si="22"/>
        <v>KU</v>
      </c>
      <c r="B247" s="567" t="str">
        <f t="shared" si="21"/>
        <v>KY</v>
      </c>
      <c r="C247" s="567" t="str">
        <f t="shared" si="23"/>
        <v>E</v>
      </c>
      <c r="D247" s="567" t="s">
        <v>2647</v>
      </c>
      <c r="E247" s="567" t="str">
        <f t="shared" si="26"/>
        <v>343</v>
      </c>
      <c r="F247" s="864" t="s">
        <v>1649</v>
      </c>
      <c r="G247" s="566" t="str">
        <f t="shared" si="25"/>
        <v/>
      </c>
      <c r="H247" s="567">
        <v>0</v>
      </c>
      <c r="I247" s="567">
        <v>0</v>
      </c>
      <c r="J247" s="567">
        <v>0</v>
      </c>
      <c r="K247" s="567">
        <v>0</v>
      </c>
      <c r="L247" s="567">
        <v>0</v>
      </c>
      <c r="M247" s="567">
        <v>0</v>
      </c>
      <c r="N247" s="567">
        <v>0</v>
      </c>
      <c r="O247" s="567">
        <v>0</v>
      </c>
      <c r="P247" s="567">
        <v>0</v>
      </c>
      <c r="Q247" s="567">
        <v>0</v>
      </c>
      <c r="R247" s="567">
        <v>0</v>
      </c>
      <c r="S247" s="567">
        <v>0</v>
      </c>
      <c r="T247" s="567">
        <v>0</v>
      </c>
      <c r="U247" s="567">
        <f t="shared" si="24"/>
        <v>0</v>
      </c>
    </row>
    <row r="248" spans="1:21" x14ac:dyDescent="0.25">
      <c r="A248" s="567" t="str">
        <f t="shared" si="22"/>
        <v>KU</v>
      </c>
      <c r="B248" s="567" t="str">
        <f t="shared" si="21"/>
        <v>KY</v>
      </c>
      <c r="C248" s="567" t="str">
        <f t="shared" si="23"/>
        <v>E</v>
      </c>
      <c r="D248" s="567" t="s">
        <v>2647</v>
      </c>
      <c r="E248" s="567" t="str">
        <f t="shared" si="26"/>
        <v>343</v>
      </c>
      <c r="F248" s="864" t="s">
        <v>1650</v>
      </c>
      <c r="G248" s="566" t="str">
        <f t="shared" si="25"/>
        <v/>
      </c>
      <c r="H248" s="567">
        <v>0</v>
      </c>
      <c r="I248" s="567">
        <v>0</v>
      </c>
      <c r="J248" s="567">
        <v>0</v>
      </c>
      <c r="K248" s="567">
        <v>0</v>
      </c>
      <c r="L248" s="567">
        <v>0</v>
      </c>
      <c r="M248" s="567">
        <v>0</v>
      </c>
      <c r="N248" s="567">
        <v>0</v>
      </c>
      <c r="O248" s="567">
        <v>0</v>
      </c>
      <c r="P248" s="567">
        <v>0</v>
      </c>
      <c r="Q248" s="567">
        <v>0</v>
      </c>
      <c r="R248" s="567">
        <v>0</v>
      </c>
      <c r="S248" s="567">
        <v>0</v>
      </c>
      <c r="T248" s="567">
        <v>4093.3631999999998</v>
      </c>
      <c r="U248" s="567">
        <f t="shared" si="24"/>
        <v>4093.3631999999998</v>
      </c>
    </row>
    <row r="249" spans="1:21" x14ac:dyDescent="0.25">
      <c r="A249" s="567" t="str">
        <f t="shared" si="22"/>
        <v>KU</v>
      </c>
      <c r="B249" s="567" t="str">
        <f t="shared" si="21"/>
        <v>KY</v>
      </c>
      <c r="C249" s="567" t="str">
        <f t="shared" si="23"/>
        <v>E</v>
      </c>
      <c r="D249" s="567" t="s">
        <v>2647</v>
      </c>
      <c r="E249" s="567" t="str">
        <f t="shared" si="26"/>
        <v>352</v>
      </c>
      <c r="F249" s="864" t="s">
        <v>1665</v>
      </c>
      <c r="G249" s="566" t="str">
        <f t="shared" si="25"/>
        <v/>
      </c>
      <c r="H249" s="567">
        <v>0</v>
      </c>
      <c r="I249" s="567">
        <v>0</v>
      </c>
      <c r="J249" s="567">
        <v>0</v>
      </c>
      <c r="K249" s="567">
        <v>0</v>
      </c>
      <c r="L249" s="567">
        <v>0</v>
      </c>
      <c r="M249" s="567">
        <v>0</v>
      </c>
      <c r="N249" s="567">
        <v>0</v>
      </c>
      <c r="O249" s="567">
        <v>0</v>
      </c>
      <c r="P249" s="567">
        <v>0</v>
      </c>
      <c r="Q249" s="567">
        <v>0</v>
      </c>
      <c r="R249" s="567">
        <v>0</v>
      </c>
      <c r="S249" s="567">
        <v>0</v>
      </c>
      <c r="T249" s="567">
        <v>0</v>
      </c>
      <c r="U249" s="567">
        <f t="shared" si="24"/>
        <v>0</v>
      </c>
    </row>
    <row r="250" spans="1:21" x14ac:dyDescent="0.25">
      <c r="A250" s="567" t="str">
        <f t="shared" si="22"/>
        <v>KU</v>
      </c>
      <c r="B250" s="567" t="str">
        <f t="shared" si="21"/>
        <v>KY</v>
      </c>
      <c r="C250" s="567" t="str">
        <f t="shared" si="23"/>
        <v>E</v>
      </c>
      <c r="D250" s="567" t="s">
        <v>2647</v>
      </c>
      <c r="E250" s="567" t="str">
        <f t="shared" si="26"/>
        <v>353</v>
      </c>
      <c r="F250" s="864" t="s">
        <v>1667</v>
      </c>
      <c r="G250" s="566" t="str">
        <f t="shared" si="25"/>
        <v/>
      </c>
      <c r="H250" s="567">
        <v>204.87817999999999</v>
      </c>
      <c r="I250" s="567">
        <v>129.78362999999999</v>
      </c>
      <c r="J250" s="567">
        <v>250.01791</v>
      </c>
      <c r="K250" s="567">
        <v>62.264339999999997</v>
      </c>
      <c r="L250" s="567">
        <v>193.04396</v>
      </c>
      <c r="M250" s="567">
        <v>36.964790000000001</v>
      </c>
      <c r="N250" s="567">
        <v>174.89222000000001</v>
      </c>
      <c r="O250" s="567">
        <v>105.52124000000001</v>
      </c>
      <c r="P250" s="567">
        <v>214.03357</v>
      </c>
      <c r="Q250" s="567">
        <v>13.30273</v>
      </c>
      <c r="R250" s="567">
        <v>95.425169999999994</v>
      </c>
      <c r="S250" s="567">
        <v>64.645679999999999</v>
      </c>
      <c r="T250" s="567">
        <v>204.87817999999999</v>
      </c>
      <c r="U250" s="567">
        <f t="shared" si="24"/>
        <v>1544.7734200000002</v>
      </c>
    </row>
    <row r="251" spans="1:21" x14ac:dyDescent="0.25">
      <c r="A251" s="567" t="str">
        <f t="shared" si="22"/>
        <v>KU</v>
      </c>
      <c r="B251" s="567" t="str">
        <f t="shared" si="21"/>
        <v>KY</v>
      </c>
      <c r="C251" s="567" t="str">
        <f t="shared" si="23"/>
        <v>E</v>
      </c>
      <c r="D251" s="567" t="s">
        <v>2647</v>
      </c>
      <c r="E251" s="567" t="str">
        <f t="shared" si="26"/>
        <v>353</v>
      </c>
      <c r="F251" s="864" t="s">
        <v>1668</v>
      </c>
      <c r="G251" s="566" t="str">
        <f t="shared" si="25"/>
        <v/>
      </c>
      <c r="H251" s="567">
        <v>0</v>
      </c>
      <c r="I251" s="567">
        <v>0</v>
      </c>
      <c r="J251" s="567">
        <v>0</v>
      </c>
      <c r="K251" s="567">
        <v>0</v>
      </c>
      <c r="L251" s="567">
        <v>0</v>
      </c>
      <c r="M251" s="567">
        <v>0</v>
      </c>
      <c r="N251" s="567">
        <v>0</v>
      </c>
      <c r="O251" s="567">
        <v>0</v>
      </c>
      <c r="P251" s="567">
        <v>0</v>
      </c>
      <c r="Q251" s="567">
        <v>0</v>
      </c>
      <c r="R251" s="567">
        <v>0</v>
      </c>
      <c r="S251" s="567">
        <v>0</v>
      </c>
      <c r="T251" s="567">
        <v>0</v>
      </c>
      <c r="U251" s="567">
        <f t="shared" si="24"/>
        <v>0</v>
      </c>
    </row>
    <row r="252" spans="1:21" x14ac:dyDescent="0.25">
      <c r="A252" s="567" t="str">
        <f t="shared" si="22"/>
        <v>KU</v>
      </c>
      <c r="B252" s="567" t="str">
        <f t="shared" si="21"/>
        <v>VA</v>
      </c>
      <c r="C252" s="567" t="str">
        <f t="shared" si="23"/>
        <v>E</v>
      </c>
      <c r="D252" s="567" t="s">
        <v>2647</v>
      </c>
      <c r="E252" s="567" t="str">
        <f t="shared" si="26"/>
        <v>353</v>
      </c>
      <c r="F252" s="864" t="s">
        <v>1669</v>
      </c>
      <c r="G252" s="566" t="str">
        <f t="shared" si="25"/>
        <v/>
      </c>
      <c r="H252" s="567">
        <v>0</v>
      </c>
      <c r="I252" s="567">
        <v>0</v>
      </c>
      <c r="J252" s="567">
        <v>0</v>
      </c>
      <c r="K252" s="567">
        <v>0</v>
      </c>
      <c r="L252" s="567">
        <v>0</v>
      </c>
      <c r="M252" s="567">
        <v>0</v>
      </c>
      <c r="N252" s="567">
        <v>0</v>
      </c>
      <c r="O252" s="567">
        <v>0</v>
      </c>
      <c r="P252" s="567">
        <v>0</v>
      </c>
      <c r="Q252" s="567">
        <v>0</v>
      </c>
      <c r="R252" s="567">
        <v>0</v>
      </c>
      <c r="S252" s="567">
        <v>0</v>
      </c>
      <c r="T252" s="567">
        <v>0</v>
      </c>
      <c r="U252" s="567">
        <f t="shared" si="24"/>
        <v>0</v>
      </c>
    </row>
    <row r="253" spans="1:21" x14ac:dyDescent="0.25">
      <c r="A253" s="567" t="str">
        <f t="shared" si="22"/>
        <v>KU</v>
      </c>
      <c r="B253" s="567" t="str">
        <f t="shared" si="21"/>
        <v>KY</v>
      </c>
      <c r="C253" s="567" t="str">
        <f t="shared" si="23"/>
        <v>E</v>
      </c>
      <c r="D253" s="567" t="s">
        <v>2647</v>
      </c>
      <c r="E253" s="567" t="str">
        <f t="shared" si="26"/>
        <v>355</v>
      </c>
      <c r="F253" s="864" t="s">
        <v>1672</v>
      </c>
      <c r="G253" s="566" t="str">
        <f t="shared" si="25"/>
        <v/>
      </c>
      <c r="H253" s="567">
        <v>292.06072</v>
      </c>
      <c r="I253" s="567">
        <v>185.01091</v>
      </c>
      <c r="J253" s="567">
        <v>356.408919999999</v>
      </c>
      <c r="K253" s="567">
        <v>88.759900000000002</v>
      </c>
      <c r="L253" s="567">
        <v>275.19063999999997</v>
      </c>
      <c r="M253" s="567">
        <v>52.69455</v>
      </c>
      <c r="N253" s="567">
        <v>249.31473</v>
      </c>
      <c r="O253" s="567">
        <v>150.42407</v>
      </c>
      <c r="P253" s="567">
        <v>305.11201999999997</v>
      </c>
      <c r="Q253" s="567">
        <v>18.96349</v>
      </c>
      <c r="R253" s="567">
        <v>136.03176999999999</v>
      </c>
      <c r="S253" s="567">
        <v>92.154579999999996</v>
      </c>
      <c r="T253" s="567">
        <v>292.06072</v>
      </c>
      <c r="U253" s="567">
        <f t="shared" si="24"/>
        <v>2202.126299999999</v>
      </c>
    </row>
    <row r="254" spans="1:21" x14ac:dyDescent="0.25">
      <c r="A254" s="567" t="str">
        <f t="shared" si="22"/>
        <v>KU</v>
      </c>
      <c r="B254" s="567" t="str">
        <f t="shared" si="21"/>
        <v>TN</v>
      </c>
      <c r="C254" s="567" t="str">
        <f t="shared" si="23"/>
        <v>E</v>
      </c>
      <c r="D254" s="567" t="s">
        <v>2647</v>
      </c>
      <c r="E254" s="567" t="str">
        <f t="shared" si="26"/>
        <v>355</v>
      </c>
      <c r="F254" s="864" t="s">
        <v>1673</v>
      </c>
      <c r="G254" s="566" t="str">
        <f t="shared" si="25"/>
        <v/>
      </c>
      <c r="H254" s="567">
        <v>0</v>
      </c>
      <c r="I254" s="567">
        <v>0</v>
      </c>
      <c r="J254" s="567">
        <v>0</v>
      </c>
      <c r="K254" s="567">
        <v>0</v>
      </c>
      <c r="L254" s="567">
        <v>0</v>
      </c>
      <c r="M254" s="567">
        <v>0</v>
      </c>
      <c r="N254" s="567">
        <v>0</v>
      </c>
      <c r="O254" s="567">
        <v>0</v>
      </c>
      <c r="P254" s="567">
        <v>0</v>
      </c>
      <c r="Q254" s="567">
        <v>0</v>
      </c>
      <c r="R254" s="567">
        <v>0</v>
      </c>
      <c r="S254" s="567">
        <v>0</v>
      </c>
      <c r="T254" s="567">
        <v>0</v>
      </c>
      <c r="U254" s="567">
        <f t="shared" si="24"/>
        <v>0</v>
      </c>
    </row>
    <row r="255" spans="1:21" x14ac:dyDescent="0.25">
      <c r="A255" s="567" t="str">
        <f t="shared" si="22"/>
        <v>KU</v>
      </c>
      <c r="B255" s="567" t="str">
        <f t="shared" si="21"/>
        <v>VA</v>
      </c>
      <c r="C255" s="567" t="str">
        <f t="shared" si="23"/>
        <v>E</v>
      </c>
      <c r="D255" s="567" t="s">
        <v>2647</v>
      </c>
      <c r="E255" s="567" t="str">
        <f t="shared" si="26"/>
        <v>355</v>
      </c>
      <c r="F255" s="864" t="s">
        <v>1674</v>
      </c>
      <c r="G255" s="566" t="str">
        <f t="shared" si="25"/>
        <v/>
      </c>
      <c r="H255" s="567">
        <v>0</v>
      </c>
      <c r="I255" s="567">
        <v>0</v>
      </c>
      <c r="J255" s="567">
        <v>0</v>
      </c>
      <c r="K255" s="567">
        <v>0</v>
      </c>
      <c r="L255" s="567">
        <v>0</v>
      </c>
      <c r="M255" s="567">
        <v>0</v>
      </c>
      <c r="N255" s="567">
        <v>0</v>
      </c>
      <c r="O255" s="567">
        <v>0</v>
      </c>
      <c r="P255" s="567">
        <v>0</v>
      </c>
      <c r="Q255" s="567">
        <v>0</v>
      </c>
      <c r="R255" s="567">
        <v>0</v>
      </c>
      <c r="S255" s="567">
        <v>0</v>
      </c>
      <c r="T255" s="567">
        <v>0</v>
      </c>
      <c r="U255" s="567">
        <f t="shared" si="24"/>
        <v>0</v>
      </c>
    </row>
    <row r="256" spans="1:21" x14ac:dyDescent="0.25">
      <c r="A256" s="567" t="str">
        <f t="shared" si="22"/>
        <v>KU</v>
      </c>
      <c r="B256" s="567" t="str">
        <f t="shared" si="21"/>
        <v>KY</v>
      </c>
      <c r="C256" s="567" t="str">
        <f t="shared" si="23"/>
        <v>E</v>
      </c>
      <c r="D256" s="567" t="s">
        <v>2647</v>
      </c>
      <c r="E256" s="567" t="str">
        <f t="shared" si="26"/>
        <v>356</v>
      </c>
      <c r="F256" s="864" t="s">
        <v>1675</v>
      </c>
      <c r="G256" s="566" t="str">
        <f t="shared" si="25"/>
        <v/>
      </c>
      <c r="H256" s="567">
        <v>166.28202999999999</v>
      </c>
      <c r="I256" s="567">
        <v>105.33423000000001</v>
      </c>
      <c r="J256" s="567">
        <v>202.91808</v>
      </c>
      <c r="K256" s="567">
        <v>50.534619999999997</v>
      </c>
      <c r="L256" s="567">
        <v>156.67721</v>
      </c>
      <c r="M256" s="567">
        <v>30.001149999999999</v>
      </c>
      <c r="N256" s="567">
        <v>141.94499999999999</v>
      </c>
      <c r="O256" s="567">
        <v>85.642529999999994</v>
      </c>
      <c r="P256" s="567">
        <v>173.71268000000001</v>
      </c>
      <c r="Q256" s="567">
        <v>10.79668</v>
      </c>
      <c r="R256" s="567">
        <v>77.448409999999996</v>
      </c>
      <c r="S256" s="567">
        <v>52.467349999999897</v>
      </c>
      <c r="T256" s="567">
        <v>166.28202999999999</v>
      </c>
      <c r="U256" s="567">
        <f t="shared" si="24"/>
        <v>1253.7599700000001</v>
      </c>
    </row>
    <row r="257" spans="1:21" x14ac:dyDescent="0.25">
      <c r="A257" s="567" t="str">
        <f t="shared" si="22"/>
        <v>KU</v>
      </c>
      <c r="B257" s="567" t="str">
        <f t="shared" si="21"/>
        <v>TN</v>
      </c>
      <c r="C257" s="567" t="str">
        <f t="shared" si="23"/>
        <v>E</v>
      </c>
      <c r="D257" s="567" t="s">
        <v>2647</v>
      </c>
      <c r="E257" s="567" t="str">
        <f t="shared" si="26"/>
        <v>356</v>
      </c>
      <c r="F257" s="864" t="s">
        <v>1676</v>
      </c>
      <c r="G257" s="566" t="str">
        <f t="shared" si="25"/>
        <v/>
      </c>
      <c r="H257" s="567">
        <v>0</v>
      </c>
      <c r="I257" s="567">
        <v>0</v>
      </c>
      <c r="J257" s="567">
        <v>0</v>
      </c>
      <c r="K257" s="567">
        <v>0</v>
      </c>
      <c r="L257" s="567">
        <v>0</v>
      </c>
      <c r="M257" s="567">
        <v>0</v>
      </c>
      <c r="N257" s="567">
        <v>0</v>
      </c>
      <c r="O257" s="567">
        <v>0</v>
      </c>
      <c r="P257" s="567">
        <v>0</v>
      </c>
      <c r="Q257" s="567">
        <v>0</v>
      </c>
      <c r="R257" s="567">
        <v>0</v>
      </c>
      <c r="S257" s="567">
        <v>0</v>
      </c>
      <c r="T257" s="567">
        <v>0</v>
      </c>
      <c r="U257" s="567">
        <f t="shared" si="24"/>
        <v>0</v>
      </c>
    </row>
    <row r="258" spans="1:21" x14ac:dyDescent="0.25">
      <c r="A258" s="567" t="str">
        <f t="shared" si="22"/>
        <v>KU</v>
      </c>
      <c r="B258" s="567" t="str">
        <f t="shared" si="21"/>
        <v>VA</v>
      </c>
      <c r="C258" s="567" t="str">
        <f t="shared" si="23"/>
        <v>E</v>
      </c>
      <c r="D258" s="567" t="s">
        <v>2647</v>
      </c>
      <c r="E258" s="567" t="str">
        <f t="shared" si="26"/>
        <v>356</v>
      </c>
      <c r="F258" s="864" t="s">
        <v>1677</v>
      </c>
      <c r="G258" s="566" t="str">
        <f t="shared" si="25"/>
        <v/>
      </c>
      <c r="H258" s="567">
        <v>0</v>
      </c>
      <c r="I258" s="567">
        <v>0</v>
      </c>
      <c r="J258" s="567">
        <v>0</v>
      </c>
      <c r="K258" s="567">
        <v>0</v>
      </c>
      <c r="L258" s="567">
        <v>0</v>
      </c>
      <c r="M258" s="567">
        <v>0</v>
      </c>
      <c r="N258" s="567">
        <v>0</v>
      </c>
      <c r="O258" s="567">
        <v>0</v>
      </c>
      <c r="P258" s="567">
        <v>0</v>
      </c>
      <c r="Q258" s="567">
        <v>0</v>
      </c>
      <c r="R258" s="567">
        <v>0</v>
      </c>
      <c r="S258" s="567">
        <v>0</v>
      </c>
      <c r="T258" s="567">
        <v>0</v>
      </c>
      <c r="U258" s="567">
        <f t="shared" si="24"/>
        <v>0</v>
      </c>
    </row>
    <row r="259" spans="1:21" x14ac:dyDescent="0.25">
      <c r="A259" s="567" t="str">
        <f t="shared" si="22"/>
        <v>KU</v>
      </c>
      <c r="B259" s="567" t="str">
        <f t="shared" si="21"/>
        <v>KY</v>
      </c>
      <c r="C259" s="567" t="str">
        <f t="shared" si="23"/>
        <v>E</v>
      </c>
      <c r="D259" s="567" t="s">
        <v>2647</v>
      </c>
      <c r="E259" s="567" t="str">
        <f t="shared" si="26"/>
        <v>359</v>
      </c>
      <c r="F259" s="864" t="s">
        <v>1680</v>
      </c>
      <c r="G259" s="566" t="str">
        <f t="shared" si="25"/>
        <v>ARO</v>
      </c>
      <c r="H259" s="567">
        <v>0</v>
      </c>
      <c r="I259" s="567">
        <v>0</v>
      </c>
      <c r="J259" s="567">
        <v>0</v>
      </c>
      <c r="K259" s="567">
        <v>0</v>
      </c>
      <c r="L259" s="567">
        <v>0</v>
      </c>
      <c r="M259" s="567">
        <v>0</v>
      </c>
      <c r="N259" s="567">
        <v>0</v>
      </c>
      <c r="O259" s="567">
        <v>0</v>
      </c>
      <c r="P259" s="567">
        <v>0</v>
      </c>
      <c r="Q259" s="567">
        <v>0</v>
      </c>
      <c r="R259" s="567">
        <v>0</v>
      </c>
      <c r="S259" s="567">
        <v>0</v>
      </c>
      <c r="T259" s="567">
        <v>0</v>
      </c>
      <c r="U259" s="567">
        <f t="shared" si="24"/>
        <v>0</v>
      </c>
    </row>
    <row r="260" spans="1:21" x14ac:dyDescent="0.25">
      <c r="A260" s="567" t="str">
        <f t="shared" si="22"/>
        <v>KU</v>
      </c>
      <c r="B260" s="567" t="str">
        <f t="shared" ref="B260:B339" si="27">IF(MID($F260,12,2)="- ","KY",IF(MID($F260,12,2)="SY","KY",MID($F260,12,2)))</f>
        <v>KY</v>
      </c>
      <c r="C260" s="567" t="str">
        <f t="shared" si="23"/>
        <v>E</v>
      </c>
      <c r="D260" s="567" t="s">
        <v>2647</v>
      </c>
      <c r="E260" s="567" t="str">
        <f t="shared" si="26"/>
        <v>361</v>
      </c>
      <c r="F260" s="864" t="s">
        <v>1685</v>
      </c>
      <c r="G260" s="566" t="str">
        <f t="shared" si="25"/>
        <v/>
      </c>
      <c r="H260" s="567">
        <v>0</v>
      </c>
      <c r="I260" s="567">
        <v>0</v>
      </c>
      <c r="J260" s="567">
        <v>0</v>
      </c>
      <c r="K260" s="567">
        <v>0</v>
      </c>
      <c r="L260" s="567">
        <v>0</v>
      </c>
      <c r="M260" s="567">
        <v>0</v>
      </c>
      <c r="N260" s="567">
        <v>0</v>
      </c>
      <c r="O260" s="567">
        <v>0</v>
      </c>
      <c r="P260" s="567">
        <v>0</v>
      </c>
      <c r="Q260" s="567">
        <v>0</v>
      </c>
      <c r="R260" s="567">
        <v>0</v>
      </c>
      <c r="S260" s="567">
        <v>0</v>
      </c>
      <c r="T260" s="567">
        <v>0</v>
      </c>
      <c r="U260" s="567">
        <f t="shared" si="24"/>
        <v>0</v>
      </c>
    </row>
    <row r="261" spans="1:21" x14ac:dyDescent="0.25">
      <c r="A261" s="567" t="str">
        <f t="shared" si="22"/>
        <v>KU</v>
      </c>
      <c r="B261" s="567" t="str">
        <f t="shared" si="27"/>
        <v>KY</v>
      </c>
      <c r="C261" s="567" t="str">
        <f t="shared" si="23"/>
        <v>E</v>
      </c>
      <c r="D261" s="567" t="s">
        <v>2647</v>
      </c>
      <c r="E261" s="567" t="str">
        <f t="shared" si="26"/>
        <v>362</v>
      </c>
      <c r="F261" s="864" t="s">
        <v>1688</v>
      </c>
      <c r="G261" s="566" t="str">
        <f t="shared" si="25"/>
        <v/>
      </c>
      <c r="H261" s="567">
        <v>80.694580000000002</v>
      </c>
      <c r="I261" s="567">
        <v>112.95932000000001</v>
      </c>
      <c r="J261" s="567">
        <v>45.03631</v>
      </c>
      <c r="K261" s="567">
        <v>250.92045999999999</v>
      </c>
      <c r="L261" s="567">
        <v>202.40492</v>
      </c>
      <c r="M261" s="567">
        <v>11.539440000000001</v>
      </c>
      <c r="N261" s="567">
        <v>64.133610000000004</v>
      </c>
      <c r="O261" s="567">
        <v>22.528860000000002</v>
      </c>
      <c r="P261" s="567">
        <v>123.10214999999999</v>
      </c>
      <c r="Q261" s="567">
        <v>6.8259799999999897</v>
      </c>
      <c r="R261" s="567">
        <v>85.160139999999998</v>
      </c>
      <c r="S261" s="567">
        <v>64.546589999999995</v>
      </c>
      <c r="T261" s="567">
        <v>80.694580000000002</v>
      </c>
      <c r="U261" s="567">
        <f t="shared" si="24"/>
        <v>1069.8523600000001</v>
      </c>
    </row>
    <row r="262" spans="1:21" x14ac:dyDescent="0.25">
      <c r="A262" s="567" t="str">
        <f t="shared" si="22"/>
        <v>KU</v>
      </c>
      <c r="B262" s="567" t="str">
        <f t="shared" si="27"/>
        <v>VA</v>
      </c>
      <c r="C262" s="567" t="str">
        <f t="shared" si="23"/>
        <v>E</v>
      </c>
      <c r="D262" s="567" t="s">
        <v>2647</v>
      </c>
      <c r="E262" s="567" t="str">
        <f t="shared" si="26"/>
        <v>362</v>
      </c>
      <c r="F262" s="864" t="s">
        <v>1690</v>
      </c>
      <c r="G262" s="566" t="str">
        <f t="shared" si="25"/>
        <v/>
      </c>
      <c r="H262" s="567">
        <v>0</v>
      </c>
      <c r="I262" s="567">
        <v>0</v>
      </c>
      <c r="J262" s="567">
        <v>0</v>
      </c>
      <c r="K262" s="567">
        <v>0</v>
      </c>
      <c r="L262" s="567">
        <v>0</v>
      </c>
      <c r="M262" s="567">
        <v>0</v>
      </c>
      <c r="N262" s="567">
        <v>0</v>
      </c>
      <c r="O262" s="567">
        <v>0</v>
      </c>
      <c r="P262" s="567">
        <v>0</v>
      </c>
      <c r="Q262" s="567">
        <v>0</v>
      </c>
      <c r="R262" s="567">
        <v>0</v>
      </c>
      <c r="S262" s="567">
        <v>0</v>
      </c>
      <c r="T262" s="567">
        <v>0</v>
      </c>
      <c r="U262" s="567">
        <f t="shared" si="24"/>
        <v>0</v>
      </c>
    </row>
    <row r="263" spans="1:21" x14ac:dyDescent="0.25">
      <c r="A263" s="567" t="str">
        <f t="shared" ref="A263:A326" si="28">MID($F263,4,2)</f>
        <v>KU</v>
      </c>
      <c r="B263" s="567" t="str">
        <f t="shared" si="27"/>
        <v>KY</v>
      </c>
      <c r="C263" s="567" t="str">
        <f t="shared" si="23"/>
        <v>E</v>
      </c>
      <c r="D263" s="567" t="s">
        <v>2647</v>
      </c>
      <c r="E263" s="567" t="str">
        <f t="shared" si="26"/>
        <v>364</v>
      </c>
      <c r="F263" s="864" t="s">
        <v>1692</v>
      </c>
      <c r="G263" s="566" t="str">
        <f t="shared" si="25"/>
        <v/>
      </c>
      <c r="H263" s="567">
        <v>139.14545999999899</v>
      </c>
      <c r="I263" s="567">
        <v>194.78108</v>
      </c>
      <c r="J263" s="567">
        <v>77.658230000000003</v>
      </c>
      <c r="K263" s="567">
        <v>432.67396000000002</v>
      </c>
      <c r="L263" s="567">
        <v>349.01632999999998</v>
      </c>
      <c r="M263" s="567">
        <v>19.898009999999999</v>
      </c>
      <c r="N263" s="567">
        <v>110.58861</v>
      </c>
      <c r="O263" s="567">
        <v>38.847569999999997</v>
      </c>
      <c r="P263" s="567">
        <v>212.27082999999999</v>
      </c>
      <c r="Q263" s="567">
        <v>11.770350000000001</v>
      </c>
      <c r="R263" s="567">
        <v>146.84563</v>
      </c>
      <c r="S263" s="567">
        <v>111.30073</v>
      </c>
      <c r="T263" s="567">
        <v>139.14545999999899</v>
      </c>
      <c r="U263" s="567">
        <f t="shared" si="24"/>
        <v>1844.796789999999</v>
      </c>
    </row>
    <row r="264" spans="1:21" x14ac:dyDescent="0.25">
      <c r="A264" s="567" t="str">
        <f t="shared" si="28"/>
        <v>KU</v>
      </c>
      <c r="B264" s="567" t="str">
        <f t="shared" si="27"/>
        <v>VA</v>
      </c>
      <c r="C264" s="567" t="str">
        <f t="shared" ref="C264:C343" si="29">IF(ISTEXT(MID($F264,SEARCH("FUTURE USE",$F264),3)),"F",IF(MID($F264,7,1)="1","E",IF(MID($F264,7,1)="2","G",IF(MID($F264,7,1)="3","C",""))))</f>
        <v>E</v>
      </c>
      <c r="D264" s="567" t="s">
        <v>2647</v>
      </c>
      <c r="E264" s="567" t="str">
        <f t="shared" si="26"/>
        <v>364</v>
      </c>
      <c r="F264" s="864" t="s">
        <v>1694</v>
      </c>
      <c r="G264" s="566" t="str">
        <f t="shared" si="25"/>
        <v/>
      </c>
      <c r="H264" s="567">
        <v>0</v>
      </c>
      <c r="I264" s="567">
        <v>0</v>
      </c>
      <c r="J264" s="567">
        <v>0</v>
      </c>
      <c r="K264" s="567">
        <v>0</v>
      </c>
      <c r="L264" s="567">
        <v>0</v>
      </c>
      <c r="M264" s="567">
        <v>0</v>
      </c>
      <c r="N264" s="567">
        <v>0</v>
      </c>
      <c r="O264" s="567">
        <v>0</v>
      </c>
      <c r="P264" s="567">
        <v>0</v>
      </c>
      <c r="Q264" s="567">
        <v>0</v>
      </c>
      <c r="R264" s="567">
        <v>0</v>
      </c>
      <c r="S264" s="567">
        <v>0</v>
      </c>
      <c r="T264" s="567">
        <v>0</v>
      </c>
      <c r="U264" s="567">
        <f t="shared" si="24"/>
        <v>0</v>
      </c>
    </row>
    <row r="265" spans="1:21" x14ac:dyDescent="0.25">
      <c r="A265" s="567" t="str">
        <f t="shared" si="28"/>
        <v>KU</v>
      </c>
      <c r="B265" s="567" t="str">
        <f t="shared" si="27"/>
        <v>KY</v>
      </c>
      <c r="C265" s="567" t="str">
        <f t="shared" si="29"/>
        <v>E</v>
      </c>
      <c r="D265" s="567" t="s">
        <v>2647</v>
      </c>
      <c r="E265" s="567" t="str">
        <f t="shared" si="26"/>
        <v>365</v>
      </c>
      <c r="F265" s="864" t="s">
        <v>1696</v>
      </c>
      <c r="G265" s="566" t="str">
        <f t="shared" si="25"/>
        <v/>
      </c>
      <c r="H265" s="567">
        <v>502.07398000000001</v>
      </c>
      <c r="I265" s="567">
        <v>702.82214999999997</v>
      </c>
      <c r="J265" s="567">
        <v>280.21163000000001</v>
      </c>
      <c r="K265" s="567">
        <v>1561.2031999999999</v>
      </c>
      <c r="L265" s="567">
        <v>1259.34412</v>
      </c>
      <c r="M265" s="567">
        <v>71.797319999999999</v>
      </c>
      <c r="N265" s="567">
        <v>399.03323999999998</v>
      </c>
      <c r="O265" s="567">
        <v>140.17241000000001</v>
      </c>
      <c r="P265" s="567">
        <v>765.92989999999998</v>
      </c>
      <c r="Q265" s="567">
        <v>42.470570000000002</v>
      </c>
      <c r="R265" s="567">
        <v>529.85825999999997</v>
      </c>
      <c r="S265" s="567">
        <v>401.60275000000001</v>
      </c>
      <c r="T265" s="567">
        <v>502.07398000000001</v>
      </c>
      <c r="U265" s="567">
        <f t="shared" si="24"/>
        <v>6656.5195300000005</v>
      </c>
    </row>
    <row r="266" spans="1:21" x14ac:dyDescent="0.25">
      <c r="A266" s="567" t="str">
        <f t="shared" si="28"/>
        <v>KU</v>
      </c>
      <c r="B266" s="567" t="str">
        <f t="shared" si="27"/>
        <v>VA</v>
      </c>
      <c r="C266" s="567" t="str">
        <f t="shared" si="29"/>
        <v>E</v>
      </c>
      <c r="D266" s="567" t="s">
        <v>2647</v>
      </c>
      <c r="E266" s="567" t="str">
        <f t="shared" si="26"/>
        <v>365</v>
      </c>
      <c r="F266" s="864" t="s">
        <v>1698</v>
      </c>
      <c r="G266" s="566" t="str">
        <f t="shared" si="25"/>
        <v/>
      </c>
      <c r="H266" s="567">
        <v>0</v>
      </c>
      <c r="I266" s="567">
        <v>0</v>
      </c>
      <c r="J266" s="567">
        <v>0</v>
      </c>
      <c r="K266" s="567">
        <v>0</v>
      </c>
      <c r="L266" s="567">
        <v>0</v>
      </c>
      <c r="M266" s="567">
        <v>0</v>
      </c>
      <c r="N266" s="567">
        <v>0</v>
      </c>
      <c r="O266" s="567">
        <v>0</v>
      </c>
      <c r="P266" s="567">
        <v>0</v>
      </c>
      <c r="Q266" s="567">
        <v>0</v>
      </c>
      <c r="R266" s="567">
        <v>0</v>
      </c>
      <c r="S266" s="567">
        <v>0</v>
      </c>
      <c r="T266" s="567">
        <v>0</v>
      </c>
      <c r="U266" s="567">
        <f t="shared" si="24"/>
        <v>0</v>
      </c>
    </row>
    <row r="267" spans="1:21" x14ac:dyDescent="0.25">
      <c r="A267" s="567" t="str">
        <f t="shared" si="28"/>
        <v>KU</v>
      </c>
      <c r="B267" s="567" t="str">
        <f t="shared" si="27"/>
        <v>KY</v>
      </c>
      <c r="C267" s="567" t="str">
        <f t="shared" si="29"/>
        <v>E</v>
      </c>
      <c r="D267" s="567" t="s">
        <v>2647</v>
      </c>
      <c r="E267" s="567" t="str">
        <f t="shared" si="26"/>
        <v>367</v>
      </c>
      <c r="F267" s="864" t="s">
        <v>1702</v>
      </c>
      <c r="G267" s="566" t="str">
        <f t="shared" si="25"/>
        <v/>
      </c>
      <c r="H267" s="567">
        <v>0</v>
      </c>
      <c r="I267" s="567">
        <v>0</v>
      </c>
      <c r="J267" s="567">
        <v>0</v>
      </c>
      <c r="K267" s="567">
        <v>0</v>
      </c>
      <c r="L267" s="567">
        <v>0</v>
      </c>
      <c r="M267" s="567">
        <v>0</v>
      </c>
      <c r="N267" s="567">
        <v>0</v>
      </c>
      <c r="O267" s="567">
        <v>0</v>
      </c>
      <c r="P267" s="567">
        <v>0</v>
      </c>
      <c r="Q267" s="567">
        <v>0</v>
      </c>
      <c r="R267" s="567">
        <v>0</v>
      </c>
      <c r="S267" s="567">
        <v>0</v>
      </c>
      <c r="T267" s="567">
        <v>0</v>
      </c>
      <c r="U267" s="567">
        <f t="shared" si="24"/>
        <v>0</v>
      </c>
    </row>
    <row r="268" spans="1:21" x14ac:dyDescent="0.25">
      <c r="A268" s="567" t="str">
        <f t="shared" si="28"/>
        <v>KU</v>
      </c>
      <c r="B268" s="567" t="str">
        <f t="shared" si="27"/>
        <v>VA</v>
      </c>
      <c r="C268" s="567" t="str">
        <f t="shared" si="29"/>
        <v>E</v>
      </c>
      <c r="D268" s="567" t="s">
        <v>2647</v>
      </c>
      <c r="E268" s="567" t="str">
        <f t="shared" si="26"/>
        <v>367</v>
      </c>
      <c r="F268" s="864" t="s">
        <v>1703</v>
      </c>
      <c r="G268" s="566" t="str">
        <f t="shared" si="25"/>
        <v/>
      </c>
      <c r="H268" s="567">
        <v>0</v>
      </c>
      <c r="I268" s="567">
        <v>0</v>
      </c>
      <c r="J268" s="567">
        <v>0</v>
      </c>
      <c r="K268" s="567">
        <v>0</v>
      </c>
      <c r="L268" s="567">
        <v>0</v>
      </c>
      <c r="M268" s="567">
        <v>0</v>
      </c>
      <c r="N268" s="567">
        <v>0</v>
      </c>
      <c r="O268" s="567">
        <v>0</v>
      </c>
      <c r="P268" s="567">
        <v>0</v>
      </c>
      <c r="Q268" s="567">
        <v>0</v>
      </c>
      <c r="R268" s="567">
        <v>0</v>
      </c>
      <c r="S268" s="567">
        <v>0</v>
      </c>
      <c r="T268" s="567">
        <v>0</v>
      </c>
      <c r="U268" s="567">
        <f t="shared" si="24"/>
        <v>0</v>
      </c>
    </row>
    <row r="269" spans="1:21" x14ac:dyDescent="0.25">
      <c r="A269" s="567" t="str">
        <f t="shared" si="28"/>
        <v>KU</v>
      </c>
      <c r="B269" s="567" t="str">
        <f t="shared" si="27"/>
        <v>KY</v>
      </c>
      <c r="C269" s="567" t="str">
        <f t="shared" si="29"/>
        <v>E</v>
      </c>
      <c r="D269" s="567" t="s">
        <v>2647</v>
      </c>
      <c r="E269" s="567" t="str">
        <f t="shared" si="26"/>
        <v>368</v>
      </c>
      <c r="F269" s="864" t="s">
        <v>1704</v>
      </c>
      <c r="G269" s="566" t="str">
        <f t="shared" si="25"/>
        <v/>
      </c>
      <c r="H269" s="567">
        <v>263.08702</v>
      </c>
      <c r="I269" s="567">
        <v>368.279169999999</v>
      </c>
      <c r="J269" s="567">
        <v>146.83104</v>
      </c>
      <c r="K269" s="567">
        <v>818.07128</v>
      </c>
      <c r="L269" s="567">
        <v>659.89697000000001</v>
      </c>
      <c r="M269" s="567">
        <v>37.621830000000003</v>
      </c>
      <c r="N269" s="567">
        <v>209.09361999999999</v>
      </c>
      <c r="O269" s="567">
        <v>73.450410000000005</v>
      </c>
      <c r="P269" s="567">
        <v>401.347659999999</v>
      </c>
      <c r="Q269" s="567">
        <v>22.2546</v>
      </c>
      <c r="R269" s="567">
        <v>277.64600000000002</v>
      </c>
      <c r="S269" s="567">
        <v>210.44004999999899</v>
      </c>
      <c r="T269" s="567">
        <v>263.08702</v>
      </c>
      <c r="U269" s="567">
        <f t="shared" si="24"/>
        <v>3488.019649999997</v>
      </c>
    </row>
    <row r="270" spans="1:21" x14ac:dyDescent="0.25">
      <c r="A270" s="567" t="str">
        <f t="shared" si="28"/>
        <v>KU</v>
      </c>
      <c r="B270" s="567" t="str">
        <f t="shared" si="27"/>
        <v>VA</v>
      </c>
      <c r="C270" s="567" t="str">
        <f t="shared" si="29"/>
        <v>E</v>
      </c>
      <c r="D270" s="567" t="s">
        <v>2647</v>
      </c>
      <c r="E270" s="567" t="str">
        <f t="shared" si="26"/>
        <v>368</v>
      </c>
      <c r="F270" s="864" t="s">
        <v>1706</v>
      </c>
      <c r="G270" s="566" t="str">
        <f t="shared" si="25"/>
        <v/>
      </c>
      <c r="H270" s="567">
        <v>0</v>
      </c>
      <c r="I270" s="567">
        <v>0</v>
      </c>
      <c r="J270" s="567">
        <v>0</v>
      </c>
      <c r="K270" s="567">
        <v>0</v>
      </c>
      <c r="L270" s="567">
        <v>0</v>
      </c>
      <c r="M270" s="567">
        <v>0</v>
      </c>
      <c r="N270" s="567">
        <v>0</v>
      </c>
      <c r="O270" s="567">
        <v>0</v>
      </c>
      <c r="P270" s="567">
        <v>0</v>
      </c>
      <c r="Q270" s="567">
        <v>0</v>
      </c>
      <c r="R270" s="567">
        <v>0</v>
      </c>
      <c r="S270" s="567">
        <v>0</v>
      </c>
      <c r="T270" s="567">
        <v>0</v>
      </c>
      <c r="U270" s="567">
        <f t="shared" si="24"/>
        <v>0</v>
      </c>
    </row>
    <row r="271" spans="1:21" x14ac:dyDescent="0.25">
      <c r="A271" s="567" t="str">
        <f t="shared" si="28"/>
        <v>KU</v>
      </c>
      <c r="B271" s="567" t="str">
        <f t="shared" si="27"/>
        <v>KY</v>
      </c>
      <c r="C271" s="567" t="str">
        <f t="shared" si="29"/>
        <v>E</v>
      </c>
      <c r="D271" s="567" t="s">
        <v>2647</v>
      </c>
      <c r="E271" s="567" t="str">
        <f t="shared" si="26"/>
        <v>370</v>
      </c>
      <c r="F271" s="864" t="s">
        <v>1710</v>
      </c>
      <c r="G271" s="566" t="str">
        <f t="shared" si="25"/>
        <v/>
      </c>
      <c r="H271" s="567">
        <v>0</v>
      </c>
      <c r="I271" s="567">
        <v>0</v>
      </c>
      <c r="J271" s="567">
        <v>0</v>
      </c>
      <c r="K271" s="567">
        <v>0</v>
      </c>
      <c r="L271" s="567">
        <v>0</v>
      </c>
      <c r="M271" s="567">
        <v>0</v>
      </c>
      <c r="N271" s="567">
        <v>0</v>
      </c>
      <c r="O271" s="567">
        <v>0</v>
      </c>
      <c r="P271" s="567">
        <v>0</v>
      </c>
      <c r="Q271" s="567">
        <v>0</v>
      </c>
      <c r="R271" s="567">
        <v>0</v>
      </c>
      <c r="S271" s="567">
        <v>0</v>
      </c>
      <c r="T271" s="567">
        <v>0</v>
      </c>
      <c r="U271" s="567">
        <f t="shared" ref="U271:U305" si="30">SUM(I271:T271)</f>
        <v>0</v>
      </c>
    </row>
    <row r="272" spans="1:21" x14ac:dyDescent="0.25">
      <c r="A272" s="567" t="str">
        <f t="shared" si="28"/>
        <v>KU</v>
      </c>
      <c r="B272" s="567" t="str">
        <f t="shared" si="27"/>
        <v>VA</v>
      </c>
      <c r="C272" s="567" t="str">
        <f t="shared" si="29"/>
        <v>E</v>
      </c>
      <c r="D272" s="567" t="s">
        <v>2647</v>
      </c>
      <c r="E272" s="567" t="str">
        <f t="shared" si="26"/>
        <v>370</v>
      </c>
      <c r="F272" s="864" t="s">
        <v>1712</v>
      </c>
      <c r="G272" s="566" t="str">
        <f t="shared" si="25"/>
        <v/>
      </c>
      <c r="H272" s="567">
        <v>0</v>
      </c>
      <c r="I272" s="567">
        <v>0</v>
      </c>
      <c r="J272" s="567">
        <v>0</v>
      </c>
      <c r="K272" s="567">
        <v>0</v>
      </c>
      <c r="L272" s="567">
        <v>0</v>
      </c>
      <c r="M272" s="567">
        <v>0</v>
      </c>
      <c r="N272" s="567">
        <v>0</v>
      </c>
      <c r="O272" s="567">
        <v>0</v>
      </c>
      <c r="P272" s="567">
        <v>0</v>
      </c>
      <c r="Q272" s="567">
        <v>0</v>
      </c>
      <c r="R272" s="567">
        <v>0</v>
      </c>
      <c r="S272" s="567">
        <v>0</v>
      </c>
      <c r="T272" s="567">
        <v>0</v>
      </c>
      <c r="U272" s="567">
        <f t="shared" si="30"/>
        <v>0</v>
      </c>
    </row>
    <row r="273" spans="1:22" x14ac:dyDescent="0.25">
      <c r="A273" s="567" t="str">
        <f t="shared" si="28"/>
        <v>KU</v>
      </c>
      <c r="B273" s="567" t="str">
        <f t="shared" si="27"/>
        <v>KY</v>
      </c>
      <c r="C273" s="567" t="str">
        <f t="shared" si="29"/>
        <v>E</v>
      </c>
      <c r="D273" s="567" t="s">
        <v>2647</v>
      </c>
      <c r="E273" s="567" t="str">
        <f t="shared" si="26"/>
        <v>373</v>
      </c>
      <c r="F273" s="864" t="s">
        <v>1714</v>
      </c>
      <c r="G273" s="566" t="str">
        <f t="shared" si="25"/>
        <v/>
      </c>
      <c r="H273" s="567">
        <v>278.85165000000001</v>
      </c>
      <c r="I273" s="567">
        <v>390.34708999999998</v>
      </c>
      <c r="J273" s="567">
        <v>155.6294</v>
      </c>
      <c r="K273" s="567">
        <v>867.09151999999995</v>
      </c>
      <c r="L273" s="567">
        <v>699.43912999999998</v>
      </c>
      <c r="M273" s="567">
        <v>39.876199999999997</v>
      </c>
      <c r="N273" s="567">
        <v>221.62287000000001</v>
      </c>
      <c r="O273" s="567">
        <v>77.851690000000005</v>
      </c>
      <c r="P273" s="567">
        <v>425.39713</v>
      </c>
      <c r="Q273" s="567">
        <v>23.58813</v>
      </c>
      <c r="R273" s="567">
        <v>294.28303</v>
      </c>
      <c r="S273" s="567">
        <v>223.04998000000001</v>
      </c>
      <c r="T273" s="567">
        <v>278.85165000000001</v>
      </c>
      <c r="U273" s="567">
        <f t="shared" si="30"/>
        <v>3697.0278199999998</v>
      </c>
    </row>
    <row r="274" spans="1:22" x14ac:dyDescent="0.25">
      <c r="A274" s="567" t="str">
        <f t="shared" si="28"/>
        <v>KU</v>
      </c>
      <c r="B274" s="567" t="str">
        <f t="shared" si="27"/>
        <v>VA</v>
      </c>
      <c r="C274" s="567" t="str">
        <f t="shared" si="29"/>
        <v>E</v>
      </c>
      <c r="D274" s="567" t="s">
        <v>2647</v>
      </c>
      <c r="E274" s="567" t="str">
        <f t="shared" si="26"/>
        <v>373</v>
      </c>
      <c r="F274" s="864" t="s">
        <v>1715</v>
      </c>
      <c r="G274" s="566" t="str">
        <f t="shared" si="25"/>
        <v/>
      </c>
      <c r="H274" s="567">
        <v>0</v>
      </c>
      <c r="I274" s="567">
        <v>0</v>
      </c>
      <c r="J274" s="567">
        <v>0</v>
      </c>
      <c r="K274" s="567">
        <v>0</v>
      </c>
      <c r="L274" s="567">
        <v>0</v>
      </c>
      <c r="M274" s="567">
        <v>0</v>
      </c>
      <c r="N274" s="567">
        <v>0</v>
      </c>
      <c r="O274" s="567">
        <v>0</v>
      </c>
      <c r="P274" s="567">
        <v>0</v>
      </c>
      <c r="Q274" s="567">
        <v>0</v>
      </c>
      <c r="R274" s="567">
        <v>0</v>
      </c>
      <c r="S274" s="567">
        <v>0</v>
      </c>
      <c r="T274" s="567">
        <v>0</v>
      </c>
      <c r="U274" s="567">
        <f t="shared" si="30"/>
        <v>0</v>
      </c>
    </row>
    <row r="275" spans="1:22" x14ac:dyDescent="0.25">
      <c r="A275" s="567" t="str">
        <f t="shared" si="28"/>
        <v>KU</v>
      </c>
      <c r="B275" s="567" t="str">
        <f t="shared" si="27"/>
        <v>KY</v>
      </c>
      <c r="C275" s="567" t="str">
        <f t="shared" si="29"/>
        <v>E</v>
      </c>
      <c r="D275" s="567" t="s">
        <v>2647</v>
      </c>
      <c r="E275" s="567" t="str">
        <f t="shared" si="26"/>
        <v>374</v>
      </c>
      <c r="F275" s="864" t="s">
        <v>1716</v>
      </c>
      <c r="G275" s="566" t="str">
        <f t="shared" si="25"/>
        <v>ARO</v>
      </c>
      <c r="H275" s="567">
        <v>0</v>
      </c>
      <c r="I275" s="567">
        <v>0</v>
      </c>
      <c r="J275" s="567">
        <v>0</v>
      </c>
      <c r="K275" s="567">
        <v>0</v>
      </c>
      <c r="L275" s="567">
        <v>0</v>
      </c>
      <c r="M275" s="567">
        <v>0</v>
      </c>
      <c r="N275" s="567">
        <v>0</v>
      </c>
      <c r="O275" s="567">
        <v>0</v>
      </c>
      <c r="P275" s="567">
        <v>0</v>
      </c>
      <c r="Q275" s="567">
        <v>0</v>
      </c>
      <c r="R275" s="567">
        <v>0</v>
      </c>
      <c r="S275" s="567">
        <v>0</v>
      </c>
      <c r="T275" s="567">
        <v>0</v>
      </c>
      <c r="U275" s="567">
        <f t="shared" si="30"/>
        <v>0</v>
      </c>
    </row>
    <row r="276" spans="1:22" x14ac:dyDescent="0.25">
      <c r="A276" s="567" t="str">
        <f t="shared" si="28"/>
        <v>KU</v>
      </c>
      <c r="B276" s="567" t="str">
        <f t="shared" si="27"/>
        <v>KY</v>
      </c>
      <c r="C276" s="567" t="str">
        <f t="shared" si="29"/>
        <v>E</v>
      </c>
      <c r="D276" s="567" t="s">
        <v>2647</v>
      </c>
      <c r="E276" s="567" t="str">
        <f t="shared" si="26"/>
        <v>390</v>
      </c>
      <c r="F276" s="864" t="s">
        <v>1719</v>
      </c>
      <c r="G276" s="566" t="str">
        <f t="shared" si="25"/>
        <v/>
      </c>
      <c r="H276" s="567">
        <v>0</v>
      </c>
      <c r="I276" s="567">
        <v>0</v>
      </c>
      <c r="J276" s="567">
        <v>0</v>
      </c>
      <c r="K276" s="567">
        <v>0</v>
      </c>
      <c r="L276" s="567">
        <v>0</v>
      </c>
      <c r="M276" s="567">
        <v>0</v>
      </c>
      <c r="N276" s="567">
        <v>0</v>
      </c>
      <c r="O276" s="567">
        <v>0</v>
      </c>
      <c r="P276" s="567">
        <v>0</v>
      </c>
      <c r="Q276" s="567">
        <v>0</v>
      </c>
      <c r="R276" s="567">
        <v>0</v>
      </c>
      <c r="S276" s="567">
        <v>0</v>
      </c>
      <c r="T276" s="567">
        <v>0</v>
      </c>
      <c r="U276" s="567">
        <f t="shared" si="30"/>
        <v>0</v>
      </c>
    </row>
    <row r="277" spans="1:22" x14ac:dyDescent="0.25">
      <c r="A277" s="567" t="str">
        <f t="shared" si="28"/>
        <v>KU</v>
      </c>
      <c r="B277" s="567" t="str">
        <f t="shared" si="27"/>
        <v>KY</v>
      </c>
      <c r="C277" s="567" t="str">
        <f t="shared" si="29"/>
        <v>E</v>
      </c>
      <c r="D277" s="567" t="s">
        <v>2647</v>
      </c>
      <c r="E277" s="567" t="str">
        <f t="shared" si="26"/>
        <v>390</v>
      </c>
      <c r="F277" s="864" t="s">
        <v>1720</v>
      </c>
      <c r="G277" s="566" t="str">
        <f t="shared" si="25"/>
        <v/>
      </c>
      <c r="H277" s="567">
        <v>0</v>
      </c>
      <c r="I277" s="567">
        <v>0</v>
      </c>
      <c r="J277" s="567">
        <v>0</v>
      </c>
      <c r="K277" s="567">
        <v>0</v>
      </c>
      <c r="L277" s="567">
        <v>0</v>
      </c>
      <c r="M277" s="567">
        <v>0</v>
      </c>
      <c r="N277" s="567">
        <v>0</v>
      </c>
      <c r="O277" s="567">
        <v>0</v>
      </c>
      <c r="P277" s="567">
        <v>0</v>
      </c>
      <c r="Q277" s="567">
        <v>0</v>
      </c>
      <c r="R277" s="567">
        <v>0</v>
      </c>
      <c r="S277" s="567">
        <v>0</v>
      </c>
      <c r="T277" s="567">
        <v>0</v>
      </c>
      <c r="U277" s="567">
        <f t="shared" si="30"/>
        <v>0</v>
      </c>
    </row>
    <row r="278" spans="1:22" x14ac:dyDescent="0.25">
      <c r="A278" s="567" t="str">
        <f t="shared" si="28"/>
        <v>KU</v>
      </c>
      <c r="B278" s="567" t="str">
        <f t="shared" si="27"/>
        <v>VA</v>
      </c>
      <c r="C278" s="567" t="str">
        <f t="shared" si="29"/>
        <v>E</v>
      </c>
      <c r="D278" s="567" t="s">
        <v>2647</v>
      </c>
      <c r="E278" s="567" t="str">
        <f t="shared" si="26"/>
        <v>390</v>
      </c>
      <c r="F278" s="864" t="s">
        <v>1721</v>
      </c>
      <c r="G278" s="566" t="str">
        <f t="shared" si="25"/>
        <v/>
      </c>
      <c r="H278" s="567">
        <v>0</v>
      </c>
      <c r="I278" s="567">
        <v>0</v>
      </c>
      <c r="J278" s="567">
        <v>0</v>
      </c>
      <c r="K278" s="567">
        <v>0</v>
      </c>
      <c r="L278" s="567">
        <v>0</v>
      </c>
      <c r="M278" s="567">
        <v>0</v>
      </c>
      <c r="N278" s="567">
        <v>0</v>
      </c>
      <c r="O278" s="567">
        <v>0</v>
      </c>
      <c r="P278" s="567">
        <v>0</v>
      </c>
      <c r="Q278" s="567">
        <v>0</v>
      </c>
      <c r="R278" s="567">
        <v>0</v>
      </c>
      <c r="S278" s="567">
        <v>0</v>
      </c>
      <c r="T278" s="567">
        <v>0</v>
      </c>
      <c r="U278" s="567">
        <f t="shared" si="30"/>
        <v>0</v>
      </c>
    </row>
    <row r="279" spans="1:22" x14ac:dyDescent="0.25">
      <c r="A279" s="567" t="str">
        <f t="shared" si="28"/>
        <v>KU</v>
      </c>
      <c r="B279" s="567" t="str">
        <f t="shared" si="27"/>
        <v>KY</v>
      </c>
      <c r="C279" s="567" t="str">
        <f t="shared" si="29"/>
        <v>E</v>
      </c>
      <c r="D279" s="567" t="s">
        <v>2647</v>
      </c>
      <c r="E279" s="567" t="str">
        <f t="shared" si="26"/>
        <v>391</v>
      </c>
      <c r="F279" s="864" t="s">
        <v>1722</v>
      </c>
      <c r="G279" s="566" t="str">
        <f t="shared" si="25"/>
        <v/>
      </c>
      <c r="H279" s="567">
        <v>4.9642200000000001</v>
      </c>
      <c r="I279" s="567">
        <v>0</v>
      </c>
      <c r="J279" s="567">
        <v>0</v>
      </c>
      <c r="K279" s="567">
        <v>0</v>
      </c>
      <c r="L279" s="567">
        <v>0</v>
      </c>
      <c r="M279" s="567">
        <v>50.504530000000003</v>
      </c>
      <c r="N279" s="567">
        <v>752.66498000000001</v>
      </c>
      <c r="O279" s="567">
        <v>10.64828</v>
      </c>
      <c r="P279" s="567">
        <v>0</v>
      </c>
      <c r="Q279" s="567">
        <v>21.932549999999999</v>
      </c>
      <c r="R279" s="567">
        <v>0</v>
      </c>
      <c r="S279" s="567">
        <v>0</v>
      </c>
      <c r="T279" s="567">
        <v>0</v>
      </c>
      <c r="U279" s="567">
        <f t="shared" si="30"/>
        <v>835.75034000000005</v>
      </c>
    </row>
    <row r="280" spans="1:22" x14ac:dyDescent="0.25">
      <c r="A280" s="567" t="str">
        <f t="shared" si="28"/>
        <v>KU</v>
      </c>
      <c r="B280" s="567" t="str">
        <f t="shared" si="27"/>
        <v>KY</v>
      </c>
      <c r="C280" s="567" t="str">
        <f t="shared" si="29"/>
        <v>E</v>
      </c>
      <c r="D280" s="567" t="s">
        <v>2647</v>
      </c>
      <c r="E280" s="567" t="str">
        <f t="shared" si="26"/>
        <v>391</v>
      </c>
      <c r="F280" s="864" t="s">
        <v>1723</v>
      </c>
      <c r="G280" s="566" t="str">
        <f t="shared" si="25"/>
        <v/>
      </c>
      <c r="H280" s="567">
        <v>252.41788</v>
      </c>
      <c r="I280" s="567">
        <v>1659.92534</v>
      </c>
      <c r="J280" s="567">
        <v>856.93454999999994</v>
      </c>
      <c r="K280" s="567">
        <v>189.06634</v>
      </c>
      <c r="L280" s="567">
        <v>781.48081999999999</v>
      </c>
      <c r="M280" s="567">
        <v>0</v>
      </c>
      <c r="N280" s="567">
        <v>605.444199999999</v>
      </c>
      <c r="O280" s="567">
        <v>111.24678</v>
      </c>
      <c r="P280" s="567">
        <v>393.58821999999998</v>
      </c>
      <c r="Q280" s="567">
        <v>746.83319999999901</v>
      </c>
      <c r="R280" s="567">
        <v>1686.91551</v>
      </c>
      <c r="S280" s="567">
        <v>246.30145999999999</v>
      </c>
      <c r="T280" s="567">
        <v>42.032649999999997</v>
      </c>
      <c r="U280" s="567">
        <f t="shared" si="30"/>
        <v>7319.7690699999976</v>
      </c>
    </row>
    <row r="281" spans="1:22" x14ac:dyDescent="0.25">
      <c r="A281" s="567" t="str">
        <f t="shared" si="28"/>
        <v>KU</v>
      </c>
      <c r="B281" s="567" t="str">
        <f t="shared" si="27"/>
        <v>KY</v>
      </c>
      <c r="C281" s="567" t="str">
        <f t="shared" si="29"/>
        <v>E</v>
      </c>
      <c r="D281" s="567" t="s">
        <v>2647</v>
      </c>
      <c r="E281" s="567" t="str">
        <f t="shared" si="26"/>
        <v>392</v>
      </c>
      <c r="F281" s="864" t="s">
        <v>1726</v>
      </c>
      <c r="G281" s="566" t="str">
        <f t="shared" si="25"/>
        <v/>
      </c>
      <c r="H281" s="567">
        <v>0</v>
      </c>
      <c r="I281" s="567">
        <v>0</v>
      </c>
      <c r="J281" s="567">
        <v>0</v>
      </c>
      <c r="K281" s="567">
        <v>0</v>
      </c>
      <c r="L281" s="567">
        <v>0</v>
      </c>
      <c r="M281" s="567">
        <v>0</v>
      </c>
      <c r="N281" s="567">
        <v>0</v>
      </c>
      <c r="O281" s="567">
        <v>0</v>
      </c>
      <c r="P281" s="567">
        <v>0</v>
      </c>
      <c r="Q281" s="567">
        <v>0</v>
      </c>
      <c r="R281" s="567">
        <v>0</v>
      </c>
      <c r="S281" s="567">
        <v>0</v>
      </c>
      <c r="T281" s="567">
        <v>0</v>
      </c>
      <c r="U281" s="567">
        <f t="shared" si="30"/>
        <v>0</v>
      </c>
    </row>
    <row r="282" spans="1:22" x14ac:dyDescent="0.25">
      <c r="A282" s="567" t="str">
        <f t="shared" si="28"/>
        <v>KU</v>
      </c>
      <c r="B282" s="567" t="str">
        <f t="shared" si="27"/>
        <v>KY</v>
      </c>
      <c r="C282" s="567" t="str">
        <f t="shared" si="29"/>
        <v>E</v>
      </c>
      <c r="D282" s="567" t="s">
        <v>2647</v>
      </c>
      <c r="E282" s="567" t="str">
        <f t="shared" si="26"/>
        <v>393</v>
      </c>
      <c r="F282" s="864" t="s">
        <v>1727</v>
      </c>
      <c r="G282" s="566" t="str">
        <f t="shared" si="25"/>
        <v/>
      </c>
      <c r="H282" s="567">
        <v>10.1326</v>
      </c>
      <c r="I282" s="567">
        <v>13.04768</v>
      </c>
      <c r="J282" s="567">
        <v>0</v>
      </c>
      <c r="K282" s="567">
        <v>0</v>
      </c>
      <c r="L282" s="567">
        <v>1.59849</v>
      </c>
      <c r="M282" s="567">
        <v>6.5201500000000001</v>
      </c>
      <c r="N282" s="567">
        <v>10.6745</v>
      </c>
      <c r="O282" s="567">
        <v>0</v>
      </c>
      <c r="P282" s="567">
        <v>0</v>
      </c>
      <c r="Q282" s="567">
        <v>0</v>
      </c>
      <c r="R282" s="567">
        <v>0</v>
      </c>
      <c r="S282" s="567">
        <v>0</v>
      </c>
      <c r="T282" s="567">
        <v>0</v>
      </c>
      <c r="U282" s="567">
        <f t="shared" si="30"/>
        <v>31.840820000000001</v>
      </c>
    </row>
    <row r="283" spans="1:22" x14ac:dyDescent="0.25">
      <c r="A283" s="567" t="str">
        <f t="shared" si="28"/>
        <v>KU</v>
      </c>
      <c r="B283" s="567" t="str">
        <f t="shared" si="27"/>
        <v>VA</v>
      </c>
      <c r="C283" s="567" t="str">
        <f t="shared" si="29"/>
        <v>E</v>
      </c>
      <c r="D283" s="567" t="s">
        <v>2647</v>
      </c>
      <c r="E283" s="567" t="str">
        <f t="shared" si="26"/>
        <v>393</v>
      </c>
      <c r="F283" s="864" t="s">
        <v>1728</v>
      </c>
      <c r="G283" s="566" t="str">
        <f t="shared" ref="G283:G346" si="31">IF(ISTEXT(MID($F283,SEARCH("FUTURE USE",$F283),3)),"FUTURE USE",IF(ISTEXT(MID($F283,SEARCH("ECR",$F283),3)),"ECR",IF(ISTEXT(MID($F283,SEARCH("ARO",$F283),3)),"ARO",IF(ISTEXT(MID($F283,SEARCH("DSM",$F283),3)),"DSM",""))))</f>
        <v/>
      </c>
      <c r="H283" s="567">
        <v>0</v>
      </c>
      <c r="I283" s="567">
        <v>0</v>
      </c>
      <c r="J283" s="567">
        <v>0</v>
      </c>
      <c r="K283" s="567">
        <v>0</v>
      </c>
      <c r="L283" s="567">
        <v>0</v>
      </c>
      <c r="M283" s="567">
        <v>0</v>
      </c>
      <c r="N283" s="567">
        <v>0</v>
      </c>
      <c r="O283" s="567">
        <v>0</v>
      </c>
      <c r="P283" s="567">
        <v>0</v>
      </c>
      <c r="Q283" s="567">
        <v>0</v>
      </c>
      <c r="R283" s="567">
        <v>0</v>
      </c>
      <c r="S283" s="567">
        <v>0</v>
      </c>
      <c r="T283" s="567">
        <v>0</v>
      </c>
      <c r="U283" s="567">
        <f t="shared" si="30"/>
        <v>0</v>
      </c>
    </row>
    <row r="284" spans="1:22" x14ac:dyDescent="0.25">
      <c r="A284" s="567" t="str">
        <f t="shared" si="28"/>
        <v>KU</v>
      </c>
      <c r="B284" s="567" t="str">
        <f t="shared" si="27"/>
        <v>KY</v>
      </c>
      <c r="C284" s="567" t="str">
        <f t="shared" si="29"/>
        <v>E</v>
      </c>
      <c r="D284" s="567" t="s">
        <v>2647</v>
      </c>
      <c r="E284" s="567" t="str">
        <f t="shared" si="26"/>
        <v>394</v>
      </c>
      <c r="F284" s="864" t="s">
        <v>1729</v>
      </c>
      <c r="G284" s="566" t="str">
        <f t="shared" si="31"/>
        <v/>
      </c>
      <c r="H284" s="567">
        <v>9.5558999999999994</v>
      </c>
      <c r="I284" s="567">
        <v>2.3574199999999998</v>
      </c>
      <c r="J284" s="567">
        <v>15.743029999999999</v>
      </c>
      <c r="K284" s="567">
        <v>2.5400399999999999</v>
      </c>
      <c r="L284" s="567">
        <v>21.723469999999999</v>
      </c>
      <c r="M284" s="567">
        <v>20.914009999999902</v>
      </c>
      <c r="N284" s="567">
        <v>1.58423</v>
      </c>
      <c r="O284" s="567">
        <v>2.2429999999999999</v>
      </c>
      <c r="P284" s="567">
        <v>10.883369999999999</v>
      </c>
      <c r="Q284" s="567">
        <v>0</v>
      </c>
      <c r="R284" s="567">
        <v>0</v>
      </c>
      <c r="S284" s="567">
        <v>0</v>
      </c>
      <c r="T284" s="567">
        <v>15.030200000000001</v>
      </c>
      <c r="U284" s="567">
        <f t="shared" si="30"/>
        <v>93.018769999999904</v>
      </c>
    </row>
    <row r="285" spans="1:22" x14ac:dyDescent="0.25">
      <c r="A285" s="567" t="str">
        <f t="shared" si="28"/>
        <v>KU</v>
      </c>
      <c r="B285" s="567" t="str">
        <f t="shared" si="27"/>
        <v>VA</v>
      </c>
      <c r="C285" s="567" t="str">
        <f t="shared" si="29"/>
        <v>E</v>
      </c>
      <c r="D285" s="567" t="s">
        <v>2647</v>
      </c>
      <c r="E285" s="567" t="str">
        <f t="shared" si="26"/>
        <v>394</v>
      </c>
      <c r="F285" s="864" t="s">
        <v>1730</v>
      </c>
      <c r="G285" s="566" t="str">
        <f t="shared" si="31"/>
        <v/>
      </c>
      <c r="H285" s="567">
        <v>0</v>
      </c>
      <c r="I285" s="567">
        <v>0</v>
      </c>
      <c r="J285" s="567">
        <v>0</v>
      </c>
      <c r="K285" s="567">
        <v>0</v>
      </c>
      <c r="L285" s="567">
        <v>6.7188599999999896</v>
      </c>
      <c r="M285" s="567">
        <v>0</v>
      </c>
      <c r="N285" s="567">
        <v>0</v>
      </c>
      <c r="O285" s="567">
        <v>0</v>
      </c>
      <c r="P285" s="567">
        <v>6.2773399999999997</v>
      </c>
      <c r="Q285" s="567">
        <v>0</v>
      </c>
      <c r="R285" s="567">
        <v>0</v>
      </c>
      <c r="S285" s="567">
        <v>0</v>
      </c>
      <c r="T285" s="567">
        <v>0</v>
      </c>
      <c r="U285" s="567">
        <f t="shared" si="30"/>
        <v>12.996199999999989</v>
      </c>
    </row>
    <row r="286" spans="1:22" x14ac:dyDescent="0.25">
      <c r="A286" s="567" t="str">
        <f t="shared" si="28"/>
        <v>KY</v>
      </c>
      <c r="B286" s="567" t="str">
        <f t="shared" si="27"/>
        <v xml:space="preserve"> A</v>
      </c>
      <c r="C286" s="567" t="str">
        <f t="shared" si="29"/>
        <v/>
      </c>
      <c r="D286" s="567" t="s">
        <v>2647</v>
      </c>
      <c r="E286" s="567" t="str">
        <f t="shared" si="26"/>
        <v>lan</v>
      </c>
      <c r="F286" s="864" t="s">
        <v>1740</v>
      </c>
      <c r="G286" s="566" t="str">
        <f t="shared" si="31"/>
        <v/>
      </c>
      <c r="H286" s="567">
        <v>39994.758070000003</v>
      </c>
      <c r="I286" s="567">
        <v>4757.6184299999986</v>
      </c>
      <c r="J286" s="567">
        <v>2692.1880499999993</v>
      </c>
      <c r="K286" s="567">
        <v>4737.5343300000004</v>
      </c>
      <c r="L286" s="567">
        <v>6595.6191799999988</v>
      </c>
      <c r="M286" s="567">
        <v>1092.6497900000002</v>
      </c>
      <c r="N286" s="567">
        <v>4946.2521499999993</v>
      </c>
      <c r="O286" s="567">
        <v>5021.2641599999924</v>
      </c>
      <c r="P286" s="567">
        <v>22928.703130000002</v>
      </c>
      <c r="Q286" s="567">
        <v>63877.964659999998</v>
      </c>
      <c r="R286" s="567">
        <v>9967.7366999999995</v>
      </c>
      <c r="S286" s="567">
        <v>3822.936439999999</v>
      </c>
      <c r="T286" s="567">
        <v>13721.045149999998</v>
      </c>
      <c r="U286" s="567">
        <f t="shared" si="30"/>
        <v>144161.51216999997</v>
      </c>
    </row>
    <row r="287" spans="1:22" x14ac:dyDescent="0.25">
      <c r="A287" s="567" t="str">
        <f t="shared" si="28"/>
        <v/>
      </c>
      <c r="B287" s="567" t="str">
        <f t="shared" si="27"/>
        <v/>
      </c>
      <c r="C287" s="567" t="str">
        <f t="shared" si="29"/>
        <v/>
      </c>
      <c r="E287" s="567" t="str">
        <f t="shared" si="26"/>
        <v/>
      </c>
      <c r="G287" s="566" t="str">
        <f t="shared" si="31"/>
        <v/>
      </c>
      <c r="H287" s="567">
        <v>0</v>
      </c>
      <c r="I287" s="567">
        <v>0</v>
      </c>
      <c r="J287" s="567">
        <v>0</v>
      </c>
      <c r="K287" s="567">
        <v>0</v>
      </c>
      <c r="L287" s="567">
        <v>0</v>
      </c>
      <c r="M287" s="567">
        <v>0</v>
      </c>
      <c r="N287" s="567">
        <v>0</v>
      </c>
      <c r="O287" s="567">
        <v>-7.2759576141834259E-12</v>
      </c>
      <c r="P287" s="567">
        <v>0</v>
      </c>
      <c r="Q287" s="567">
        <v>0</v>
      </c>
      <c r="R287" s="567">
        <v>0</v>
      </c>
      <c r="S287" s="567">
        <v>0</v>
      </c>
      <c r="T287" s="567">
        <v>9.822542779147625E-11</v>
      </c>
      <c r="U287" s="567">
        <f t="shared" si="30"/>
        <v>9.0949470177292824E-11</v>
      </c>
    </row>
    <row r="288" spans="1:22" x14ac:dyDescent="0.25">
      <c r="A288" s="567" t="str">
        <f t="shared" si="28"/>
        <v xml:space="preserve">: </v>
      </c>
      <c r="B288" s="567" t="str">
        <f t="shared" si="27"/>
        <v>er</v>
      </c>
      <c r="C288" s="567" t="str">
        <f t="shared" si="29"/>
        <v/>
      </c>
      <c r="E288" s="567" t="str">
        <f t="shared" si="26"/>
        <v>ans</v>
      </c>
      <c r="F288" s="862" t="s">
        <v>2648</v>
      </c>
      <c r="G288" s="566" t="str">
        <f t="shared" si="31"/>
        <v/>
      </c>
      <c r="U288" s="567">
        <f t="shared" si="30"/>
        <v>0</v>
      </c>
      <c r="V288" s="567">
        <f t="shared" ref="V288:V348" si="32">SUM(H288:T288)/13</f>
        <v>0</v>
      </c>
    </row>
    <row r="289" spans="1:22" x14ac:dyDescent="0.25">
      <c r="A289" s="567" t="str">
        <f t="shared" si="28"/>
        <v>KU</v>
      </c>
      <c r="B289" s="567" t="str">
        <f t="shared" si="27"/>
        <v>KY</v>
      </c>
      <c r="C289" s="567" t="str">
        <f t="shared" si="29"/>
        <v>E</v>
      </c>
      <c r="D289" s="567" t="s">
        <v>1298</v>
      </c>
      <c r="E289" s="567" t="str">
        <f t="shared" si="26"/>
        <v>311</v>
      </c>
      <c r="F289" s="864" t="s">
        <v>1620</v>
      </c>
      <c r="G289" s="566" t="str">
        <f t="shared" si="31"/>
        <v/>
      </c>
      <c r="H289" s="567">
        <v>0</v>
      </c>
      <c r="I289" s="567">
        <v>0</v>
      </c>
      <c r="J289" s="567">
        <v>0</v>
      </c>
      <c r="K289" s="567">
        <v>0</v>
      </c>
      <c r="L289" s="567">
        <v>0</v>
      </c>
      <c r="M289" s="567">
        <v>0</v>
      </c>
      <c r="N289" s="567">
        <v>0</v>
      </c>
      <c r="O289" s="567">
        <v>0</v>
      </c>
      <c r="P289" s="567">
        <v>0</v>
      </c>
      <c r="Q289" s="567">
        <v>0</v>
      </c>
      <c r="R289" s="567">
        <v>0</v>
      </c>
      <c r="S289" s="567">
        <v>0</v>
      </c>
      <c r="T289" s="567">
        <v>0</v>
      </c>
      <c r="U289" s="567">
        <f t="shared" si="30"/>
        <v>0</v>
      </c>
      <c r="V289" s="567">
        <f t="shared" si="32"/>
        <v>0</v>
      </c>
    </row>
    <row r="290" spans="1:22" x14ac:dyDescent="0.25">
      <c r="A290" s="567" t="str">
        <f t="shared" si="28"/>
        <v>KU</v>
      </c>
      <c r="B290" s="567" t="str">
        <f t="shared" si="27"/>
        <v>KY</v>
      </c>
      <c r="C290" s="567" t="str">
        <f t="shared" si="29"/>
        <v>E</v>
      </c>
      <c r="D290" s="567" t="s">
        <v>1298</v>
      </c>
      <c r="E290" s="567" t="str">
        <f t="shared" si="26"/>
        <v>312</v>
      </c>
      <c r="F290" s="864" t="s">
        <v>1621</v>
      </c>
      <c r="G290" s="566" t="str">
        <f t="shared" si="31"/>
        <v/>
      </c>
      <c r="H290" s="567">
        <v>0</v>
      </c>
      <c r="I290" s="567">
        <v>0</v>
      </c>
      <c r="J290" s="567">
        <v>0</v>
      </c>
      <c r="K290" s="567">
        <v>0</v>
      </c>
      <c r="L290" s="567">
        <v>0</v>
      </c>
      <c r="M290" s="567">
        <v>0</v>
      </c>
      <c r="N290" s="567">
        <v>0</v>
      </c>
      <c r="O290" s="567">
        <v>0</v>
      </c>
      <c r="P290" s="567">
        <v>0</v>
      </c>
      <c r="Q290" s="567">
        <v>0</v>
      </c>
      <c r="R290" s="567">
        <v>0</v>
      </c>
      <c r="S290" s="567">
        <v>0</v>
      </c>
      <c r="T290" s="567">
        <v>0</v>
      </c>
      <c r="U290" s="567">
        <f t="shared" si="30"/>
        <v>0</v>
      </c>
      <c r="V290" s="567">
        <f t="shared" si="32"/>
        <v>0</v>
      </c>
    </row>
    <row r="291" spans="1:22" x14ac:dyDescent="0.25">
      <c r="A291" s="567" t="str">
        <f t="shared" si="28"/>
        <v>KU</v>
      </c>
      <c r="B291" s="567" t="str">
        <f t="shared" si="27"/>
        <v>KY</v>
      </c>
      <c r="C291" s="567" t="str">
        <f t="shared" si="29"/>
        <v>E</v>
      </c>
      <c r="D291" s="567" t="s">
        <v>1298</v>
      </c>
      <c r="E291" s="567" t="str">
        <f t="shared" si="26"/>
        <v>312</v>
      </c>
      <c r="F291" s="864" t="s">
        <v>1622</v>
      </c>
      <c r="G291" s="566" t="str">
        <f t="shared" si="31"/>
        <v>ECR</v>
      </c>
      <c r="H291" s="567">
        <v>0</v>
      </c>
      <c r="I291" s="567">
        <v>0</v>
      </c>
      <c r="J291" s="567">
        <v>0</v>
      </c>
      <c r="K291" s="567">
        <v>0</v>
      </c>
      <c r="L291" s="567">
        <v>0</v>
      </c>
      <c r="M291" s="567">
        <v>0</v>
      </c>
      <c r="N291" s="567">
        <v>0</v>
      </c>
      <c r="O291" s="567">
        <v>0</v>
      </c>
      <c r="P291" s="567">
        <v>0</v>
      </c>
      <c r="Q291" s="567">
        <v>0</v>
      </c>
      <c r="R291" s="567">
        <v>0</v>
      </c>
      <c r="S291" s="567">
        <v>0</v>
      </c>
      <c r="T291" s="567">
        <v>0</v>
      </c>
      <c r="U291" s="567">
        <f t="shared" si="30"/>
        <v>0</v>
      </c>
      <c r="V291" s="567">
        <f t="shared" si="32"/>
        <v>0</v>
      </c>
    </row>
    <row r="292" spans="1:22" x14ac:dyDescent="0.25">
      <c r="A292" s="567" t="str">
        <f t="shared" si="28"/>
        <v>KU</v>
      </c>
      <c r="B292" s="567" t="str">
        <f t="shared" si="27"/>
        <v>KY</v>
      </c>
      <c r="C292" s="567" t="str">
        <f t="shared" si="29"/>
        <v>E</v>
      </c>
      <c r="D292" s="567" t="s">
        <v>1298</v>
      </c>
      <c r="E292" s="567" t="str">
        <f t="shared" si="26"/>
        <v>314</v>
      </c>
      <c r="F292" s="864" t="s">
        <v>1625</v>
      </c>
      <c r="G292" s="566" t="str">
        <f t="shared" si="31"/>
        <v/>
      </c>
      <c r="H292" s="567">
        <v>0</v>
      </c>
      <c r="I292" s="567">
        <v>0</v>
      </c>
      <c r="J292" s="567">
        <v>0</v>
      </c>
      <c r="K292" s="567">
        <v>0</v>
      </c>
      <c r="L292" s="567">
        <v>0</v>
      </c>
      <c r="M292" s="567">
        <v>0</v>
      </c>
      <c r="N292" s="567">
        <v>0</v>
      </c>
      <c r="O292" s="567">
        <v>0</v>
      </c>
      <c r="P292" s="567">
        <v>0</v>
      </c>
      <c r="Q292" s="567">
        <v>0</v>
      </c>
      <c r="R292" s="567">
        <v>0</v>
      </c>
      <c r="S292" s="567">
        <v>0</v>
      </c>
      <c r="T292" s="567">
        <v>0</v>
      </c>
      <c r="U292" s="567">
        <f t="shared" si="30"/>
        <v>0</v>
      </c>
      <c r="V292" s="567">
        <f t="shared" si="32"/>
        <v>0</v>
      </c>
    </row>
    <row r="293" spans="1:22" x14ac:dyDescent="0.25">
      <c r="A293" s="567" t="str">
        <f t="shared" si="28"/>
        <v>KU</v>
      </c>
      <c r="B293" s="567" t="str">
        <f t="shared" si="27"/>
        <v>KY</v>
      </c>
      <c r="C293" s="567" t="str">
        <f t="shared" si="29"/>
        <v>E</v>
      </c>
      <c r="D293" s="567" t="s">
        <v>1298</v>
      </c>
      <c r="E293" s="567" t="str">
        <f t="shared" si="26"/>
        <v>315</v>
      </c>
      <c r="F293" s="864" t="s">
        <v>1626</v>
      </c>
      <c r="G293" s="566" t="str">
        <f t="shared" si="31"/>
        <v/>
      </c>
      <c r="H293" s="567">
        <v>0</v>
      </c>
      <c r="I293" s="567">
        <v>0</v>
      </c>
      <c r="J293" s="567">
        <v>0</v>
      </c>
      <c r="K293" s="567">
        <v>0</v>
      </c>
      <c r="L293" s="567">
        <v>0</v>
      </c>
      <c r="M293" s="567">
        <v>0</v>
      </c>
      <c r="N293" s="567">
        <v>0</v>
      </c>
      <c r="O293" s="567">
        <v>0</v>
      </c>
      <c r="P293" s="567">
        <v>0</v>
      </c>
      <c r="Q293" s="567">
        <v>0</v>
      </c>
      <c r="R293" s="567">
        <v>0</v>
      </c>
      <c r="S293" s="567">
        <v>0</v>
      </c>
      <c r="T293" s="567">
        <v>0</v>
      </c>
      <c r="U293" s="567">
        <f t="shared" si="30"/>
        <v>0</v>
      </c>
      <c r="V293" s="567">
        <f t="shared" si="32"/>
        <v>0</v>
      </c>
    </row>
    <row r="294" spans="1:22" x14ac:dyDescent="0.25">
      <c r="A294" s="567" t="str">
        <f t="shared" si="28"/>
        <v>KU</v>
      </c>
      <c r="B294" s="567" t="str">
        <f t="shared" si="27"/>
        <v>KY</v>
      </c>
      <c r="C294" s="567" t="str">
        <f t="shared" si="29"/>
        <v>E</v>
      </c>
      <c r="D294" s="567" t="s">
        <v>1298</v>
      </c>
      <c r="E294" s="567" t="str">
        <f t="shared" si="26"/>
        <v>316</v>
      </c>
      <c r="F294" s="864" t="s">
        <v>1630</v>
      </c>
      <c r="G294" s="566" t="str">
        <f t="shared" si="31"/>
        <v/>
      </c>
      <c r="H294" s="567">
        <v>0</v>
      </c>
      <c r="I294" s="567">
        <v>0</v>
      </c>
      <c r="J294" s="567">
        <v>0</v>
      </c>
      <c r="K294" s="567">
        <v>0</v>
      </c>
      <c r="L294" s="567">
        <v>0</v>
      </c>
      <c r="M294" s="567">
        <v>0</v>
      </c>
      <c r="N294" s="567">
        <v>0</v>
      </c>
      <c r="O294" s="567">
        <v>0</v>
      </c>
      <c r="P294" s="567">
        <v>0</v>
      </c>
      <c r="Q294" s="567">
        <v>0</v>
      </c>
      <c r="R294" s="567">
        <v>0</v>
      </c>
      <c r="S294" s="567">
        <v>0</v>
      </c>
      <c r="T294" s="567">
        <v>0</v>
      </c>
      <c r="U294" s="567">
        <f t="shared" si="30"/>
        <v>0</v>
      </c>
      <c r="V294" s="567">
        <f t="shared" si="32"/>
        <v>0</v>
      </c>
    </row>
    <row r="295" spans="1:22" x14ac:dyDescent="0.25">
      <c r="A295" s="567" t="str">
        <f t="shared" si="28"/>
        <v>KU</v>
      </c>
      <c r="B295" s="567" t="str">
        <f t="shared" si="27"/>
        <v>KY</v>
      </c>
      <c r="C295" s="567" t="str">
        <f t="shared" si="29"/>
        <v>E</v>
      </c>
      <c r="D295" s="567" t="s">
        <v>1298</v>
      </c>
      <c r="E295" s="567" t="str">
        <f t="shared" si="26"/>
        <v>317</v>
      </c>
      <c r="F295" s="864" t="s">
        <v>1631</v>
      </c>
      <c r="G295" s="566" t="str">
        <f t="shared" si="31"/>
        <v>ARO</v>
      </c>
      <c r="H295" s="567">
        <v>0</v>
      </c>
      <c r="I295" s="567">
        <v>0</v>
      </c>
      <c r="J295" s="567">
        <v>0</v>
      </c>
      <c r="K295" s="567">
        <v>0</v>
      </c>
      <c r="L295" s="567">
        <v>0</v>
      </c>
      <c r="M295" s="567">
        <v>0</v>
      </c>
      <c r="N295" s="567">
        <v>0</v>
      </c>
      <c r="O295" s="567">
        <v>0</v>
      </c>
      <c r="P295" s="567">
        <v>0</v>
      </c>
      <c r="Q295" s="567">
        <v>0</v>
      </c>
      <c r="R295" s="567">
        <v>0</v>
      </c>
      <c r="S295" s="567">
        <v>0</v>
      </c>
      <c r="T295" s="567">
        <v>0</v>
      </c>
      <c r="U295" s="567">
        <f t="shared" si="30"/>
        <v>0</v>
      </c>
      <c r="V295" s="567">
        <f t="shared" si="32"/>
        <v>0</v>
      </c>
    </row>
    <row r="296" spans="1:22" x14ac:dyDescent="0.25">
      <c r="A296" s="567" t="str">
        <f t="shared" si="28"/>
        <v>KU</v>
      </c>
      <c r="B296" s="567" t="str">
        <f t="shared" si="27"/>
        <v>KY</v>
      </c>
      <c r="C296" s="567" t="str">
        <f t="shared" si="29"/>
        <v>E</v>
      </c>
      <c r="D296" s="567" t="s">
        <v>1298</v>
      </c>
      <c r="E296" s="567" t="str">
        <f t="shared" si="26"/>
        <v>317</v>
      </c>
      <c r="F296" s="864" t="s">
        <v>2427</v>
      </c>
      <c r="G296" s="566" t="str">
        <f t="shared" si="31"/>
        <v>ARO</v>
      </c>
      <c r="H296" s="567">
        <v>0</v>
      </c>
      <c r="I296" s="567">
        <v>0</v>
      </c>
      <c r="J296" s="567">
        <v>0</v>
      </c>
      <c r="K296" s="567">
        <v>0</v>
      </c>
      <c r="L296" s="567">
        <v>0</v>
      </c>
      <c r="M296" s="567">
        <v>0</v>
      </c>
      <c r="N296" s="567">
        <v>0</v>
      </c>
      <c r="O296" s="567">
        <v>0</v>
      </c>
      <c r="P296" s="567">
        <v>0</v>
      </c>
      <c r="Q296" s="567">
        <v>0</v>
      </c>
      <c r="R296" s="567">
        <v>0</v>
      </c>
      <c r="S296" s="567">
        <v>0</v>
      </c>
      <c r="T296" s="567">
        <v>0</v>
      </c>
      <c r="U296" s="567">
        <f t="shared" si="30"/>
        <v>0</v>
      </c>
      <c r="V296" s="567">
        <f t="shared" si="32"/>
        <v>0</v>
      </c>
    </row>
    <row r="297" spans="1:22" x14ac:dyDescent="0.25">
      <c r="A297" s="567" t="str">
        <f t="shared" si="28"/>
        <v>KU</v>
      </c>
      <c r="B297" s="567" t="str">
        <f t="shared" si="27"/>
        <v>KY</v>
      </c>
      <c r="C297" s="567" t="str">
        <f t="shared" si="29"/>
        <v>E</v>
      </c>
      <c r="D297" s="567" t="s">
        <v>1298</v>
      </c>
      <c r="E297" s="567" t="str">
        <f t="shared" si="26"/>
        <v>361</v>
      </c>
      <c r="F297" s="864" t="s">
        <v>1685</v>
      </c>
      <c r="G297" s="566" t="str">
        <f t="shared" si="31"/>
        <v/>
      </c>
      <c r="H297" s="567">
        <v>0</v>
      </c>
      <c r="I297" s="567">
        <v>0</v>
      </c>
      <c r="J297" s="567">
        <v>0</v>
      </c>
      <c r="K297" s="567">
        <v>0</v>
      </c>
      <c r="L297" s="567">
        <v>0</v>
      </c>
      <c r="M297" s="567">
        <v>0</v>
      </c>
      <c r="N297" s="567">
        <v>0</v>
      </c>
      <c r="O297" s="567">
        <v>0</v>
      </c>
      <c r="P297" s="567">
        <v>0</v>
      </c>
      <c r="Q297" s="567">
        <v>0</v>
      </c>
      <c r="R297" s="567">
        <v>0</v>
      </c>
      <c r="S297" s="567">
        <v>0</v>
      </c>
      <c r="T297" s="567">
        <v>0</v>
      </c>
      <c r="U297" s="567">
        <f t="shared" si="30"/>
        <v>0</v>
      </c>
      <c r="V297" s="567">
        <f t="shared" si="32"/>
        <v>0</v>
      </c>
    </row>
    <row r="298" spans="1:22" x14ac:dyDescent="0.25">
      <c r="A298" s="567" t="str">
        <f t="shared" si="28"/>
        <v>KU</v>
      </c>
      <c r="B298" s="567" t="str">
        <f t="shared" si="27"/>
        <v>KY</v>
      </c>
      <c r="C298" s="567" t="str">
        <f t="shared" si="29"/>
        <v>E</v>
      </c>
      <c r="D298" s="567" t="s">
        <v>1298</v>
      </c>
      <c r="E298" s="567" t="str">
        <f t="shared" si="26"/>
        <v>390</v>
      </c>
      <c r="F298" s="864" t="s">
        <v>1720</v>
      </c>
      <c r="G298" s="566" t="str">
        <f t="shared" si="31"/>
        <v/>
      </c>
      <c r="H298" s="567">
        <v>0</v>
      </c>
      <c r="I298" s="567">
        <v>0</v>
      </c>
      <c r="J298" s="567">
        <v>0</v>
      </c>
      <c r="K298" s="567">
        <v>0</v>
      </c>
      <c r="L298" s="567">
        <v>0</v>
      </c>
      <c r="M298" s="567">
        <v>0</v>
      </c>
      <c r="N298" s="567">
        <v>0</v>
      </c>
      <c r="O298" s="567">
        <v>0</v>
      </c>
      <c r="P298" s="567">
        <v>0</v>
      </c>
      <c r="Q298" s="567">
        <v>0</v>
      </c>
      <c r="R298" s="567">
        <v>0</v>
      </c>
      <c r="S298" s="567">
        <v>0</v>
      </c>
      <c r="T298" s="567">
        <v>0</v>
      </c>
      <c r="U298" s="567">
        <f t="shared" si="30"/>
        <v>0</v>
      </c>
      <c r="V298" s="567">
        <f t="shared" si="32"/>
        <v>0</v>
      </c>
    </row>
    <row r="299" spans="1:22" x14ac:dyDescent="0.25">
      <c r="A299" s="567" t="str">
        <f t="shared" si="28"/>
        <v>KU</v>
      </c>
      <c r="B299" s="567" t="str">
        <f t="shared" si="27"/>
        <v>KY</v>
      </c>
      <c r="C299" s="567" t="str">
        <f t="shared" si="29"/>
        <v>E</v>
      </c>
      <c r="D299" s="567" t="s">
        <v>1298</v>
      </c>
      <c r="E299" s="567" t="str">
        <f t="shared" si="26"/>
        <v>396</v>
      </c>
      <c r="F299" s="864" t="s">
        <v>1731</v>
      </c>
      <c r="G299" s="566" t="str">
        <f t="shared" si="31"/>
        <v/>
      </c>
      <c r="H299" s="567">
        <v>0</v>
      </c>
      <c r="I299" s="567">
        <v>0</v>
      </c>
      <c r="J299" s="567">
        <v>0</v>
      </c>
      <c r="K299" s="567">
        <v>0</v>
      </c>
      <c r="L299" s="567">
        <v>0</v>
      </c>
      <c r="M299" s="567">
        <v>0</v>
      </c>
      <c r="N299" s="567">
        <v>0</v>
      </c>
      <c r="O299" s="567">
        <v>0</v>
      </c>
      <c r="P299" s="567">
        <v>0</v>
      </c>
      <c r="Q299" s="567">
        <v>0</v>
      </c>
      <c r="R299" s="567">
        <v>0</v>
      </c>
      <c r="S299" s="567">
        <v>0</v>
      </c>
      <c r="T299" s="567">
        <v>0</v>
      </c>
      <c r="U299" s="567">
        <f t="shared" si="30"/>
        <v>0</v>
      </c>
      <c r="V299" s="567">
        <f t="shared" si="32"/>
        <v>0</v>
      </c>
    </row>
    <row r="300" spans="1:22" x14ac:dyDescent="0.25">
      <c r="A300" s="567" t="str">
        <f t="shared" si="28"/>
        <v>KU</v>
      </c>
      <c r="B300" s="567" t="str">
        <f t="shared" si="27"/>
        <v>KY</v>
      </c>
      <c r="C300" s="567" t="str">
        <f t="shared" si="29"/>
        <v>E</v>
      </c>
      <c r="D300" s="567" t="s">
        <v>1298</v>
      </c>
      <c r="E300" s="567" t="str">
        <f t="shared" si="26"/>
        <v>396</v>
      </c>
      <c r="F300" s="864" t="s">
        <v>2430</v>
      </c>
      <c r="G300" s="566" t="str">
        <f t="shared" si="31"/>
        <v/>
      </c>
      <c r="H300" s="567">
        <v>0</v>
      </c>
      <c r="I300" s="567">
        <v>0</v>
      </c>
      <c r="J300" s="567">
        <v>0</v>
      </c>
      <c r="K300" s="567">
        <v>0</v>
      </c>
      <c r="L300" s="567">
        <v>0</v>
      </c>
      <c r="M300" s="567">
        <v>0</v>
      </c>
      <c r="N300" s="567">
        <v>0</v>
      </c>
      <c r="O300" s="567">
        <v>0</v>
      </c>
      <c r="P300" s="567">
        <v>0</v>
      </c>
      <c r="Q300" s="567">
        <v>0</v>
      </c>
      <c r="R300" s="567">
        <v>0</v>
      </c>
      <c r="S300" s="567">
        <v>0</v>
      </c>
      <c r="T300" s="567">
        <v>0</v>
      </c>
      <c r="U300" s="567">
        <f t="shared" si="30"/>
        <v>0</v>
      </c>
      <c r="V300" s="567">
        <f t="shared" si="32"/>
        <v>0</v>
      </c>
    </row>
    <row r="301" spans="1:22" x14ac:dyDescent="0.25">
      <c r="A301" s="567" t="str">
        <f t="shared" si="28"/>
        <v>KU</v>
      </c>
      <c r="B301" s="567" t="str">
        <f t="shared" si="27"/>
        <v>VA</v>
      </c>
      <c r="C301" s="567" t="str">
        <f t="shared" si="29"/>
        <v>E</v>
      </c>
      <c r="D301" s="567" t="s">
        <v>1298</v>
      </c>
      <c r="E301" s="567" t="str">
        <f t="shared" si="26"/>
        <v>396</v>
      </c>
      <c r="F301" s="864" t="s">
        <v>1732</v>
      </c>
      <c r="H301" s="567">
        <v>0</v>
      </c>
      <c r="I301" s="567">
        <v>0</v>
      </c>
      <c r="J301" s="567">
        <v>0</v>
      </c>
      <c r="K301" s="567">
        <v>0</v>
      </c>
      <c r="L301" s="567">
        <v>0</v>
      </c>
      <c r="M301" s="567">
        <v>0</v>
      </c>
      <c r="N301" s="567">
        <v>0</v>
      </c>
      <c r="O301" s="567">
        <v>0</v>
      </c>
      <c r="P301" s="567">
        <v>0</v>
      </c>
      <c r="Q301" s="567">
        <v>0</v>
      </c>
      <c r="R301" s="567">
        <v>0</v>
      </c>
      <c r="S301" s="567">
        <v>0</v>
      </c>
      <c r="T301" s="567">
        <v>0</v>
      </c>
      <c r="U301" s="567">
        <f t="shared" si="30"/>
        <v>0</v>
      </c>
      <c r="V301" s="567">
        <f t="shared" si="32"/>
        <v>0</v>
      </c>
    </row>
    <row r="302" spans="1:22" x14ac:dyDescent="0.25">
      <c r="A302" s="567" t="str">
        <f t="shared" si="28"/>
        <v>KU</v>
      </c>
      <c r="B302" s="567" t="str">
        <f t="shared" si="27"/>
        <v>VA</v>
      </c>
      <c r="C302" s="567" t="str">
        <f t="shared" si="29"/>
        <v>E</v>
      </c>
      <c r="D302" s="567" t="s">
        <v>1298</v>
      </c>
      <c r="E302" s="567" t="str">
        <f t="shared" si="26"/>
        <v>396</v>
      </c>
      <c r="F302" s="864" t="s">
        <v>2431</v>
      </c>
      <c r="G302" s="566" t="str">
        <f t="shared" si="31"/>
        <v/>
      </c>
      <c r="H302" s="567">
        <v>0</v>
      </c>
      <c r="I302" s="567">
        <v>0</v>
      </c>
      <c r="J302" s="567">
        <v>0</v>
      </c>
      <c r="K302" s="567">
        <v>0</v>
      </c>
      <c r="L302" s="567">
        <v>0</v>
      </c>
      <c r="M302" s="567">
        <v>0</v>
      </c>
      <c r="N302" s="567">
        <v>0</v>
      </c>
      <c r="O302" s="567">
        <v>0</v>
      </c>
      <c r="P302" s="567">
        <v>0</v>
      </c>
      <c r="Q302" s="567">
        <v>0</v>
      </c>
      <c r="R302" s="567">
        <v>0</v>
      </c>
      <c r="S302" s="567">
        <v>0</v>
      </c>
      <c r="T302" s="567">
        <v>0</v>
      </c>
      <c r="U302" s="567">
        <f t="shared" si="30"/>
        <v>0</v>
      </c>
      <c r="V302" s="567">
        <f t="shared" si="32"/>
        <v>0</v>
      </c>
    </row>
    <row r="303" spans="1:22" x14ac:dyDescent="0.25">
      <c r="A303" s="567" t="str">
        <f t="shared" si="28"/>
        <v>KY</v>
      </c>
      <c r="B303" s="567" t="str">
        <f t="shared" si="27"/>
        <v xml:space="preserve"> A</v>
      </c>
      <c r="C303" s="567" t="str">
        <f t="shared" si="29"/>
        <v/>
      </c>
      <c r="D303" s="567" t="s">
        <v>1298</v>
      </c>
      <c r="E303" s="567" t="str">
        <f t="shared" si="26"/>
        <v>lan</v>
      </c>
      <c r="F303" s="864" t="s">
        <v>1740</v>
      </c>
      <c r="G303" s="566" t="str">
        <f t="shared" si="31"/>
        <v/>
      </c>
      <c r="H303" s="567">
        <v>0</v>
      </c>
      <c r="I303" s="567">
        <v>0</v>
      </c>
      <c r="J303" s="567">
        <v>0</v>
      </c>
      <c r="K303" s="567">
        <v>0</v>
      </c>
      <c r="L303" s="567">
        <v>0</v>
      </c>
      <c r="M303" s="567">
        <v>0</v>
      </c>
      <c r="N303" s="567">
        <v>0</v>
      </c>
      <c r="O303" s="567">
        <v>0</v>
      </c>
      <c r="P303" s="567">
        <v>0</v>
      </c>
      <c r="Q303" s="567">
        <v>0</v>
      </c>
      <c r="R303" s="567">
        <v>0</v>
      </c>
      <c r="S303" s="567">
        <v>0</v>
      </c>
      <c r="T303" s="567">
        <v>0</v>
      </c>
      <c r="U303" s="567">
        <f t="shared" si="30"/>
        <v>0</v>
      </c>
      <c r="V303" s="567">
        <f t="shared" si="32"/>
        <v>0</v>
      </c>
    </row>
    <row r="304" spans="1:22" x14ac:dyDescent="0.25">
      <c r="A304" s="567" t="str">
        <f t="shared" si="28"/>
        <v/>
      </c>
      <c r="B304" s="567" t="str">
        <f t="shared" si="27"/>
        <v/>
      </c>
      <c r="C304" s="567" t="str">
        <f t="shared" si="29"/>
        <v/>
      </c>
      <c r="E304" s="567" t="str">
        <f t="shared" ref="E304:E367" si="33">MID($F304,8,3)</f>
        <v/>
      </c>
      <c r="G304" s="566" t="str">
        <f t="shared" si="31"/>
        <v/>
      </c>
      <c r="H304" s="567">
        <v>0</v>
      </c>
      <c r="I304" s="567">
        <v>0</v>
      </c>
      <c r="J304" s="567">
        <v>0</v>
      </c>
      <c r="K304" s="567">
        <v>0</v>
      </c>
      <c r="L304" s="567">
        <v>0</v>
      </c>
      <c r="M304" s="567">
        <v>0</v>
      </c>
      <c r="N304" s="567">
        <v>0</v>
      </c>
      <c r="O304" s="567">
        <v>0</v>
      </c>
      <c r="P304" s="567">
        <v>0</v>
      </c>
      <c r="Q304" s="567">
        <v>0</v>
      </c>
      <c r="R304" s="567">
        <v>0</v>
      </c>
      <c r="S304" s="567">
        <v>0</v>
      </c>
      <c r="T304" s="567">
        <v>0</v>
      </c>
      <c r="U304" s="567">
        <f t="shared" si="30"/>
        <v>0</v>
      </c>
      <c r="V304" s="567">
        <f t="shared" si="32"/>
        <v>0</v>
      </c>
    </row>
    <row r="305" spans="1:22" x14ac:dyDescent="0.25">
      <c r="A305" s="567" t="str">
        <f t="shared" si="28"/>
        <v>in</v>
      </c>
      <c r="B305" s="567" t="str">
        <f t="shared" si="27"/>
        <v xml:space="preserve">m </v>
      </c>
      <c r="C305" s="567" t="str">
        <f t="shared" si="29"/>
        <v/>
      </c>
      <c r="E305" s="567" t="str">
        <f t="shared" si="33"/>
        <v>Acc</v>
      </c>
      <c r="F305" s="862" t="s">
        <v>1738</v>
      </c>
      <c r="G305" s="566" t="str">
        <f t="shared" si="31"/>
        <v/>
      </c>
      <c r="U305" s="567">
        <f t="shared" si="30"/>
        <v>0</v>
      </c>
      <c r="V305" s="567">
        <f t="shared" si="32"/>
        <v>0</v>
      </c>
    </row>
    <row r="306" spans="1:22" x14ac:dyDescent="0.25">
      <c r="A306" s="567" t="str">
        <f t="shared" si="28"/>
        <v>KU</v>
      </c>
      <c r="B306" s="567" t="str">
        <f t="shared" si="27"/>
        <v>KY</v>
      </c>
      <c r="C306" s="567" t="str">
        <f t="shared" si="29"/>
        <v>E</v>
      </c>
      <c r="D306" s="567" t="s">
        <v>2649</v>
      </c>
      <c r="E306" s="567" t="str">
        <f t="shared" si="33"/>
        <v>302</v>
      </c>
      <c r="F306" s="864" t="s">
        <v>1612</v>
      </c>
      <c r="G306" s="566" t="str">
        <f t="shared" si="31"/>
        <v/>
      </c>
      <c r="H306" s="567">
        <v>72.051914608000004</v>
      </c>
      <c r="I306" s="567">
        <v>72.221069068800006</v>
      </c>
      <c r="J306" s="567">
        <v>72.390223529599993</v>
      </c>
      <c r="K306" s="567">
        <v>72.559377990399994</v>
      </c>
      <c r="L306" s="567">
        <v>72.728532451199996</v>
      </c>
      <c r="M306" s="567">
        <v>72.897686911999998</v>
      </c>
      <c r="N306" s="567">
        <v>73.066841372799999</v>
      </c>
      <c r="O306" s="567">
        <v>73.235995833600001</v>
      </c>
      <c r="P306" s="567">
        <v>73.405150294400002</v>
      </c>
      <c r="Q306" s="567">
        <v>73.574304755200004</v>
      </c>
      <c r="R306" s="567">
        <v>73.743459216000005</v>
      </c>
      <c r="S306" s="567">
        <v>73.912613676800007</v>
      </c>
      <c r="T306" s="567">
        <v>74.081768137599994</v>
      </c>
      <c r="V306" s="567">
        <f t="shared" si="32"/>
        <v>73.066841372799999</v>
      </c>
    </row>
    <row r="307" spans="1:22" x14ac:dyDescent="0.25">
      <c r="A307" s="567" t="str">
        <f t="shared" si="28"/>
        <v>KU</v>
      </c>
      <c r="B307" s="567" t="str">
        <f t="shared" si="27"/>
        <v>KY</v>
      </c>
      <c r="C307" s="567" t="str">
        <f t="shared" si="29"/>
        <v>E</v>
      </c>
      <c r="D307" s="567" t="s">
        <v>2649</v>
      </c>
      <c r="E307" s="567" t="str">
        <f t="shared" si="33"/>
        <v>303</v>
      </c>
      <c r="F307" s="864" t="s">
        <v>1613</v>
      </c>
      <c r="G307" s="566" t="str">
        <f t="shared" si="31"/>
        <v/>
      </c>
      <c r="H307" s="567">
        <v>30773.367324999901</v>
      </c>
      <c r="I307" s="567">
        <v>31807.040438999898</v>
      </c>
      <c r="J307" s="567">
        <v>32916.584059999899</v>
      </c>
      <c r="K307" s="567">
        <v>33971.4775039999</v>
      </c>
      <c r="L307" s="567">
        <v>34202.054893999899</v>
      </c>
      <c r="M307" s="567">
        <v>35203.168988999998</v>
      </c>
      <c r="N307" s="567">
        <v>34638.386243000001</v>
      </c>
      <c r="O307" s="567">
        <v>32253.845850999998</v>
      </c>
      <c r="P307" s="567">
        <v>33489.231244000002</v>
      </c>
      <c r="Q307" s="567">
        <v>33918.827093</v>
      </c>
      <c r="R307" s="567">
        <v>32604.502045000001</v>
      </c>
      <c r="S307" s="567">
        <v>33711.330700999999</v>
      </c>
      <c r="T307" s="567">
        <v>35130.749179999999</v>
      </c>
      <c r="V307" s="567">
        <f t="shared" si="32"/>
        <v>33432.351197538424</v>
      </c>
    </row>
    <row r="308" spans="1:22" x14ac:dyDescent="0.25">
      <c r="A308" s="567" t="str">
        <f t="shared" si="28"/>
        <v>KU</v>
      </c>
      <c r="B308" s="567" t="str">
        <f t="shared" si="27"/>
        <v>KY</v>
      </c>
      <c r="C308" s="567" t="str">
        <f t="shared" si="29"/>
        <v>E</v>
      </c>
      <c r="D308" s="567" t="s">
        <v>2649</v>
      </c>
      <c r="E308" s="567" t="str">
        <f t="shared" si="33"/>
        <v>303</v>
      </c>
      <c r="F308" s="864" t="s">
        <v>1614</v>
      </c>
      <c r="G308" s="566" t="str">
        <f t="shared" si="31"/>
        <v/>
      </c>
      <c r="H308" s="567">
        <v>5908.3415516999903</v>
      </c>
      <c r="I308" s="567">
        <v>6069.0445368999899</v>
      </c>
      <c r="J308" s="567">
        <v>6229.9729294999897</v>
      </c>
      <c r="K308" s="567">
        <v>6390.9013220999896</v>
      </c>
      <c r="L308" s="567">
        <v>6551.8297146999903</v>
      </c>
      <c r="M308" s="567">
        <v>6712.7581072999901</v>
      </c>
      <c r="N308" s="567">
        <v>6873.6864998999899</v>
      </c>
      <c r="O308" s="567">
        <v>7034.6148924999898</v>
      </c>
      <c r="P308" s="567">
        <v>7195.9892173999897</v>
      </c>
      <c r="Q308" s="567">
        <v>7357.8094744999898</v>
      </c>
      <c r="R308" s="567">
        <v>7520.0322447999897</v>
      </c>
      <c r="S308" s="567">
        <v>7682.6575282999902</v>
      </c>
      <c r="T308" s="567">
        <v>7845.9590338999897</v>
      </c>
      <c r="V308" s="567">
        <f t="shared" si="32"/>
        <v>6874.8920810384498</v>
      </c>
    </row>
    <row r="309" spans="1:22" x14ac:dyDescent="0.25">
      <c r="A309" s="567" t="str">
        <f t="shared" si="28"/>
        <v>KU</v>
      </c>
      <c r="B309" s="567" t="str">
        <f t="shared" si="27"/>
        <v>KY</v>
      </c>
      <c r="C309" s="567" t="str">
        <f t="shared" si="29"/>
        <v>E</v>
      </c>
      <c r="D309" s="567" t="s">
        <v>2649</v>
      </c>
      <c r="E309" s="567" t="str">
        <f t="shared" si="33"/>
        <v>311</v>
      </c>
      <c r="F309" s="864" t="s">
        <v>1618</v>
      </c>
      <c r="G309" s="566" t="str">
        <f t="shared" si="31"/>
        <v>ECR</v>
      </c>
      <c r="H309" s="567">
        <v>627.04703042469998</v>
      </c>
      <c r="I309" s="567">
        <v>656.61343659069996</v>
      </c>
      <c r="J309" s="567">
        <v>686.17984275670005</v>
      </c>
      <c r="K309" s="567">
        <v>715.74624892270003</v>
      </c>
      <c r="L309" s="567">
        <v>745.31265508870001</v>
      </c>
      <c r="M309" s="567">
        <v>774.87906125469999</v>
      </c>
      <c r="N309" s="567">
        <v>804.44546742069997</v>
      </c>
      <c r="O309" s="567">
        <v>834.01187358669995</v>
      </c>
      <c r="P309" s="567">
        <v>863.57827975270004</v>
      </c>
      <c r="Q309" s="567">
        <v>893.14468591870002</v>
      </c>
      <c r="R309" s="567">
        <v>922.7110920847</v>
      </c>
      <c r="S309" s="567">
        <v>952.27749825069998</v>
      </c>
      <c r="T309" s="567">
        <v>981.84390441669996</v>
      </c>
      <c r="V309" s="567">
        <f t="shared" si="32"/>
        <v>804.44546742070008</v>
      </c>
    </row>
    <row r="310" spans="1:22" x14ac:dyDescent="0.25">
      <c r="A310" s="567" t="str">
        <f t="shared" si="28"/>
        <v>KU</v>
      </c>
      <c r="B310" s="567" t="str">
        <f t="shared" si="27"/>
        <v>KY</v>
      </c>
      <c r="C310" s="567" t="str">
        <f t="shared" si="29"/>
        <v>E</v>
      </c>
      <c r="D310" s="567" t="s">
        <v>2649</v>
      </c>
      <c r="E310" s="567" t="str">
        <f t="shared" si="33"/>
        <v>311</v>
      </c>
      <c r="F310" s="864" t="s">
        <v>1619</v>
      </c>
      <c r="G310" s="566" t="str">
        <f t="shared" si="31"/>
        <v>ECR</v>
      </c>
      <c r="H310" s="567">
        <v>671.76501351499905</v>
      </c>
      <c r="I310" s="567">
        <v>701.79473406399904</v>
      </c>
      <c r="J310" s="567">
        <v>731.82445461299903</v>
      </c>
      <c r="K310" s="567">
        <v>761.85417516199902</v>
      </c>
      <c r="L310" s="567">
        <v>791.88389571099901</v>
      </c>
      <c r="M310" s="567">
        <v>821.913616259999</v>
      </c>
      <c r="N310" s="567">
        <v>851.94333680899899</v>
      </c>
      <c r="O310" s="567">
        <v>881.97305735799898</v>
      </c>
      <c r="P310" s="567">
        <v>912.00277790699897</v>
      </c>
      <c r="Q310" s="567">
        <v>942.03249845599896</v>
      </c>
      <c r="R310" s="567">
        <v>972.06221900499895</v>
      </c>
      <c r="S310" s="567">
        <v>1002.09193955399</v>
      </c>
      <c r="T310" s="567">
        <v>1032.1216601029901</v>
      </c>
      <c r="V310" s="567">
        <f t="shared" si="32"/>
        <v>851.94333680899763</v>
      </c>
    </row>
    <row r="311" spans="1:22" x14ac:dyDescent="0.25">
      <c r="A311" s="567" t="str">
        <f t="shared" si="28"/>
        <v>KU</v>
      </c>
      <c r="B311" s="567" t="str">
        <f t="shared" si="27"/>
        <v>KY</v>
      </c>
      <c r="C311" s="567" t="str">
        <f t="shared" si="29"/>
        <v>E</v>
      </c>
      <c r="D311" s="567" t="s">
        <v>2649</v>
      </c>
      <c r="E311" s="567" t="str">
        <f t="shared" si="33"/>
        <v>311</v>
      </c>
      <c r="F311" s="864" t="s">
        <v>1620</v>
      </c>
      <c r="G311" s="566" t="str">
        <f t="shared" si="31"/>
        <v/>
      </c>
      <c r="H311" s="567">
        <v>192501.221559481</v>
      </c>
      <c r="I311" s="567">
        <v>193131.51382472599</v>
      </c>
      <c r="J311" s="567">
        <v>193765.672780569</v>
      </c>
      <c r="K311" s="567">
        <v>194409.344077466</v>
      </c>
      <c r="L311" s="567">
        <v>194961.47614826699</v>
      </c>
      <c r="M311" s="567">
        <v>195538.02483079201</v>
      </c>
      <c r="N311" s="567">
        <v>196164.506563951</v>
      </c>
      <c r="O311" s="567">
        <v>196811.18982951299</v>
      </c>
      <c r="P311" s="567">
        <v>186782.69668256101</v>
      </c>
      <c r="Q311" s="567">
        <v>187429.708545609</v>
      </c>
      <c r="R311" s="567">
        <v>188076.72040865701</v>
      </c>
      <c r="S311" s="567">
        <v>188676.686647272</v>
      </c>
      <c r="T311" s="567">
        <v>189324.26623873701</v>
      </c>
      <c r="V311" s="567">
        <f t="shared" si="32"/>
        <v>192121.00216443086</v>
      </c>
    </row>
    <row r="312" spans="1:22" x14ac:dyDescent="0.25">
      <c r="A312" s="567" t="str">
        <f t="shared" si="28"/>
        <v>KU</v>
      </c>
      <c r="B312" s="567" t="str">
        <f t="shared" si="27"/>
        <v>KY</v>
      </c>
      <c r="C312" s="567" t="str">
        <f t="shared" si="29"/>
        <v>E</v>
      </c>
      <c r="D312" s="567" t="s">
        <v>2649</v>
      </c>
      <c r="E312" s="567" t="str">
        <f t="shared" si="33"/>
        <v>312</v>
      </c>
      <c r="F312" s="864" t="s">
        <v>1621</v>
      </c>
      <c r="G312" s="566" t="str">
        <f t="shared" si="31"/>
        <v/>
      </c>
      <c r="H312" s="567">
        <v>1125892.2737940301</v>
      </c>
      <c r="I312" s="567">
        <v>1134427.71823791</v>
      </c>
      <c r="J312" s="567">
        <v>1141923.8468786899</v>
      </c>
      <c r="K312" s="567">
        <v>1151026.4618462301</v>
      </c>
      <c r="L312" s="567">
        <v>1159461.40029775</v>
      </c>
      <c r="M312" s="567">
        <v>1154400.85993498</v>
      </c>
      <c r="N312" s="567">
        <v>1163564.2905687201</v>
      </c>
      <c r="O312" s="567">
        <v>1171346.24238856</v>
      </c>
      <c r="P312" s="567">
        <v>1152159.8945494201</v>
      </c>
      <c r="Q312" s="567">
        <v>1161434.7133126699</v>
      </c>
      <c r="R312" s="567">
        <v>1166771.4317697501</v>
      </c>
      <c r="S312" s="567">
        <v>1175237.2611733801</v>
      </c>
      <c r="T312" s="567">
        <v>1184490.0704574001</v>
      </c>
      <c r="V312" s="567">
        <f t="shared" si="32"/>
        <v>1157087.4204007301</v>
      </c>
    </row>
    <row r="313" spans="1:22" x14ac:dyDescent="0.25">
      <c r="A313" s="567" t="str">
        <f t="shared" si="28"/>
        <v>KU</v>
      </c>
      <c r="B313" s="567" t="str">
        <f t="shared" si="27"/>
        <v>KY</v>
      </c>
      <c r="C313" s="567" t="str">
        <f t="shared" si="29"/>
        <v>E</v>
      </c>
      <c r="D313" s="567" t="s">
        <v>2649</v>
      </c>
      <c r="E313" s="567" t="str">
        <f t="shared" si="33"/>
        <v>312</v>
      </c>
      <c r="F313" s="864" t="s">
        <v>1622</v>
      </c>
      <c r="G313" s="566" t="str">
        <f t="shared" si="31"/>
        <v>ECR</v>
      </c>
      <c r="H313" s="567">
        <v>54553.596685094097</v>
      </c>
      <c r="I313" s="567">
        <v>56381.633852523097</v>
      </c>
      <c r="J313" s="567">
        <v>58209.717132452097</v>
      </c>
      <c r="K313" s="567">
        <v>60037.846524881097</v>
      </c>
      <c r="L313" s="567">
        <v>61866.022029810098</v>
      </c>
      <c r="M313" s="567">
        <v>63694.243647239098</v>
      </c>
      <c r="N313" s="567">
        <v>65522.511377168099</v>
      </c>
      <c r="O313" s="567">
        <v>67372.083790060104</v>
      </c>
      <c r="P313" s="567">
        <v>68620.666797922095</v>
      </c>
      <c r="Q313" s="567">
        <v>70567.012122641099</v>
      </c>
      <c r="R313" s="567">
        <v>72515.116883360097</v>
      </c>
      <c r="S313" s="567">
        <v>74464.609359079099</v>
      </c>
      <c r="T313" s="567">
        <v>76414.285923128104</v>
      </c>
      <c r="V313" s="567">
        <f t="shared" si="32"/>
        <v>65401.488163489106</v>
      </c>
    </row>
    <row r="314" spans="1:22" x14ac:dyDescent="0.25">
      <c r="A314" s="567" t="str">
        <f t="shared" si="28"/>
        <v>KU</v>
      </c>
      <c r="B314" s="567" t="str">
        <f t="shared" si="27"/>
        <v>KY</v>
      </c>
      <c r="C314" s="567" t="str">
        <f t="shared" si="29"/>
        <v>E</v>
      </c>
      <c r="D314" s="567" t="s">
        <v>2649</v>
      </c>
      <c r="E314" s="567" t="str">
        <f t="shared" si="33"/>
        <v>312</v>
      </c>
      <c r="F314" s="864" t="s">
        <v>1623</v>
      </c>
      <c r="G314" s="566" t="str">
        <f t="shared" si="31"/>
        <v>ECR</v>
      </c>
      <c r="H314" s="567">
        <v>59097.302744205001</v>
      </c>
      <c r="I314" s="567">
        <v>62257.545270474999</v>
      </c>
      <c r="J314" s="567">
        <v>65417.787796744997</v>
      </c>
      <c r="K314" s="567">
        <v>68578.030323015002</v>
      </c>
      <c r="L314" s="567">
        <v>71738.272849285</v>
      </c>
      <c r="M314" s="567">
        <v>74898.515375554896</v>
      </c>
      <c r="N314" s="567">
        <v>78058.757901824894</v>
      </c>
      <c r="O314" s="567">
        <v>81219.000428094907</v>
      </c>
      <c r="P314" s="567">
        <v>83175.582577084904</v>
      </c>
      <c r="Q314" s="567">
        <v>86342.167448694905</v>
      </c>
      <c r="R314" s="567">
        <v>89508.752320304993</v>
      </c>
      <c r="S314" s="567">
        <v>90729.151269684997</v>
      </c>
      <c r="T314" s="567">
        <v>93897.719496724996</v>
      </c>
      <c r="V314" s="567">
        <f t="shared" si="32"/>
        <v>77301.429677053427</v>
      </c>
    </row>
    <row r="315" spans="1:22" x14ac:dyDescent="0.25">
      <c r="A315" s="567" t="str">
        <f t="shared" si="28"/>
        <v>KU</v>
      </c>
      <c r="B315" s="567" t="str">
        <f t="shared" si="27"/>
        <v>KY</v>
      </c>
      <c r="C315" s="567" t="str">
        <f t="shared" si="29"/>
        <v>E</v>
      </c>
      <c r="D315" s="567" t="s">
        <v>2649</v>
      </c>
      <c r="E315" s="567" t="str">
        <f t="shared" si="33"/>
        <v>312</v>
      </c>
      <c r="F315" s="864" t="s">
        <v>1624</v>
      </c>
      <c r="G315" s="566" t="str">
        <f t="shared" si="31"/>
        <v>ECR</v>
      </c>
      <c r="H315" s="567">
        <v>363.29425535433199</v>
      </c>
      <c r="I315" s="567">
        <v>685.42270688025201</v>
      </c>
      <c r="J315" s="567">
        <v>1253.1471277691701</v>
      </c>
      <c r="K315" s="567">
        <v>1827.4611796990901</v>
      </c>
      <c r="L315" s="567">
        <v>2405.5034731990099</v>
      </c>
      <c r="M315" s="567">
        <v>2987.1126954689298</v>
      </c>
      <c r="N315" s="567">
        <v>3608.4371494208499</v>
      </c>
      <c r="O315" s="567">
        <v>4269.5511446827704</v>
      </c>
      <c r="P315" s="567">
        <v>5001.1421306966904</v>
      </c>
      <c r="Q315" s="567">
        <v>5801.4882711046102</v>
      </c>
      <c r="R315" s="567">
        <v>6602.0506615425302</v>
      </c>
      <c r="S315" s="567">
        <v>7403.0455519504503</v>
      </c>
      <c r="T315" s="567">
        <v>8204.6891923583698</v>
      </c>
      <c r="V315" s="567">
        <f t="shared" si="32"/>
        <v>3877.8727338559274</v>
      </c>
    </row>
    <row r="316" spans="1:22" x14ac:dyDescent="0.25">
      <c r="A316" s="567" t="str">
        <f t="shared" si="28"/>
        <v>KU</v>
      </c>
      <c r="B316" s="567" t="str">
        <f t="shared" si="27"/>
        <v>KY</v>
      </c>
      <c r="C316" s="567" t="str">
        <f t="shared" si="29"/>
        <v>E</v>
      </c>
      <c r="D316" s="567" t="s">
        <v>2649</v>
      </c>
      <c r="E316" s="567" t="str">
        <f t="shared" si="33"/>
        <v>314</v>
      </c>
      <c r="F316" s="864" t="s">
        <v>1625</v>
      </c>
      <c r="G316" s="566" t="str">
        <f t="shared" si="31"/>
        <v/>
      </c>
      <c r="H316" s="567">
        <v>143659.669355761</v>
      </c>
      <c r="I316" s="567">
        <v>144427.55442398199</v>
      </c>
      <c r="J316" s="567">
        <v>145217.62261570399</v>
      </c>
      <c r="K316" s="567">
        <v>145998.902011531</v>
      </c>
      <c r="L316" s="567">
        <v>146790.27787481601</v>
      </c>
      <c r="M316" s="567">
        <v>147581.65373809999</v>
      </c>
      <c r="N316" s="567">
        <v>148373.029601385</v>
      </c>
      <c r="O316" s="567">
        <v>148972.465554611</v>
      </c>
      <c r="P316" s="567">
        <v>148844.796949201</v>
      </c>
      <c r="Q316" s="567">
        <v>149669.04519520901</v>
      </c>
      <c r="R316" s="567">
        <v>150493.293441218</v>
      </c>
      <c r="S316" s="567">
        <v>151317.54168722601</v>
      </c>
      <c r="T316" s="567">
        <v>145003.92653088699</v>
      </c>
      <c r="V316" s="567">
        <f t="shared" si="32"/>
        <v>147411.52145997161</v>
      </c>
    </row>
    <row r="317" spans="1:22" x14ac:dyDescent="0.25">
      <c r="A317" s="567" t="str">
        <f t="shared" si="28"/>
        <v>KU</v>
      </c>
      <c r="B317" s="567" t="str">
        <f t="shared" si="27"/>
        <v>KY</v>
      </c>
      <c r="C317" s="567" t="str">
        <f t="shared" si="29"/>
        <v>E</v>
      </c>
      <c r="D317" s="567" t="s">
        <v>2649</v>
      </c>
      <c r="E317" s="567" t="str">
        <f t="shared" si="33"/>
        <v>315</v>
      </c>
      <c r="F317" s="864" t="s">
        <v>1626</v>
      </c>
      <c r="G317" s="566" t="str">
        <f t="shared" si="31"/>
        <v/>
      </c>
      <c r="H317" s="567">
        <v>112474.30276864499</v>
      </c>
      <c r="I317" s="567">
        <v>113001.750026141</v>
      </c>
      <c r="J317" s="567">
        <v>113529.307904456</v>
      </c>
      <c r="K317" s="567">
        <v>114056.865782772</v>
      </c>
      <c r="L317" s="567">
        <v>114584.423661088</v>
      </c>
      <c r="M317" s="567">
        <v>115111.98153940401</v>
      </c>
      <c r="N317" s="567">
        <v>115639.53941772001</v>
      </c>
      <c r="O317" s="567">
        <v>115831.753778518</v>
      </c>
      <c r="P317" s="567">
        <v>115694.840713731</v>
      </c>
      <c r="Q317" s="567">
        <v>116235.104360857</v>
      </c>
      <c r="R317" s="567">
        <v>116775.36800798299</v>
      </c>
      <c r="S317" s="567">
        <v>117315.63165511</v>
      </c>
      <c r="T317" s="567">
        <v>117466.75218823701</v>
      </c>
      <c r="V317" s="567">
        <f t="shared" si="32"/>
        <v>115209.04783112787</v>
      </c>
    </row>
    <row r="318" spans="1:22" x14ac:dyDescent="0.25">
      <c r="A318" s="567" t="str">
        <f t="shared" si="28"/>
        <v>KU</v>
      </c>
      <c r="B318" s="567" t="str">
        <f t="shared" si="27"/>
        <v>KY</v>
      </c>
      <c r="C318" s="567" t="str">
        <f t="shared" si="29"/>
        <v>E</v>
      </c>
      <c r="D318" s="567" t="s">
        <v>2649</v>
      </c>
      <c r="E318" s="567" t="str">
        <f t="shared" si="33"/>
        <v>315</v>
      </c>
      <c r="F318" s="864" t="s">
        <v>1627</v>
      </c>
      <c r="G318" s="566" t="str">
        <f t="shared" si="31"/>
        <v>ECR</v>
      </c>
      <c r="H318" s="567">
        <v>598.06651318030003</v>
      </c>
      <c r="I318" s="567">
        <v>660.33819814136996</v>
      </c>
      <c r="J318" s="567">
        <v>722.60988310243897</v>
      </c>
      <c r="K318" s="567">
        <v>784.88156806350901</v>
      </c>
      <c r="L318" s="567">
        <v>847.15325302457904</v>
      </c>
      <c r="M318" s="567">
        <v>909.42493798564897</v>
      </c>
      <c r="N318" s="567">
        <v>971.696622946719</v>
      </c>
      <c r="O318" s="567">
        <v>1033.9683079077799</v>
      </c>
      <c r="P318" s="567">
        <v>1096.2399928688501</v>
      </c>
      <c r="Q318" s="567">
        <v>1158.51167782993</v>
      </c>
      <c r="R318" s="567">
        <v>1220.7833627909999</v>
      </c>
      <c r="S318" s="567">
        <v>1283.0550477520701</v>
      </c>
      <c r="T318" s="567">
        <v>1345.32673271314</v>
      </c>
      <c r="V318" s="567">
        <f t="shared" si="32"/>
        <v>971.69662294671809</v>
      </c>
    </row>
    <row r="319" spans="1:22" x14ac:dyDescent="0.25">
      <c r="A319" s="567" t="str">
        <f t="shared" si="28"/>
        <v>KU</v>
      </c>
      <c r="B319" s="567" t="str">
        <f t="shared" si="27"/>
        <v>KY</v>
      </c>
      <c r="C319" s="567" t="str">
        <f t="shared" si="29"/>
        <v>E</v>
      </c>
      <c r="D319" s="567" t="s">
        <v>2649</v>
      </c>
      <c r="E319" s="567" t="str">
        <f t="shared" si="33"/>
        <v>315</v>
      </c>
      <c r="F319" s="864" t="s">
        <v>1628</v>
      </c>
      <c r="G319" s="566" t="str">
        <f t="shared" si="31"/>
        <v>ECR</v>
      </c>
      <c r="H319" s="567">
        <v>578.93016085199997</v>
      </c>
      <c r="I319" s="567">
        <v>616.824268551552</v>
      </c>
      <c r="J319" s="567">
        <v>654.71837625110504</v>
      </c>
      <c r="K319" s="567">
        <v>692.61248395065797</v>
      </c>
      <c r="L319" s="567">
        <v>730.50659165021102</v>
      </c>
      <c r="M319" s="567">
        <v>768.40069934976395</v>
      </c>
      <c r="N319" s="567">
        <v>806.294807049317</v>
      </c>
      <c r="O319" s="567">
        <v>844.18891474887005</v>
      </c>
      <c r="P319" s="567">
        <v>882.08302244842298</v>
      </c>
      <c r="Q319" s="567">
        <v>919.97713014797603</v>
      </c>
      <c r="R319" s="567">
        <v>957.87123784752896</v>
      </c>
      <c r="S319" s="567">
        <v>995.76534554708201</v>
      </c>
      <c r="T319" s="567">
        <v>1033.6594532466299</v>
      </c>
      <c r="V319" s="567">
        <f t="shared" si="32"/>
        <v>806.29480704931666</v>
      </c>
    </row>
    <row r="320" spans="1:22" x14ac:dyDescent="0.25">
      <c r="A320" s="567" t="str">
        <f t="shared" si="28"/>
        <v>KU</v>
      </c>
      <c r="B320" s="567" t="str">
        <f t="shared" si="27"/>
        <v>KY</v>
      </c>
      <c r="C320" s="567" t="str">
        <f t="shared" si="29"/>
        <v>E</v>
      </c>
      <c r="D320" s="567" t="s">
        <v>2649</v>
      </c>
      <c r="E320" s="567" t="str">
        <f t="shared" si="33"/>
        <v>316</v>
      </c>
      <c r="F320" s="864" t="s">
        <v>1629</v>
      </c>
      <c r="G320" s="566" t="str">
        <f t="shared" si="31"/>
        <v>ECR</v>
      </c>
      <c r="H320" s="567">
        <v>38.373173800000004</v>
      </c>
      <c r="I320" s="567">
        <v>39.864910246000001</v>
      </c>
      <c r="J320" s="567">
        <v>41.356646691999998</v>
      </c>
      <c r="K320" s="567">
        <v>42.848383138000003</v>
      </c>
      <c r="L320" s="567">
        <v>44.340119584</v>
      </c>
      <c r="M320" s="567">
        <v>45.831856029999997</v>
      </c>
      <c r="N320" s="567">
        <v>47.323592475999902</v>
      </c>
      <c r="O320" s="567">
        <v>48.8153289219999</v>
      </c>
      <c r="P320" s="567">
        <v>50.307065367999897</v>
      </c>
      <c r="Q320" s="567">
        <v>51.798801813999901</v>
      </c>
      <c r="R320" s="567">
        <v>53.290538259999899</v>
      </c>
      <c r="S320" s="567">
        <v>54.782274705999903</v>
      </c>
      <c r="T320" s="567">
        <v>56.2740111519999</v>
      </c>
      <c r="V320" s="567">
        <f t="shared" si="32"/>
        <v>47.323592475999945</v>
      </c>
    </row>
    <row r="321" spans="1:22" x14ac:dyDescent="0.25">
      <c r="A321" s="567" t="str">
        <f t="shared" si="28"/>
        <v>KU</v>
      </c>
      <c r="B321" s="567" t="str">
        <f t="shared" si="27"/>
        <v>KY</v>
      </c>
      <c r="C321" s="567" t="str">
        <f t="shared" si="29"/>
        <v>E</v>
      </c>
      <c r="D321" s="567" t="s">
        <v>2649</v>
      </c>
      <c r="E321" s="567" t="str">
        <f t="shared" si="33"/>
        <v>316</v>
      </c>
      <c r="F321" s="864" t="s">
        <v>1630</v>
      </c>
      <c r="G321" s="566" t="str">
        <f t="shared" si="31"/>
        <v/>
      </c>
      <c r="H321" s="567">
        <v>16947.5387653459</v>
      </c>
      <c r="I321" s="567">
        <v>17013.828063896901</v>
      </c>
      <c r="J321" s="567">
        <v>17109.2817573785</v>
      </c>
      <c r="K321" s="567">
        <v>17204.829106459601</v>
      </c>
      <c r="L321" s="567">
        <v>17276.172157371599</v>
      </c>
      <c r="M321" s="567">
        <v>17372.762830125699</v>
      </c>
      <c r="N321" s="567">
        <v>17469.926061989801</v>
      </c>
      <c r="O321" s="567">
        <v>17557.846639863699</v>
      </c>
      <c r="P321" s="567">
        <v>16632.358234998599</v>
      </c>
      <c r="Q321" s="567">
        <v>16739.589800524798</v>
      </c>
      <c r="R321" s="567">
        <v>16846.821366050899</v>
      </c>
      <c r="S321" s="567">
        <v>16954.317349329802</v>
      </c>
      <c r="T321" s="567">
        <v>17049.879229362999</v>
      </c>
      <c r="V321" s="567">
        <f t="shared" si="32"/>
        <v>17090.396258669134</v>
      </c>
    </row>
    <row r="322" spans="1:22" x14ac:dyDescent="0.25">
      <c r="A322" s="567" t="str">
        <f t="shared" si="28"/>
        <v>KU</v>
      </c>
      <c r="B322" s="567" t="str">
        <f t="shared" si="27"/>
        <v>KY</v>
      </c>
      <c r="C322" s="567" t="str">
        <f t="shared" si="29"/>
        <v>E</v>
      </c>
      <c r="D322" s="567" t="s">
        <v>2649</v>
      </c>
      <c r="E322" s="567" t="str">
        <f t="shared" si="33"/>
        <v>317</v>
      </c>
      <c r="F322" s="864" t="s">
        <v>1631</v>
      </c>
      <c r="G322" s="566" t="str">
        <f t="shared" si="31"/>
        <v>ARO</v>
      </c>
      <c r="H322" s="567">
        <v>14184.853580000001</v>
      </c>
      <c r="I322" s="567">
        <v>14636.79376</v>
      </c>
      <c r="J322" s="567">
        <v>15088.73394</v>
      </c>
      <c r="K322" s="567">
        <v>15540.67412</v>
      </c>
      <c r="L322" s="567">
        <v>15992.614299999999</v>
      </c>
      <c r="M322" s="567">
        <v>16444.554479999999</v>
      </c>
      <c r="N322" s="567">
        <v>16896.49466</v>
      </c>
      <c r="O322" s="567">
        <v>17348.434840000002</v>
      </c>
      <c r="P322" s="567">
        <v>17800.375019999999</v>
      </c>
      <c r="Q322" s="567">
        <v>4241.3605470446701</v>
      </c>
      <c r="R322" s="567">
        <v>4302.18448408933</v>
      </c>
      <c r="S322" s="567">
        <v>4363.0084211339799</v>
      </c>
      <c r="T322" s="567">
        <v>4423.8323581786399</v>
      </c>
      <c r="V322" s="567">
        <f t="shared" si="32"/>
        <v>12404.916500803585</v>
      </c>
    </row>
    <row r="323" spans="1:22" x14ac:dyDescent="0.25">
      <c r="A323" s="567" t="str">
        <f t="shared" si="28"/>
        <v>KU</v>
      </c>
      <c r="B323" s="567" t="str">
        <f t="shared" si="27"/>
        <v>KY</v>
      </c>
      <c r="C323" s="567" t="str">
        <f t="shared" si="29"/>
        <v>E</v>
      </c>
      <c r="D323" s="567" t="s">
        <v>2649</v>
      </c>
      <c r="E323" s="567" t="str">
        <f t="shared" si="33"/>
        <v>317</v>
      </c>
      <c r="F323" s="864" t="s">
        <v>2427</v>
      </c>
      <c r="G323" s="566" t="str">
        <f t="shared" si="31"/>
        <v>ARO</v>
      </c>
      <c r="H323" s="567">
        <v>125943.5272</v>
      </c>
      <c r="I323" s="567">
        <v>126978.8901</v>
      </c>
      <c r="J323" s="567">
        <v>128014.253</v>
      </c>
      <c r="K323" s="567">
        <v>129049.6159</v>
      </c>
      <c r="L323" s="567">
        <v>130084.9788</v>
      </c>
      <c r="M323" s="567">
        <v>131120.34169999999</v>
      </c>
      <c r="N323" s="567">
        <v>132155.7046</v>
      </c>
      <c r="O323" s="567">
        <v>133191.0675</v>
      </c>
      <c r="P323" s="567">
        <v>134226.43040000001</v>
      </c>
      <c r="Q323" s="567">
        <v>86844.474790000095</v>
      </c>
      <c r="R323" s="567">
        <v>87807.435590000096</v>
      </c>
      <c r="S323" s="567">
        <v>88770.396390000096</v>
      </c>
      <c r="T323" s="567">
        <v>89733.357190000097</v>
      </c>
      <c r="V323" s="567">
        <f t="shared" si="32"/>
        <v>117224.6517815385</v>
      </c>
    </row>
    <row r="324" spans="1:22" x14ac:dyDescent="0.25">
      <c r="A324" s="567" t="str">
        <f t="shared" si="28"/>
        <v>KU</v>
      </c>
      <c r="B324" s="567" t="str">
        <f t="shared" si="27"/>
        <v>KY</v>
      </c>
      <c r="C324" s="567" t="str">
        <f t="shared" si="29"/>
        <v>E</v>
      </c>
      <c r="D324" s="567" t="s">
        <v>2649</v>
      </c>
      <c r="E324" s="567" t="str">
        <f t="shared" si="33"/>
        <v>330</v>
      </c>
      <c r="F324" s="864" t="s">
        <v>1632</v>
      </c>
      <c r="G324" s="566" t="str">
        <f t="shared" si="31"/>
        <v/>
      </c>
      <c r="H324" s="567">
        <v>912.33259999999996</v>
      </c>
      <c r="I324" s="567">
        <v>912.33259999999996</v>
      </c>
      <c r="J324" s="567">
        <v>912.33259999999996</v>
      </c>
      <c r="K324" s="567">
        <v>912.33259999999996</v>
      </c>
      <c r="L324" s="567">
        <v>912.33259999999996</v>
      </c>
      <c r="M324" s="567">
        <v>912.33259999999996</v>
      </c>
      <c r="N324" s="567">
        <v>912.33259999999996</v>
      </c>
      <c r="O324" s="567">
        <v>912.33259999999996</v>
      </c>
      <c r="P324" s="567">
        <v>912.33259999999996</v>
      </c>
      <c r="Q324" s="567">
        <v>912.33259999999996</v>
      </c>
      <c r="R324" s="567">
        <v>912.33259999999996</v>
      </c>
      <c r="S324" s="567">
        <v>912.33259999999996</v>
      </c>
      <c r="T324" s="567">
        <v>912.33259999999996</v>
      </c>
      <c r="V324" s="567">
        <f t="shared" si="32"/>
        <v>912.33259999999984</v>
      </c>
    </row>
    <row r="325" spans="1:22" x14ac:dyDescent="0.25">
      <c r="A325" s="567" t="str">
        <f t="shared" si="28"/>
        <v>KU</v>
      </c>
      <c r="B325" s="567" t="str">
        <f t="shared" si="27"/>
        <v>KY</v>
      </c>
      <c r="C325" s="567" t="str">
        <f t="shared" si="29"/>
        <v>E</v>
      </c>
      <c r="D325" s="567" t="s">
        <v>2649</v>
      </c>
      <c r="E325" s="567" t="str">
        <f t="shared" si="33"/>
        <v>331</v>
      </c>
      <c r="F325" s="864" t="s">
        <v>1633</v>
      </c>
      <c r="G325" s="566" t="str">
        <f t="shared" si="31"/>
        <v/>
      </c>
      <c r="H325" s="567">
        <v>361.66441123070001</v>
      </c>
      <c r="I325" s="567">
        <v>370.74367360209999</v>
      </c>
      <c r="J325" s="567">
        <v>377.34805814830003</v>
      </c>
      <c r="K325" s="567">
        <v>386.62056487040002</v>
      </c>
      <c r="L325" s="567">
        <v>395.89307159250001</v>
      </c>
      <c r="M325" s="567">
        <v>405.1655783146</v>
      </c>
      <c r="N325" s="567">
        <v>414.43808503669999</v>
      </c>
      <c r="O325" s="567">
        <v>423.71059175879998</v>
      </c>
      <c r="P325" s="567">
        <v>432.98309848090003</v>
      </c>
      <c r="Q325" s="567">
        <v>442.25560520300002</v>
      </c>
      <c r="R325" s="567">
        <v>451.52811192510001</v>
      </c>
      <c r="S325" s="567">
        <v>460.8006186472</v>
      </c>
      <c r="T325" s="567">
        <v>470.07312536929999</v>
      </c>
      <c r="V325" s="567">
        <f t="shared" si="32"/>
        <v>414.86343032150774</v>
      </c>
    </row>
    <row r="326" spans="1:22" x14ac:dyDescent="0.25">
      <c r="A326" s="567" t="str">
        <f t="shared" si="28"/>
        <v>KU</v>
      </c>
      <c r="B326" s="567" t="str">
        <f t="shared" si="27"/>
        <v>KY</v>
      </c>
      <c r="C326" s="567" t="str">
        <f t="shared" si="29"/>
        <v>E</v>
      </c>
      <c r="D326" s="567" t="s">
        <v>2649</v>
      </c>
      <c r="E326" s="567" t="str">
        <f t="shared" si="33"/>
        <v>332</v>
      </c>
      <c r="F326" s="864" t="s">
        <v>1634</v>
      </c>
      <c r="G326" s="566" t="str">
        <f t="shared" si="31"/>
        <v/>
      </c>
      <c r="H326" s="567">
        <v>10077.9945385099</v>
      </c>
      <c r="I326" s="567">
        <v>10125.5958193609</v>
      </c>
      <c r="J326" s="567">
        <v>10173.197100211901</v>
      </c>
      <c r="K326" s="567">
        <v>10220.798381062899</v>
      </c>
      <c r="L326" s="567">
        <v>10268.3996619139</v>
      </c>
      <c r="M326" s="567">
        <v>10316.0009427649</v>
      </c>
      <c r="N326" s="567">
        <v>10363.602223615901</v>
      </c>
      <c r="O326" s="567">
        <v>10411.203504466899</v>
      </c>
      <c r="P326" s="567">
        <v>10458.8047853179</v>
      </c>
      <c r="Q326" s="567">
        <v>10506.4060661689</v>
      </c>
      <c r="R326" s="567">
        <v>10554.0073470199</v>
      </c>
      <c r="S326" s="567">
        <v>10601.608627870901</v>
      </c>
      <c r="T326" s="567">
        <v>10649.209908721899</v>
      </c>
      <c r="V326" s="567">
        <f t="shared" si="32"/>
        <v>10363.602223615901</v>
      </c>
    </row>
    <row r="327" spans="1:22" x14ac:dyDescent="0.25">
      <c r="A327" s="567" t="str">
        <f t="shared" ref="A327:A390" si="34">MID($F327,4,2)</f>
        <v>KU</v>
      </c>
      <c r="B327" s="567" t="str">
        <f t="shared" si="27"/>
        <v>KY</v>
      </c>
      <c r="C327" s="567" t="str">
        <f t="shared" si="29"/>
        <v>E</v>
      </c>
      <c r="D327" s="567" t="s">
        <v>2649</v>
      </c>
      <c r="E327" s="567" t="str">
        <f t="shared" si="33"/>
        <v>333</v>
      </c>
      <c r="F327" s="864" t="s">
        <v>1635</v>
      </c>
      <c r="G327" s="566" t="str">
        <f t="shared" si="31"/>
        <v/>
      </c>
      <c r="H327" s="567">
        <v>2570.1471441869899</v>
      </c>
      <c r="I327" s="567">
        <v>2615.3308296056898</v>
      </c>
      <c r="J327" s="567">
        <v>2660.5145150243902</v>
      </c>
      <c r="K327" s="567">
        <v>2705.6982004430902</v>
      </c>
      <c r="L327" s="567">
        <v>2750.8818858617901</v>
      </c>
      <c r="M327" s="567">
        <v>2796.0655712804901</v>
      </c>
      <c r="N327" s="567">
        <v>2841.24925669919</v>
      </c>
      <c r="O327" s="567">
        <v>2886.43294211789</v>
      </c>
      <c r="P327" s="567">
        <v>2931.6166275365899</v>
      </c>
      <c r="Q327" s="567">
        <v>2976.8003129552899</v>
      </c>
      <c r="R327" s="567">
        <v>3021.9839983739898</v>
      </c>
      <c r="S327" s="567">
        <v>3067.1676837926898</v>
      </c>
      <c r="T327" s="567">
        <v>3112.3513692113902</v>
      </c>
      <c r="V327" s="567">
        <f t="shared" si="32"/>
        <v>2841.2492566991905</v>
      </c>
    </row>
    <row r="328" spans="1:22" x14ac:dyDescent="0.25">
      <c r="A328" s="567" t="str">
        <f t="shared" si="34"/>
        <v>KU</v>
      </c>
      <c r="B328" s="567" t="str">
        <f t="shared" si="27"/>
        <v>KY</v>
      </c>
      <c r="C328" s="567" t="str">
        <f t="shared" si="29"/>
        <v>E</v>
      </c>
      <c r="D328" s="567" t="s">
        <v>2649</v>
      </c>
      <c r="E328" s="567" t="str">
        <f t="shared" si="33"/>
        <v>334</v>
      </c>
      <c r="F328" s="864" t="s">
        <v>1636</v>
      </c>
      <c r="G328" s="566" t="str">
        <f t="shared" si="31"/>
        <v/>
      </c>
      <c r="H328" s="567">
        <v>388.50836377099898</v>
      </c>
      <c r="I328" s="567">
        <v>392.89580314809899</v>
      </c>
      <c r="J328" s="567">
        <v>397.283242525199</v>
      </c>
      <c r="K328" s="567">
        <v>401.67068190229901</v>
      </c>
      <c r="L328" s="567">
        <v>406.05812127939902</v>
      </c>
      <c r="M328" s="567">
        <v>410.44556065649903</v>
      </c>
      <c r="N328" s="567">
        <v>414.83300003359898</v>
      </c>
      <c r="O328" s="567">
        <v>419.22043941069899</v>
      </c>
      <c r="P328" s="567">
        <v>423.607878787799</v>
      </c>
      <c r="Q328" s="567">
        <v>427.995318164899</v>
      </c>
      <c r="R328" s="567">
        <v>432.38275754199901</v>
      </c>
      <c r="S328" s="567">
        <v>436.770196919098</v>
      </c>
      <c r="T328" s="567">
        <v>441.15763629619801</v>
      </c>
      <c r="V328" s="567">
        <f t="shared" si="32"/>
        <v>414.83300003359886</v>
      </c>
    </row>
    <row r="329" spans="1:22" x14ac:dyDescent="0.25">
      <c r="A329" s="567" t="str">
        <f t="shared" si="34"/>
        <v>KU</v>
      </c>
      <c r="B329" s="567" t="str">
        <f t="shared" si="27"/>
        <v>KY</v>
      </c>
      <c r="C329" s="567" t="str">
        <f t="shared" si="29"/>
        <v>E</v>
      </c>
      <c r="D329" s="567" t="s">
        <v>2649</v>
      </c>
      <c r="E329" s="567" t="str">
        <f t="shared" si="33"/>
        <v>335</v>
      </c>
      <c r="F329" s="864" t="s">
        <v>1637</v>
      </c>
      <c r="G329" s="566" t="str">
        <f t="shared" si="31"/>
        <v/>
      </c>
      <c r="H329" s="567">
        <v>160.06644097169999</v>
      </c>
      <c r="I329" s="567">
        <v>161.09848006887</v>
      </c>
      <c r="J329" s="567">
        <v>162.13051916603999</v>
      </c>
      <c r="K329" s="567">
        <v>163.16255826321</v>
      </c>
      <c r="L329" s="567">
        <v>164.19459736037999</v>
      </c>
      <c r="M329" s="567">
        <v>165.22663645755</v>
      </c>
      <c r="N329" s="567">
        <v>166.25867555472001</v>
      </c>
      <c r="O329" s="567">
        <v>167.29071465189</v>
      </c>
      <c r="P329" s="567">
        <v>168.32275374906001</v>
      </c>
      <c r="Q329" s="567">
        <v>169.35479284623</v>
      </c>
      <c r="R329" s="567">
        <v>170.38683194340001</v>
      </c>
      <c r="S329" s="567">
        <v>171.41887104057</v>
      </c>
      <c r="T329" s="567">
        <v>172.45091013774001</v>
      </c>
      <c r="V329" s="567">
        <f t="shared" si="32"/>
        <v>166.25867555471999</v>
      </c>
    </row>
    <row r="330" spans="1:22" x14ac:dyDescent="0.25">
      <c r="A330" s="567" t="str">
        <f t="shared" si="34"/>
        <v>KU</v>
      </c>
      <c r="B330" s="567" t="str">
        <f t="shared" si="27"/>
        <v>KY</v>
      </c>
      <c r="C330" s="567" t="str">
        <f t="shared" si="29"/>
        <v>E</v>
      </c>
      <c r="D330" s="567" t="s">
        <v>2649</v>
      </c>
      <c r="E330" s="567" t="str">
        <f t="shared" si="33"/>
        <v>336</v>
      </c>
      <c r="F330" s="864" t="s">
        <v>1638</v>
      </c>
      <c r="G330" s="566" t="str">
        <f t="shared" si="31"/>
        <v/>
      </c>
      <c r="H330" s="567">
        <v>98.426988357999903</v>
      </c>
      <c r="I330" s="567">
        <v>99.077751193799898</v>
      </c>
      <c r="J330" s="567">
        <v>99.728514029599907</v>
      </c>
      <c r="K330" s="567">
        <v>100.37927686539901</v>
      </c>
      <c r="L330" s="567">
        <v>101.030039701199</v>
      </c>
      <c r="M330" s="567">
        <v>101.680802536999</v>
      </c>
      <c r="N330" s="567">
        <v>102.33156537279901</v>
      </c>
      <c r="O330" s="567">
        <v>102.982328208599</v>
      </c>
      <c r="P330" s="567">
        <v>103.63309104439899</v>
      </c>
      <c r="Q330" s="567">
        <v>104.283853880199</v>
      </c>
      <c r="R330" s="567">
        <v>104.934616715999</v>
      </c>
      <c r="S330" s="567">
        <v>105.58537955179899</v>
      </c>
      <c r="T330" s="567">
        <v>106.236142387599</v>
      </c>
      <c r="V330" s="567">
        <f t="shared" si="32"/>
        <v>102.3315653727992</v>
      </c>
    </row>
    <row r="331" spans="1:22" x14ac:dyDescent="0.25">
      <c r="A331" s="567" t="str">
        <f t="shared" si="34"/>
        <v>KU</v>
      </c>
      <c r="B331" s="567" t="str">
        <f t="shared" si="27"/>
        <v>KY</v>
      </c>
      <c r="C331" s="567" t="str">
        <f t="shared" si="29"/>
        <v>E</v>
      </c>
      <c r="D331" s="567" t="s">
        <v>2649</v>
      </c>
      <c r="E331" s="567" t="str">
        <f t="shared" si="33"/>
        <v>337</v>
      </c>
      <c r="F331" s="864" t="s">
        <v>1639</v>
      </c>
      <c r="G331" s="566" t="str">
        <f t="shared" si="31"/>
        <v>ARO</v>
      </c>
      <c r="H331" s="567">
        <v>61.440829999999899</v>
      </c>
      <c r="I331" s="567">
        <v>62.931509999999903</v>
      </c>
      <c r="J331" s="567">
        <v>64.422189999999901</v>
      </c>
      <c r="K331" s="567">
        <v>65.912869999999899</v>
      </c>
      <c r="L331" s="567">
        <v>67.403549999999896</v>
      </c>
      <c r="M331" s="567">
        <v>68.894229999999894</v>
      </c>
      <c r="N331" s="567">
        <v>70.384909999999905</v>
      </c>
      <c r="O331" s="567">
        <v>71.875589999999903</v>
      </c>
      <c r="P331" s="567">
        <v>73.366269999999901</v>
      </c>
      <c r="Q331" s="567">
        <v>73.566891742624605</v>
      </c>
      <c r="R331" s="567">
        <v>73.767513485249296</v>
      </c>
      <c r="S331" s="567">
        <v>73.968135227874001</v>
      </c>
      <c r="T331" s="567">
        <v>74.168756970498706</v>
      </c>
      <c r="V331" s="567">
        <f t="shared" si="32"/>
        <v>69.392557494326596</v>
      </c>
    </row>
    <row r="332" spans="1:22" x14ac:dyDescent="0.25">
      <c r="A332" s="567" t="str">
        <f t="shared" si="34"/>
        <v>KU</v>
      </c>
      <c r="B332" s="567" t="str">
        <f t="shared" si="27"/>
        <v>KY</v>
      </c>
      <c r="C332" s="567" t="str">
        <f t="shared" si="29"/>
        <v>E</v>
      </c>
      <c r="D332" s="567" t="s">
        <v>2649</v>
      </c>
      <c r="E332" s="567" t="str">
        <f t="shared" si="33"/>
        <v>340</v>
      </c>
      <c r="F332" s="864" t="s">
        <v>1641</v>
      </c>
      <c r="G332" s="566" t="str">
        <f t="shared" si="31"/>
        <v/>
      </c>
      <c r="H332" s="567">
        <v>130.58851385189899</v>
      </c>
      <c r="I332" s="567">
        <v>131.02054967889899</v>
      </c>
      <c r="J332" s="567">
        <v>131.45258550589901</v>
      </c>
      <c r="K332" s="567">
        <v>131.884621332899</v>
      </c>
      <c r="L332" s="567">
        <v>132.31665715989899</v>
      </c>
      <c r="M332" s="567">
        <v>132.74869298689899</v>
      </c>
      <c r="N332" s="567">
        <v>133.18072881389901</v>
      </c>
      <c r="O332" s="567">
        <v>133.612764640899</v>
      </c>
      <c r="P332" s="567">
        <v>134.04480046789899</v>
      </c>
      <c r="Q332" s="567">
        <v>134.47683629489899</v>
      </c>
      <c r="R332" s="567">
        <v>134.90887212189901</v>
      </c>
      <c r="S332" s="567">
        <v>135.340907948899</v>
      </c>
      <c r="T332" s="567">
        <v>135.77294377589899</v>
      </c>
      <c r="V332" s="567">
        <f t="shared" si="32"/>
        <v>133.18072881389901</v>
      </c>
    </row>
    <row r="333" spans="1:22" x14ac:dyDescent="0.25">
      <c r="A333" s="567" t="str">
        <f t="shared" si="34"/>
        <v>KU</v>
      </c>
      <c r="B333" s="567" t="str">
        <f t="shared" si="27"/>
        <v>KY</v>
      </c>
      <c r="C333" s="567" t="str">
        <f t="shared" si="29"/>
        <v>E</v>
      </c>
      <c r="D333" s="567" t="s">
        <v>2649</v>
      </c>
      <c r="E333" s="567" t="str">
        <f t="shared" si="33"/>
        <v>341</v>
      </c>
      <c r="F333" s="864" t="s">
        <v>1643</v>
      </c>
      <c r="G333" s="566" t="str">
        <f t="shared" si="31"/>
        <v/>
      </c>
      <c r="H333" s="567">
        <v>22240.468682272302</v>
      </c>
      <c r="I333" s="567">
        <v>22356.895103943702</v>
      </c>
      <c r="J333" s="567">
        <v>22473.321525615102</v>
      </c>
      <c r="K333" s="567">
        <v>22589.747947286502</v>
      </c>
      <c r="L333" s="567">
        <v>22706.174368957902</v>
      </c>
      <c r="M333" s="567">
        <v>22822.600790629302</v>
      </c>
      <c r="N333" s="567">
        <v>22939.027212300702</v>
      </c>
      <c r="O333" s="567">
        <v>23055.453633972102</v>
      </c>
      <c r="P333" s="567">
        <v>23171.880055643502</v>
      </c>
      <c r="Q333" s="567">
        <v>23288.306477314902</v>
      </c>
      <c r="R333" s="567">
        <v>23404.732898986302</v>
      </c>
      <c r="S333" s="567">
        <v>23521.159320657702</v>
      </c>
      <c r="T333" s="567">
        <v>23637.585742329102</v>
      </c>
      <c r="V333" s="567">
        <f t="shared" si="32"/>
        <v>22939.027212300705</v>
      </c>
    </row>
    <row r="334" spans="1:22" x14ac:dyDescent="0.25">
      <c r="A334" s="567" t="str">
        <f t="shared" si="34"/>
        <v>KU</v>
      </c>
      <c r="B334" s="567" t="str">
        <f t="shared" si="27"/>
        <v>KY</v>
      </c>
      <c r="C334" s="567" t="str">
        <f t="shared" si="29"/>
        <v>E</v>
      </c>
      <c r="D334" s="567" t="s">
        <v>2649</v>
      </c>
      <c r="E334" s="567" t="str">
        <f t="shared" si="33"/>
        <v>341</v>
      </c>
      <c r="F334" s="864" t="s">
        <v>1644</v>
      </c>
      <c r="G334" s="566" t="str">
        <f t="shared" si="31"/>
        <v/>
      </c>
      <c r="H334" s="567">
        <v>5211.2874677699901</v>
      </c>
      <c r="I334" s="567">
        <v>5335.4674073599899</v>
      </c>
      <c r="J334" s="567">
        <v>5459.6473469499897</v>
      </c>
      <c r="K334" s="567">
        <v>5583.8272865399904</v>
      </c>
      <c r="L334" s="567">
        <v>5708.0072261299902</v>
      </c>
      <c r="M334" s="567">
        <v>5832.1871657199899</v>
      </c>
      <c r="N334" s="567">
        <v>5956.3671053099897</v>
      </c>
      <c r="O334" s="567">
        <v>6080.5470448999904</v>
      </c>
      <c r="P334" s="567">
        <v>6204.7269844899902</v>
      </c>
      <c r="Q334" s="567">
        <v>6328.9069240799899</v>
      </c>
      <c r="R334" s="567">
        <v>6453.0868636699897</v>
      </c>
      <c r="S334" s="567">
        <v>6577.2668032599904</v>
      </c>
      <c r="T334" s="567">
        <v>6701.4467428499902</v>
      </c>
      <c r="V334" s="567">
        <f t="shared" si="32"/>
        <v>5956.3671053099906</v>
      </c>
    </row>
    <row r="335" spans="1:22" x14ac:dyDescent="0.25">
      <c r="A335" s="567" t="str">
        <f t="shared" si="34"/>
        <v>KU</v>
      </c>
      <c r="B335" s="567" t="str">
        <f t="shared" si="27"/>
        <v>KY</v>
      </c>
      <c r="C335" s="567" t="str">
        <f t="shared" si="29"/>
        <v>E</v>
      </c>
      <c r="D335" s="567" t="s">
        <v>2649</v>
      </c>
      <c r="E335" s="567" t="str">
        <f t="shared" si="33"/>
        <v>341</v>
      </c>
      <c r="F335" s="864" t="s">
        <v>1645</v>
      </c>
      <c r="G335" s="566" t="str">
        <f t="shared" si="31"/>
        <v/>
      </c>
      <c r="H335" s="567">
        <v>140.79665141699999</v>
      </c>
      <c r="I335" s="567">
        <v>145.8981135587</v>
      </c>
      <c r="J335" s="567">
        <v>150.99957570039999</v>
      </c>
      <c r="K335" s="567">
        <v>156.1010378421</v>
      </c>
      <c r="L335" s="567">
        <v>161.20249998379899</v>
      </c>
      <c r="M335" s="567">
        <v>166.303962125499</v>
      </c>
      <c r="N335" s="567">
        <v>171.40542426719901</v>
      </c>
      <c r="O335" s="567">
        <v>176.50688640889899</v>
      </c>
      <c r="P335" s="567">
        <v>181.608348550599</v>
      </c>
      <c r="Q335" s="567">
        <v>186.70981069229899</v>
      </c>
      <c r="R335" s="567">
        <v>191.811272833999</v>
      </c>
      <c r="S335" s="567">
        <v>196.91273497569901</v>
      </c>
      <c r="T335" s="567">
        <v>202.01419711739899</v>
      </c>
      <c r="V335" s="567">
        <f t="shared" si="32"/>
        <v>171.40542426719929</v>
      </c>
    </row>
    <row r="336" spans="1:22" x14ac:dyDescent="0.25">
      <c r="A336" s="567" t="str">
        <f t="shared" si="34"/>
        <v>KU</v>
      </c>
      <c r="B336" s="567" t="str">
        <f t="shared" si="27"/>
        <v>KY</v>
      </c>
      <c r="C336" s="567" t="str">
        <f t="shared" si="29"/>
        <v>E</v>
      </c>
      <c r="D336" s="567" t="s">
        <v>2649</v>
      </c>
      <c r="E336" s="567" t="str">
        <f t="shared" si="33"/>
        <v>342</v>
      </c>
      <c r="F336" s="864" t="s">
        <v>1646</v>
      </c>
      <c r="G336" s="566" t="str">
        <f t="shared" si="31"/>
        <v/>
      </c>
      <c r="H336" s="567">
        <v>6265.40604803929</v>
      </c>
      <c r="I336" s="567">
        <v>6320.5630629738898</v>
      </c>
      <c r="J336" s="567">
        <v>6375.7200779084897</v>
      </c>
      <c r="K336" s="567">
        <v>6430.8770928430904</v>
      </c>
      <c r="L336" s="567">
        <v>6486.0341077776902</v>
      </c>
      <c r="M336" s="567">
        <v>6541.1911227122901</v>
      </c>
      <c r="N336" s="567">
        <v>6596.3481376468899</v>
      </c>
      <c r="O336" s="567">
        <v>6651.5051525814897</v>
      </c>
      <c r="P336" s="567">
        <v>6706.6621675160904</v>
      </c>
      <c r="Q336" s="567">
        <v>6761.8191824506903</v>
      </c>
      <c r="R336" s="567">
        <v>6816.9761973852901</v>
      </c>
      <c r="S336" s="567">
        <v>6872.1332123198899</v>
      </c>
      <c r="T336" s="567">
        <v>6927.2902272544898</v>
      </c>
      <c r="V336" s="567">
        <f t="shared" si="32"/>
        <v>6596.3481376468899</v>
      </c>
    </row>
    <row r="337" spans="1:22" x14ac:dyDescent="0.25">
      <c r="A337" s="567" t="str">
        <f t="shared" si="34"/>
        <v>KU</v>
      </c>
      <c r="B337" s="567" t="str">
        <f t="shared" si="27"/>
        <v>KY</v>
      </c>
      <c r="C337" s="567" t="str">
        <f t="shared" si="29"/>
        <v>E</v>
      </c>
      <c r="D337" s="567" t="s">
        <v>2649</v>
      </c>
      <c r="E337" s="567" t="str">
        <f t="shared" si="33"/>
        <v>342</v>
      </c>
      <c r="F337" s="864" t="s">
        <v>1647</v>
      </c>
      <c r="G337" s="566" t="str">
        <f t="shared" si="31"/>
        <v/>
      </c>
      <c r="H337" s="567">
        <v>3817.7854775799901</v>
      </c>
      <c r="I337" s="567">
        <v>3834.1105893379899</v>
      </c>
      <c r="J337" s="567">
        <v>3850.4357010959902</v>
      </c>
      <c r="K337" s="567">
        <v>3866.76081285399</v>
      </c>
      <c r="L337" s="567">
        <v>3883.0859246119899</v>
      </c>
      <c r="M337" s="567">
        <v>3899.4110363699901</v>
      </c>
      <c r="N337" s="567">
        <v>3915.73614812799</v>
      </c>
      <c r="O337" s="567">
        <v>3932.0612598859898</v>
      </c>
      <c r="P337" s="567">
        <v>3948.3863716439901</v>
      </c>
      <c r="Q337" s="567">
        <v>3964.7114834019899</v>
      </c>
      <c r="R337" s="567">
        <v>3981.0365951599902</v>
      </c>
      <c r="S337" s="567">
        <v>3997.36170691799</v>
      </c>
      <c r="T337" s="567">
        <v>4013.6868186759898</v>
      </c>
      <c r="V337" s="567">
        <f t="shared" si="32"/>
        <v>3915.73614812799</v>
      </c>
    </row>
    <row r="338" spans="1:22" x14ac:dyDescent="0.25">
      <c r="A338" s="567" t="str">
        <f t="shared" si="34"/>
        <v>KU</v>
      </c>
      <c r="B338" s="567" t="str">
        <f t="shared" si="27"/>
        <v>KY</v>
      </c>
      <c r="C338" s="567" t="str">
        <f t="shared" si="29"/>
        <v>E</v>
      </c>
      <c r="D338" s="567" t="s">
        <v>2649</v>
      </c>
      <c r="E338" s="567" t="str">
        <f t="shared" si="33"/>
        <v>342</v>
      </c>
      <c r="F338" s="864" t="s">
        <v>1648</v>
      </c>
      <c r="G338" s="566" t="str">
        <f t="shared" si="31"/>
        <v/>
      </c>
      <c r="H338" s="567">
        <v>12062.7656166489</v>
      </c>
      <c r="I338" s="567">
        <v>12179.2027619769</v>
      </c>
      <c r="J338" s="567">
        <v>12295.6399073049</v>
      </c>
      <c r="K338" s="567">
        <v>12412.0770526329</v>
      </c>
      <c r="L338" s="567">
        <v>12528.5141979609</v>
      </c>
      <c r="M338" s="567">
        <v>12588.2743127289</v>
      </c>
      <c r="N338" s="567">
        <v>12753.218340163899</v>
      </c>
      <c r="O338" s="567">
        <v>12920.0233108459</v>
      </c>
      <c r="P338" s="567">
        <v>13086.8282815279</v>
      </c>
      <c r="Q338" s="567">
        <v>13253.6332522099</v>
      </c>
      <c r="R338" s="567">
        <v>13420.4382228919</v>
      </c>
      <c r="S338" s="567">
        <v>13587.2431935739</v>
      </c>
      <c r="T338" s="567">
        <v>13754.048164255901</v>
      </c>
      <c r="V338" s="567">
        <f t="shared" si="32"/>
        <v>12833.99281651713</v>
      </c>
    </row>
    <row r="339" spans="1:22" x14ac:dyDescent="0.25">
      <c r="A339" s="567" t="str">
        <f t="shared" si="34"/>
        <v>KU</v>
      </c>
      <c r="B339" s="567" t="str">
        <f t="shared" si="27"/>
        <v>KY</v>
      </c>
      <c r="C339" s="567" t="str">
        <f t="shared" si="29"/>
        <v>E</v>
      </c>
      <c r="D339" s="567" t="s">
        <v>2649</v>
      </c>
      <c r="E339" s="567" t="str">
        <f t="shared" si="33"/>
        <v>343</v>
      </c>
      <c r="F339" s="864" t="s">
        <v>1649</v>
      </c>
      <c r="G339" s="566" t="str">
        <f t="shared" si="31"/>
        <v/>
      </c>
      <c r="H339" s="567">
        <v>212938.50665467899</v>
      </c>
      <c r="I339" s="567">
        <v>214015.80768111901</v>
      </c>
      <c r="J339" s="567">
        <v>215709.90949154799</v>
      </c>
      <c r="K339" s="567">
        <v>217404.01130197701</v>
      </c>
      <c r="L339" s="567">
        <v>219098.11311240599</v>
      </c>
      <c r="M339" s="567">
        <v>220793.18991042199</v>
      </c>
      <c r="N339" s="567">
        <v>222466.379941433</v>
      </c>
      <c r="O339" s="567">
        <v>224140.57148813701</v>
      </c>
      <c r="P339" s="567">
        <v>225840.38513665501</v>
      </c>
      <c r="Q339" s="567">
        <v>227541.95761660399</v>
      </c>
      <c r="R339" s="567">
        <v>229243.530096553</v>
      </c>
      <c r="S339" s="567">
        <v>230945.10257650199</v>
      </c>
      <c r="T339" s="567">
        <v>232646.675056451</v>
      </c>
      <c r="V339" s="567">
        <f t="shared" si="32"/>
        <v>222521.85692803736</v>
      </c>
    </row>
    <row r="340" spans="1:22" x14ac:dyDescent="0.25">
      <c r="A340" s="567" t="str">
        <f t="shared" si="34"/>
        <v>KU</v>
      </c>
      <c r="B340" s="567" t="str">
        <f t="shared" ref="B340:B403" si="35">IF(MID($F340,12,2)="- ","KY",IF(MID($F340,12,2)="SY","KY",MID($F340,12,2)))</f>
        <v>KY</v>
      </c>
      <c r="C340" s="567" t="str">
        <f t="shared" si="29"/>
        <v>E</v>
      </c>
      <c r="D340" s="567" t="s">
        <v>2649</v>
      </c>
      <c r="E340" s="567" t="str">
        <f t="shared" si="33"/>
        <v>343</v>
      </c>
      <c r="F340" s="864" t="s">
        <v>1650</v>
      </c>
      <c r="G340" s="566" t="str">
        <f t="shared" si="31"/>
        <v/>
      </c>
      <c r="H340" s="567">
        <v>17960.933469142001</v>
      </c>
      <c r="I340" s="567">
        <v>18740.134475823001</v>
      </c>
      <c r="J340" s="567">
        <v>19519.482411506</v>
      </c>
      <c r="K340" s="567">
        <v>20298.977276191999</v>
      </c>
      <c r="L340" s="567">
        <v>21078.472140877999</v>
      </c>
      <c r="M340" s="567">
        <v>21858.113934566001</v>
      </c>
      <c r="N340" s="567">
        <v>22636.535320096002</v>
      </c>
      <c r="O340" s="567">
        <v>23416.527768576001</v>
      </c>
      <c r="P340" s="567">
        <v>24196.667146047999</v>
      </c>
      <c r="Q340" s="567">
        <v>24976.953452523001</v>
      </c>
      <c r="R340" s="567">
        <v>25757.239758997999</v>
      </c>
      <c r="S340" s="567">
        <v>26537.673335033</v>
      </c>
      <c r="T340" s="567">
        <v>20370.722678941002</v>
      </c>
      <c r="V340" s="567">
        <f t="shared" si="32"/>
        <v>22103.725628332464</v>
      </c>
    </row>
    <row r="341" spans="1:22" x14ac:dyDescent="0.25">
      <c r="A341" s="567" t="str">
        <f t="shared" si="34"/>
        <v>KU</v>
      </c>
      <c r="B341" s="567" t="str">
        <f t="shared" si="35"/>
        <v>KY</v>
      </c>
      <c r="C341" s="567" t="str">
        <f t="shared" si="29"/>
        <v>E</v>
      </c>
      <c r="D341" s="567" t="s">
        <v>2649</v>
      </c>
      <c r="E341" s="567" t="str">
        <f t="shared" si="33"/>
        <v>344</v>
      </c>
      <c r="F341" s="864" t="s">
        <v>1651</v>
      </c>
      <c r="G341" s="566" t="str">
        <f t="shared" si="31"/>
        <v/>
      </c>
      <c r="H341" s="567">
        <v>37075.799386556799</v>
      </c>
      <c r="I341" s="567">
        <v>37277.651187923999</v>
      </c>
      <c r="J341" s="567">
        <v>37479.502989291199</v>
      </c>
      <c r="K341" s="567">
        <v>37681.354790658399</v>
      </c>
      <c r="L341" s="567">
        <v>37883.206592025599</v>
      </c>
      <c r="M341" s="567">
        <v>38085.058393392799</v>
      </c>
      <c r="N341" s="567">
        <v>38286.910194759999</v>
      </c>
      <c r="O341" s="567">
        <v>38488.761996127199</v>
      </c>
      <c r="P341" s="567">
        <v>38690.613797494399</v>
      </c>
      <c r="Q341" s="567">
        <v>38892.4655988616</v>
      </c>
      <c r="R341" s="567">
        <v>39094.3174002288</v>
      </c>
      <c r="S341" s="567">
        <v>39296.169201596</v>
      </c>
      <c r="T341" s="567">
        <v>39245.421282233801</v>
      </c>
      <c r="V341" s="567">
        <f t="shared" si="32"/>
        <v>38267.479447011581</v>
      </c>
    </row>
    <row r="342" spans="1:22" x14ac:dyDescent="0.25">
      <c r="A342" s="567" t="str">
        <f t="shared" si="34"/>
        <v>KU</v>
      </c>
      <c r="B342" s="567" t="str">
        <f t="shared" si="35"/>
        <v>KY</v>
      </c>
      <c r="C342" s="567" t="str">
        <f t="shared" si="29"/>
        <v>E</v>
      </c>
      <c r="D342" s="567" t="s">
        <v>2649</v>
      </c>
      <c r="E342" s="567" t="str">
        <f t="shared" si="33"/>
        <v>344</v>
      </c>
      <c r="F342" s="864" t="s">
        <v>1652</v>
      </c>
      <c r="G342" s="566" t="str">
        <f t="shared" si="31"/>
        <v/>
      </c>
      <c r="H342" s="567">
        <v>8618.5435409300007</v>
      </c>
      <c r="I342" s="567">
        <v>8758.6942260230007</v>
      </c>
      <c r="J342" s="567">
        <v>8898.8449111160007</v>
      </c>
      <c r="K342" s="567">
        <v>9038.9955962090007</v>
      </c>
      <c r="L342" s="567">
        <v>9179.1462813020007</v>
      </c>
      <c r="M342" s="567">
        <v>9319.2969663950007</v>
      </c>
      <c r="N342" s="567">
        <v>9459.4476514880007</v>
      </c>
      <c r="O342" s="567">
        <v>9599.5983365810007</v>
      </c>
      <c r="P342" s="567">
        <v>9739.7490216740007</v>
      </c>
      <c r="Q342" s="567">
        <v>9879.8997067670007</v>
      </c>
      <c r="R342" s="567">
        <v>10020.050391860001</v>
      </c>
      <c r="S342" s="567">
        <v>10160.201076953001</v>
      </c>
      <c r="T342" s="567">
        <v>10300.351762046001</v>
      </c>
      <c r="V342" s="567">
        <f t="shared" si="32"/>
        <v>9459.4476514880007</v>
      </c>
    </row>
    <row r="343" spans="1:22" x14ac:dyDescent="0.25">
      <c r="A343" s="567" t="str">
        <f t="shared" si="34"/>
        <v>KU</v>
      </c>
      <c r="B343" s="567" t="str">
        <f t="shared" si="35"/>
        <v>KY</v>
      </c>
      <c r="C343" s="567" t="str">
        <f t="shared" si="29"/>
        <v>E</v>
      </c>
      <c r="D343" s="567" t="s">
        <v>2649</v>
      </c>
      <c r="E343" s="567" t="str">
        <f t="shared" si="33"/>
        <v>344</v>
      </c>
      <c r="F343" s="864" t="s">
        <v>1653</v>
      </c>
      <c r="G343" s="566" t="str">
        <f t="shared" si="31"/>
        <v/>
      </c>
      <c r="H343" s="567">
        <v>1750.9493653869999</v>
      </c>
      <c r="I343" s="567">
        <v>1801.1547979257</v>
      </c>
      <c r="J343" s="567">
        <v>1851.3602304644</v>
      </c>
      <c r="K343" s="567">
        <v>1901.5656630031001</v>
      </c>
      <c r="L343" s="567">
        <v>1951.7710955417999</v>
      </c>
      <c r="M343" s="567">
        <v>2001.9765280805</v>
      </c>
      <c r="N343" s="567">
        <v>2052.1819606191998</v>
      </c>
      <c r="O343" s="567">
        <v>2102.3873931579001</v>
      </c>
      <c r="P343" s="567">
        <v>2152.5928256965999</v>
      </c>
      <c r="Q343" s="567">
        <v>2202.7982582353002</v>
      </c>
      <c r="R343" s="567">
        <v>2253.003690774</v>
      </c>
      <c r="S343" s="567">
        <v>2303.2091233126998</v>
      </c>
      <c r="T343" s="567">
        <v>2353.4145558514001</v>
      </c>
      <c r="V343" s="567">
        <f t="shared" si="32"/>
        <v>2052.1819606191998</v>
      </c>
    </row>
    <row r="344" spans="1:22" x14ac:dyDescent="0.25">
      <c r="A344" s="567" t="str">
        <f t="shared" si="34"/>
        <v>KU</v>
      </c>
      <c r="B344" s="567" t="str">
        <f t="shared" si="35"/>
        <v>KY</v>
      </c>
      <c r="C344" s="567" t="str">
        <f t="shared" ref="C344:C407" si="36">IF(ISTEXT(MID($F344,SEARCH("FUTURE USE",$F344),3)),"F",IF(MID($F344,7,1)="1","E",IF(MID($F344,7,1)="2","G",IF(MID($F344,7,1)="3","C",""))))</f>
        <v>E</v>
      </c>
      <c r="D344" s="567" t="s">
        <v>2649</v>
      </c>
      <c r="E344" s="567" t="str">
        <f t="shared" si="33"/>
        <v>345</v>
      </c>
      <c r="F344" s="864" t="s">
        <v>1654</v>
      </c>
      <c r="G344" s="566" t="str">
        <f t="shared" si="31"/>
        <v/>
      </c>
      <c r="H344" s="567">
        <v>26935.1264518604</v>
      </c>
      <c r="I344" s="567">
        <v>27129.066583304801</v>
      </c>
      <c r="J344" s="567">
        <v>27323.006714749201</v>
      </c>
      <c r="K344" s="567">
        <v>27516.946846193601</v>
      </c>
      <c r="L344" s="567">
        <v>27710.886977638002</v>
      </c>
      <c r="M344" s="567">
        <v>27904.827109082398</v>
      </c>
      <c r="N344" s="567">
        <v>28098.767240526799</v>
      </c>
      <c r="O344" s="567">
        <v>28292.707371971199</v>
      </c>
      <c r="P344" s="567">
        <v>28486.647503415599</v>
      </c>
      <c r="Q344" s="567">
        <v>28680.58763486</v>
      </c>
      <c r="R344" s="567">
        <v>28874.5277663044</v>
      </c>
      <c r="S344" s="567">
        <v>29068.4678977488</v>
      </c>
      <c r="T344" s="567">
        <v>29262.934016510098</v>
      </c>
      <c r="V344" s="567">
        <f t="shared" si="32"/>
        <v>28098.807701089634</v>
      </c>
    </row>
    <row r="345" spans="1:22" x14ac:dyDescent="0.25">
      <c r="A345" s="567" t="str">
        <f t="shared" si="34"/>
        <v>KU</v>
      </c>
      <c r="B345" s="567" t="str">
        <f t="shared" si="35"/>
        <v>KY</v>
      </c>
      <c r="C345" s="567" t="str">
        <f t="shared" si="36"/>
        <v>E</v>
      </c>
      <c r="D345" s="567" t="s">
        <v>2649</v>
      </c>
      <c r="E345" s="567" t="str">
        <f t="shared" si="33"/>
        <v>345</v>
      </c>
      <c r="F345" s="864" t="s">
        <v>1655</v>
      </c>
      <c r="G345" s="566" t="str">
        <f t="shared" si="31"/>
        <v/>
      </c>
      <c r="H345" s="567">
        <v>2681.7434209159901</v>
      </c>
      <c r="I345" s="567">
        <v>2746.8910685709898</v>
      </c>
      <c r="J345" s="567">
        <v>2812.0387162259899</v>
      </c>
      <c r="K345" s="567">
        <v>2877.18636388099</v>
      </c>
      <c r="L345" s="567">
        <v>2942.3340115359902</v>
      </c>
      <c r="M345" s="567">
        <v>3007.4816591909898</v>
      </c>
      <c r="N345" s="567">
        <v>3072.62930684599</v>
      </c>
      <c r="O345" s="567">
        <v>3137.7769545009901</v>
      </c>
      <c r="P345" s="567">
        <v>3202.9246021559902</v>
      </c>
      <c r="Q345" s="567">
        <v>3268.0722498109899</v>
      </c>
      <c r="R345" s="567">
        <v>3333.21989746599</v>
      </c>
      <c r="S345" s="567">
        <v>3398.3675451209901</v>
      </c>
      <c r="T345" s="567">
        <v>3463.5151927759898</v>
      </c>
      <c r="V345" s="567">
        <f t="shared" si="32"/>
        <v>3072.62930684599</v>
      </c>
    </row>
    <row r="346" spans="1:22" x14ac:dyDescent="0.25">
      <c r="A346" s="567" t="str">
        <f t="shared" si="34"/>
        <v>KU</v>
      </c>
      <c r="B346" s="567" t="str">
        <f t="shared" si="35"/>
        <v>KY</v>
      </c>
      <c r="C346" s="567" t="str">
        <f t="shared" si="36"/>
        <v>E</v>
      </c>
      <c r="D346" s="567" t="s">
        <v>2649</v>
      </c>
      <c r="E346" s="567" t="str">
        <f t="shared" si="33"/>
        <v>345</v>
      </c>
      <c r="F346" s="864" t="s">
        <v>1656</v>
      </c>
      <c r="G346" s="566" t="str">
        <f t="shared" si="31"/>
        <v/>
      </c>
      <c r="H346" s="567">
        <v>71.749459830000006</v>
      </c>
      <c r="I346" s="567">
        <v>73.367999812999997</v>
      </c>
      <c r="J346" s="567">
        <v>74.986539796000002</v>
      </c>
      <c r="K346" s="567">
        <v>76.605079778999993</v>
      </c>
      <c r="L346" s="567">
        <v>78.223619761999998</v>
      </c>
      <c r="M346" s="567">
        <v>79.842159745000004</v>
      </c>
      <c r="N346" s="567">
        <v>81.460699727999994</v>
      </c>
      <c r="O346" s="567">
        <v>83.079239711</v>
      </c>
      <c r="P346" s="567">
        <v>86.568731799619997</v>
      </c>
      <c r="Q346" s="567">
        <v>92.003607716019999</v>
      </c>
      <c r="R346" s="567">
        <v>97.587346938020005</v>
      </c>
      <c r="S346" s="567">
        <v>103.31994932592001</v>
      </c>
      <c r="T346" s="567">
        <v>109.20141487972001</v>
      </c>
      <c r="V346" s="567">
        <f t="shared" si="32"/>
        <v>85.230449909484619</v>
      </c>
    </row>
    <row r="347" spans="1:22" x14ac:dyDescent="0.25">
      <c r="A347" s="567" t="str">
        <f t="shared" si="34"/>
        <v>KU</v>
      </c>
      <c r="B347" s="567" t="str">
        <f t="shared" si="35"/>
        <v>KY</v>
      </c>
      <c r="C347" s="567" t="str">
        <f t="shared" si="36"/>
        <v>E</v>
      </c>
      <c r="D347" s="567" t="s">
        <v>2649</v>
      </c>
      <c r="E347" s="567" t="str">
        <f t="shared" si="33"/>
        <v>346</v>
      </c>
      <c r="F347" s="864" t="s">
        <v>1657</v>
      </c>
      <c r="G347" s="566" t="str">
        <f t="shared" ref="G347:G421" si="37">IF(ISTEXT(MID($F347,SEARCH("FUTURE USE",$F347),3)),"FUTURE USE",IF(ISTEXT(MID($F347,SEARCH("ECR",$F347),3)),"ECR",IF(ISTEXT(MID($F347,SEARCH("ARO",$F347),3)),"ARO",IF(ISTEXT(MID($F347,SEARCH("DSM",$F347),3)),"DSM",""))))</f>
        <v/>
      </c>
      <c r="H347" s="567">
        <v>3529.15935333794</v>
      </c>
      <c r="I347" s="567">
        <v>3551.9619051585901</v>
      </c>
      <c r="J347" s="567">
        <v>3574.7827684773401</v>
      </c>
      <c r="K347" s="567">
        <v>3597.6219432931998</v>
      </c>
      <c r="L347" s="567">
        <v>3620.4611181090499</v>
      </c>
      <c r="M347" s="567">
        <v>3648.1022190737999</v>
      </c>
      <c r="N347" s="567">
        <v>3680.54524619126</v>
      </c>
      <c r="O347" s="567">
        <v>3712.9882733087102</v>
      </c>
      <c r="P347" s="567">
        <v>3745.4313004261699</v>
      </c>
      <c r="Q347" s="567">
        <v>3777.87432754362</v>
      </c>
      <c r="R347" s="567">
        <v>3811.2288929450901</v>
      </c>
      <c r="S347" s="567">
        <v>3845.49499663088</v>
      </c>
      <c r="T347" s="567">
        <v>3866.2430567869401</v>
      </c>
      <c r="V347" s="567">
        <f t="shared" si="32"/>
        <v>3689.3765693294295</v>
      </c>
    </row>
    <row r="348" spans="1:22" x14ac:dyDescent="0.25">
      <c r="A348" s="567" t="str">
        <f t="shared" si="34"/>
        <v>KU</v>
      </c>
      <c r="B348" s="567" t="str">
        <f t="shared" si="35"/>
        <v>KY</v>
      </c>
      <c r="C348" s="567" t="str">
        <f t="shared" si="36"/>
        <v>E</v>
      </c>
      <c r="D348" s="567" t="s">
        <v>2649</v>
      </c>
      <c r="E348" s="567" t="str">
        <f t="shared" si="33"/>
        <v>346</v>
      </c>
      <c r="F348" s="864" t="s">
        <v>1658</v>
      </c>
      <c r="G348" s="566" t="str">
        <f t="shared" si="37"/>
        <v/>
      </c>
      <c r="H348" s="567">
        <v>279.23731766719999</v>
      </c>
      <c r="I348" s="567">
        <v>289.74297264820001</v>
      </c>
      <c r="J348" s="567">
        <v>300.61853508119998</v>
      </c>
      <c r="K348" s="567">
        <v>311.86400497220001</v>
      </c>
      <c r="L348" s="567">
        <v>323.10947486319998</v>
      </c>
      <c r="M348" s="567">
        <v>334.5911305642</v>
      </c>
      <c r="N348" s="567">
        <v>346.30897208619899</v>
      </c>
      <c r="O348" s="567">
        <v>358.02681360819901</v>
      </c>
      <c r="P348" s="567">
        <v>369.74465513019902</v>
      </c>
      <c r="Q348" s="567">
        <v>381.46249665219898</v>
      </c>
      <c r="R348" s="567">
        <v>393.18033817419899</v>
      </c>
      <c r="S348" s="567">
        <v>405.272996300199</v>
      </c>
      <c r="T348" s="567">
        <v>417.74047103019899</v>
      </c>
      <c r="V348" s="567">
        <f t="shared" si="32"/>
        <v>346.99232144443027</v>
      </c>
    </row>
    <row r="349" spans="1:22" x14ac:dyDescent="0.25">
      <c r="A349" s="567" t="str">
        <f t="shared" si="34"/>
        <v>KU</v>
      </c>
      <c r="B349" s="567" t="str">
        <f t="shared" si="35"/>
        <v>KY</v>
      </c>
      <c r="C349" s="567" t="str">
        <f t="shared" si="36"/>
        <v>E</v>
      </c>
      <c r="D349" s="567" t="s">
        <v>2649</v>
      </c>
      <c r="E349" s="567" t="str">
        <f t="shared" si="33"/>
        <v>346</v>
      </c>
      <c r="F349" s="864" t="s">
        <v>1659</v>
      </c>
      <c r="G349" s="566" t="str">
        <f t="shared" si="37"/>
        <v/>
      </c>
      <c r="H349" s="567">
        <v>44.1795807499999</v>
      </c>
      <c r="I349" s="567">
        <v>45.684003824999898</v>
      </c>
      <c r="J349" s="567">
        <v>47.188426899999897</v>
      </c>
      <c r="K349" s="567">
        <v>48.692849974999902</v>
      </c>
      <c r="L349" s="567">
        <v>50.1972730499999</v>
      </c>
      <c r="M349" s="567">
        <v>51.701696124999899</v>
      </c>
      <c r="N349" s="567">
        <v>53.206119199999897</v>
      </c>
      <c r="O349" s="567">
        <v>54.710542274999902</v>
      </c>
      <c r="P349" s="567">
        <v>56.2149653499999</v>
      </c>
      <c r="Q349" s="567">
        <v>57.719388424999899</v>
      </c>
      <c r="R349" s="567">
        <v>59.223811499999897</v>
      </c>
      <c r="S349" s="567">
        <v>60.728234574999902</v>
      </c>
      <c r="T349" s="567">
        <v>62.232657649999901</v>
      </c>
      <c r="V349" s="567">
        <f t="shared" ref="V349:V412" si="38">SUM(H349:T349)/13</f>
        <v>53.20611919999989</v>
      </c>
    </row>
    <row r="350" spans="1:22" x14ac:dyDescent="0.25">
      <c r="A350" s="567" t="str">
        <f t="shared" si="34"/>
        <v>KU</v>
      </c>
      <c r="B350" s="567" t="str">
        <f t="shared" si="35"/>
        <v>KY</v>
      </c>
      <c r="C350" s="567" t="str">
        <f t="shared" si="36"/>
        <v>E</v>
      </c>
      <c r="D350" s="567" t="s">
        <v>2649</v>
      </c>
      <c r="E350" s="567" t="str">
        <f t="shared" si="33"/>
        <v>347</v>
      </c>
      <c r="F350" s="864" t="s">
        <v>1660</v>
      </c>
      <c r="G350" s="566" t="str">
        <f t="shared" si="37"/>
        <v>ARO</v>
      </c>
      <c r="H350" s="567">
        <v>80.243499999999898</v>
      </c>
      <c r="I350" s="567">
        <v>81.922619999999895</v>
      </c>
      <c r="J350" s="567">
        <v>83.601739999999893</v>
      </c>
      <c r="K350" s="567">
        <v>85.280859999999905</v>
      </c>
      <c r="L350" s="567">
        <v>86.959979999999902</v>
      </c>
      <c r="M350" s="567">
        <v>88.6390999999999</v>
      </c>
      <c r="N350" s="567">
        <v>90.318219999999897</v>
      </c>
      <c r="O350" s="567">
        <v>91.997339999999895</v>
      </c>
      <c r="P350" s="567">
        <v>93.676459999999906</v>
      </c>
      <c r="Q350" s="567">
        <v>93.902442759865195</v>
      </c>
      <c r="R350" s="567">
        <v>94.128425519730499</v>
      </c>
      <c r="S350" s="567">
        <v>94.354408279595802</v>
      </c>
      <c r="T350" s="567">
        <v>94.580391039461105</v>
      </c>
      <c r="V350" s="567">
        <f t="shared" si="38"/>
        <v>89.200422122973208</v>
      </c>
    </row>
    <row r="351" spans="1:22" x14ac:dyDescent="0.25">
      <c r="A351" s="567" t="str">
        <f t="shared" si="34"/>
        <v>KU</v>
      </c>
      <c r="B351" s="567" t="str">
        <f t="shared" si="35"/>
        <v>KY</v>
      </c>
      <c r="C351" s="567" t="str">
        <f t="shared" si="36"/>
        <v>E</v>
      </c>
      <c r="D351" s="567" t="s">
        <v>2649</v>
      </c>
      <c r="E351" s="567" t="str">
        <f t="shared" si="33"/>
        <v>350</v>
      </c>
      <c r="F351" s="864" t="s">
        <v>1661</v>
      </c>
      <c r="G351" s="566" t="str">
        <f t="shared" si="37"/>
        <v/>
      </c>
      <c r="H351" s="567">
        <v>15963.3332520399</v>
      </c>
      <c r="I351" s="567">
        <v>15983.0020211499</v>
      </c>
      <c r="J351" s="567">
        <v>16002.670790259899</v>
      </c>
      <c r="K351" s="567">
        <v>16022.339559369901</v>
      </c>
      <c r="L351" s="567">
        <v>16042.0083284799</v>
      </c>
      <c r="M351" s="567">
        <v>16061.6770975899</v>
      </c>
      <c r="N351" s="567">
        <v>16081.345866699899</v>
      </c>
      <c r="O351" s="567">
        <v>16101.014635809899</v>
      </c>
      <c r="P351" s="567">
        <v>16120.683404919901</v>
      </c>
      <c r="Q351" s="567">
        <v>16140.3521740299</v>
      </c>
      <c r="R351" s="567">
        <v>16160.0209431399</v>
      </c>
      <c r="S351" s="567">
        <v>16179.689712249899</v>
      </c>
      <c r="T351" s="567">
        <v>16199.358481359901</v>
      </c>
      <c r="V351" s="567">
        <f t="shared" si="38"/>
        <v>16081.345866699899</v>
      </c>
    </row>
    <row r="352" spans="1:22" x14ac:dyDescent="0.25">
      <c r="A352" s="567" t="str">
        <f t="shared" si="34"/>
        <v>KU</v>
      </c>
      <c r="B352" s="567" t="str">
        <f t="shared" si="35"/>
        <v>TN</v>
      </c>
      <c r="C352" s="567" t="str">
        <f t="shared" si="36"/>
        <v>E</v>
      </c>
      <c r="D352" s="567" t="s">
        <v>2649</v>
      </c>
      <c r="E352" s="567" t="str">
        <f t="shared" si="33"/>
        <v>350</v>
      </c>
      <c r="F352" s="864" t="s">
        <v>1662</v>
      </c>
      <c r="G352" s="566" t="str">
        <f t="shared" si="37"/>
        <v/>
      </c>
      <c r="H352" s="567">
        <v>0.374229964999999</v>
      </c>
      <c r="I352" s="567">
        <v>0.374544961499999</v>
      </c>
      <c r="J352" s="567">
        <v>0.37485995799999899</v>
      </c>
      <c r="K352" s="567">
        <v>0.37517495449999899</v>
      </c>
      <c r="L352" s="567">
        <v>0.37548995099999899</v>
      </c>
      <c r="M352" s="567">
        <v>0.37580494749999899</v>
      </c>
      <c r="N352" s="567">
        <v>0.37611994399999898</v>
      </c>
      <c r="O352" s="567">
        <v>0.37643494049999898</v>
      </c>
      <c r="P352" s="567">
        <v>0.37674993699999898</v>
      </c>
      <c r="Q352" s="567">
        <v>0.37706493349999898</v>
      </c>
      <c r="R352" s="567">
        <v>0.37737992999999898</v>
      </c>
      <c r="S352" s="567">
        <v>0.37769492649999897</v>
      </c>
      <c r="T352" s="567">
        <v>0.37800992299999903</v>
      </c>
      <c r="V352" s="567">
        <f t="shared" si="38"/>
        <v>0.37611994399999904</v>
      </c>
    </row>
    <row r="353" spans="1:22" x14ac:dyDescent="0.25">
      <c r="A353" s="567" t="str">
        <f t="shared" si="34"/>
        <v>KU</v>
      </c>
      <c r="B353" s="567" t="str">
        <f t="shared" si="35"/>
        <v>VA</v>
      </c>
      <c r="C353" s="567" t="str">
        <f t="shared" si="36"/>
        <v>E</v>
      </c>
      <c r="D353" s="567" t="s">
        <v>2649</v>
      </c>
      <c r="E353" s="567" t="str">
        <f t="shared" si="33"/>
        <v>350</v>
      </c>
      <c r="F353" s="864" t="s">
        <v>1663</v>
      </c>
      <c r="G353" s="566" t="str">
        <f t="shared" si="37"/>
        <v/>
      </c>
      <c r="H353" s="567">
        <v>1971.3189318</v>
      </c>
      <c r="I353" s="567">
        <v>1972.9095559800001</v>
      </c>
      <c r="J353" s="567">
        <v>1974.5001801599999</v>
      </c>
      <c r="K353" s="567">
        <v>1976.09080434</v>
      </c>
      <c r="L353" s="567">
        <v>1977.6814285200001</v>
      </c>
      <c r="M353" s="567">
        <v>1979.2720526999999</v>
      </c>
      <c r="N353" s="567">
        <v>1980.86267688</v>
      </c>
      <c r="O353" s="567">
        <v>1982.4533010600001</v>
      </c>
      <c r="P353" s="567">
        <v>1984.0439252399999</v>
      </c>
      <c r="Q353" s="567">
        <v>1985.63454942</v>
      </c>
      <c r="R353" s="567">
        <v>1987.2251736000001</v>
      </c>
      <c r="S353" s="567">
        <v>1988.8157977799999</v>
      </c>
      <c r="T353" s="567">
        <v>1990.40642196</v>
      </c>
      <c r="V353" s="567">
        <f t="shared" si="38"/>
        <v>1980.86267688</v>
      </c>
    </row>
    <row r="354" spans="1:22" x14ac:dyDescent="0.25">
      <c r="A354" s="567" t="str">
        <f t="shared" si="34"/>
        <v>KU</v>
      </c>
      <c r="B354" s="567" t="str">
        <f t="shared" si="35"/>
        <v>KY</v>
      </c>
      <c r="C354" s="567" t="str">
        <f t="shared" si="36"/>
        <v>E</v>
      </c>
      <c r="D354" s="567" t="s">
        <v>2649</v>
      </c>
      <c r="E354" s="567" t="str">
        <f t="shared" si="33"/>
        <v>352</v>
      </c>
      <c r="F354" s="864" t="s">
        <v>1664</v>
      </c>
      <c r="G354" s="566" t="str">
        <f t="shared" si="37"/>
        <v/>
      </c>
      <c r="H354" s="567">
        <v>925.52541074799899</v>
      </c>
      <c r="I354" s="567">
        <v>927.38044782279906</v>
      </c>
      <c r="J354" s="567">
        <v>929.23548489759901</v>
      </c>
      <c r="K354" s="567">
        <v>931.09052197239896</v>
      </c>
      <c r="L354" s="567">
        <v>932.94555904719903</v>
      </c>
      <c r="M354" s="567">
        <v>934.80059612199898</v>
      </c>
      <c r="N354" s="567">
        <v>936.71494767170896</v>
      </c>
      <c r="O354" s="567">
        <v>938.68861369643901</v>
      </c>
      <c r="P354" s="567">
        <v>940.66227972116906</v>
      </c>
      <c r="Q354" s="567">
        <v>942.63594574589899</v>
      </c>
      <c r="R354" s="567">
        <v>944.60961177062904</v>
      </c>
      <c r="S354" s="567">
        <v>946.58327779535898</v>
      </c>
      <c r="T354" s="567">
        <v>948.55694382008801</v>
      </c>
      <c r="V354" s="567">
        <f t="shared" si="38"/>
        <v>936.87920314086796</v>
      </c>
    </row>
    <row r="355" spans="1:22" x14ac:dyDescent="0.25">
      <c r="A355" s="567" t="str">
        <f t="shared" si="34"/>
        <v>KU</v>
      </c>
      <c r="B355" s="567" t="str">
        <f t="shared" si="35"/>
        <v>KY</v>
      </c>
      <c r="C355" s="567" t="str">
        <f t="shared" si="36"/>
        <v>E</v>
      </c>
      <c r="D355" s="567" t="s">
        <v>2649</v>
      </c>
      <c r="E355" s="567" t="str">
        <f t="shared" si="33"/>
        <v>352</v>
      </c>
      <c r="F355" s="864" t="s">
        <v>1665</v>
      </c>
      <c r="G355" s="566" t="str">
        <f t="shared" si="37"/>
        <v/>
      </c>
      <c r="H355" s="567">
        <v>6066.0718727200001</v>
      </c>
      <c r="I355" s="567">
        <v>6102.7999309919996</v>
      </c>
      <c r="J355" s="567">
        <v>6139.5279892640001</v>
      </c>
      <c r="K355" s="567">
        <v>6176.2560475359996</v>
      </c>
      <c r="L355" s="567">
        <v>6212.9841058080001</v>
      </c>
      <c r="M355" s="567">
        <v>6249.7121640799996</v>
      </c>
      <c r="N355" s="567">
        <v>6286.4402223520001</v>
      </c>
      <c r="O355" s="567">
        <v>6323.1682806239996</v>
      </c>
      <c r="P355" s="567">
        <v>6359.8963388960001</v>
      </c>
      <c r="Q355" s="567">
        <v>6396.6243971679996</v>
      </c>
      <c r="R355" s="567">
        <v>6433.3524554400001</v>
      </c>
      <c r="S355" s="567">
        <v>6470.0805137120096</v>
      </c>
      <c r="T355" s="567">
        <v>6506.8085719840101</v>
      </c>
      <c r="V355" s="567">
        <f t="shared" si="38"/>
        <v>6286.440222352001</v>
      </c>
    </row>
    <row r="356" spans="1:22" x14ac:dyDescent="0.25">
      <c r="A356" s="567" t="str">
        <f t="shared" si="34"/>
        <v>KU</v>
      </c>
      <c r="B356" s="567" t="str">
        <f t="shared" si="35"/>
        <v>VA</v>
      </c>
      <c r="C356" s="567" t="str">
        <f t="shared" si="36"/>
        <v>E</v>
      </c>
      <c r="D356" s="567" t="s">
        <v>2649</v>
      </c>
      <c r="E356" s="567" t="str">
        <f t="shared" si="33"/>
        <v>352</v>
      </c>
      <c r="F356" s="864" t="s">
        <v>1666</v>
      </c>
      <c r="G356" s="566" t="str">
        <f t="shared" si="37"/>
        <v/>
      </c>
      <c r="H356" s="567">
        <v>825.50015116999896</v>
      </c>
      <c r="I356" s="567">
        <v>827.91157628699898</v>
      </c>
      <c r="J356" s="567">
        <v>830.32300140399798</v>
      </c>
      <c r="K356" s="567">
        <v>832.734426520998</v>
      </c>
      <c r="L356" s="567">
        <v>835.14585163799802</v>
      </c>
      <c r="M356" s="567">
        <v>837.55727675499804</v>
      </c>
      <c r="N356" s="567">
        <v>839.96870187199795</v>
      </c>
      <c r="O356" s="567">
        <v>842.38012698899797</v>
      </c>
      <c r="P356" s="567">
        <v>844.79155210599799</v>
      </c>
      <c r="Q356" s="567">
        <v>847.20297722299802</v>
      </c>
      <c r="R356" s="567">
        <v>849.61440233999804</v>
      </c>
      <c r="S356" s="567">
        <v>852.02582745699794</v>
      </c>
      <c r="T356" s="567">
        <v>854.43725257399797</v>
      </c>
      <c r="V356" s="567">
        <f t="shared" si="38"/>
        <v>839.96870187199829</v>
      </c>
    </row>
    <row r="357" spans="1:22" x14ac:dyDescent="0.25">
      <c r="A357" s="567" t="str">
        <f t="shared" si="34"/>
        <v>KU</v>
      </c>
      <c r="B357" s="567" t="str">
        <f t="shared" si="35"/>
        <v>KY</v>
      </c>
      <c r="C357" s="567" t="str">
        <f t="shared" si="36"/>
        <v>E</v>
      </c>
      <c r="D357" s="567" t="s">
        <v>2649</v>
      </c>
      <c r="E357" s="567" t="str">
        <f t="shared" si="33"/>
        <v>353</v>
      </c>
      <c r="F357" s="864" t="s">
        <v>1667</v>
      </c>
      <c r="G357" s="566" t="str">
        <f t="shared" si="37"/>
        <v/>
      </c>
      <c r="H357" s="567">
        <v>69517.507959109993</v>
      </c>
      <c r="I357" s="567">
        <v>69907.724770359899</v>
      </c>
      <c r="J357" s="567">
        <v>70113.476831979904</v>
      </c>
      <c r="K357" s="567">
        <v>70581.153462560003</v>
      </c>
      <c r="L357" s="567">
        <v>70917.504215089997</v>
      </c>
      <c r="M357" s="567">
        <v>71367.458641160003</v>
      </c>
      <c r="N357" s="567">
        <v>71715.121140460004</v>
      </c>
      <c r="O357" s="567">
        <v>72138.926352440001</v>
      </c>
      <c r="P357" s="567">
        <v>72172.123831460005</v>
      </c>
      <c r="Q357" s="567">
        <v>72702.798361199995</v>
      </c>
      <c r="R357" s="567">
        <v>73124.337685100007</v>
      </c>
      <c r="S357" s="567">
        <v>73502.421198929995</v>
      </c>
      <c r="T357" s="567">
        <v>73830.263301300001</v>
      </c>
      <c r="V357" s="567">
        <f t="shared" si="38"/>
        <v>71660.832134703844</v>
      </c>
    </row>
    <row r="358" spans="1:22" x14ac:dyDescent="0.25">
      <c r="A358" s="567" t="str">
        <f t="shared" si="34"/>
        <v>KU</v>
      </c>
      <c r="B358" s="567" t="str">
        <f t="shared" si="35"/>
        <v>KY</v>
      </c>
      <c r="C358" s="567" t="str">
        <f t="shared" si="36"/>
        <v>E</v>
      </c>
      <c r="D358" s="567" t="s">
        <v>2649</v>
      </c>
      <c r="E358" s="567" t="str">
        <f t="shared" si="33"/>
        <v>353</v>
      </c>
      <c r="F358" s="864" t="s">
        <v>1668</v>
      </c>
      <c r="G358" s="566" t="str">
        <f t="shared" si="37"/>
        <v/>
      </c>
      <c r="H358" s="567">
        <v>5685.8793900000001</v>
      </c>
      <c r="I358" s="567">
        <v>5685.8793900000001</v>
      </c>
      <c r="J358" s="567">
        <v>5685.8793900000001</v>
      </c>
      <c r="K358" s="567">
        <v>5685.8793900000001</v>
      </c>
      <c r="L358" s="567">
        <v>5685.8793900000001</v>
      </c>
      <c r="M358" s="567">
        <v>5685.8793900000001</v>
      </c>
      <c r="N358" s="567">
        <v>5685.8793900000001</v>
      </c>
      <c r="O358" s="567">
        <v>5685.8793900000001</v>
      </c>
      <c r="P358" s="567">
        <v>5685.8793900000001</v>
      </c>
      <c r="Q358" s="567">
        <v>5685.8793900000001</v>
      </c>
      <c r="R358" s="567">
        <v>5685.8793900000001</v>
      </c>
      <c r="S358" s="567">
        <v>5685.8793900000001</v>
      </c>
      <c r="T358" s="567">
        <v>5685.8793900000001</v>
      </c>
      <c r="V358" s="567">
        <f t="shared" si="38"/>
        <v>5685.879390000001</v>
      </c>
    </row>
    <row r="359" spans="1:22" x14ac:dyDescent="0.25">
      <c r="A359" s="567" t="str">
        <f t="shared" si="34"/>
        <v>KU</v>
      </c>
      <c r="B359" s="567" t="str">
        <f t="shared" si="35"/>
        <v>VA</v>
      </c>
      <c r="C359" s="567" t="str">
        <f t="shared" si="36"/>
        <v>E</v>
      </c>
      <c r="D359" s="567" t="s">
        <v>2649</v>
      </c>
      <c r="E359" s="567" t="str">
        <f t="shared" si="33"/>
        <v>353</v>
      </c>
      <c r="F359" s="864" t="s">
        <v>1669</v>
      </c>
      <c r="G359" s="566" t="str">
        <f t="shared" si="37"/>
        <v/>
      </c>
      <c r="H359" s="567">
        <v>8462.5771559509794</v>
      </c>
      <c r="I359" s="567">
        <v>8498.9180365460797</v>
      </c>
      <c r="J359" s="567">
        <v>8535.2589171411801</v>
      </c>
      <c r="K359" s="567">
        <v>8571.5997977362804</v>
      </c>
      <c r="L359" s="567">
        <v>8607.9406783313807</v>
      </c>
      <c r="M359" s="567">
        <v>8644.2815589264792</v>
      </c>
      <c r="N359" s="567">
        <v>8680.6224395215704</v>
      </c>
      <c r="O359" s="567">
        <v>8716.9633201166707</v>
      </c>
      <c r="P359" s="567">
        <v>8753.3042007117692</v>
      </c>
      <c r="Q359" s="567">
        <v>8789.6450813068695</v>
      </c>
      <c r="R359" s="567">
        <v>8825.9859619019699</v>
      </c>
      <c r="S359" s="567">
        <v>8862.3268424970702</v>
      </c>
      <c r="T359" s="567">
        <v>8898.6677230921596</v>
      </c>
      <c r="V359" s="567">
        <f t="shared" si="38"/>
        <v>8680.6224395215741</v>
      </c>
    </row>
    <row r="360" spans="1:22" x14ac:dyDescent="0.25">
      <c r="A360" s="567" t="str">
        <f t="shared" si="34"/>
        <v>KU</v>
      </c>
      <c r="B360" s="567" t="str">
        <f t="shared" si="35"/>
        <v>KY</v>
      </c>
      <c r="C360" s="567" t="str">
        <f t="shared" si="36"/>
        <v>E</v>
      </c>
      <c r="D360" s="567" t="s">
        <v>2649</v>
      </c>
      <c r="E360" s="567" t="str">
        <f t="shared" si="33"/>
        <v>354</v>
      </c>
      <c r="F360" s="864" t="s">
        <v>1670</v>
      </c>
      <c r="G360" s="566" t="str">
        <f t="shared" si="37"/>
        <v/>
      </c>
      <c r="H360" s="567">
        <v>47713.513994269902</v>
      </c>
      <c r="I360" s="567">
        <v>47813.2972456969</v>
      </c>
      <c r="J360" s="567">
        <v>47913.080497123898</v>
      </c>
      <c r="K360" s="567">
        <v>48012.863748550903</v>
      </c>
      <c r="L360" s="567">
        <v>48112.6469999779</v>
      </c>
      <c r="M360" s="567">
        <v>48212.430251404898</v>
      </c>
      <c r="N360" s="567">
        <v>48312.213502831903</v>
      </c>
      <c r="O360" s="567">
        <v>48411.9967542589</v>
      </c>
      <c r="P360" s="567">
        <v>48511.780005685898</v>
      </c>
      <c r="Q360" s="567">
        <v>48611.563257112903</v>
      </c>
      <c r="R360" s="567">
        <v>48711.3465085399</v>
      </c>
      <c r="S360" s="567">
        <v>48811.129759966898</v>
      </c>
      <c r="T360" s="567">
        <v>48910.913011393903</v>
      </c>
      <c r="V360" s="567">
        <f t="shared" si="38"/>
        <v>48312.213502831888</v>
      </c>
    </row>
    <row r="361" spans="1:22" x14ac:dyDescent="0.25">
      <c r="A361" s="567" t="str">
        <f t="shared" si="34"/>
        <v>KU</v>
      </c>
      <c r="B361" s="567" t="str">
        <f t="shared" si="35"/>
        <v>VA</v>
      </c>
      <c r="C361" s="567" t="str">
        <f t="shared" si="36"/>
        <v>E</v>
      </c>
      <c r="D361" s="567" t="s">
        <v>2649</v>
      </c>
      <c r="E361" s="567" t="str">
        <f t="shared" si="33"/>
        <v>354</v>
      </c>
      <c r="F361" s="864" t="s">
        <v>1671</v>
      </c>
      <c r="G361" s="566" t="str">
        <f t="shared" si="37"/>
        <v/>
      </c>
      <c r="H361" s="567">
        <v>5196.3759316399901</v>
      </c>
      <c r="I361" s="567">
        <v>5206.48928780399</v>
      </c>
      <c r="J361" s="567">
        <v>5216.6026439679899</v>
      </c>
      <c r="K361" s="567">
        <v>5226.7160001319899</v>
      </c>
      <c r="L361" s="567">
        <v>5236.8293562959898</v>
      </c>
      <c r="M361" s="567">
        <v>5246.9427124599897</v>
      </c>
      <c r="N361" s="567">
        <v>5257.0560686239896</v>
      </c>
      <c r="O361" s="567">
        <v>5267.1694247879896</v>
      </c>
      <c r="P361" s="567">
        <v>5277.2827809519904</v>
      </c>
      <c r="Q361" s="567">
        <v>5287.3961371159903</v>
      </c>
      <c r="R361" s="567">
        <v>5297.5094932799902</v>
      </c>
      <c r="S361" s="567">
        <v>5307.6228494439902</v>
      </c>
      <c r="T361" s="567">
        <v>5317.7362056079901</v>
      </c>
      <c r="V361" s="567">
        <f t="shared" si="38"/>
        <v>5257.0560686239905</v>
      </c>
    </row>
    <row r="362" spans="1:22" x14ac:dyDescent="0.25">
      <c r="A362" s="567" t="str">
        <f t="shared" si="34"/>
        <v>KU</v>
      </c>
      <c r="B362" s="567" t="str">
        <f t="shared" si="35"/>
        <v>KY</v>
      </c>
      <c r="C362" s="567" t="str">
        <f t="shared" si="36"/>
        <v>E</v>
      </c>
      <c r="D362" s="567" t="s">
        <v>2649</v>
      </c>
      <c r="E362" s="567" t="str">
        <f t="shared" si="33"/>
        <v>355</v>
      </c>
      <c r="F362" s="864" t="s">
        <v>1672</v>
      </c>
      <c r="G362" s="566" t="str">
        <f t="shared" si="37"/>
        <v/>
      </c>
      <c r="H362" s="567">
        <v>72072.401745900002</v>
      </c>
      <c r="I362" s="567">
        <v>71898.080045270006</v>
      </c>
      <c r="J362" s="567">
        <v>72511.092864460006</v>
      </c>
      <c r="K362" s="567">
        <v>73400.321084159994</v>
      </c>
      <c r="L362" s="567">
        <v>74111.685706259901</v>
      </c>
      <c r="M362" s="567">
        <v>75052.590356219895</v>
      </c>
      <c r="N362" s="567">
        <v>75804.440548549901</v>
      </c>
      <c r="O362" s="567">
        <v>76662.411339400001</v>
      </c>
      <c r="P362" s="567">
        <v>77018.002939159996</v>
      </c>
      <c r="Q362" s="567">
        <v>78069.890408720006</v>
      </c>
      <c r="R362" s="567">
        <v>79010.06643495</v>
      </c>
      <c r="S362" s="567">
        <v>80000.110642970001</v>
      </c>
      <c r="T362" s="567">
        <v>80762.233758799994</v>
      </c>
      <c r="V362" s="567">
        <f t="shared" si="38"/>
        <v>75874.87137498612</v>
      </c>
    </row>
    <row r="363" spans="1:22" x14ac:dyDescent="0.25">
      <c r="A363" s="567" t="str">
        <f t="shared" si="34"/>
        <v>KU</v>
      </c>
      <c r="B363" s="567" t="str">
        <f t="shared" si="35"/>
        <v>TN</v>
      </c>
      <c r="C363" s="567" t="str">
        <f t="shared" si="36"/>
        <v>E</v>
      </c>
      <c r="D363" s="567" t="s">
        <v>2649</v>
      </c>
      <c r="E363" s="567" t="str">
        <f t="shared" si="33"/>
        <v>355</v>
      </c>
      <c r="F363" s="864" t="s">
        <v>1673</v>
      </c>
      <c r="G363" s="566" t="str">
        <f t="shared" si="37"/>
        <v/>
      </c>
      <c r="H363" s="567">
        <v>93.228233191200005</v>
      </c>
      <c r="I363" s="567">
        <v>93.542601510319997</v>
      </c>
      <c r="J363" s="567">
        <v>93.856969829440004</v>
      </c>
      <c r="K363" s="567">
        <v>94.171338148560096</v>
      </c>
      <c r="L363" s="567">
        <v>94.485706467680103</v>
      </c>
      <c r="M363" s="567">
        <v>94.800074786800096</v>
      </c>
      <c r="N363" s="567">
        <v>95.114443105920103</v>
      </c>
      <c r="O363" s="567">
        <v>95.428811425040095</v>
      </c>
      <c r="P363" s="567">
        <v>95.743179744160102</v>
      </c>
      <c r="Q363" s="567">
        <v>96.057548063280095</v>
      </c>
      <c r="R363" s="567">
        <v>96.371916382400101</v>
      </c>
      <c r="S363" s="567">
        <v>96.686284701520094</v>
      </c>
      <c r="T363" s="567">
        <v>97.000653020640101</v>
      </c>
      <c r="V363" s="567">
        <f t="shared" si="38"/>
        <v>95.114443105920074</v>
      </c>
    </row>
    <row r="364" spans="1:22" x14ac:dyDescent="0.25">
      <c r="A364" s="567" t="str">
        <f t="shared" si="34"/>
        <v>KU</v>
      </c>
      <c r="B364" s="567" t="str">
        <f t="shared" si="35"/>
        <v>VA</v>
      </c>
      <c r="C364" s="567" t="str">
        <f t="shared" si="36"/>
        <v>E</v>
      </c>
      <c r="D364" s="567" t="s">
        <v>2649</v>
      </c>
      <c r="E364" s="567" t="str">
        <f t="shared" si="33"/>
        <v>355</v>
      </c>
      <c r="F364" s="864" t="s">
        <v>1674</v>
      </c>
      <c r="G364" s="566" t="str">
        <f t="shared" si="37"/>
        <v/>
      </c>
      <c r="H364" s="567">
        <v>4831.5665533270003</v>
      </c>
      <c r="I364" s="567">
        <v>4867.1011634679999</v>
      </c>
      <c r="J364" s="567">
        <v>4903.2272096280003</v>
      </c>
      <c r="K364" s="567">
        <v>4939.9446917980003</v>
      </c>
      <c r="L364" s="567">
        <v>4976.6621739680004</v>
      </c>
      <c r="M364" s="567">
        <v>5013.3796561380004</v>
      </c>
      <c r="N364" s="567">
        <v>5050.0971383079996</v>
      </c>
      <c r="O364" s="567">
        <v>5086.8146204779996</v>
      </c>
      <c r="P364" s="567">
        <v>5123.5321026479996</v>
      </c>
      <c r="Q364" s="567">
        <v>5160.2495848179997</v>
      </c>
      <c r="R364" s="567">
        <v>5196.9670669879997</v>
      </c>
      <c r="S364" s="567">
        <v>5233.6845491579998</v>
      </c>
      <c r="T364" s="567">
        <v>5270.4020313279998</v>
      </c>
      <c r="V364" s="567">
        <f t="shared" si="38"/>
        <v>5050.2791186194618</v>
      </c>
    </row>
    <row r="365" spans="1:22" x14ac:dyDescent="0.25">
      <c r="A365" s="567" t="str">
        <f t="shared" si="34"/>
        <v>KU</v>
      </c>
      <c r="B365" s="567" t="str">
        <f t="shared" si="35"/>
        <v>KY</v>
      </c>
      <c r="C365" s="567" t="str">
        <f t="shared" si="36"/>
        <v>E</v>
      </c>
      <c r="D365" s="567" t="s">
        <v>2649</v>
      </c>
      <c r="E365" s="567" t="str">
        <f t="shared" si="33"/>
        <v>356</v>
      </c>
      <c r="F365" s="864" t="s">
        <v>1675</v>
      </c>
      <c r="G365" s="566" t="str">
        <f t="shared" si="37"/>
        <v/>
      </c>
      <c r="H365" s="567">
        <v>106426.58134751899</v>
      </c>
      <c r="I365" s="567">
        <v>106667.155871259</v>
      </c>
      <c r="J365" s="567">
        <v>106809.951440609</v>
      </c>
      <c r="K365" s="567">
        <v>107104.99336198901</v>
      </c>
      <c r="L365" s="567">
        <v>107293.804523549</v>
      </c>
      <c r="M365" s="567">
        <v>107609.225306639</v>
      </c>
      <c r="N365" s="567">
        <v>107812.651392799</v>
      </c>
      <c r="O365" s="567">
        <v>108072.270214919</v>
      </c>
      <c r="P365" s="567">
        <v>108243.675532179</v>
      </c>
      <c r="Q365" s="567">
        <v>108577.491051499</v>
      </c>
      <c r="R365" s="567">
        <v>108844.695697569</v>
      </c>
      <c r="S365" s="567">
        <v>109136.878208999</v>
      </c>
      <c r="T365" s="567">
        <v>109121.08637381899</v>
      </c>
      <c r="V365" s="567">
        <f t="shared" si="38"/>
        <v>107824.65079410361</v>
      </c>
    </row>
    <row r="366" spans="1:22" x14ac:dyDescent="0.25">
      <c r="A366" s="567" t="str">
        <f t="shared" si="34"/>
        <v>KU</v>
      </c>
      <c r="B366" s="567" t="str">
        <f t="shared" si="35"/>
        <v>TN</v>
      </c>
      <c r="C366" s="567" t="str">
        <f t="shared" si="36"/>
        <v>E</v>
      </c>
      <c r="D366" s="567" t="s">
        <v>2649</v>
      </c>
      <c r="E366" s="567" t="str">
        <f t="shared" si="33"/>
        <v>356</v>
      </c>
      <c r="F366" s="864" t="s">
        <v>1676</v>
      </c>
      <c r="G366" s="566" t="str">
        <f t="shared" si="37"/>
        <v/>
      </c>
      <c r="H366" s="567">
        <v>55.334696485000002</v>
      </c>
      <c r="I366" s="567">
        <v>55.505493133500003</v>
      </c>
      <c r="J366" s="567">
        <v>55.676289781999998</v>
      </c>
      <c r="K366" s="567">
        <v>55.847086430499999</v>
      </c>
      <c r="L366" s="567">
        <v>56.017883079000001</v>
      </c>
      <c r="M366" s="567">
        <v>56.188679727500002</v>
      </c>
      <c r="N366" s="567">
        <v>56.359476376000003</v>
      </c>
      <c r="O366" s="567">
        <v>56.530273024499998</v>
      </c>
      <c r="P366" s="567">
        <v>56.701069672999999</v>
      </c>
      <c r="Q366" s="567">
        <v>56.871866321500001</v>
      </c>
      <c r="R366" s="567">
        <v>57.042662970000002</v>
      </c>
      <c r="S366" s="567">
        <v>57.213459618500004</v>
      </c>
      <c r="T366" s="567">
        <v>57.384256266999998</v>
      </c>
      <c r="V366" s="567">
        <f t="shared" si="38"/>
        <v>56.359476376000003</v>
      </c>
    </row>
    <row r="367" spans="1:22" x14ac:dyDescent="0.25">
      <c r="A367" s="567" t="str">
        <f t="shared" si="34"/>
        <v>KU</v>
      </c>
      <c r="B367" s="567" t="str">
        <f t="shared" si="35"/>
        <v>VA</v>
      </c>
      <c r="C367" s="567" t="str">
        <f t="shared" si="36"/>
        <v>E</v>
      </c>
      <c r="D367" s="567" t="s">
        <v>2649</v>
      </c>
      <c r="E367" s="567" t="str">
        <f t="shared" si="33"/>
        <v>356</v>
      </c>
      <c r="F367" s="864" t="s">
        <v>1677</v>
      </c>
      <c r="G367" s="566" t="str">
        <f t="shared" si="37"/>
        <v/>
      </c>
      <c r="H367" s="567">
        <v>10688.325045919</v>
      </c>
      <c r="I367" s="567">
        <v>10727.899306978001</v>
      </c>
      <c r="J367" s="567">
        <v>10767.473568036999</v>
      </c>
      <c r="K367" s="567">
        <v>10807.047829096</v>
      </c>
      <c r="L367" s="567">
        <v>10846.622090155</v>
      </c>
      <c r="M367" s="567">
        <v>10886.196351213999</v>
      </c>
      <c r="N367" s="567">
        <v>10925.770612273</v>
      </c>
      <c r="O367" s="567">
        <v>10965.344873332</v>
      </c>
      <c r="P367" s="567">
        <v>11004.919134391001</v>
      </c>
      <c r="Q367" s="567">
        <v>11044.493395449999</v>
      </c>
      <c r="R367" s="567">
        <v>11084.067656509</v>
      </c>
      <c r="S367" s="567">
        <v>11123.641917568</v>
      </c>
      <c r="T367" s="567">
        <v>11163.216178627001</v>
      </c>
      <c r="V367" s="567">
        <f t="shared" si="38"/>
        <v>10925.770612273</v>
      </c>
    </row>
    <row r="368" spans="1:22" x14ac:dyDescent="0.25">
      <c r="A368" s="567" t="str">
        <f t="shared" si="34"/>
        <v>KU</v>
      </c>
      <c r="B368" s="567" t="str">
        <f t="shared" si="35"/>
        <v>KY</v>
      </c>
      <c r="C368" s="567" t="str">
        <f t="shared" si="36"/>
        <v>E</v>
      </c>
      <c r="D368" s="567" t="s">
        <v>2649</v>
      </c>
      <c r="E368" s="567" t="str">
        <f t="shared" ref="E368:E424" si="39">MID($F368,8,3)</f>
        <v>357</v>
      </c>
      <c r="F368" s="864" t="s">
        <v>1678</v>
      </c>
      <c r="G368" s="566" t="str">
        <f t="shared" si="37"/>
        <v/>
      </c>
      <c r="H368" s="567">
        <v>258.91230701699902</v>
      </c>
      <c r="I368" s="567">
        <v>259.54805071869902</v>
      </c>
      <c r="J368" s="567">
        <v>260.18379442039901</v>
      </c>
      <c r="K368" s="567">
        <v>260.819538122099</v>
      </c>
      <c r="L368" s="567">
        <v>261.455281823799</v>
      </c>
      <c r="M368" s="567">
        <v>262.09102552549899</v>
      </c>
      <c r="N368" s="567">
        <v>262.72676922719899</v>
      </c>
      <c r="O368" s="567">
        <v>263.36251292889898</v>
      </c>
      <c r="P368" s="567">
        <v>263.99825663059897</v>
      </c>
      <c r="Q368" s="567">
        <v>264.63400033229902</v>
      </c>
      <c r="R368" s="567">
        <v>265.26974403399902</v>
      </c>
      <c r="S368" s="567">
        <v>265.90548773569901</v>
      </c>
      <c r="T368" s="567">
        <v>266.54123143739901</v>
      </c>
      <c r="V368" s="567">
        <f t="shared" si="38"/>
        <v>262.72676922719899</v>
      </c>
    </row>
    <row r="369" spans="1:22" x14ac:dyDescent="0.25">
      <c r="A369" s="567" t="str">
        <f t="shared" si="34"/>
        <v>KU</v>
      </c>
      <c r="B369" s="567" t="str">
        <f t="shared" si="35"/>
        <v>KY</v>
      </c>
      <c r="C369" s="567" t="str">
        <f t="shared" si="36"/>
        <v>E</v>
      </c>
      <c r="D369" s="567" t="s">
        <v>2649</v>
      </c>
      <c r="E369" s="567" t="str">
        <f t="shared" si="39"/>
        <v>358</v>
      </c>
      <c r="F369" s="864" t="s">
        <v>1679</v>
      </c>
      <c r="G369" s="566" t="str">
        <f t="shared" si="37"/>
        <v/>
      </c>
      <c r="H369" s="567">
        <v>961.57587405799904</v>
      </c>
      <c r="I369" s="567">
        <v>962.377289463799</v>
      </c>
      <c r="J369" s="567">
        <v>963.17870486959896</v>
      </c>
      <c r="K369" s="567">
        <v>963.98012027539903</v>
      </c>
      <c r="L369" s="567">
        <v>964.78153568119899</v>
      </c>
      <c r="M369" s="567">
        <v>965.58295108699895</v>
      </c>
      <c r="N369" s="567">
        <v>966.38436649279902</v>
      </c>
      <c r="O369" s="567">
        <v>967.18578189859898</v>
      </c>
      <c r="P369" s="567">
        <v>843.519304220599</v>
      </c>
      <c r="Q369" s="567">
        <v>849.84410011959903</v>
      </c>
      <c r="R369" s="567">
        <v>856.29443974559899</v>
      </c>
      <c r="S369" s="567">
        <v>862.90733350559901</v>
      </c>
      <c r="T369" s="567">
        <v>869.60150433259901</v>
      </c>
      <c r="V369" s="567">
        <f t="shared" si="38"/>
        <v>922.86256198079889</v>
      </c>
    </row>
    <row r="370" spans="1:22" x14ac:dyDescent="0.25">
      <c r="A370" s="567" t="str">
        <f t="shared" si="34"/>
        <v>KU</v>
      </c>
      <c r="B370" s="567" t="str">
        <f t="shared" si="35"/>
        <v>KY</v>
      </c>
      <c r="C370" s="567" t="str">
        <f t="shared" si="36"/>
        <v>E</v>
      </c>
      <c r="D370" s="567" t="s">
        <v>2649</v>
      </c>
      <c r="E370" s="567" t="str">
        <f t="shared" si="39"/>
        <v>359</v>
      </c>
      <c r="F370" s="864" t="s">
        <v>1680</v>
      </c>
      <c r="G370" s="566" t="str">
        <f t="shared" si="37"/>
        <v>ARO</v>
      </c>
      <c r="H370" s="567">
        <v>97.589349999999897</v>
      </c>
      <c r="I370" s="567">
        <v>99.1819899999998</v>
      </c>
      <c r="J370" s="567">
        <v>100.77462999999899</v>
      </c>
      <c r="K370" s="567">
        <v>102.367269999999</v>
      </c>
      <c r="L370" s="567">
        <v>103.959909999999</v>
      </c>
      <c r="M370" s="567">
        <v>105.552549999999</v>
      </c>
      <c r="N370" s="567">
        <v>107.145189999999</v>
      </c>
      <c r="O370" s="567">
        <v>108.73782999999899</v>
      </c>
      <c r="P370" s="567">
        <v>110.330469999999</v>
      </c>
      <c r="Q370" s="567">
        <v>110.544813931744</v>
      </c>
      <c r="R370" s="567">
        <v>110.75915786349</v>
      </c>
      <c r="S370" s="567">
        <v>110.97350179523499</v>
      </c>
      <c r="T370" s="567">
        <v>111.18784572698</v>
      </c>
      <c r="V370" s="567">
        <f t="shared" si="38"/>
        <v>106.08496225518782</v>
      </c>
    </row>
    <row r="371" spans="1:22" x14ac:dyDescent="0.25">
      <c r="A371" s="567" t="str">
        <f t="shared" si="34"/>
        <v>KU</v>
      </c>
      <c r="B371" s="567" t="str">
        <f t="shared" si="35"/>
        <v>KY</v>
      </c>
      <c r="C371" s="567" t="str">
        <f t="shared" si="36"/>
        <v>E</v>
      </c>
      <c r="D371" s="567" t="s">
        <v>2649</v>
      </c>
      <c r="E371" s="567" t="str">
        <f t="shared" si="39"/>
        <v>360</v>
      </c>
      <c r="F371" s="864" t="s">
        <v>1682</v>
      </c>
      <c r="G371" s="566" t="str">
        <f t="shared" si="37"/>
        <v/>
      </c>
      <c r="H371" s="567">
        <v>1430.0660970399999</v>
      </c>
      <c r="I371" s="567">
        <v>1431.1729237439999</v>
      </c>
      <c r="J371" s="567">
        <v>1432.279750448</v>
      </c>
      <c r="K371" s="567">
        <v>1433.386577152</v>
      </c>
      <c r="L371" s="567">
        <v>1434.493403856</v>
      </c>
      <c r="M371" s="567">
        <v>1435.60023056</v>
      </c>
      <c r="N371" s="567">
        <v>1436.707057264</v>
      </c>
      <c r="O371" s="567">
        <v>1437.813883968</v>
      </c>
      <c r="P371" s="567">
        <v>1438.920710672</v>
      </c>
      <c r="Q371" s="567">
        <v>1440.0275373760001</v>
      </c>
      <c r="R371" s="567">
        <v>1441.1343640800001</v>
      </c>
      <c r="S371" s="567">
        <v>1442.2411907840001</v>
      </c>
      <c r="T371" s="567">
        <v>1443.3480174880001</v>
      </c>
      <c r="V371" s="567">
        <f t="shared" si="38"/>
        <v>1436.707057264</v>
      </c>
    </row>
    <row r="372" spans="1:22" x14ac:dyDescent="0.25">
      <c r="A372" s="567" t="str">
        <f t="shared" si="34"/>
        <v>KU</v>
      </c>
      <c r="B372" s="567" t="str">
        <f t="shared" si="35"/>
        <v>TN</v>
      </c>
      <c r="C372" s="567" t="str">
        <f t="shared" si="36"/>
        <v>E</v>
      </c>
      <c r="D372" s="567" t="s">
        <v>2649</v>
      </c>
      <c r="E372" s="567" t="str">
        <f t="shared" si="39"/>
        <v>360</v>
      </c>
      <c r="F372" s="864" t="s">
        <v>1683</v>
      </c>
      <c r="G372" s="566" t="str">
        <f t="shared" si="37"/>
        <v/>
      </c>
      <c r="H372" s="567">
        <v>2.4915628533299898</v>
      </c>
      <c r="I372" s="567">
        <v>2.4929641386629902</v>
      </c>
      <c r="J372" s="567">
        <v>2.49436542399599</v>
      </c>
      <c r="K372" s="567">
        <v>2.4957667093289899</v>
      </c>
      <c r="L372" s="567">
        <v>2.4971679946619898</v>
      </c>
      <c r="M372" s="567">
        <v>2.4985692799949901</v>
      </c>
      <c r="N372" s="567">
        <v>2.49997056532799</v>
      </c>
      <c r="O372" s="567">
        <v>2.5013718506609899</v>
      </c>
      <c r="P372" s="567">
        <v>2.5027731359939902</v>
      </c>
      <c r="Q372" s="567">
        <v>2.5041744213269901</v>
      </c>
      <c r="R372" s="567">
        <v>2.50557570665999</v>
      </c>
      <c r="S372" s="567">
        <v>2.5069769919929898</v>
      </c>
      <c r="T372" s="567">
        <v>2.5083782773259902</v>
      </c>
      <c r="V372" s="567">
        <f t="shared" si="38"/>
        <v>2.49997056532799</v>
      </c>
    </row>
    <row r="373" spans="1:22" x14ac:dyDescent="0.25">
      <c r="A373" s="567" t="str">
        <f t="shared" si="34"/>
        <v>KU</v>
      </c>
      <c r="B373" s="567" t="str">
        <f t="shared" si="35"/>
        <v>VA</v>
      </c>
      <c r="C373" s="567" t="str">
        <f t="shared" si="36"/>
        <v>E</v>
      </c>
      <c r="D373" s="567" t="s">
        <v>2649</v>
      </c>
      <c r="E373" s="567" t="str">
        <f t="shared" si="39"/>
        <v>360</v>
      </c>
      <c r="F373" s="864" t="s">
        <v>1684</v>
      </c>
      <c r="G373" s="566" t="str">
        <f t="shared" si="37"/>
        <v/>
      </c>
      <c r="H373" s="567">
        <v>69.865643093299894</v>
      </c>
      <c r="I373" s="567">
        <v>69.914177402629903</v>
      </c>
      <c r="J373" s="567">
        <v>69.962711711959898</v>
      </c>
      <c r="K373" s="567">
        <v>70.011246021289907</v>
      </c>
      <c r="L373" s="567">
        <v>70.059780330619901</v>
      </c>
      <c r="M373" s="567">
        <v>70.108314639949896</v>
      </c>
      <c r="N373" s="567">
        <v>70.156848949279905</v>
      </c>
      <c r="O373" s="567">
        <v>70.205383258609899</v>
      </c>
      <c r="P373" s="567">
        <v>70.253917567939894</v>
      </c>
      <c r="Q373" s="567">
        <v>70.302451877269903</v>
      </c>
      <c r="R373" s="567">
        <v>70.350986186599897</v>
      </c>
      <c r="S373" s="567">
        <v>70.399520495929806</v>
      </c>
      <c r="T373" s="567">
        <v>70.448054805259801</v>
      </c>
      <c r="V373" s="567">
        <f t="shared" si="38"/>
        <v>70.156848949279876</v>
      </c>
    </row>
    <row r="374" spans="1:22" x14ac:dyDescent="0.25">
      <c r="A374" s="567" t="str">
        <f t="shared" si="34"/>
        <v>KU</v>
      </c>
      <c r="B374" s="567" t="str">
        <f t="shared" si="35"/>
        <v>KY</v>
      </c>
      <c r="C374" s="567" t="str">
        <f t="shared" si="36"/>
        <v>E</v>
      </c>
      <c r="D374" s="567" t="s">
        <v>2649</v>
      </c>
      <c r="E374" s="567" t="str">
        <f t="shared" si="39"/>
        <v>361</v>
      </c>
      <c r="F374" s="864" t="s">
        <v>1685</v>
      </c>
      <c r="G374" s="566" t="str">
        <f t="shared" si="37"/>
        <v/>
      </c>
      <c r="H374" s="567">
        <v>2415.5668284359999</v>
      </c>
      <c r="I374" s="567">
        <v>2376.286430912</v>
      </c>
      <c r="J374" s="567">
        <v>2338.3728128369999</v>
      </c>
      <c r="K374" s="567">
        <v>2301.8259704759998</v>
      </c>
      <c r="L374" s="567">
        <v>2266.6458903999901</v>
      </c>
      <c r="M374" s="567">
        <v>2232.8325895119901</v>
      </c>
      <c r="N374" s="567">
        <v>2212.4131061379899</v>
      </c>
      <c r="O374" s="567">
        <v>2193.36040524799</v>
      </c>
      <c r="P374" s="567">
        <v>2166.26424584799</v>
      </c>
      <c r="Q374" s="567">
        <v>2160.5494509279902</v>
      </c>
      <c r="R374" s="567">
        <v>2156.0534122479999</v>
      </c>
      <c r="S374" s="567">
        <v>2152.7761297880002</v>
      </c>
      <c r="T374" s="567">
        <v>2140.3884439980002</v>
      </c>
      <c r="V374" s="567">
        <f t="shared" si="38"/>
        <v>2239.4873628283794</v>
      </c>
    </row>
    <row r="375" spans="1:22" x14ac:dyDescent="0.25">
      <c r="A375" s="567" t="str">
        <f t="shared" si="34"/>
        <v>KU</v>
      </c>
      <c r="B375" s="567" t="str">
        <f t="shared" si="35"/>
        <v>TN</v>
      </c>
      <c r="C375" s="567" t="str">
        <f t="shared" si="36"/>
        <v>E</v>
      </c>
      <c r="D375" s="567" t="s">
        <v>2649</v>
      </c>
      <c r="E375" s="567" t="str">
        <f t="shared" si="39"/>
        <v>361</v>
      </c>
      <c r="F375" s="864" t="s">
        <v>1686</v>
      </c>
      <c r="G375" s="566" t="str">
        <f t="shared" si="37"/>
        <v/>
      </c>
      <c r="H375" s="567">
        <v>2.5308202458400002</v>
      </c>
      <c r="I375" s="567">
        <v>2.535380270424</v>
      </c>
      <c r="J375" s="567">
        <v>2.5399402950079999</v>
      </c>
      <c r="K375" s="567">
        <v>2.5445003195920002</v>
      </c>
      <c r="L375" s="567">
        <v>2.549060344176</v>
      </c>
      <c r="M375" s="567">
        <v>2.5536203687599999</v>
      </c>
      <c r="N375" s="567">
        <v>2.5581803933440002</v>
      </c>
      <c r="O375" s="567">
        <v>2.562740417928</v>
      </c>
      <c r="P375" s="567">
        <v>2.5673004425119998</v>
      </c>
      <c r="Q375" s="567">
        <v>2.5718604670960001</v>
      </c>
      <c r="R375" s="567">
        <v>2.57642049168</v>
      </c>
      <c r="S375" s="567">
        <v>2.5809805162639998</v>
      </c>
      <c r="T375" s="567">
        <v>2.5855405408480001</v>
      </c>
      <c r="V375" s="567">
        <f t="shared" si="38"/>
        <v>2.5581803933440002</v>
      </c>
    </row>
    <row r="376" spans="1:22" x14ac:dyDescent="0.25">
      <c r="A376" s="567" t="str">
        <f t="shared" si="34"/>
        <v>KU</v>
      </c>
      <c r="B376" s="567" t="str">
        <f t="shared" si="35"/>
        <v>VA</v>
      </c>
      <c r="C376" s="567" t="str">
        <f t="shared" si="36"/>
        <v>E</v>
      </c>
      <c r="D376" s="567" t="s">
        <v>2649</v>
      </c>
      <c r="E376" s="567" t="str">
        <f t="shared" si="39"/>
        <v>361</v>
      </c>
      <c r="F376" s="864" t="s">
        <v>1687</v>
      </c>
      <c r="G376" s="566" t="str">
        <f t="shared" si="37"/>
        <v/>
      </c>
      <c r="H376" s="567">
        <v>152.39183975829999</v>
      </c>
      <c r="I376" s="567">
        <v>153.7671123833</v>
      </c>
      <c r="J376" s="567">
        <v>155.14238500830001</v>
      </c>
      <c r="K376" s="567">
        <v>156.51765763329999</v>
      </c>
      <c r="L376" s="567">
        <v>157.8929302583</v>
      </c>
      <c r="M376" s="567">
        <v>159.26820288330001</v>
      </c>
      <c r="N376" s="567">
        <v>160.64347550830001</v>
      </c>
      <c r="O376" s="567">
        <v>162.01874813329999</v>
      </c>
      <c r="P376" s="567">
        <v>163.3940207583</v>
      </c>
      <c r="Q376" s="567">
        <v>164.76929338330001</v>
      </c>
      <c r="R376" s="567">
        <v>166.14456600829999</v>
      </c>
      <c r="S376" s="567">
        <v>167.5198386333</v>
      </c>
      <c r="T376" s="567">
        <v>168.89511125830001</v>
      </c>
      <c r="V376" s="567">
        <f t="shared" si="38"/>
        <v>160.64347550830001</v>
      </c>
    </row>
    <row r="377" spans="1:22" x14ac:dyDescent="0.25">
      <c r="A377" s="567" t="str">
        <f t="shared" si="34"/>
        <v>KU</v>
      </c>
      <c r="B377" s="567" t="str">
        <f t="shared" si="35"/>
        <v>KY</v>
      </c>
      <c r="C377" s="567" t="str">
        <f t="shared" si="36"/>
        <v>E</v>
      </c>
      <c r="D377" s="567" t="s">
        <v>2649</v>
      </c>
      <c r="E377" s="567" t="str">
        <f t="shared" si="39"/>
        <v>362</v>
      </c>
      <c r="F377" s="864" t="s">
        <v>1688</v>
      </c>
      <c r="G377" s="566" t="str">
        <f t="shared" si="37"/>
        <v/>
      </c>
      <c r="H377" s="567">
        <v>51185.340117070002</v>
      </c>
      <c r="I377" s="567">
        <v>51455.436216349997</v>
      </c>
      <c r="J377" s="567">
        <v>51796.709229679996</v>
      </c>
      <c r="K377" s="567">
        <v>51935.513901719998</v>
      </c>
      <c r="L377" s="567">
        <v>52123.957842540003</v>
      </c>
      <c r="M377" s="567">
        <v>52505.76389858</v>
      </c>
      <c r="N377" s="567">
        <v>52837.361794479999</v>
      </c>
      <c r="O377" s="567">
        <v>53211.518219290003</v>
      </c>
      <c r="P377" s="567">
        <v>52596.989299189998</v>
      </c>
      <c r="Q377" s="567">
        <v>53011.035772180003</v>
      </c>
      <c r="R377" s="567">
        <v>53347.252613409997</v>
      </c>
      <c r="S377" s="567">
        <v>53705.977499449997</v>
      </c>
      <c r="T377" s="567">
        <v>54050.714681860001</v>
      </c>
      <c r="V377" s="567">
        <f t="shared" si="38"/>
        <v>52597.197775830762</v>
      </c>
    </row>
    <row r="378" spans="1:22" x14ac:dyDescent="0.25">
      <c r="A378" s="567" t="str">
        <f t="shared" si="34"/>
        <v>KU</v>
      </c>
      <c r="B378" s="567" t="str">
        <f t="shared" si="35"/>
        <v>TN</v>
      </c>
      <c r="C378" s="567" t="str">
        <f t="shared" si="36"/>
        <v>E</v>
      </c>
      <c r="D378" s="567" t="s">
        <v>2649</v>
      </c>
      <c r="E378" s="567" t="str">
        <f t="shared" si="39"/>
        <v>362</v>
      </c>
      <c r="F378" s="864" t="s">
        <v>1689</v>
      </c>
      <c r="G378" s="566" t="str">
        <f t="shared" si="37"/>
        <v/>
      </c>
      <c r="H378" s="567">
        <v>36.489286195630001</v>
      </c>
      <c r="I378" s="567">
        <v>36.616915815193003</v>
      </c>
      <c r="J378" s="567">
        <v>36.744545434755999</v>
      </c>
      <c r="K378" s="567">
        <v>36.872175054319001</v>
      </c>
      <c r="L378" s="567">
        <v>36.999804673881997</v>
      </c>
      <c r="M378" s="567">
        <v>37.127434293444999</v>
      </c>
      <c r="N378" s="567">
        <v>37.255063913008001</v>
      </c>
      <c r="O378" s="567">
        <v>37.382693532570997</v>
      </c>
      <c r="P378" s="567">
        <v>37.510323152133999</v>
      </c>
      <c r="Q378" s="567">
        <v>37.637952771697002</v>
      </c>
      <c r="R378" s="567">
        <v>37.765582391259997</v>
      </c>
      <c r="S378" s="567">
        <v>37.893212010823</v>
      </c>
      <c r="T378" s="567">
        <v>38.020841630386002</v>
      </c>
      <c r="V378" s="567">
        <f t="shared" si="38"/>
        <v>37.255063913008001</v>
      </c>
    </row>
    <row r="379" spans="1:22" x14ac:dyDescent="0.25">
      <c r="A379" s="567" t="str">
        <f t="shared" si="34"/>
        <v>KU</v>
      </c>
      <c r="B379" s="567" t="str">
        <f t="shared" si="35"/>
        <v>VA</v>
      </c>
      <c r="C379" s="567" t="str">
        <f t="shared" si="36"/>
        <v>E</v>
      </c>
      <c r="D379" s="567" t="s">
        <v>2649</v>
      </c>
      <c r="E379" s="567" t="str">
        <f t="shared" si="39"/>
        <v>362</v>
      </c>
      <c r="F379" s="864" t="s">
        <v>1690</v>
      </c>
      <c r="G379" s="566" t="str">
        <f t="shared" si="37"/>
        <v/>
      </c>
      <c r="H379" s="567">
        <v>3375.9671526769998</v>
      </c>
      <c r="I379" s="567">
        <v>3392.2132369446999</v>
      </c>
      <c r="J379" s="567">
        <v>3408.4593212124</v>
      </c>
      <c r="K379" s="567">
        <v>3424.7054054801001</v>
      </c>
      <c r="L379" s="567">
        <v>3440.9514897478002</v>
      </c>
      <c r="M379" s="567">
        <v>3457.1975740154999</v>
      </c>
      <c r="N379" s="567">
        <v>3473.4436582832</v>
      </c>
      <c r="O379" s="567">
        <v>3489.6897425509001</v>
      </c>
      <c r="P379" s="567">
        <v>3505.9358268186002</v>
      </c>
      <c r="Q379" s="567">
        <v>3522.1819110862998</v>
      </c>
      <c r="R379" s="567">
        <v>3538.4279953539999</v>
      </c>
      <c r="S379" s="567">
        <v>3554.6740796217</v>
      </c>
      <c r="T379" s="567">
        <v>3570.9201638894001</v>
      </c>
      <c r="V379" s="567">
        <f t="shared" si="38"/>
        <v>3473.4436582832004</v>
      </c>
    </row>
    <row r="380" spans="1:22" x14ac:dyDescent="0.25">
      <c r="A380" s="567" t="str">
        <f t="shared" si="34"/>
        <v>KU</v>
      </c>
      <c r="B380" s="567" t="str">
        <f t="shared" si="35"/>
        <v>KY</v>
      </c>
      <c r="C380" s="567" t="str">
        <f t="shared" si="36"/>
        <v>E</v>
      </c>
      <c r="D380" s="567" t="s">
        <v>2649</v>
      </c>
      <c r="E380" s="567" t="str">
        <f t="shared" si="39"/>
        <v>364</v>
      </c>
      <c r="F380" s="864" t="s">
        <v>1691</v>
      </c>
      <c r="G380" s="566" t="str">
        <f t="shared" si="37"/>
        <v>ECR</v>
      </c>
      <c r="H380" s="567">
        <v>3.0245991999999902</v>
      </c>
      <c r="I380" s="567">
        <v>3.08363111999999</v>
      </c>
      <c r="J380" s="567">
        <v>3.1426630399999902</v>
      </c>
      <c r="K380" s="567">
        <v>3.20169495999999</v>
      </c>
      <c r="L380" s="567">
        <v>3.2607268799999898</v>
      </c>
      <c r="M380" s="567">
        <v>3.31975879999999</v>
      </c>
      <c r="N380" s="567">
        <v>3.3787907199999898</v>
      </c>
      <c r="O380" s="567">
        <v>3.43782263999999</v>
      </c>
      <c r="P380" s="567">
        <v>3.4968545599999898</v>
      </c>
      <c r="Q380" s="567">
        <v>3.5558864799999901</v>
      </c>
      <c r="R380" s="567">
        <v>3.6149183999999899</v>
      </c>
      <c r="S380" s="567">
        <v>3.6739503199999901</v>
      </c>
      <c r="T380" s="567">
        <v>3.7329822399999899</v>
      </c>
      <c r="V380" s="567">
        <f t="shared" si="38"/>
        <v>3.3787907199999898</v>
      </c>
    </row>
    <row r="381" spans="1:22" x14ac:dyDescent="0.25">
      <c r="A381" s="567" t="str">
        <f t="shared" si="34"/>
        <v>KU</v>
      </c>
      <c r="B381" s="567" t="str">
        <f t="shared" si="35"/>
        <v>KY</v>
      </c>
      <c r="C381" s="567" t="str">
        <f t="shared" si="36"/>
        <v>E</v>
      </c>
      <c r="D381" s="567" t="s">
        <v>2649</v>
      </c>
      <c r="E381" s="567" t="str">
        <f t="shared" si="39"/>
        <v>364</v>
      </c>
      <c r="F381" s="864" t="s">
        <v>1692</v>
      </c>
      <c r="G381" s="566" t="str">
        <f t="shared" si="37"/>
        <v/>
      </c>
      <c r="H381" s="567">
        <v>160482.49695791301</v>
      </c>
      <c r="I381" s="567">
        <v>160963.774606816</v>
      </c>
      <c r="J381" s="567">
        <v>161572.934332829</v>
      </c>
      <c r="K381" s="567">
        <v>161794.693173042</v>
      </c>
      <c r="L381" s="567">
        <v>162079.26196165499</v>
      </c>
      <c r="M381" s="567">
        <v>162756.23891926801</v>
      </c>
      <c r="N381" s="567">
        <v>163349.37177727101</v>
      </c>
      <c r="O381" s="567">
        <v>164040.31690884399</v>
      </c>
      <c r="P381" s="567">
        <v>164558.780818617</v>
      </c>
      <c r="Q381" s="567">
        <v>165262.37012820999</v>
      </c>
      <c r="R381" s="567">
        <v>165839.918085893</v>
      </c>
      <c r="S381" s="567">
        <v>166459.92509952601</v>
      </c>
      <c r="T381" s="567">
        <v>167040.336435159</v>
      </c>
      <c r="V381" s="567">
        <f t="shared" si="38"/>
        <v>163553.87840038791</v>
      </c>
    </row>
    <row r="382" spans="1:22" x14ac:dyDescent="0.25">
      <c r="A382" s="567" t="str">
        <f t="shared" si="34"/>
        <v>KU</v>
      </c>
      <c r="B382" s="567" t="str">
        <f t="shared" si="35"/>
        <v>TN</v>
      </c>
      <c r="C382" s="567" t="str">
        <f t="shared" si="36"/>
        <v>E</v>
      </c>
      <c r="D382" s="567" t="s">
        <v>2649</v>
      </c>
      <c r="E382" s="567" t="str">
        <f t="shared" si="39"/>
        <v>364</v>
      </c>
      <c r="F382" s="864" t="s">
        <v>1693</v>
      </c>
      <c r="G382" s="566" t="str">
        <f t="shared" si="37"/>
        <v/>
      </c>
      <c r="H382" s="567">
        <v>49.344638709999899</v>
      </c>
      <c r="I382" s="567">
        <v>49.450961580999902</v>
      </c>
      <c r="J382" s="567">
        <v>49.557284451999898</v>
      </c>
      <c r="K382" s="567">
        <v>49.663607322999901</v>
      </c>
      <c r="L382" s="567">
        <v>49.769930193999897</v>
      </c>
      <c r="M382" s="567">
        <v>49.876253064999901</v>
      </c>
      <c r="N382" s="567">
        <v>49.982575935999897</v>
      </c>
      <c r="O382" s="567">
        <v>50.0888988069999</v>
      </c>
      <c r="P382" s="567">
        <v>50.195221677999903</v>
      </c>
      <c r="Q382" s="567">
        <v>50.3015445489999</v>
      </c>
      <c r="R382" s="567">
        <v>50.407867419999903</v>
      </c>
      <c r="S382" s="567">
        <v>50.514190290999899</v>
      </c>
      <c r="T382" s="567">
        <v>50.620513161999902</v>
      </c>
      <c r="V382" s="567">
        <f t="shared" si="38"/>
        <v>49.982575935999904</v>
      </c>
    </row>
    <row r="383" spans="1:22" x14ac:dyDescent="0.25">
      <c r="A383" s="567" t="str">
        <f t="shared" si="34"/>
        <v>KU</v>
      </c>
      <c r="B383" s="567" t="str">
        <f t="shared" si="35"/>
        <v>VA</v>
      </c>
      <c r="C383" s="567" t="str">
        <f t="shared" si="36"/>
        <v>E</v>
      </c>
      <c r="D383" s="567" t="s">
        <v>2649</v>
      </c>
      <c r="E383" s="567" t="str">
        <f t="shared" si="39"/>
        <v>364</v>
      </c>
      <c r="F383" s="864" t="s">
        <v>1694</v>
      </c>
      <c r="G383" s="566" t="str">
        <f t="shared" si="37"/>
        <v/>
      </c>
      <c r="H383" s="567">
        <v>13359.848585309001</v>
      </c>
      <c r="I383" s="567">
        <v>13425.509599060901</v>
      </c>
      <c r="J383" s="567">
        <v>13491.239847102999</v>
      </c>
      <c r="K383" s="567">
        <v>13557.0444903569</v>
      </c>
      <c r="L383" s="567">
        <v>13622.928238094901</v>
      </c>
      <c r="M383" s="567">
        <v>13688.8800830119</v>
      </c>
      <c r="N383" s="567">
        <v>13754.9011279489</v>
      </c>
      <c r="O383" s="567">
        <v>13820.9877142939</v>
      </c>
      <c r="P383" s="567">
        <v>13887.1300846959</v>
      </c>
      <c r="Q383" s="567">
        <v>13953.3434079049</v>
      </c>
      <c r="R383" s="567">
        <v>14015.0673227359</v>
      </c>
      <c r="S383" s="567">
        <v>14076.853314139</v>
      </c>
      <c r="T383" s="567">
        <v>14140.986116181</v>
      </c>
      <c r="V383" s="567">
        <f t="shared" ref="V383" si="40">SUM(H383:T383)/13</f>
        <v>13753.439994679704</v>
      </c>
    </row>
    <row r="384" spans="1:22" x14ac:dyDescent="0.25">
      <c r="A384" s="567" t="str">
        <f t="shared" si="34"/>
        <v>KU</v>
      </c>
      <c r="B384" s="567" t="str">
        <f t="shared" si="35"/>
        <v>KY</v>
      </c>
      <c r="C384" s="567" t="str">
        <f t="shared" si="36"/>
        <v>E</v>
      </c>
      <c r="D384" s="567" t="s">
        <v>2649</v>
      </c>
      <c r="E384" s="567" t="str">
        <f t="shared" si="39"/>
        <v>365</v>
      </c>
      <c r="F384" s="864" t="s">
        <v>1695</v>
      </c>
      <c r="G384" s="566" t="str">
        <f t="shared" si="37"/>
        <v>ECR</v>
      </c>
      <c r="H384" s="567">
        <v>3.1969645225000001</v>
      </c>
      <c r="I384" s="567">
        <v>3.2455399747499998</v>
      </c>
      <c r="J384" s="567">
        <v>3.2941154269999999</v>
      </c>
      <c r="K384" s="567">
        <v>3.3426908792500001</v>
      </c>
      <c r="L384" s="567">
        <v>3.3912663314999998</v>
      </c>
      <c r="M384" s="567">
        <v>3.4398417837499999</v>
      </c>
      <c r="N384" s="567">
        <v>3.4884172360000001</v>
      </c>
      <c r="O384" s="567">
        <v>3.5369926882499998</v>
      </c>
      <c r="P384" s="567">
        <v>3.5855681404999999</v>
      </c>
      <c r="Q384" s="567">
        <v>3.6341435927500001</v>
      </c>
      <c r="R384" s="567">
        <v>3.6827190449999998</v>
      </c>
      <c r="S384" s="567">
        <v>3.73129449725</v>
      </c>
      <c r="T384" s="567">
        <v>3.7798699495000001</v>
      </c>
      <c r="V384" s="567">
        <f t="shared" si="38"/>
        <v>3.4884172360000005</v>
      </c>
    </row>
    <row r="385" spans="1:22" x14ac:dyDescent="0.25">
      <c r="A385" s="567" t="str">
        <f t="shared" si="34"/>
        <v>KU</v>
      </c>
      <c r="B385" s="567" t="str">
        <f t="shared" si="35"/>
        <v>KY</v>
      </c>
      <c r="C385" s="567" t="str">
        <f t="shared" si="36"/>
        <v>E</v>
      </c>
      <c r="D385" s="567" t="s">
        <v>2649</v>
      </c>
      <c r="E385" s="567" t="str">
        <f t="shared" si="39"/>
        <v>365</v>
      </c>
      <c r="F385" s="864" t="s">
        <v>1696</v>
      </c>
      <c r="G385" s="566" t="str">
        <f t="shared" si="37"/>
        <v/>
      </c>
      <c r="H385" s="567">
        <v>109994.918462669</v>
      </c>
      <c r="I385" s="567">
        <v>109971.430665129</v>
      </c>
      <c r="J385" s="567">
        <v>110360.55206905901</v>
      </c>
      <c r="K385" s="567">
        <v>109376.164424249</v>
      </c>
      <c r="L385" s="567">
        <v>108703.400740529</v>
      </c>
      <c r="M385" s="567">
        <v>109270.995307779</v>
      </c>
      <c r="N385" s="567">
        <v>109608.377916639</v>
      </c>
      <c r="O385" s="567">
        <v>110220.123657869</v>
      </c>
      <c r="P385" s="567">
        <v>110106.962090689</v>
      </c>
      <c r="Q385" s="567">
        <v>110782.76322717901</v>
      </c>
      <c r="R385" s="567">
        <v>110982.52120083899</v>
      </c>
      <c r="S385" s="567">
        <v>111280.806549249</v>
      </c>
      <c r="T385" s="567">
        <v>111516.637367309</v>
      </c>
      <c r="V385" s="567">
        <f t="shared" si="38"/>
        <v>110167.35797532205</v>
      </c>
    </row>
    <row r="386" spans="1:22" x14ac:dyDescent="0.25">
      <c r="A386" s="567" t="str">
        <f t="shared" si="34"/>
        <v>KU</v>
      </c>
      <c r="B386" s="567" t="str">
        <f t="shared" si="35"/>
        <v>TN</v>
      </c>
      <c r="C386" s="567" t="str">
        <f t="shared" si="36"/>
        <v>E</v>
      </c>
      <c r="D386" s="567" t="s">
        <v>2649</v>
      </c>
      <c r="E386" s="567" t="str">
        <f t="shared" si="39"/>
        <v>365</v>
      </c>
      <c r="F386" s="864" t="s">
        <v>1697</v>
      </c>
      <c r="G386" s="566" t="str">
        <f t="shared" si="37"/>
        <v/>
      </c>
      <c r="H386" s="567">
        <v>54.203262944999999</v>
      </c>
      <c r="I386" s="567">
        <v>54.299517239499998</v>
      </c>
      <c r="J386" s="567">
        <v>54.395771533999998</v>
      </c>
      <c r="K386" s="567">
        <v>54.492025828499997</v>
      </c>
      <c r="L386" s="567">
        <v>54.588280122999997</v>
      </c>
      <c r="M386" s="567">
        <v>54.684534417499997</v>
      </c>
      <c r="N386" s="567">
        <v>54.780788711999897</v>
      </c>
      <c r="O386" s="567">
        <v>54.877043006499903</v>
      </c>
      <c r="P386" s="567">
        <v>54.973297300999903</v>
      </c>
      <c r="Q386" s="567">
        <v>55.069551595499902</v>
      </c>
      <c r="R386" s="567">
        <v>55.165805889999902</v>
      </c>
      <c r="S386" s="567">
        <v>55.262060184499902</v>
      </c>
      <c r="T386" s="567">
        <v>55.358314478999901</v>
      </c>
      <c r="V386" s="567">
        <f t="shared" si="38"/>
        <v>54.780788711999939</v>
      </c>
    </row>
    <row r="387" spans="1:22" x14ac:dyDescent="0.25">
      <c r="A387" s="567" t="str">
        <f t="shared" si="34"/>
        <v>KU</v>
      </c>
      <c r="B387" s="567" t="str">
        <f t="shared" si="35"/>
        <v>VA</v>
      </c>
      <c r="C387" s="567" t="str">
        <f t="shared" si="36"/>
        <v>E</v>
      </c>
      <c r="D387" s="567" t="s">
        <v>2649</v>
      </c>
      <c r="E387" s="567" t="str">
        <f t="shared" si="39"/>
        <v>365</v>
      </c>
      <c r="F387" s="864" t="s">
        <v>1698</v>
      </c>
      <c r="G387" s="566" t="str">
        <f t="shared" si="37"/>
        <v/>
      </c>
      <c r="H387" s="567">
        <v>8809.4343556740005</v>
      </c>
      <c r="I387" s="567">
        <v>8854.332530533</v>
      </c>
      <c r="J387" s="567">
        <v>8907.7949495869998</v>
      </c>
      <c r="K387" s="567">
        <v>8902.6874843219994</v>
      </c>
      <c r="L387" s="567">
        <v>8956.7049789609991</v>
      </c>
      <c r="M387" s="567">
        <v>9012.2431041750006</v>
      </c>
      <c r="N387" s="567">
        <v>9059.8916227219997</v>
      </c>
      <c r="O387" s="567">
        <v>9113.2224149889898</v>
      </c>
      <c r="P387" s="567">
        <v>9171.6728536409901</v>
      </c>
      <c r="Q387" s="567">
        <v>9225.8037643819898</v>
      </c>
      <c r="R387" s="567">
        <v>9277.0867907889897</v>
      </c>
      <c r="S387" s="567">
        <v>9327.5859998919896</v>
      </c>
      <c r="T387" s="567">
        <v>9383.3806337569895</v>
      </c>
      <c r="V387" s="567">
        <f t="shared" si="38"/>
        <v>9077.0647294941482</v>
      </c>
    </row>
    <row r="388" spans="1:22" x14ac:dyDescent="0.25">
      <c r="A388" s="567" t="str">
        <f t="shared" si="34"/>
        <v>KU</v>
      </c>
      <c r="B388" s="567" t="str">
        <f t="shared" si="35"/>
        <v>KY</v>
      </c>
      <c r="C388" s="567" t="str">
        <f t="shared" si="36"/>
        <v>E</v>
      </c>
      <c r="D388" s="567" t="s">
        <v>2649</v>
      </c>
      <c r="E388" s="567" t="str">
        <f t="shared" si="39"/>
        <v>366</v>
      </c>
      <c r="F388" s="864" t="s">
        <v>1699</v>
      </c>
      <c r="G388" s="566" t="str">
        <f t="shared" si="37"/>
        <v>ECR</v>
      </c>
      <c r="H388" s="567">
        <v>20.162708719999902</v>
      </c>
      <c r="I388" s="567">
        <v>20.4933135919999</v>
      </c>
      <c r="J388" s="567">
        <v>20.823918463999899</v>
      </c>
      <c r="K388" s="567">
        <v>21.154523335999901</v>
      </c>
      <c r="L388" s="567">
        <v>21.4851282079999</v>
      </c>
      <c r="M388" s="567">
        <v>21.815733079999902</v>
      </c>
      <c r="N388" s="567">
        <v>22.1463379519999</v>
      </c>
      <c r="O388" s="567">
        <v>22.476942823999899</v>
      </c>
      <c r="P388" s="567">
        <v>22.807547695999901</v>
      </c>
      <c r="Q388" s="567">
        <v>23.138152567999899</v>
      </c>
      <c r="R388" s="567">
        <v>23.468757439999901</v>
      </c>
      <c r="S388" s="567">
        <v>23.7993623119999</v>
      </c>
      <c r="T388" s="567">
        <v>24.129967183999899</v>
      </c>
      <c r="V388" s="567">
        <f t="shared" si="38"/>
        <v>22.1463379519999</v>
      </c>
    </row>
    <row r="389" spans="1:22" x14ac:dyDescent="0.25">
      <c r="A389" s="567" t="str">
        <f t="shared" si="34"/>
        <v>KU</v>
      </c>
      <c r="B389" s="567" t="str">
        <f t="shared" si="35"/>
        <v>KY</v>
      </c>
      <c r="C389" s="567" t="str">
        <f t="shared" si="36"/>
        <v>E</v>
      </c>
      <c r="D389" s="567" t="s">
        <v>2649</v>
      </c>
      <c r="E389" s="567" t="str">
        <f t="shared" si="39"/>
        <v>366</v>
      </c>
      <c r="F389" s="864" t="s">
        <v>1700</v>
      </c>
      <c r="G389" s="566" t="str">
        <f t="shared" si="37"/>
        <v/>
      </c>
      <c r="H389" s="567">
        <v>1004.8818380499901</v>
      </c>
      <c r="I389" s="567">
        <v>1009.17210485499</v>
      </c>
      <c r="J389" s="567">
        <v>1013.46237165999</v>
      </c>
      <c r="K389" s="567">
        <v>1017.75263846499</v>
      </c>
      <c r="L389" s="567">
        <v>1022.04290526999</v>
      </c>
      <c r="M389" s="567">
        <v>1026.333172075</v>
      </c>
      <c r="N389" s="567">
        <v>1030.6234388800001</v>
      </c>
      <c r="O389" s="567">
        <v>1034.913705685</v>
      </c>
      <c r="P389" s="567">
        <v>1039.2039724900001</v>
      </c>
      <c r="Q389" s="567">
        <v>1043.4942392949999</v>
      </c>
      <c r="R389" s="567">
        <v>1047.7845061</v>
      </c>
      <c r="S389" s="567">
        <v>1052.0747729049999</v>
      </c>
      <c r="T389" s="567">
        <v>1056.36503971</v>
      </c>
      <c r="V389" s="567">
        <f t="shared" si="38"/>
        <v>1030.6234388799962</v>
      </c>
    </row>
    <row r="390" spans="1:22" x14ac:dyDescent="0.25">
      <c r="A390" s="567" t="str">
        <f t="shared" si="34"/>
        <v>KU</v>
      </c>
      <c r="B390" s="567" t="str">
        <f t="shared" si="35"/>
        <v>KY</v>
      </c>
      <c r="C390" s="567" t="str">
        <f t="shared" si="36"/>
        <v>E</v>
      </c>
      <c r="D390" s="567" t="s">
        <v>2649</v>
      </c>
      <c r="E390" s="567" t="str">
        <f t="shared" si="39"/>
        <v>367</v>
      </c>
      <c r="F390" s="864" t="s">
        <v>1701</v>
      </c>
      <c r="G390" s="566" t="str">
        <f t="shared" si="37"/>
        <v>ECR</v>
      </c>
      <c r="H390" s="567">
        <v>146.81757624100001</v>
      </c>
      <c r="I390" s="567">
        <v>149.5029598651</v>
      </c>
      <c r="J390" s="567">
        <v>152.18834348920001</v>
      </c>
      <c r="K390" s="567">
        <v>154.87372711329999</v>
      </c>
      <c r="L390" s="567">
        <v>157.5591107374</v>
      </c>
      <c r="M390" s="567">
        <v>160.24449436149999</v>
      </c>
      <c r="N390" s="567">
        <v>162.9298779856</v>
      </c>
      <c r="O390" s="567">
        <v>165.61526160970001</v>
      </c>
      <c r="P390" s="567">
        <v>168.3006452338</v>
      </c>
      <c r="Q390" s="567">
        <v>170.98602885790001</v>
      </c>
      <c r="R390" s="567">
        <v>173.67141248199999</v>
      </c>
      <c r="S390" s="567">
        <v>176.35679610610001</v>
      </c>
      <c r="T390" s="567">
        <v>179.04217973019999</v>
      </c>
      <c r="V390" s="567">
        <f t="shared" si="38"/>
        <v>162.9298779856</v>
      </c>
    </row>
    <row r="391" spans="1:22" x14ac:dyDescent="0.25">
      <c r="A391" s="567" t="str">
        <f t="shared" ref="A391:A454" si="41">MID($F391,4,2)</f>
        <v>KU</v>
      </c>
      <c r="B391" s="567" t="str">
        <f t="shared" si="35"/>
        <v>KY</v>
      </c>
      <c r="C391" s="567" t="str">
        <f t="shared" si="36"/>
        <v>E</v>
      </c>
      <c r="D391" s="567" t="s">
        <v>2649</v>
      </c>
      <c r="E391" s="567" t="str">
        <f t="shared" si="39"/>
        <v>367</v>
      </c>
      <c r="F391" s="864" t="s">
        <v>1702</v>
      </c>
      <c r="G391" s="566" t="str">
        <f t="shared" si="37"/>
        <v/>
      </c>
      <c r="H391" s="567">
        <v>52184.538524059899</v>
      </c>
      <c r="I391" s="567">
        <v>52559.960388259897</v>
      </c>
      <c r="J391" s="567">
        <v>52963.690891309903</v>
      </c>
      <c r="K391" s="567">
        <v>53350.5117207699</v>
      </c>
      <c r="L391" s="567">
        <v>53738.926504859897</v>
      </c>
      <c r="M391" s="567">
        <v>54143.647682859897</v>
      </c>
      <c r="N391" s="567">
        <v>54544.134615949901</v>
      </c>
      <c r="O391" s="567">
        <v>54953.564273009899</v>
      </c>
      <c r="P391" s="567">
        <v>55270.869021819897</v>
      </c>
      <c r="Q391" s="567">
        <v>55675.922812179902</v>
      </c>
      <c r="R391" s="567">
        <v>56092.293508399896</v>
      </c>
      <c r="S391" s="567">
        <v>56514.6945248099</v>
      </c>
      <c r="T391" s="567">
        <v>56929.514636979897</v>
      </c>
      <c r="V391" s="567">
        <f t="shared" si="38"/>
        <v>54532.482238866825</v>
      </c>
    </row>
    <row r="392" spans="1:22" x14ac:dyDescent="0.25">
      <c r="A392" s="567" t="str">
        <f t="shared" si="41"/>
        <v>KU</v>
      </c>
      <c r="B392" s="567" t="str">
        <f t="shared" si="35"/>
        <v>VA</v>
      </c>
      <c r="C392" s="567" t="str">
        <f t="shared" si="36"/>
        <v>E</v>
      </c>
      <c r="D392" s="567" t="s">
        <v>2649</v>
      </c>
      <c r="E392" s="567" t="str">
        <f t="shared" si="39"/>
        <v>367</v>
      </c>
      <c r="F392" s="864" t="s">
        <v>1703</v>
      </c>
      <c r="G392" s="566" t="str">
        <f t="shared" si="37"/>
        <v/>
      </c>
      <c r="H392" s="567">
        <v>782.51977013969997</v>
      </c>
      <c r="I392" s="567">
        <v>790.12418192339896</v>
      </c>
      <c r="J392" s="567">
        <v>797.80895540729898</v>
      </c>
      <c r="K392" s="567">
        <v>801.01263534889995</v>
      </c>
      <c r="L392" s="567">
        <v>808.8916870004</v>
      </c>
      <c r="M392" s="567">
        <v>819.14959302499994</v>
      </c>
      <c r="N392" s="567">
        <v>827.22343546669902</v>
      </c>
      <c r="O392" s="567">
        <v>837.66737370179897</v>
      </c>
      <c r="P392" s="567">
        <v>848.15822768659905</v>
      </c>
      <c r="Q392" s="567">
        <v>858.72445801999902</v>
      </c>
      <c r="R392" s="567">
        <v>864.842129601799</v>
      </c>
      <c r="S392" s="567">
        <v>873.33053759649897</v>
      </c>
      <c r="T392" s="567">
        <v>878.48921677229896</v>
      </c>
      <c r="V392" s="567">
        <f t="shared" si="38"/>
        <v>829.84170782233787</v>
      </c>
    </row>
    <row r="393" spans="1:22" x14ac:dyDescent="0.25">
      <c r="A393" s="567" t="str">
        <f t="shared" si="41"/>
        <v>KU</v>
      </c>
      <c r="B393" s="567" t="str">
        <f t="shared" si="35"/>
        <v>KY</v>
      </c>
      <c r="C393" s="567" t="str">
        <f t="shared" si="36"/>
        <v>E</v>
      </c>
      <c r="D393" s="567" t="s">
        <v>2649</v>
      </c>
      <c r="E393" s="567" t="str">
        <f t="shared" si="39"/>
        <v>368</v>
      </c>
      <c r="F393" s="864" t="s">
        <v>1704</v>
      </c>
      <c r="G393" s="566" t="str">
        <f t="shared" si="37"/>
        <v/>
      </c>
      <c r="H393" s="567">
        <v>144832.62557644901</v>
      </c>
      <c r="I393" s="567">
        <v>144928.65271344999</v>
      </c>
      <c r="J393" s="567">
        <v>145243.59873981</v>
      </c>
      <c r="K393" s="567">
        <v>144889.89452169999</v>
      </c>
      <c r="L393" s="567">
        <v>144690.81838529999</v>
      </c>
      <c r="M393" s="567">
        <v>145120.74851563</v>
      </c>
      <c r="N393" s="567">
        <v>145374.03586753001</v>
      </c>
      <c r="O393" s="567">
        <v>145768.22216159999</v>
      </c>
      <c r="P393" s="567">
        <v>145833.62283984001</v>
      </c>
      <c r="Q393" s="567">
        <v>146277.71755651999</v>
      </c>
      <c r="R393" s="567">
        <v>146468.36483884</v>
      </c>
      <c r="S393" s="567">
        <v>146729.14345879</v>
      </c>
      <c r="T393" s="567">
        <v>146938.26003531</v>
      </c>
      <c r="V393" s="567">
        <f t="shared" si="38"/>
        <v>145622.74655467452</v>
      </c>
    </row>
    <row r="394" spans="1:22" x14ac:dyDescent="0.25">
      <c r="A394" s="567" t="str">
        <f t="shared" si="41"/>
        <v>KU</v>
      </c>
      <c r="B394" s="567" t="str">
        <f t="shared" si="35"/>
        <v>TN</v>
      </c>
      <c r="C394" s="567" t="str">
        <f t="shared" si="36"/>
        <v>E</v>
      </c>
      <c r="D394" s="567" t="s">
        <v>2649</v>
      </c>
      <c r="E394" s="567" t="str">
        <f t="shared" si="39"/>
        <v>368</v>
      </c>
      <c r="F394" s="864" t="s">
        <v>1705</v>
      </c>
      <c r="G394" s="566" t="str">
        <f t="shared" si="37"/>
        <v/>
      </c>
      <c r="H394" s="567">
        <v>5.2735243433299903</v>
      </c>
      <c r="I394" s="567">
        <v>5.2781757776629901</v>
      </c>
      <c r="J394" s="567">
        <v>5.2828272119959898</v>
      </c>
      <c r="K394" s="567">
        <v>5.2874786463289896</v>
      </c>
      <c r="L394" s="567">
        <v>5.2921300806619902</v>
      </c>
      <c r="M394" s="567">
        <v>5.2967815149949899</v>
      </c>
      <c r="N394" s="567">
        <v>5.3014329493279897</v>
      </c>
      <c r="O394" s="567">
        <v>5.3060843836609903</v>
      </c>
      <c r="P394" s="567">
        <v>5.3107358179939901</v>
      </c>
      <c r="Q394" s="567">
        <v>5.3153872523269898</v>
      </c>
      <c r="R394" s="567">
        <v>5.3200386866599896</v>
      </c>
      <c r="S394" s="567">
        <v>5.3246901209929902</v>
      </c>
      <c r="T394" s="567">
        <v>5.32934155532599</v>
      </c>
      <c r="V394" s="567">
        <f t="shared" si="38"/>
        <v>5.3014329493279897</v>
      </c>
    </row>
    <row r="395" spans="1:22" x14ac:dyDescent="0.25">
      <c r="A395" s="567" t="str">
        <f t="shared" si="41"/>
        <v>KU</v>
      </c>
      <c r="B395" s="567" t="str">
        <f t="shared" si="35"/>
        <v>VA</v>
      </c>
      <c r="C395" s="567" t="str">
        <f t="shared" si="36"/>
        <v>E</v>
      </c>
      <c r="D395" s="567" t="s">
        <v>2649</v>
      </c>
      <c r="E395" s="567" t="str">
        <f t="shared" si="39"/>
        <v>368</v>
      </c>
      <c r="F395" s="864" t="s">
        <v>1706</v>
      </c>
      <c r="G395" s="566" t="str">
        <f t="shared" si="37"/>
        <v/>
      </c>
      <c r="H395" s="567">
        <v>5591.9816848713999</v>
      </c>
      <c r="I395" s="567">
        <v>5608.6099408864002</v>
      </c>
      <c r="J395" s="567">
        <v>5625.2458679463998</v>
      </c>
      <c r="K395" s="567">
        <v>5641.8889284199004</v>
      </c>
      <c r="L395" s="567">
        <v>5656.2581835266001</v>
      </c>
      <c r="M395" s="567">
        <v>5670.6341867854999</v>
      </c>
      <c r="N395" s="567">
        <v>5685.0194952114998</v>
      </c>
      <c r="O395" s="567">
        <v>5701.6948359129001</v>
      </c>
      <c r="P395" s="567">
        <v>5718.3743677514003</v>
      </c>
      <c r="Q395" s="567">
        <v>5735.0596970526003</v>
      </c>
      <c r="R395" s="567">
        <v>5751.7533530348001</v>
      </c>
      <c r="S395" s="567">
        <v>5766.1830957069997</v>
      </c>
      <c r="T395" s="567">
        <v>5780.6186291030999</v>
      </c>
      <c r="V395" s="567">
        <f t="shared" si="38"/>
        <v>5687.1786358622694</v>
      </c>
    </row>
    <row r="396" spans="1:22" x14ac:dyDescent="0.25">
      <c r="A396" s="567" t="str">
        <f t="shared" si="41"/>
        <v>KU</v>
      </c>
      <c r="B396" s="567" t="str">
        <f t="shared" si="35"/>
        <v>KY</v>
      </c>
      <c r="C396" s="567" t="str">
        <f t="shared" si="36"/>
        <v>E</v>
      </c>
      <c r="D396" s="567" t="s">
        <v>2649</v>
      </c>
      <c r="E396" s="567" t="str">
        <f t="shared" si="39"/>
        <v>369</v>
      </c>
      <c r="F396" s="864" t="s">
        <v>1707</v>
      </c>
      <c r="G396" s="566" t="str">
        <f t="shared" si="37"/>
        <v/>
      </c>
      <c r="H396" s="567">
        <v>62120.297093699999</v>
      </c>
      <c r="I396" s="567">
        <v>62267.880757070001</v>
      </c>
      <c r="J396" s="567">
        <v>62415.464420440003</v>
      </c>
      <c r="K396" s="567">
        <v>62563.048083809997</v>
      </c>
      <c r="L396" s="567">
        <v>62710.631747179999</v>
      </c>
      <c r="M396" s="567">
        <v>62858.215410550001</v>
      </c>
      <c r="N396" s="567">
        <v>63005.799073920003</v>
      </c>
      <c r="O396" s="567">
        <v>63153.382737289998</v>
      </c>
      <c r="P396" s="567">
        <v>63301.002922940002</v>
      </c>
      <c r="Q396" s="567">
        <v>63448.659630870003</v>
      </c>
      <c r="R396" s="567">
        <v>63596.316338800003</v>
      </c>
      <c r="S396" s="567">
        <v>63743.973046730003</v>
      </c>
      <c r="T396" s="567">
        <v>63891.629754660004</v>
      </c>
      <c r="V396" s="567">
        <f t="shared" si="38"/>
        <v>63005.869309073845</v>
      </c>
    </row>
    <row r="397" spans="1:22" x14ac:dyDescent="0.25">
      <c r="A397" s="567" t="str">
        <f t="shared" si="41"/>
        <v>KU</v>
      </c>
      <c r="B397" s="567" t="str">
        <f t="shared" si="35"/>
        <v>TN</v>
      </c>
      <c r="C397" s="567" t="str">
        <f t="shared" si="36"/>
        <v>E</v>
      </c>
      <c r="D397" s="567" t="s">
        <v>2649</v>
      </c>
      <c r="E397" s="567" t="str">
        <f t="shared" si="39"/>
        <v>369</v>
      </c>
      <c r="F397" s="864" t="s">
        <v>1708</v>
      </c>
      <c r="G397" s="566" t="str">
        <f t="shared" si="37"/>
        <v/>
      </c>
      <c r="H397" s="567">
        <v>1.1547085883299899</v>
      </c>
      <c r="I397" s="567">
        <v>1.15505444716299</v>
      </c>
      <c r="J397" s="567">
        <v>1.1554003059959901</v>
      </c>
      <c r="K397" s="567">
        <v>1.15574616482899</v>
      </c>
      <c r="L397" s="567">
        <v>1.15609202366199</v>
      </c>
      <c r="M397" s="567">
        <v>1.1564378824949899</v>
      </c>
      <c r="N397" s="567">
        <v>1.15678374132799</v>
      </c>
      <c r="O397" s="567">
        <v>1.1571296001609901</v>
      </c>
      <c r="P397" s="567">
        <v>1.15747545899399</v>
      </c>
      <c r="Q397" s="567">
        <v>1.15782131782699</v>
      </c>
      <c r="R397" s="567">
        <v>1.1581671766599899</v>
      </c>
      <c r="S397" s="567">
        <v>1.15851303549299</v>
      </c>
      <c r="T397" s="567">
        <v>1.1588588943259901</v>
      </c>
      <c r="V397" s="567">
        <f t="shared" si="38"/>
        <v>1.15678374132799</v>
      </c>
    </row>
    <row r="398" spans="1:22" x14ac:dyDescent="0.25">
      <c r="A398" s="567" t="str">
        <f t="shared" si="41"/>
        <v>KU</v>
      </c>
      <c r="B398" s="567" t="str">
        <f t="shared" si="35"/>
        <v>VA</v>
      </c>
      <c r="C398" s="567" t="str">
        <f t="shared" si="36"/>
        <v>E</v>
      </c>
      <c r="D398" s="567" t="s">
        <v>2649</v>
      </c>
      <c r="E398" s="567" t="str">
        <f t="shared" si="39"/>
        <v>369</v>
      </c>
      <c r="F398" s="864" t="s">
        <v>1709</v>
      </c>
      <c r="G398" s="566" t="str">
        <f t="shared" si="37"/>
        <v/>
      </c>
      <c r="H398" s="567">
        <v>4392.3588972899997</v>
      </c>
      <c r="I398" s="567">
        <v>4400.3091510189997</v>
      </c>
      <c r="J398" s="567">
        <v>4408.2594047479997</v>
      </c>
      <c r="K398" s="567">
        <v>4416.2096584769997</v>
      </c>
      <c r="L398" s="567">
        <v>4424.1599122059997</v>
      </c>
      <c r="M398" s="567">
        <v>4432.1101659349997</v>
      </c>
      <c r="N398" s="567">
        <v>4440.0604196639997</v>
      </c>
      <c r="O398" s="567">
        <v>4448.0106733929997</v>
      </c>
      <c r="P398" s="567">
        <v>4455.9609271219997</v>
      </c>
      <c r="Q398" s="567">
        <v>4463.9111808509997</v>
      </c>
      <c r="R398" s="567">
        <v>4471.8614345799997</v>
      </c>
      <c r="S398" s="567">
        <v>4479.8116883089997</v>
      </c>
      <c r="T398" s="567">
        <v>4487.7619420379997</v>
      </c>
      <c r="V398" s="567">
        <f t="shared" si="38"/>
        <v>4440.0604196639997</v>
      </c>
    </row>
    <row r="399" spans="1:22" x14ac:dyDescent="0.25">
      <c r="A399" s="567" t="str">
        <f t="shared" si="41"/>
        <v>KU</v>
      </c>
      <c r="B399" s="567" t="str">
        <f t="shared" si="35"/>
        <v>KY</v>
      </c>
      <c r="C399" s="567" t="str">
        <f t="shared" si="36"/>
        <v>E</v>
      </c>
      <c r="D399" s="567" t="s">
        <v>2649</v>
      </c>
      <c r="E399" s="567" t="str">
        <f t="shared" si="39"/>
        <v>370</v>
      </c>
      <c r="F399" s="864" t="s">
        <v>1710</v>
      </c>
      <c r="G399" s="566" t="str">
        <f t="shared" si="37"/>
        <v/>
      </c>
      <c r="H399" s="567">
        <v>40088.406595455999</v>
      </c>
      <c r="I399" s="567">
        <v>40321.270598712901</v>
      </c>
      <c r="J399" s="567">
        <v>40554.543736669999</v>
      </c>
      <c r="K399" s="567">
        <v>40788.213428427</v>
      </c>
      <c r="L399" s="567">
        <v>41022.284775284003</v>
      </c>
      <c r="M399" s="567">
        <v>41256.701687540997</v>
      </c>
      <c r="N399" s="567">
        <v>41491.452683798001</v>
      </c>
      <c r="O399" s="567">
        <v>41726.609026054997</v>
      </c>
      <c r="P399" s="567">
        <v>41963.190361711997</v>
      </c>
      <c r="Q399" s="567">
        <v>42201.075344368997</v>
      </c>
      <c r="R399" s="567">
        <v>42439.379243426003</v>
      </c>
      <c r="S399" s="567">
        <v>42678.156927782999</v>
      </c>
      <c r="T399" s="567">
        <v>42917.287455940001</v>
      </c>
      <c r="V399" s="567">
        <f t="shared" si="38"/>
        <v>41496.043989628772</v>
      </c>
    </row>
    <row r="400" spans="1:22" x14ac:dyDescent="0.25">
      <c r="A400" s="567" t="str">
        <f t="shared" si="41"/>
        <v>KU</v>
      </c>
      <c r="B400" s="567" t="str">
        <f t="shared" si="35"/>
        <v>KY</v>
      </c>
      <c r="C400" s="567" t="str">
        <f t="shared" si="36"/>
        <v>E</v>
      </c>
      <c r="D400" s="567" t="s">
        <v>2649</v>
      </c>
      <c r="E400" s="567" t="str">
        <f t="shared" si="39"/>
        <v>370</v>
      </c>
      <c r="F400" s="864" t="s">
        <v>2428</v>
      </c>
      <c r="G400" s="566" t="str">
        <f t="shared" si="37"/>
        <v>DSM</v>
      </c>
      <c r="H400" s="567">
        <v>192.22854967000001</v>
      </c>
      <c r="I400" s="567">
        <v>199.82824563700001</v>
      </c>
      <c r="J400" s="567">
        <v>207.42794160400001</v>
      </c>
      <c r="K400" s="567">
        <v>215.02763757100001</v>
      </c>
      <c r="L400" s="567">
        <v>222.62733353799999</v>
      </c>
      <c r="M400" s="567">
        <v>230.22702950499999</v>
      </c>
      <c r="N400" s="567">
        <v>237.82672547199999</v>
      </c>
      <c r="O400" s="567">
        <v>245.42642143899999</v>
      </c>
      <c r="P400" s="567">
        <v>253.026117406</v>
      </c>
      <c r="Q400" s="567">
        <v>260.62581337300003</v>
      </c>
      <c r="R400" s="567">
        <v>268.22550933999997</v>
      </c>
      <c r="S400" s="567">
        <v>275.82520530699998</v>
      </c>
      <c r="T400" s="567">
        <v>283.42490127399998</v>
      </c>
      <c r="V400" s="567">
        <f t="shared" si="38"/>
        <v>237.82672547200002</v>
      </c>
    </row>
    <row r="401" spans="1:22" x14ac:dyDescent="0.25">
      <c r="A401" s="567" t="str">
        <f t="shared" si="41"/>
        <v>KU</v>
      </c>
      <c r="B401" s="567" t="str">
        <f t="shared" si="35"/>
        <v>TN</v>
      </c>
      <c r="C401" s="567" t="str">
        <f t="shared" si="36"/>
        <v>E</v>
      </c>
      <c r="D401" s="567" t="s">
        <v>2649</v>
      </c>
      <c r="E401" s="567" t="str">
        <f t="shared" si="39"/>
        <v>370</v>
      </c>
      <c r="F401" s="864" t="s">
        <v>1711</v>
      </c>
      <c r="G401" s="566" t="str">
        <f t="shared" si="37"/>
        <v/>
      </c>
      <c r="H401" s="567">
        <v>0.66608785749999999</v>
      </c>
      <c r="I401" s="567">
        <v>0.68090464325</v>
      </c>
      <c r="J401" s="567">
        <v>0.695721429</v>
      </c>
      <c r="K401" s="567">
        <v>0.71053821475000001</v>
      </c>
      <c r="L401" s="567">
        <v>0.72535500050000001</v>
      </c>
      <c r="M401" s="567">
        <v>0.74017178625000002</v>
      </c>
      <c r="N401" s="567">
        <v>0.75498857200000002</v>
      </c>
      <c r="O401" s="567">
        <v>0.76980535775000003</v>
      </c>
      <c r="P401" s="567">
        <v>0.78462214350000004</v>
      </c>
      <c r="Q401" s="567">
        <v>0.79943892925000004</v>
      </c>
      <c r="R401" s="567">
        <v>0.81425571500000005</v>
      </c>
      <c r="S401" s="567">
        <v>0.82907250075000005</v>
      </c>
      <c r="T401" s="567">
        <v>0.84388928649999995</v>
      </c>
      <c r="V401" s="567">
        <f t="shared" si="38"/>
        <v>0.75498857200000002</v>
      </c>
    </row>
    <row r="402" spans="1:22" x14ac:dyDescent="0.25">
      <c r="A402" s="567" t="str">
        <f t="shared" si="41"/>
        <v>KU</v>
      </c>
      <c r="B402" s="567" t="str">
        <f t="shared" si="35"/>
        <v>VA</v>
      </c>
      <c r="C402" s="567" t="str">
        <f t="shared" si="36"/>
        <v>E</v>
      </c>
      <c r="D402" s="567" t="s">
        <v>2649</v>
      </c>
      <c r="E402" s="567" t="str">
        <f t="shared" si="39"/>
        <v>370</v>
      </c>
      <c r="F402" s="864" t="s">
        <v>1712</v>
      </c>
      <c r="G402" s="566" t="str">
        <f t="shared" si="37"/>
        <v/>
      </c>
      <c r="H402" s="567">
        <v>2745.6752121699901</v>
      </c>
      <c r="I402" s="567">
        <v>2757.2867763869899</v>
      </c>
      <c r="J402" s="567">
        <v>2768.8983406039902</v>
      </c>
      <c r="K402" s="567">
        <v>2780.50990482099</v>
      </c>
      <c r="L402" s="567">
        <v>2792.1214690379902</v>
      </c>
      <c r="M402" s="567">
        <v>2803.73303325499</v>
      </c>
      <c r="N402" s="567">
        <v>2815.3445974719898</v>
      </c>
      <c r="O402" s="567">
        <v>2826.9561616889901</v>
      </c>
      <c r="P402" s="567">
        <v>2838.5677259059898</v>
      </c>
      <c r="Q402" s="567">
        <v>2850.1792901229901</v>
      </c>
      <c r="R402" s="567">
        <v>2861.7908543399899</v>
      </c>
      <c r="S402" s="567">
        <v>2873.4024185569901</v>
      </c>
      <c r="T402" s="567">
        <v>2885.0139827739899</v>
      </c>
      <c r="V402" s="567">
        <f t="shared" si="38"/>
        <v>2815.3445974719898</v>
      </c>
    </row>
    <row r="403" spans="1:22" x14ac:dyDescent="0.25">
      <c r="A403" s="567" t="str">
        <f t="shared" si="41"/>
        <v>KU</v>
      </c>
      <c r="B403" s="567" t="str">
        <f t="shared" si="35"/>
        <v>KY</v>
      </c>
      <c r="C403" s="567" t="str">
        <f t="shared" si="36"/>
        <v>E</v>
      </c>
      <c r="D403" s="567" t="s">
        <v>2649</v>
      </c>
      <c r="E403" s="567" t="str">
        <f t="shared" si="39"/>
        <v>371</v>
      </c>
      <c r="F403" s="864" t="s">
        <v>1713</v>
      </c>
      <c r="G403" s="566" t="str">
        <f t="shared" si="37"/>
        <v/>
      </c>
      <c r="H403" s="567">
        <v>8.5563340000000002E-2</v>
      </c>
      <c r="I403" s="567">
        <v>8.9245673999999997E-2</v>
      </c>
      <c r="J403" s="567">
        <v>9.2928008000000006E-2</v>
      </c>
      <c r="K403" s="567">
        <v>9.6610342000000099E-2</v>
      </c>
      <c r="L403" s="567">
        <v>0.100292676</v>
      </c>
      <c r="M403" s="567">
        <v>0.10397501000000001</v>
      </c>
      <c r="N403" s="567">
        <v>0.107657344</v>
      </c>
      <c r="O403" s="567">
        <v>0.111339678</v>
      </c>
      <c r="P403" s="567">
        <v>0.11502201200000001</v>
      </c>
      <c r="Q403" s="567">
        <v>0.118704346</v>
      </c>
      <c r="R403" s="567">
        <v>0.12238668</v>
      </c>
      <c r="S403" s="567">
        <v>0.12606901400000001</v>
      </c>
      <c r="T403" s="567">
        <v>0.12975134799999999</v>
      </c>
      <c r="V403" s="567">
        <f t="shared" si="38"/>
        <v>0.10765734400000002</v>
      </c>
    </row>
    <row r="404" spans="1:22" x14ac:dyDescent="0.25">
      <c r="A404" s="567" t="str">
        <f t="shared" si="41"/>
        <v>KU</v>
      </c>
      <c r="B404" s="567" t="str">
        <f t="shared" ref="B404:B467" si="42">IF(MID($F404,12,2)="- ","KY",IF(MID($F404,12,2)="SY","KY",MID($F404,12,2)))</f>
        <v>KY</v>
      </c>
      <c r="C404" s="567" t="str">
        <f t="shared" si="36"/>
        <v>E</v>
      </c>
      <c r="D404" s="567" t="s">
        <v>2649</v>
      </c>
      <c r="E404" s="567" t="str">
        <f t="shared" si="39"/>
        <v>371</v>
      </c>
      <c r="F404" s="864" t="s">
        <v>2636</v>
      </c>
      <c r="G404" s="566" t="str">
        <f t="shared" si="37"/>
        <v/>
      </c>
      <c r="H404" s="567">
        <v>8.6664871891999997</v>
      </c>
      <c r="I404" s="567">
        <v>9.8108422562000008</v>
      </c>
      <c r="J404" s="567">
        <v>10.9551973232</v>
      </c>
      <c r="K404" s="567">
        <v>12.0995523902</v>
      </c>
      <c r="L404" s="567">
        <v>13.243907457199899</v>
      </c>
      <c r="M404" s="567">
        <v>14.3882625241999</v>
      </c>
      <c r="N404" s="567">
        <v>15.5326175911999</v>
      </c>
      <c r="O404" s="567">
        <v>16.676972658199901</v>
      </c>
      <c r="P404" s="567">
        <v>17.8213277251999</v>
      </c>
      <c r="Q404" s="567">
        <v>18.9656827921999</v>
      </c>
      <c r="R404" s="567">
        <v>20.110037859199899</v>
      </c>
      <c r="S404" s="567">
        <v>21.254392926199898</v>
      </c>
      <c r="T404" s="567">
        <v>22.398747993199901</v>
      </c>
      <c r="V404" s="567">
        <f t="shared" si="38"/>
        <v>15.532617591199928</v>
      </c>
    </row>
    <row r="405" spans="1:22" x14ac:dyDescent="0.25">
      <c r="A405" s="567" t="str">
        <f t="shared" si="41"/>
        <v>KU</v>
      </c>
      <c r="B405" s="567" t="str">
        <f t="shared" si="42"/>
        <v>KY</v>
      </c>
      <c r="C405" s="567" t="str">
        <f t="shared" si="36"/>
        <v>E</v>
      </c>
      <c r="D405" s="567" t="s">
        <v>2649</v>
      </c>
      <c r="E405" s="567" t="str">
        <f t="shared" si="39"/>
        <v>373</v>
      </c>
      <c r="F405" s="864" t="s">
        <v>1714</v>
      </c>
      <c r="G405" s="566" t="str">
        <f t="shared" si="37"/>
        <v/>
      </c>
      <c r="H405" s="567">
        <v>44294.83664537</v>
      </c>
      <c r="I405" s="567">
        <v>44305.105731410004</v>
      </c>
      <c r="J405" s="567">
        <v>44554.880825690001</v>
      </c>
      <c r="K405" s="567">
        <v>44092.566511179997</v>
      </c>
      <c r="L405" s="567">
        <v>43787.357014369998</v>
      </c>
      <c r="M405" s="567">
        <v>44149.140925909996</v>
      </c>
      <c r="N405" s="567">
        <v>44322.440827780003</v>
      </c>
      <c r="O405" s="567">
        <v>44650.685799209998</v>
      </c>
      <c r="P405" s="567">
        <v>44626.428573929901</v>
      </c>
      <c r="Q405" s="567">
        <v>44998.997441949999</v>
      </c>
      <c r="R405" s="567">
        <v>45108.838778650002</v>
      </c>
      <c r="S405" s="567">
        <v>45289.156014369997</v>
      </c>
      <c r="T405" s="567">
        <v>45419.032953599999</v>
      </c>
      <c r="V405" s="567">
        <f t="shared" si="38"/>
        <v>44584.574464878453</v>
      </c>
    </row>
    <row r="406" spans="1:22" x14ac:dyDescent="0.25">
      <c r="A406" s="567" t="str">
        <f t="shared" si="41"/>
        <v>KU</v>
      </c>
      <c r="B406" s="567" t="str">
        <f t="shared" si="42"/>
        <v>VA</v>
      </c>
      <c r="C406" s="567" t="str">
        <f t="shared" si="36"/>
        <v>E</v>
      </c>
      <c r="D406" s="567" t="s">
        <v>2649</v>
      </c>
      <c r="E406" s="567" t="str">
        <f t="shared" si="39"/>
        <v>373</v>
      </c>
      <c r="F406" s="864" t="s">
        <v>1715</v>
      </c>
      <c r="G406" s="566" t="str">
        <f t="shared" si="37"/>
        <v/>
      </c>
      <c r="H406" s="567">
        <v>1872.2881518145</v>
      </c>
      <c r="I406" s="567">
        <v>1885.2819898145999</v>
      </c>
      <c r="J406" s="567">
        <v>1893.7701408257999</v>
      </c>
      <c r="K406" s="567">
        <v>1904.5996171887</v>
      </c>
      <c r="L406" s="567">
        <v>1913.2144222437</v>
      </c>
      <c r="M406" s="567">
        <v>1926.4574436616999</v>
      </c>
      <c r="N406" s="567">
        <v>1937.4743657716999</v>
      </c>
      <c r="O406" s="567">
        <v>1948.5338212335</v>
      </c>
      <c r="P406" s="567">
        <v>1961.9080944093</v>
      </c>
      <c r="Q406" s="567">
        <v>1973.0596819264999</v>
      </c>
      <c r="R406" s="567">
        <v>1984.2772424433001</v>
      </c>
      <c r="S406" s="567">
        <v>1995.5607759712</v>
      </c>
      <c r="T406" s="567">
        <v>2004.6323755644</v>
      </c>
      <c r="V406" s="567">
        <f t="shared" si="38"/>
        <v>1938.5429325283769</v>
      </c>
    </row>
    <row r="407" spans="1:22" x14ac:dyDescent="0.25">
      <c r="A407" s="567" t="str">
        <f t="shared" si="41"/>
        <v>KU</v>
      </c>
      <c r="B407" s="567" t="str">
        <f t="shared" si="42"/>
        <v>KY</v>
      </c>
      <c r="C407" s="567" t="str">
        <f t="shared" si="36"/>
        <v>E</v>
      </c>
      <c r="D407" s="567" t="s">
        <v>2649</v>
      </c>
      <c r="E407" s="567" t="str">
        <f t="shared" si="39"/>
        <v>374</v>
      </c>
      <c r="F407" s="864" t="s">
        <v>1716</v>
      </c>
      <c r="G407" s="566" t="str">
        <f t="shared" si="37"/>
        <v>ARO</v>
      </c>
      <c r="H407" s="567">
        <v>126.69125</v>
      </c>
      <c r="I407" s="567">
        <v>127.55944</v>
      </c>
      <c r="J407" s="567">
        <v>128.42762999999999</v>
      </c>
      <c r="K407" s="567">
        <v>129.29581999999999</v>
      </c>
      <c r="L407" s="567">
        <v>130.16400999999999</v>
      </c>
      <c r="M407" s="567">
        <v>131.03219999999999</v>
      </c>
      <c r="N407" s="567">
        <v>131.90038999999999</v>
      </c>
      <c r="O407" s="567">
        <v>132.76857999999999</v>
      </c>
      <c r="P407" s="567">
        <v>133.63676999999899</v>
      </c>
      <c r="Q407" s="567">
        <v>133.75361452110999</v>
      </c>
      <c r="R407" s="567">
        <v>133.870459042221</v>
      </c>
      <c r="S407" s="567">
        <v>133.98730356333201</v>
      </c>
      <c r="T407" s="567">
        <v>134.10414808444199</v>
      </c>
      <c r="V407" s="567">
        <f t="shared" si="38"/>
        <v>131.32243193931569</v>
      </c>
    </row>
    <row r="408" spans="1:22" x14ac:dyDescent="0.25">
      <c r="A408" s="567" t="str">
        <f t="shared" si="41"/>
        <v>KU</v>
      </c>
      <c r="B408" s="567" t="str">
        <f t="shared" si="42"/>
        <v>KY</v>
      </c>
      <c r="C408" s="567" t="str">
        <f t="shared" ref="C408:C471" si="43">IF(ISTEXT(MID($F408,SEARCH("FUTURE USE",$F408),3)),"F",IF(MID($F408,7,1)="1","E",IF(MID($F408,7,1)="2","G",IF(MID($F408,7,1)="3","C",""))))</f>
        <v>E</v>
      </c>
      <c r="D408" s="567" t="s">
        <v>2649</v>
      </c>
      <c r="E408" s="567" t="str">
        <f t="shared" si="39"/>
        <v>390</v>
      </c>
      <c r="F408" s="864" t="s">
        <v>1719</v>
      </c>
      <c r="G408" s="566" t="str">
        <f t="shared" si="37"/>
        <v/>
      </c>
      <c r="H408" s="567">
        <v>799.85613075165895</v>
      </c>
      <c r="I408" s="567">
        <v>805.76787130163495</v>
      </c>
      <c r="J408" s="567">
        <v>811.67961185161096</v>
      </c>
      <c r="K408" s="567">
        <v>817.59135240158696</v>
      </c>
      <c r="L408" s="567">
        <v>823.50309295156296</v>
      </c>
      <c r="M408" s="567">
        <v>829.41483350153896</v>
      </c>
      <c r="N408" s="567">
        <v>835.32657405151497</v>
      </c>
      <c r="O408" s="567">
        <v>841.23831460149097</v>
      </c>
      <c r="P408" s="567">
        <v>847.15005515146697</v>
      </c>
      <c r="Q408" s="567">
        <v>853.06179570144297</v>
      </c>
      <c r="R408" s="567">
        <v>858.97353625141898</v>
      </c>
      <c r="S408" s="567">
        <v>864.88527680139498</v>
      </c>
      <c r="T408" s="567">
        <v>870.79701735137098</v>
      </c>
      <c r="V408" s="567">
        <f t="shared" si="38"/>
        <v>835.32657405151497</v>
      </c>
    </row>
    <row r="409" spans="1:22" x14ac:dyDescent="0.25">
      <c r="A409" s="567" t="str">
        <f t="shared" si="41"/>
        <v>KU</v>
      </c>
      <c r="B409" s="567" t="str">
        <f t="shared" si="42"/>
        <v>KY</v>
      </c>
      <c r="C409" s="567" t="str">
        <f t="shared" si="43"/>
        <v>E</v>
      </c>
      <c r="D409" s="567" t="s">
        <v>2649</v>
      </c>
      <c r="E409" s="567" t="str">
        <f t="shared" si="39"/>
        <v>390</v>
      </c>
      <c r="F409" s="864" t="s">
        <v>1720</v>
      </c>
      <c r="G409" s="566" t="str">
        <f t="shared" si="37"/>
        <v/>
      </c>
      <c r="H409" s="567">
        <v>13435.7904798209</v>
      </c>
      <c r="I409" s="567">
        <v>13544.8281951995</v>
      </c>
      <c r="J409" s="567">
        <v>13686.059446808</v>
      </c>
      <c r="K409" s="567">
        <v>13834.8471362864</v>
      </c>
      <c r="L409" s="567">
        <v>13983.8260449849</v>
      </c>
      <c r="M409" s="567">
        <v>14133.386629693499</v>
      </c>
      <c r="N409" s="567">
        <v>14284.081873794999</v>
      </c>
      <c r="O409" s="567">
        <v>14437.014952028499</v>
      </c>
      <c r="P409" s="567">
        <v>14593.3810642319</v>
      </c>
      <c r="Q409" s="567">
        <v>14751.6867364354</v>
      </c>
      <c r="R409" s="567">
        <v>14910.032178428901</v>
      </c>
      <c r="S409" s="567">
        <v>15068.4126076924</v>
      </c>
      <c r="T409" s="567">
        <v>15226.8258055559</v>
      </c>
      <c r="V409" s="567">
        <f t="shared" si="38"/>
        <v>14299.244088535479</v>
      </c>
    </row>
    <row r="410" spans="1:22" x14ac:dyDescent="0.25">
      <c r="A410" s="567" t="str">
        <f t="shared" si="41"/>
        <v>KU</v>
      </c>
      <c r="B410" s="567" t="str">
        <f t="shared" si="42"/>
        <v>VA</v>
      </c>
      <c r="C410" s="567" t="str">
        <f t="shared" si="43"/>
        <v>E</v>
      </c>
      <c r="D410" s="567" t="s">
        <v>2649</v>
      </c>
      <c r="E410" s="567" t="str">
        <f t="shared" si="39"/>
        <v>390</v>
      </c>
      <c r="F410" s="864" t="s">
        <v>1721</v>
      </c>
      <c r="G410" s="566" t="str">
        <f t="shared" si="37"/>
        <v/>
      </c>
      <c r="H410" s="567">
        <v>378.93187591386999</v>
      </c>
      <c r="I410" s="567">
        <v>381.464380639007</v>
      </c>
      <c r="J410" s="567">
        <v>384.21262902494402</v>
      </c>
      <c r="K410" s="567">
        <v>391.503790756581</v>
      </c>
      <c r="L410" s="567">
        <v>403.36703796191802</v>
      </c>
      <c r="M410" s="567">
        <v>415.259457295255</v>
      </c>
      <c r="N410" s="567">
        <v>427.15187662859199</v>
      </c>
      <c r="O410" s="567">
        <v>439.04429596192898</v>
      </c>
      <c r="P410" s="567">
        <v>450.936715295265</v>
      </c>
      <c r="Q410" s="567">
        <v>462.82913462860199</v>
      </c>
      <c r="R410" s="567">
        <v>474.72155396193898</v>
      </c>
      <c r="S410" s="567">
        <v>486.61397329527603</v>
      </c>
      <c r="T410" s="567">
        <v>498.50639262861301</v>
      </c>
      <c r="V410" s="567">
        <f t="shared" si="38"/>
        <v>430.34947030706093</v>
      </c>
    </row>
    <row r="411" spans="1:22" x14ac:dyDescent="0.25">
      <c r="A411" s="567" t="str">
        <f t="shared" si="41"/>
        <v>KU</v>
      </c>
      <c r="B411" s="567" t="str">
        <f t="shared" si="42"/>
        <v>KY</v>
      </c>
      <c r="C411" s="567" t="str">
        <f t="shared" si="43"/>
        <v>E</v>
      </c>
      <c r="D411" s="567" t="s">
        <v>2649</v>
      </c>
      <c r="E411" s="567" t="str">
        <f t="shared" si="39"/>
        <v>391</v>
      </c>
      <c r="F411" s="864" t="s">
        <v>1722</v>
      </c>
      <c r="G411" s="566" t="str">
        <f t="shared" si="37"/>
        <v/>
      </c>
      <c r="H411" s="567">
        <v>965.5097945</v>
      </c>
      <c r="I411" s="567">
        <v>1087.4525497</v>
      </c>
      <c r="J411" s="567">
        <v>1209.3953048999999</v>
      </c>
      <c r="K411" s="567">
        <v>1331.3380600999999</v>
      </c>
      <c r="L411" s="567">
        <v>1453.2808153000001</v>
      </c>
      <c r="M411" s="567">
        <v>1524.5883415999999</v>
      </c>
      <c r="N411" s="567">
        <v>885.75818660000004</v>
      </c>
      <c r="O411" s="567">
        <v>993.86120500000004</v>
      </c>
      <c r="P411" s="567">
        <v>1126.2867128</v>
      </c>
      <c r="Q411" s="567">
        <v>1237.4622274000001</v>
      </c>
      <c r="R411" s="567">
        <v>1370.3416451999999</v>
      </c>
      <c r="S411" s="567">
        <v>1503.221063</v>
      </c>
      <c r="T411" s="567">
        <v>1636.1004808</v>
      </c>
      <c r="V411" s="567">
        <f t="shared" si="38"/>
        <v>1255.738183607692</v>
      </c>
    </row>
    <row r="412" spans="1:22" x14ac:dyDescent="0.25">
      <c r="A412" s="567" t="str">
        <f t="shared" si="41"/>
        <v>KU</v>
      </c>
      <c r="B412" s="567" t="str">
        <f t="shared" si="42"/>
        <v>KY</v>
      </c>
      <c r="C412" s="567" t="str">
        <f t="shared" si="43"/>
        <v>E</v>
      </c>
      <c r="D412" s="567" t="s">
        <v>2649</v>
      </c>
      <c r="E412" s="567" t="str">
        <f t="shared" si="39"/>
        <v>391</v>
      </c>
      <c r="F412" s="864" t="s">
        <v>1723</v>
      </c>
      <c r="G412" s="566" t="str">
        <f t="shared" si="37"/>
        <v/>
      </c>
      <c r="H412" s="567">
        <v>21502.246832839999</v>
      </c>
      <c r="I412" s="567">
        <v>20148.747502310001</v>
      </c>
      <c r="J412" s="567">
        <v>19588.10579229</v>
      </c>
      <c r="K412" s="567">
        <v>19692.14743967</v>
      </c>
      <c r="L412" s="567">
        <v>19202.343980279999</v>
      </c>
      <c r="M412" s="567">
        <v>19494.8077747799</v>
      </c>
      <c r="N412" s="567">
        <v>19181.528573869899</v>
      </c>
      <c r="O412" s="567">
        <v>19362.733134559901</v>
      </c>
      <c r="P412" s="567">
        <v>19267.904479499899</v>
      </c>
      <c r="Q412" s="567">
        <v>18819.950877689898</v>
      </c>
      <c r="R412" s="567">
        <v>17420.091259169902</v>
      </c>
      <c r="S412" s="567">
        <v>17452.028398139901</v>
      </c>
      <c r="T412" s="567">
        <v>17687.990282699899</v>
      </c>
      <c r="V412" s="567">
        <f t="shared" si="38"/>
        <v>19140.048179061479</v>
      </c>
    </row>
    <row r="413" spans="1:22" x14ac:dyDescent="0.25">
      <c r="A413" s="567" t="str">
        <f t="shared" si="41"/>
        <v>KU</v>
      </c>
      <c r="B413" s="567" t="str">
        <f t="shared" si="42"/>
        <v>VA</v>
      </c>
      <c r="C413" s="567" t="str">
        <f t="shared" si="43"/>
        <v>E</v>
      </c>
      <c r="D413" s="567" t="s">
        <v>2649</v>
      </c>
      <c r="E413" s="567" t="str">
        <f t="shared" si="39"/>
        <v>391</v>
      </c>
      <c r="F413" s="864" t="s">
        <v>1724</v>
      </c>
      <c r="G413" s="566" t="str">
        <f t="shared" si="37"/>
        <v/>
      </c>
      <c r="H413" s="567">
        <v>-0.30864999999999998</v>
      </c>
      <c r="I413" s="567">
        <v>-0.30864999999999998</v>
      </c>
      <c r="J413" s="567">
        <v>-0.30864999999999998</v>
      </c>
      <c r="K413" s="567">
        <v>-0.30864999999999998</v>
      </c>
      <c r="L413" s="567">
        <v>-0.30864999999999998</v>
      </c>
      <c r="M413" s="567">
        <v>-0.30864999999999998</v>
      </c>
      <c r="N413" s="567">
        <v>-0.30864999999999998</v>
      </c>
      <c r="O413" s="567">
        <v>-0.30864999999999998</v>
      </c>
      <c r="P413" s="567">
        <v>-0.30864999999999998</v>
      </c>
      <c r="Q413" s="567">
        <v>-0.30864999999999998</v>
      </c>
      <c r="R413" s="567">
        <v>-0.30864999999999998</v>
      </c>
      <c r="S413" s="567">
        <v>-0.30864999999999998</v>
      </c>
      <c r="T413" s="567">
        <v>-0.30864999999999998</v>
      </c>
      <c r="V413" s="567">
        <f t="shared" ref="V413:V429" si="44">SUM(H413:T413)/13</f>
        <v>-0.30865000000000004</v>
      </c>
    </row>
    <row r="414" spans="1:22" x14ac:dyDescent="0.25">
      <c r="A414" s="567" t="str">
        <f t="shared" si="41"/>
        <v>KU</v>
      </c>
      <c r="B414" s="567" t="str">
        <f t="shared" si="42"/>
        <v>KY</v>
      </c>
      <c r="C414" s="567" t="str">
        <f t="shared" si="43"/>
        <v>E</v>
      </c>
      <c r="D414" s="567" t="s">
        <v>2649</v>
      </c>
      <c r="E414" s="567" t="str">
        <f t="shared" si="39"/>
        <v>392</v>
      </c>
      <c r="F414" s="864" t="s">
        <v>1725</v>
      </c>
      <c r="G414" s="566" t="str">
        <f t="shared" si="37"/>
        <v>ECR</v>
      </c>
      <c r="H414" s="567">
        <v>19.722366045000001</v>
      </c>
      <c r="I414" s="567">
        <v>19.754220649499999</v>
      </c>
      <c r="J414" s="567">
        <v>19.786075254</v>
      </c>
      <c r="K414" s="567">
        <v>19.817929858500001</v>
      </c>
      <c r="L414" s="567">
        <v>19.849784462999999</v>
      </c>
      <c r="M414" s="567">
        <v>19.8816390675</v>
      </c>
      <c r="N414" s="567">
        <v>19.913493672000001</v>
      </c>
      <c r="O414" s="567">
        <v>19.945348276499999</v>
      </c>
      <c r="P414" s="567">
        <v>19.977202881</v>
      </c>
      <c r="Q414" s="567">
        <v>20.009057485500001</v>
      </c>
      <c r="R414" s="567">
        <v>20.040912089999999</v>
      </c>
      <c r="S414" s="567">
        <v>20.0727666945</v>
      </c>
      <c r="T414" s="567">
        <v>20.104621299000001</v>
      </c>
      <c r="V414" s="567">
        <f t="shared" si="44"/>
        <v>19.913493672000001</v>
      </c>
    </row>
    <row r="415" spans="1:22" x14ac:dyDescent="0.25">
      <c r="A415" s="567" t="str">
        <f t="shared" si="41"/>
        <v>KU</v>
      </c>
      <c r="B415" s="567" t="str">
        <f t="shared" si="42"/>
        <v>KY</v>
      </c>
      <c r="C415" s="567" t="str">
        <f t="shared" si="43"/>
        <v>E</v>
      </c>
      <c r="D415" s="567" t="s">
        <v>2649</v>
      </c>
      <c r="E415" s="567" t="str">
        <f t="shared" si="39"/>
        <v>392</v>
      </c>
      <c r="F415" s="864" t="s">
        <v>1726</v>
      </c>
      <c r="G415" s="566" t="str">
        <f t="shared" si="37"/>
        <v/>
      </c>
      <c r="H415" s="567">
        <v>4260.6585634969997</v>
      </c>
      <c r="I415" s="567">
        <v>4278.9520163560001</v>
      </c>
      <c r="J415" s="567">
        <v>4297.2454692150004</v>
      </c>
      <c r="K415" s="567">
        <v>4315.5389220739999</v>
      </c>
      <c r="L415" s="567">
        <v>4333.8323749330002</v>
      </c>
      <c r="M415" s="567">
        <v>4352.1258277919997</v>
      </c>
      <c r="N415" s="567">
        <v>4370.419280651</v>
      </c>
      <c r="O415" s="567">
        <v>4388.7127335100004</v>
      </c>
      <c r="P415" s="567">
        <v>4407.0061863689998</v>
      </c>
      <c r="Q415" s="567">
        <v>4425.2996392280002</v>
      </c>
      <c r="R415" s="567">
        <v>4443.5930920869996</v>
      </c>
      <c r="S415" s="567">
        <v>4461.886544946</v>
      </c>
      <c r="T415" s="567">
        <v>4480.1799978050003</v>
      </c>
      <c r="V415" s="567">
        <f t="shared" si="44"/>
        <v>4370.419280651</v>
      </c>
    </row>
    <row r="416" spans="1:22" x14ac:dyDescent="0.25">
      <c r="A416" s="567" t="str">
        <f t="shared" si="41"/>
        <v>KU</v>
      </c>
      <c r="B416" s="567" t="str">
        <f t="shared" si="42"/>
        <v>VA</v>
      </c>
      <c r="C416" s="567" t="str">
        <f t="shared" si="43"/>
        <v>E</v>
      </c>
      <c r="D416" s="567" t="s">
        <v>2649</v>
      </c>
      <c r="E416" s="567" t="str">
        <f t="shared" si="39"/>
        <v>392</v>
      </c>
      <c r="F416" s="864" t="s">
        <v>2429</v>
      </c>
      <c r="G416" s="566" t="str">
        <f t="shared" si="37"/>
        <v/>
      </c>
      <c r="H416" s="567">
        <v>0.35580006669999997</v>
      </c>
      <c r="I416" s="567">
        <v>0.38033707337</v>
      </c>
      <c r="J416" s="567">
        <v>0.40487408003999997</v>
      </c>
      <c r="K416" s="567">
        <v>0.42941108671</v>
      </c>
      <c r="L416" s="567">
        <v>0.45394809337999997</v>
      </c>
      <c r="M416" s="567">
        <v>0.47848510005</v>
      </c>
      <c r="N416" s="567">
        <v>0.50302210672000003</v>
      </c>
      <c r="O416" s="567">
        <v>0.52755911338999995</v>
      </c>
      <c r="P416" s="567">
        <v>0.55209612005999997</v>
      </c>
      <c r="Q416" s="567">
        <v>0.57663312673</v>
      </c>
      <c r="R416" s="567">
        <v>0.60117013340000003</v>
      </c>
      <c r="S416" s="567">
        <v>0.62570714006999995</v>
      </c>
      <c r="T416" s="567">
        <v>0.65024414673999997</v>
      </c>
      <c r="V416" s="567">
        <f t="shared" si="44"/>
        <v>0.50302210672000003</v>
      </c>
    </row>
    <row r="417" spans="1:22" x14ac:dyDescent="0.25">
      <c r="A417" s="567" t="str">
        <f t="shared" si="41"/>
        <v>KU</v>
      </c>
      <c r="B417" s="567" t="str">
        <f t="shared" si="42"/>
        <v>KY</v>
      </c>
      <c r="C417" s="567" t="str">
        <f t="shared" si="43"/>
        <v>E</v>
      </c>
      <c r="D417" s="567" t="s">
        <v>2649</v>
      </c>
      <c r="E417" s="567" t="str">
        <f t="shared" si="39"/>
        <v>393</v>
      </c>
      <c r="F417" s="864" t="s">
        <v>1727</v>
      </c>
      <c r="G417" s="566" t="str">
        <f t="shared" si="37"/>
        <v/>
      </c>
      <c r="H417" s="567">
        <v>448.45141795499899</v>
      </c>
      <c r="I417" s="567">
        <v>438.790171581999</v>
      </c>
      <c r="J417" s="567">
        <v>442.15268446299899</v>
      </c>
      <c r="K417" s="567">
        <v>445.51519734399898</v>
      </c>
      <c r="L417" s="567">
        <v>447.27628965999901</v>
      </c>
      <c r="M417" s="567">
        <v>444.10083780199898</v>
      </c>
      <c r="N417" s="567">
        <v>436.73951241899903</v>
      </c>
      <c r="O417" s="567">
        <v>440.03311711999902</v>
      </c>
      <c r="P417" s="567">
        <v>443.32672182099901</v>
      </c>
      <c r="Q417" s="567">
        <v>446.620326521999</v>
      </c>
      <c r="R417" s="567">
        <v>449.913931222999</v>
      </c>
      <c r="S417" s="567">
        <v>453.20753592399899</v>
      </c>
      <c r="T417" s="567">
        <v>456.50114062499898</v>
      </c>
      <c r="V417" s="567">
        <f t="shared" si="44"/>
        <v>445.58683726615283</v>
      </c>
    </row>
    <row r="418" spans="1:22" x14ac:dyDescent="0.25">
      <c r="A418" s="567" t="str">
        <f t="shared" si="41"/>
        <v>KU</v>
      </c>
      <c r="B418" s="567" t="str">
        <f t="shared" si="42"/>
        <v>VA</v>
      </c>
      <c r="C418" s="567" t="str">
        <f t="shared" si="43"/>
        <v>E</v>
      </c>
      <c r="D418" s="567" t="s">
        <v>2649</v>
      </c>
      <c r="E418" s="567" t="str">
        <f t="shared" si="39"/>
        <v>393</v>
      </c>
      <c r="F418" s="864" t="s">
        <v>1728</v>
      </c>
      <c r="G418" s="566" t="str">
        <f t="shared" si="37"/>
        <v/>
      </c>
      <c r="H418" s="567">
        <v>0.222095475001999</v>
      </c>
      <c r="I418" s="567">
        <v>0.225309491668999</v>
      </c>
      <c r="J418" s="567">
        <v>0.22852350833599899</v>
      </c>
      <c r="K418" s="567">
        <v>0.23173752500299899</v>
      </c>
      <c r="L418" s="567">
        <v>0.23495154166999899</v>
      </c>
      <c r="M418" s="567">
        <v>0.23816555833699901</v>
      </c>
      <c r="N418" s="567">
        <v>0.24137957500399901</v>
      </c>
      <c r="O418" s="567">
        <v>0.24459359167099901</v>
      </c>
      <c r="P418" s="567">
        <v>0.247807608337999</v>
      </c>
      <c r="Q418" s="567">
        <v>0.25102162500499903</v>
      </c>
      <c r="R418" s="567">
        <v>0.25423564167199902</v>
      </c>
      <c r="S418" s="567">
        <v>0.25744965833899902</v>
      </c>
      <c r="T418" s="567">
        <v>0.26066367500599902</v>
      </c>
      <c r="V418" s="567">
        <f t="shared" si="44"/>
        <v>0.24137957500399904</v>
      </c>
    </row>
    <row r="419" spans="1:22" x14ac:dyDescent="0.25">
      <c r="A419" s="567" t="str">
        <f t="shared" si="41"/>
        <v>KU</v>
      </c>
      <c r="B419" s="567" t="str">
        <f t="shared" si="42"/>
        <v>KY</v>
      </c>
      <c r="C419" s="567" t="str">
        <f t="shared" si="43"/>
        <v>E</v>
      </c>
      <c r="D419" s="567" t="s">
        <v>2649</v>
      </c>
      <c r="E419" s="567" t="str">
        <f t="shared" si="39"/>
        <v>394</v>
      </c>
      <c r="F419" s="864" t="s">
        <v>1729</v>
      </c>
      <c r="G419" s="566" t="str">
        <f t="shared" si="37"/>
        <v/>
      </c>
      <c r="H419" s="567">
        <v>4711.34706482</v>
      </c>
      <c r="I419" s="567">
        <v>4759.5073226300001</v>
      </c>
      <c r="J419" s="567">
        <v>4795.4025709199996</v>
      </c>
      <c r="K419" s="567">
        <v>4845.3084064900004</v>
      </c>
      <c r="L419" s="567">
        <v>4876.3792357100001</v>
      </c>
      <c r="M419" s="567">
        <v>4909.5965133199998</v>
      </c>
      <c r="N419" s="567">
        <v>4963.26294640999</v>
      </c>
      <c r="O419" s="567">
        <v>5016.31349399999</v>
      </c>
      <c r="P419" s="567">
        <v>5060.9580818199902</v>
      </c>
      <c r="Q419" s="567">
        <v>5116.6959755299904</v>
      </c>
      <c r="R419" s="567">
        <v>5172.4614647499902</v>
      </c>
      <c r="S419" s="567">
        <v>5228.6332032599903</v>
      </c>
      <c r="T419" s="567">
        <v>5270.6661604699902</v>
      </c>
      <c r="V419" s="567">
        <f t="shared" si="44"/>
        <v>4978.9640338561485</v>
      </c>
    </row>
    <row r="420" spans="1:22" x14ac:dyDescent="0.25">
      <c r="A420" s="567" t="str">
        <f t="shared" si="41"/>
        <v>KU</v>
      </c>
      <c r="B420" s="567" t="str">
        <f t="shared" si="42"/>
        <v>VA</v>
      </c>
      <c r="C420" s="567" t="str">
        <f t="shared" si="43"/>
        <v>E</v>
      </c>
      <c r="D420" s="567" t="s">
        <v>2649</v>
      </c>
      <c r="E420" s="567" t="str">
        <f t="shared" si="39"/>
        <v>394</v>
      </c>
      <c r="F420" s="864" t="s">
        <v>1730</v>
      </c>
      <c r="G420" s="566" t="str">
        <f t="shared" si="37"/>
        <v/>
      </c>
      <c r="H420" s="567">
        <v>228.46715096200001</v>
      </c>
      <c r="I420" s="567">
        <v>230.74662385600001</v>
      </c>
      <c r="J420" s="567">
        <v>233.048895918</v>
      </c>
      <c r="K420" s="567">
        <v>235.373967147</v>
      </c>
      <c r="L420" s="567">
        <v>230.99172345299999</v>
      </c>
      <c r="M420" s="567">
        <v>233.33988483499999</v>
      </c>
      <c r="N420" s="567">
        <v>235.68804621699999</v>
      </c>
      <c r="O420" s="567">
        <v>238.03620759899999</v>
      </c>
      <c r="P420" s="567">
        <v>234.096514437</v>
      </c>
      <c r="Q420" s="567">
        <v>236.42364673</v>
      </c>
      <c r="R420" s="567">
        <v>238.75077902300001</v>
      </c>
      <c r="S420" s="567">
        <v>241.09831614199999</v>
      </c>
      <c r="T420" s="567">
        <v>243.46625808600001</v>
      </c>
      <c r="V420" s="567">
        <f t="shared" si="44"/>
        <v>235.34830880038464</v>
      </c>
    </row>
    <row r="421" spans="1:22" x14ac:dyDescent="0.25">
      <c r="A421" s="567" t="str">
        <f t="shared" si="41"/>
        <v>KU</v>
      </c>
      <c r="B421" s="567" t="str">
        <f t="shared" si="42"/>
        <v>KY</v>
      </c>
      <c r="C421" s="567" t="str">
        <f t="shared" si="43"/>
        <v>E</v>
      </c>
      <c r="D421" s="567" t="s">
        <v>2649</v>
      </c>
      <c r="E421" s="567" t="str">
        <f t="shared" si="39"/>
        <v>396</v>
      </c>
      <c r="F421" s="864" t="s">
        <v>1731</v>
      </c>
      <c r="G421" s="566" t="str">
        <f t="shared" si="37"/>
        <v/>
      </c>
      <c r="H421" s="567">
        <v>289.21059109999902</v>
      </c>
      <c r="I421" s="567">
        <v>292.145434209999</v>
      </c>
      <c r="J421" s="567">
        <v>295.08027731999903</v>
      </c>
      <c r="K421" s="567">
        <v>298.015120429999</v>
      </c>
      <c r="L421" s="567">
        <v>300.94996353999898</v>
      </c>
      <c r="M421" s="567">
        <v>303.88480664999901</v>
      </c>
      <c r="N421" s="567">
        <v>306.81964975999898</v>
      </c>
      <c r="O421" s="567">
        <v>309.75449286999901</v>
      </c>
      <c r="P421" s="567">
        <v>312.68933597999899</v>
      </c>
      <c r="Q421" s="567">
        <v>315.62417908999902</v>
      </c>
      <c r="R421" s="567">
        <v>318.55902219999899</v>
      </c>
      <c r="S421" s="567">
        <v>321.49386530999902</v>
      </c>
      <c r="T421" s="567">
        <v>324.428708419999</v>
      </c>
      <c r="V421" s="567">
        <f t="shared" si="44"/>
        <v>306.81964975999898</v>
      </c>
    </row>
    <row r="422" spans="1:22" x14ac:dyDescent="0.25">
      <c r="A422" s="567" t="str">
        <f t="shared" si="41"/>
        <v>KU</v>
      </c>
      <c r="B422" s="567" t="str">
        <f t="shared" si="42"/>
        <v>KY</v>
      </c>
      <c r="C422" s="567" t="str">
        <f t="shared" si="43"/>
        <v>E</v>
      </c>
      <c r="D422" s="567" t="s">
        <v>2649</v>
      </c>
      <c r="E422" s="567" t="str">
        <f t="shared" si="39"/>
        <v>396</v>
      </c>
      <c r="F422" s="864" t="s">
        <v>2430</v>
      </c>
      <c r="G422" s="566" t="str">
        <f t="shared" ref="G422:G430" si="45">IF(ISTEXT(MID($F422,SEARCH("FUTURE USE",$F422),3)),"FUTURE USE",IF(ISTEXT(MID($F422,SEARCH("ECR",$F422),3)),"ECR",IF(ISTEXT(MID($F422,SEARCH("ARO",$F422),3)),"ARO",IF(ISTEXT(MID($F422,SEARCH("DSM",$F422),3)),"DSM",""))))</f>
        <v/>
      </c>
      <c r="H422" s="567">
        <v>1007.91180270999</v>
      </c>
      <c r="I422" s="567">
        <v>1023.13055150999</v>
      </c>
      <c r="J422" s="567">
        <v>1038.34930030999</v>
      </c>
      <c r="K422" s="567">
        <v>1053.5680491099899</v>
      </c>
      <c r="L422" s="567">
        <v>1068.7867979099899</v>
      </c>
      <c r="M422" s="567">
        <v>1084.0055467099901</v>
      </c>
      <c r="N422" s="567">
        <v>1099.22429550999</v>
      </c>
      <c r="O422" s="567">
        <v>1114.44304430999</v>
      </c>
      <c r="P422" s="567">
        <v>1129.66179310999</v>
      </c>
      <c r="Q422" s="567">
        <v>1144.8805419099899</v>
      </c>
      <c r="R422" s="567">
        <v>1160.0992907099901</v>
      </c>
      <c r="S422" s="567">
        <v>1175.3180395099901</v>
      </c>
      <c r="T422" s="567">
        <v>1190.53678830999</v>
      </c>
      <c r="V422" s="567">
        <f t="shared" si="44"/>
        <v>1099.22429550999</v>
      </c>
    </row>
    <row r="423" spans="1:22" x14ac:dyDescent="0.25">
      <c r="A423" s="567" t="str">
        <f t="shared" si="41"/>
        <v>KU</v>
      </c>
      <c r="B423" s="567" t="str">
        <f t="shared" si="42"/>
        <v>VA</v>
      </c>
      <c r="C423" s="567" t="str">
        <f t="shared" si="43"/>
        <v>E</v>
      </c>
      <c r="D423" s="567" t="s">
        <v>2649</v>
      </c>
      <c r="E423" s="567" t="str">
        <f t="shared" si="39"/>
        <v>396</v>
      </c>
      <c r="F423" s="864" t="s">
        <v>1732</v>
      </c>
      <c r="G423" s="566" t="str">
        <f t="shared" si="45"/>
        <v/>
      </c>
      <c r="H423" s="567">
        <v>0</v>
      </c>
      <c r="I423" s="567">
        <v>0</v>
      </c>
      <c r="J423" s="567">
        <v>0</v>
      </c>
      <c r="K423" s="567">
        <v>0</v>
      </c>
      <c r="L423" s="567">
        <v>0</v>
      </c>
      <c r="M423" s="567">
        <v>0</v>
      </c>
      <c r="N423" s="567">
        <v>0</v>
      </c>
      <c r="O423" s="567">
        <v>0</v>
      </c>
      <c r="P423" s="567">
        <v>0</v>
      </c>
      <c r="Q423" s="567">
        <v>0</v>
      </c>
      <c r="R423" s="567">
        <v>0</v>
      </c>
      <c r="S423" s="567">
        <v>0</v>
      </c>
      <c r="T423" s="567">
        <v>0</v>
      </c>
      <c r="V423" s="567">
        <f t="shared" si="44"/>
        <v>0</v>
      </c>
    </row>
    <row r="424" spans="1:22" x14ac:dyDescent="0.25">
      <c r="A424" s="567" t="str">
        <f t="shared" si="41"/>
        <v>KU</v>
      </c>
      <c r="B424" s="567" t="str">
        <f t="shared" si="42"/>
        <v>VA</v>
      </c>
      <c r="C424" s="567" t="str">
        <f t="shared" si="43"/>
        <v>E</v>
      </c>
      <c r="D424" s="567" t="s">
        <v>2649</v>
      </c>
      <c r="E424" s="567" t="str">
        <f t="shared" si="39"/>
        <v>396</v>
      </c>
      <c r="F424" s="864" t="s">
        <v>2431</v>
      </c>
      <c r="G424" s="566" t="str">
        <f t="shared" si="45"/>
        <v/>
      </c>
      <c r="H424" s="567">
        <v>135.53401432999999</v>
      </c>
      <c r="I424" s="567">
        <v>136.863069763</v>
      </c>
      <c r="J424" s="567">
        <v>138.19212519600001</v>
      </c>
      <c r="K424" s="567">
        <v>139.52118062900001</v>
      </c>
      <c r="L424" s="567">
        <v>140.85023606199999</v>
      </c>
      <c r="M424" s="567">
        <v>142.179291495</v>
      </c>
      <c r="N424" s="567">
        <v>143.50834692800001</v>
      </c>
      <c r="O424" s="567">
        <v>144.83740236099999</v>
      </c>
      <c r="P424" s="567">
        <v>146.166457794</v>
      </c>
      <c r="Q424" s="567">
        <v>147.495513227</v>
      </c>
      <c r="R424" s="567">
        <v>148.82456866000001</v>
      </c>
      <c r="S424" s="567">
        <v>150.15362409299999</v>
      </c>
      <c r="T424" s="567">
        <v>151.482679526</v>
      </c>
      <c r="V424" s="567">
        <f t="shared" si="44"/>
        <v>143.50834692800001</v>
      </c>
    </row>
    <row r="425" spans="1:22" x14ac:dyDescent="0.25">
      <c r="A425" s="567" t="str">
        <f t="shared" si="41"/>
        <v>KU</v>
      </c>
      <c r="B425" s="567" t="str">
        <f t="shared" si="42"/>
        <v>KY</v>
      </c>
      <c r="C425" s="567" t="str">
        <f t="shared" si="43"/>
        <v>E</v>
      </c>
      <c r="D425" s="567" t="s">
        <v>2649</v>
      </c>
      <c r="E425" s="775">
        <v>3972</v>
      </c>
      <c r="F425" s="864" t="s">
        <v>1733</v>
      </c>
      <c r="G425" s="566" t="str">
        <f t="shared" si="45"/>
        <v>DSM</v>
      </c>
      <c r="H425" s="567">
        <v>3027.6392029899998</v>
      </c>
      <c r="I425" s="567">
        <v>3119.9915696999901</v>
      </c>
      <c r="J425" s="567">
        <v>3212.5883808199901</v>
      </c>
      <c r="K425" s="567">
        <v>3305.4296363499998</v>
      </c>
      <c r="L425" s="567">
        <v>3398.5153362799902</v>
      </c>
      <c r="M425" s="567">
        <v>3491.8454806199902</v>
      </c>
      <c r="N425" s="567">
        <v>3585.4200693599901</v>
      </c>
      <c r="O425" s="567">
        <v>3679.2391025099901</v>
      </c>
      <c r="P425" s="567">
        <v>3773.3025800599899</v>
      </c>
      <c r="Q425" s="567">
        <v>3867.50319088999</v>
      </c>
      <c r="R425" s="567">
        <v>3961.7336239199899</v>
      </c>
      <c r="S425" s="567">
        <v>4055.9938792099902</v>
      </c>
      <c r="T425" s="567">
        <v>4150.2839567599904</v>
      </c>
      <c r="V425" s="567">
        <f t="shared" si="44"/>
        <v>3586.8835391899916</v>
      </c>
    </row>
    <row r="426" spans="1:22" x14ac:dyDescent="0.25">
      <c r="A426" s="567" t="str">
        <f t="shared" si="41"/>
        <v>KU</v>
      </c>
      <c r="B426" s="567" t="str">
        <f t="shared" si="42"/>
        <v>KY</v>
      </c>
      <c r="C426" s="567" t="str">
        <f t="shared" si="43"/>
        <v>E</v>
      </c>
      <c r="D426" s="567" t="s">
        <v>2649</v>
      </c>
      <c r="E426" s="567" t="str">
        <f t="shared" ref="E426:E490" si="46">MID($F426,8,3)</f>
        <v>397</v>
      </c>
      <c r="F426" s="864" t="s">
        <v>1734</v>
      </c>
      <c r="G426" s="566" t="str">
        <f t="shared" si="45"/>
        <v/>
      </c>
      <c r="H426" s="567">
        <v>25128.278700800001</v>
      </c>
      <c r="I426" s="567">
        <v>25474.341687100001</v>
      </c>
      <c r="J426" s="567">
        <v>25820.4046734</v>
      </c>
      <c r="K426" s="567">
        <v>26166.4676597</v>
      </c>
      <c r="L426" s="567">
        <v>26512.810599299999</v>
      </c>
      <c r="M426" s="567">
        <v>26860.0412631</v>
      </c>
      <c r="N426" s="567">
        <v>27207.926750999999</v>
      </c>
      <c r="O426" s="567">
        <v>27558.4130402999</v>
      </c>
      <c r="P426" s="567">
        <v>27913.5763249999</v>
      </c>
      <c r="Q426" s="567">
        <v>28270.862856799999</v>
      </c>
      <c r="R426" s="567">
        <v>28628.149388599999</v>
      </c>
      <c r="S426" s="567">
        <v>28985.435920399999</v>
      </c>
      <c r="T426" s="567">
        <v>29342.7224522</v>
      </c>
      <c r="V426" s="567">
        <f t="shared" si="44"/>
        <v>27220.725485976905</v>
      </c>
    </row>
    <row r="427" spans="1:22" x14ac:dyDescent="0.25">
      <c r="A427" s="567" t="str">
        <f t="shared" si="41"/>
        <v>KU</v>
      </c>
      <c r="B427" s="567" t="str">
        <f t="shared" si="42"/>
        <v>VA</v>
      </c>
      <c r="C427" s="567" t="str">
        <f t="shared" si="43"/>
        <v>E</v>
      </c>
      <c r="D427" s="567" t="s">
        <v>2649</v>
      </c>
      <c r="E427" s="567" t="str">
        <f t="shared" si="46"/>
        <v>397</v>
      </c>
      <c r="F427" s="864" t="s">
        <v>1735</v>
      </c>
      <c r="G427" s="566" t="str">
        <f t="shared" si="45"/>
        <v/>
      </c>
      <c r="H427" s="567">
        <v>729.57011509999995</v>
      </c>
      <c r="I427" s="567">
        <v>735.46548160999998</v>
      </c>
      <c r="J427" s="567">
        <v>741.36084812000001</v>
      </c>
      <c r="K427" s="567">
        <v>747.25621463000004</v>
      </c>
      <c r="L427" s="567">
        <v>753.15158113999996</v>
      </c>
      <c r="M427" s="567">
        <v>759.04694764999999</v>
      </c>
      <c r="N427" s="567">
        <v>764.94231416000002</v>
      </c>
      <c r="O427" s="567">
        <v>770.83768067000005</v>
      </c>
      <c r="P427" s="567">
        <v>776.73304717999997</v>
      </c>
      <c r="Q427" s="567">
        <v>782.62841369</v>
      </c>
      <c r="R427" s="567">
        <v>788.52378020000003</v>
      </c>
      <c r="S427" s="567">
        <v>794.41914670999995</v>
      </c>
      <c r="T427" s="567">
        <v>800.31451321999998</v>
      </c>
      <c r="V427" s="567">
        <f t="shared" si="44"/>
        <v>764.94231415999991</v>
      </c>
    </row>
    <row r="428" spans="1:22" x14ac:dyDescent="0.25">
      <c r="A428" s="567" t="str">
        <f t="shared" si="41"/>
        <v>KY</v>
      </c>
      <c r="B428" s="567" t="str">
        <f t="shared" si="42"/>
        <v xml:space="preserve"> A</v>
      </c>
      <c r="C428" s="567" t="str">
        <f t="shared" si="43"/>
        <v/>
      </c>
      <c r="D428" s="567" t="s">
        <v>2649</v>
      </c>
      <c r="E428" s="567" t="str">
        <f t="shared" si="46"/>
        <v>lan</v>
      </c>
      <c r="F428" s="864" t="s">
        <v>1740</v>
      </c>
      <c r="G428" s="566" t="str">
        <f t="shared" si="45"/>
        <v/>
      </c>
      <c r="H428" s="567">
        <v>3408073.597068802</v>
      </c>
      <c r="I428" s="567">
        <v>3431750.5746262204</v>
      </c>
      <c r="J428" s="567">
        <v>3457816.5288737696</v>
      </c>
      <c r="K428" s="567">
        <v>3483407.1213854467</v>
      </c>
      <c r="L428" s="567">
        <v>3507171.2866518036</v>
      </c>
      <c r="M428" s="567">
        <v>3522569.0882510575</v>
      </c>
      <c r="N428" s="567">
        <v>3548369.3619615044</v>
      </c>
      <c r="O428" s="567">
        <v>3572744.4001057949</v>
      </c>
      <c r="P428" s="567">
        <v>3555297.9145477009</v>
      </c>
      <c r="Q428" s="567">
        <v>3522407.4195066588</v>
      </c>
      <c r="R428" s="567">
        <v>3543390.8136931038</v>
      </c>
      <c r="S428" s="567">
        <v>3569710.42725858</v>
      </c>
      <c r="T428" s="567">
        <v>3583747.05030397</v>
      </c>
      <c r="V428" s="567">
        <f t="shared" si="44"/>
        <v>3515881.1987872636</v>
      </c>
    </row>
    <row r="429" spans="1:22" x14ac:dyDescent="0.25">
      <c r="A429" s="567" t="str">
        <f t="shared" si="41"/>
        <v/>
      </c>
      <c r="B429" s="567" t="str">
        <f t="shared" si="42"/>
        <v/>
      </c>
      <c r="C429" s="567" t="str">
        <f t="shared" si="43"/>
        <v/>
      </c>
      <c r="E429" s="567" t="str">
        <f t="shared" si="46"/>
        <v/>
      </c>
      <c r="G429" s="566" t="str">
        <f t="shared" si="45"/>
        <v/>
      </c>
      <c r="H429" s="567">
        <v>-7.9162418842315674E-9</v>
      </c>
      <c r="I429" s="567">
        <v>0</v>
      </c>
      <c r="J429" s="567">
        <v>-1.0244548320770264E-8</v>
      </c>
      <c r="K429" s="567">
        <v>0</v>
      </c>
      <c r="L429" s="567">
        <v>-6.5192580223083496E-9</v>
      </c>
      <c r="M429" s="567">
        <v>0</v>
      </c>
      <c r="N429" s="567">
        <v>-5.5879354476928711E-9</v>
      </c>
      <c r="O429" s="567">
        <v>-5.1222741603851318E-9</v>
      </c>
      <c r="P429" s="567">
        <v>-9.3132257461547852E-9</v>
      </c>
      <c r="Q429" s="567">
        <v>0</v>
      </c>
      <c r="R429" s="567">
        <v>-6.0535967350006104E-9</v>
      </c>
      <c r="S429" s="567">
        <v>-9.7788870334625244E-9</v>
      </c>
      <c r="T429" s="567">
        <v>-9.7788870334625244E-9</v>
      </c>
      <c r="V429" s="567">
        <f t="shared" si="44"/>
        <v>-5.4088349525745096E-9</v>
      </c>
    </row>
    <row r="430" spans="1:22" x14ac:dyDescent="0.25">
      <c r="A430" s="567" t="str">
        <f t="shared" si="41"/>
        <v>al</v>
      </c>
      <c r="B430" s="567" t="str">
        <f t="shared" si="42"/>
        <v>ci</v>
      </c>
      <c r="C430" s="567" t="str">
        <f t="shared" si="43"/>
        <v/>
      </c>
      <c r="F430" s="862" t="s">
        <v>1739</v>
      </c>
      <c r="G430" s="566" t="str">
        <f t="shared" si="45"/>
        <v/>
      </c>
      <c r="U430" s="567">
        <f t="shared" ref="U430:U472" si="47">SUM(I430:T430)</f>
        <v>0</v>
      </c>
    </row>
    <row r="431" spans="1:22" x14ac:dyDescent="0.25">
      <c r="A431" s="567" t="str">
        <f t="shared" si="41"/>
        <v>KU</v>
      </c>
      <c r="B431" s="567" t="str">
        <f t="shared" si="42"/>
        <v>KY</v>
      </c>
      <c r="C431" s="567" t="str">
        <f t="shared" si="43"/>
        <v>E</v>
      </c>
      <c r="D431" s="567" t="s">
        <v>2650</v>
      </c>
      <c r="E431" s="567" t="str">
        <f t="shared" si="46"/>
        <v>302</v>
      </c>
      <c r="F431" s="864" t="s">
        <v>1612</v>
      </c>
      <c r="G431" s="566" t="str">
        <f>IF(ISTEXT(MID($F431,SEARCH("HYDRO PRODUCTION",$F431),9)),"HYDRO",IF(ISTEXT(MID($F431,SEARCH("OTHER PRODUCTION",$F431),9)),"OTHER",IF(ISTEXT(MID($F431,SEARCH("STEAM PRODUCTION",$F431),9)),"STEAM",IF(ISTEXT(MID($F431,SEARCH("TRANSMISSION",$F431),9)),"TRANSMISSION",IF(ISTEXT(MID($F431,SEARCH("DISTRIBUTION",$F431),9)),"DISTRIBUTION",IF(ISTEXT(MID($F431,SEARCH("COMMON",$F431),9)),"COMMON",IF(ISTEXT(MID($F431,SEARCH("GENERAL",$F431),9)),"GENERAL",IF(ISTEXT(MID($F431,SEARCH("INTANGIBLE",$F431),9)),"INTANGIBLE",IF(ISTEXT(MID($F431,SEARCH("STORAGE",$F431),3)),"STORAGE","")))))))))</f>
        <v>INTANGIBLE</v>
      </c>
      <c r="H431" s="567">
        <v>0.16915446079999999</v>
      </c>
      <c r="I431" s="567">
        <v>0.16915446079999999</v>
      </c>
      <c r="J431" s="567">
        <v>0.16915446079999999</v>
      </c>
      <c r="K431" s="567">
        <v>0.16915446079999999</v>
      </c>
      <c r="L431" s="567">
        <v>0.16915446079999999</v>
      </c>
      <c r="M431" s="567">
        <v>0.16915446079999999</v>
      </c>
      <c r="N431" s="567">
        <v>0.16915446079999999</v>
      </c>
      <c r="O431" s="567">
        <v>0.16915446079999999</v>
      </c>
      <c r="P431" s="567">
        <v>0.16915446079999999</v>
      </c>
      <c r="Q431" s="567">
        <v>0.16915446079999999</v>
      </c>
      <c r="R431" s="567">
        <v>0.16915446079999999</v>
      </c>
      <c r="S431" s="567">
        <v>0.16915446079999999</v>
      </c>
      <c r="T431" s="567">
        <v>0.16915446079999999</v>
      </c>
      <c r="U431" s="567">
        <f t="shared" si="47"/>
        <v>2.0298535296</v>
      </c>
    </row>
    <row r="432" spans="1:22" x14ac:dyDescent="0.25">
      <c r="A432" s="567" t="str">
        <f t="shared" si="41"/>
        <v>KU</v>
      </c>
      <c r="B432" s="567" t="str">
        <f t="shared" si="42"/>
        <v>KY</v>
      </c>
      <c r="C432" s="567" t="str">
        <f t="shared" si="43"/>
        <v>E</v>
      </c>
      <c r="D432" s="567" t="s">
        <v>2650</v>
      </c>
      <c r="E432" s="567" t="str">
        <f t="shared" si="46"/>
        <v>303</v>
      </c>
      <c r="F432" s="864" t="s">
        <v>1613</v>
      </c>
      <c r="G432" s="566" t="str">
        <f>IF(ISTEXT(MID($F432,SEARCH("HYDRO PRODUCTION",$F432),9)),"HYDRO",IF(ISTEXT(MID($F432,SEARCH("OTHER PRODUCTION",$F432),9)),"OTHER",IF(ISTEXT(MID($F432,SEARCH("STEAM PRODUCTION",$F432),9)),"STEAM",IF(ISTEXT(MID($F432,SEARCH("TRANSMISSION",$F432),9)),"TRANSMISSION",IF(ISTEXT(MID($F432,SEARCH("DISTRIBUTION",$F432),9)),"DISTRIBUTION",IF(ISTEXT(MID($F432,SEARCH("COMMON",$F432),9)),"COMMON",IF(ISTEXT(MID($F432,SEARCH("GENERAL",$F432),9)),"GENERAL",IF(ISTEXT(MID($F432,SEARCH("INTANGIBLE",$F432),9)),"INTANGIBLE",IF(ISTEXT(MID($F432,SEARCH("STORAGE",$F432),3)),"STORAGE","")))))))))</f>
        <v>INTANGIBLE</v>
      </c>
      <c r="H432" s="567">
        <v>1275.58</v>
      </c>
      <c r="I432" s="567">
        <v>1277.313754</v>
      </c>
      <c r="J432" s="567">
        <v>1333.6750810000001</v>
      </c>
      <c r="K432" s="567">
        <v>1392.461014</v>
      </c>
      <c r="L432" s="567">
        <v>1392.64141</v>
      </c>
      <c r="M432" s="567">
        <v>1389.8728550000001</v>
      </c>
      <c r="N432" s="567">
        <v>1379.836104</v>
      </c>
      <c r="O432" s="567">
        <v>1347.7611380000001</v>
      </c>
      <c r="P432" s="567">
        <v>1343.8358129999999</v>
      </c>
      <c r="Q432" s="567">
        <v>1352.663309</v>
      </c>
      <c r="R432" s="567">
        <v>1321.581602</v>
      </c>
      <c r="S432" s="567">
        <v>1367.9400659999999</v>
      </c>
      <c r="T432" s="567">
        <v>1445.7274190000001</v>
      </c>
      <c r="U432" s="567">
        <f t="shared" si="47"/>
        <v>16345.309565</v>
      </c>
    </row>
    <row r="433" spans="1:21" x14ac:dyDescent="0.25">
      <c r="A433" s="567" t="str">
        <f t="shared" si="41"/>
        <v>KU</v>
      </c>
      <c r="B433" s="567" t="str">
        <f t="shared" si="42"/>
        <v>KY</v>
      </c>
      <c r="C433" s="567" t="str">
        <f t="shared" si="43"/>
        <v>E</v>
      </c>
      <c r="D433" s="567" t="s">
        <v>2650</v>
      </c>
      <c r="E433" s="567" t="str">
        <f t="shared" si="46"/>
        <v>303</v>
      </c>
      <c r="F433" s="864" t="s">
        <v>1614</v>
      </c>
      <c r="G433" s="566" t="str">
        <f t="shared" ref="G433:G496" si="48">IF(ISTEXT(MID($F433,SEARCH("HYDRO PRODUCTION",$F433),9)),"HYDRO",IF(ISTEXT(MID($F433,SEARCH("OTHER PRODUCTION",$F433),9)),"OTHER",IF(ISTEXT(MID($F433,SEARCH("STEAM PRODUCTION",$F433),9)),"STEAM",IF(ISTEXT(MID($F433,SEARCH("TRANSMISSION",$F433),9)),"TRANSMISSION",IF(ISTEXT(MID($F433,SEARCH("DISTRIBUTION",$F433),9)),"DISTRIBUTION",IF(ISTEXT(MID($F433,SEARCH("COMMON",$F433),9)),"COMMON",IF(ISTEXT(MID($F433,SEARCH("GENERAL",$F433),9)),"GENERAL",IF(ISTEXT(MID($F433,SEARCH("INTANGIBLE",$F433),9)),"INTANGIBLE",IF(ISTEXT(MID($F433,SEARCH("STORAGE",$F433),3)),"STORAGE","")))))))))</f>
        <v>INTANGIBLE</v>
      </c>
      <c r="H433" s="567">
        <v>314.82143539999998</v>
      </c>
      <c r="I433" s="567">
        <v>160.7029852</v>
      </c>
      <c r="J433" s="567">
        <v>160.9283926</v>
      </c>
      <c r="K433" s="567">
        <v>160.9283926</v>
      </c>
      <c r="L433" s="567">
        <v>160.9283926</v>
      </c>
      <c r="M433" s="567">
        <v>160.9283926</v>
      </c>
      <c r="N433" s="567">
        <v>160.9283926</v>
      </c>
      <c r="O433" s="567">
        <v>160.9283926</v>
      </c>
      <c r="P433" s="567">
        <v>161.3743249</v>
      </c>
      <c r="Q433" s="567">
        <v>161.82025709999999</v>
      </c>
      <c r="R433" s="567">
        <v>162.22277030000001</v>
      </c>
      <c r="S433" s="567">
        <v>162.62528349999999</v>
      </c>
      <c r="T433" s="567">
        <v>163.30150560000001</v>
      </c>
      <c r="U433" s="567">
        <f t="shared" si="47"/>
        <v>1937.6174822</v>
      </c>
    </row>
    <row r="434" spans="1:21" x14ac:dyDescent="0.25">
      <c r="A434" s="567" t="str">
        <f t="shared" si="41"/>
        <v>KU</v>
      </c>
      <c r="B434" s="567" t="str">
        <f t="shared" si="42"/>
        <v>KY</v>
      </c>
      <c r="C434" s="567" t="str">
        <f t="shared" si="43"/>
        <v>E</v>
      </c>
      <c r="D434" s="567" t="s">
        <v>2650</v>
      </c>
      <c r="E434" s="567" t="str">
        <f t="shared" si="46"/>
        <v>311</v>
      </c>
      <c r="F434" s="864" t="s">
        <v>1618</v>
      </c>
      <c r="G434" s="566" t="str">
        <f t="shared" si="48"/>
        <v>STEAM</v>
      </c>
      <c r="H434" s="567">
        <v>21.67086704247</v>
      </c>
      <c r="I434" s="567">
        <v>29.566406165999901</v>
      </c>
      <c r="J434" s="567">
        <v>29.566406165999901</v>
      </c>
      <c r="K434" s="567">
        <v>29.566406165999901</v>
      </c>
      <c r="L434" s="567">
        <v>29.566406165999901</v>
      </c>
      <c r="M434" s="567">
        <v>29.566406165999901</v>
      </c>
      <c r="N434" s="567">
        <v>29.566406165999901</v>
      </c>
      <c r="O434" s="567">
        <v>29.566406165999901</v>
      </c>
      <c r="P434" s="567">
        <v>29.566406165999901</v>
      </c>
      <c r="Q434" s="567">
        <v>29.566406165999901</v>
      </c>
      <c r="R434" s="567">
        <v>29.566406165999901</v>
      </c>
      <c r="S434" s="567">
        <v>29.566406165999901</v>
      </c>
      <c r="T434" s="567">
        <v>29.566406165999901</v>
      </c>
      <c r="U434" s="567">
        <f t="shared" si="47"/>
        <v>354.79687399199884</v>
      </c>
    </row>
    <row r="435" spans="1:21" x14ac:dyDescent="0.25">
      <c r="A435" s="567" t="str">
        <f t="shared" si="41"/>
        <v>KU</v>
      </c>
      <c r="B435" s="567" t="str">
        <f t="shared" si="42"/>
        <v>KY</v>
      </c>
      <c r="C435" s="567" t="str">
        <f t="shared" si="43"/>
        <v>E</v>
      </c>
      <c r="D435" s="567" t="s">
        <v>2650</v>
      </c>
      <c r="E435" s="567" t="str">
        <f t="shared" si="46"/>
        <v>311</v>
      </c>
      <c r="F435" s="864" t="s">
        <v>1619</v>
      </c>
      <c r="G435" s="566" t="str">
        <f t="shared" si="48"/>
        <v>STEAM</v>
      </c>
      <c r="H435" s="567">
        <v>18.920384351500001</v>
      </c>
      <c r="I435" s="567">
        <v>30.029720549</v>
      </c>
      <c r="J435" s="567">
        <v>30.029720549</v>
      </c>
      <c r="K435" s="567">
        <v>30.029720549</v>
      </c>
      <c r="L435" s="567">
        <v>30.029720549</v>
      </c>
      <c r="M435" s="567">
        <v>30.029720549</v>
      </c>
      <c r="N435" s="567">
        <v>30.029720549</v>
      </c>
      <c r="O435" s="567">
        <v>30.029720549</v>
      </c>
      <c r="P435" s="567">
        <v>30.029720549</v>
      </c>
      <c r="Q435" s="567">
        <v>30.029720549</v>
      </c>
      <c r="R435" s="567">
        <v>30.029720549</v>
      </c>
      <c r="S435" s="567">
        <v>30.029720549</v>
      </c>
      <c r="T435" s="567">
        <v>30.029720549</v>
      </c>
      <c r="U435" s="567">
        <f t="shared" si="47"/>
        <v>360.35664658799993</v>
      </c>
    </row>
    <row r="436" spans="1:21" x14ac:dyDescent="0.25">
      <c r="A436" s="567" t="str">
        <f t="shared" si="41"/>
        <v>KU</v>
      </c>
      <c r="B436" s="567" t="str">
        <f t="shared" si="42"/>
        <v>KY</v>
      </c>
      <c r="C436" s="567" t="str">
        <f t="shared" si="43"/>
        <v>E</v>
      </c>
      <c r="D436" s="567" t="s">
        <v>2650</v>
      </c>
      <c r="E436" s="567" t="str">
        <f>MID($F436,8,3)</f>
        <v>311</v>
      </c>
      <c r="F436" s="864" t="s">
        <v>1620</v>
      </c>
      <c r="G436" s="566" t="str">
        <f t="shared" si="48"/>
        <v>STEAM</v>
      </c>
      <c r="H436" s="567">
        <v>560.16679800053703</v>
      </c>
      <c r="I436" s="567">
        <v>640.38045524503002</v>
      </c>
      <c r="J436" s="567">
        <v>641.56487584302999</v>
      </c>
      <c r="K436" s="567">
        <v>643.67129689702995</v>
      </c>
      <c r="L436" s="567">
        <v>645.58038080102995</v>
      </c>
      <c r="M436" s="567">
        <v>645.88698252503002</v>
      </c>
      <c r="N436" s="567">
        <v>646.12799315902998</v>
      </c>
      <c r="O436" s="567">
        <v>646.68326556202999</v>
      </c>
      <c r="P436" s="567">
        <v>647.01186304803002</v>
      </c>
      <c r="Q436" s="567">
        <v>647.01186304803002</v>
      </c>
      <c r="R436" s="567">
        <v>647.01186304803002</v>
      </c>
      <c r="S436" s="567">
        <v>647.28183861502998</v>
      </c>
      <c r="T436" s="567">
        <v>647.57959146503003</v>
      </c>
      <c r="U436" s="567">
        <f t="shared" si="47"/>
        <v>7745.7922692563607</v>
      </c>
    </row>
    <row r="437" spans="1:21" x14ac:dyDescent="0.25">
      <c r="A437" s="567" t="str">
        <f t="shared" si="41"/>
        <v>KU</v>
      </c>
      <c r="B437" s="567" t="str">
        <f t="shared" si="42"/>
        <v>KY</v>
      </c>
      <c r="C437" s="567" t="str">
        <f t="shared" si="43"/>
        <v>E</v>
      </c>
      <c r="D437" s="567" t="s">
        <v>2650</v>
      </c>
      <c r="E437" s="567" t="str">
        <f t="shared" si="46"/>
        <v>312</v>
      </c>
      <c r="F437" s="864" t="s">
        <v>1621</v>
      </c>
      <c r="G437" s="566" t="str">
        <f t="shared" si="48"/>
        <v>STEAM</v>
      </c>
      <c r="H437" s="567">
        <v>6608.1509561311996</v>
      </c>
      <c r="I437" s="567">
        <v>9217.3068638777495</v>
      </c>
      <c r="J437" s="567">
        <v>9246.8468007877509</v>
      </c>
      <c r="K437" s="567">
        <v>9277.9180175377496</v>
      </c>
      <c r="L437" s="567">
        <v>9284.3639015177505</v>
      </c>
      <c r="M437" s="567">
        <v>9286.9062772277503</v>
      </c>
      <c r="N437" s="567">
        <v>9289.8397537377496</v>
      </c>
      <c r="O437" s="567">
        <v>9312.8286998477506</v>
      </c>
      <c r="P437" s="567">
        <v>9340.6321508577494</v>
      </c>
      <c r="Q437" s="567">
        <v>9347.2644932477506</v>
      </c>
      <c r="R437" s="567">
        <v>9339.9762570777493</v>
      </c>
      <c r="S437" s="567">
        <v>9345.6649136377491</v>
      </c>
      <c r="T437" s="567">
        <v>9365.6297040177506</v>
      </c>
      <c r="U437" s="567">
        <f t="shared" si="47"/>
        <v>111655.177833373</v>
      </c>
    </row>
    <row r="438" spans="1:21" x14ac:dyDescent="0.25">
      <c r="A438" s="567" t="str">
        <f t="shared" si="41"/>
        <v>KU</v>
      </c>
      <c r="B438" s="567" t="str">
        <f t="shared" si="42"/>
        <v>KY</v>
      </c>
      <c r="C438" s="567" t="str">
        <f t="shared" si="43"/>
        <v>E</v>
      </c>
      <c r="D438" s="567" t="s">
        <v>2650</v>
      </c>
      <c r="E438" s="567" t="str">
        <f t="shared" si="46"/>
        <v>312</v>
      </c>
      <c r="F438" s="864" t="s">
        <v>1622</v>
      </c>
      <c r="G438" s="566" t="str">
        <f t="shared" si="48"/>
        <v>STEAM</v>
      </c>
      <c r="H438" s="567">
        <v>1100.768465483</v>
      </c>
      <c r="I438" s="567">
        <v>1828.037167429</v>
      </c>
      <c r="J438" s="567">
        <v>1828.0832799289999</v>
      </c>
      <c r="K438" s="567">
        <v>1828.1293924290001</v>
      </c>
      <c r="L438" s="567">
        <v>1828.175504929</v>
      </c>
      <c r="M438" s="567">
        <v>1828.2216174289999</v>
      </c>
      <c r="N438" s="567">
        <v>1828.2677299290001</v>
      </c>
      <c r="O438" s="567">
        <v>1849.5724128919901</v>
      </c>
      <c r="P438" s="567">
        <v>1908.3847978619999</v>
      </c>
      <c r="Q438" s="567">
        <v>1946.345324719</v>
      </c>
      <c r="R438" s="567">
        <v>1948.1047607190001</v>
      </c>
      <c r="S438" s="567">
        <v>1949.4924757189999</v>
      </c>
      <c r="T438" s="567">
        <v>1949.676564049</v>
      </c>
      <c r="U438" s="567">
        <f t="shared" si="47"/>
        <v>22520.491028033994</v>
      </c>
    </row>
    <row r="439" spans="1:21" x14ac:dyDescent="0.25">
      <c r="A439" s="567" t="str">
        <f t="shared" si="41"/>
        <v>KU</v>
      </c>
      <c r="B439" s="567" t="str">
        <f t="shared" si="42"/>
        <v>KY</v>
      </c>
      <c r="C439" s="567" t="str">
        <f t="shared" si="43"/>
        <v>E</v>
      </c>
      <c r="D439" s="567" t="s">
        <v>2650</v>
      </c>
      <c r="E439" s="567" t="str">
        <f t="shared" si="46"/>
        <v>312</v>
      </c>
      <c r="F439" s="864" t="s">
        <v>1623</v>
      </c>
      <c r="G439" s="566" t="str">
        <f t="shared" si="48"/>
        <v>STEAM</v>
      </c>
      <c r="H439" s="567">
        <v>1673.3572186479901</v>
      </c>
      <c r="I439" s="567">
        <v>3160.2425262699999</v>
      </c>
      <c r="J439" s="567">
        <v>3160.2425262699999</v>
      </c>
      <c r="K439" s="567">
        <v>3160.2425262699999</v>
      </c>
      <c r="L439" s="567">
        <v>3160.2425262699999</v>
      </c>
      <c r="M439" s="567">
        <v>3160.2425262699999</v>
      </c>
      <c r="N439" s="567">
        <v>3160.2425262699999</v>
      </c>
      <c r="O439" s="567">
        <v>3160.2425262699999</v>
      </c>
      <c r="P439" s="567">
        <v>3163.4136989899998</v>
      </c>
      <c r="Q439" s="567">
        <v>3166.5848716099999</v>
      </c>
      <c r="R439" s="567">
        <v>3166.5848716099999</v>
      </c>
      <c r="S439" s="567">
        <v>3167.57654938</v>
      </c>
      <c r="T439" s="567">
        <v>3168.5682270399998</v>
      </c>
      <c r="U439" s="567">
        <f t="shared" si="47"/>
        <v>37954.425902520001</v>
      </c>
    </row>
    <row r="440" spans="1:21" x14ac:dyDescent="0.25">
      <c r="A440" s="567" t="str">
        <f t="shared" si="41"/>
        <v>KU</v>
      </c>
      <c r="B440" s="567" t="str">
        <f t="shared" si="42"/>
        <v>KY</v>
      </c>
      <c r="C440" s="567" t="str">
        <f t="shared" si="43"/>
        <v>E</v>
      </c>
      <c r="D440" s="567" t="s">
        <v>2650</v>
      </c>
      <c r="E440" s="567" t="str">
        <f t="shared" si="46"/>
        <v>312</v>
      </c>
      <c r="F440" s="864" t="s">
        <v>1624</v>
      </c>
      <c r="G440" s="566" t="str">
        <f t="shared" si="48"/>
        <v>STEAM</v>
      </c>
      <c r="H440" s="567">
        <v>54.236732309519901</v>
      </c>
      <c r="I440" s="567">
        <v>322.12845152592001</v>
      </c>
      <c r="J440" s="567">
        <v>567.72442088891898</v>
      </c>
      <c r="K440" s="567">
        <v>574.31405192991895</v>
      </c>
      <c r="L440" s="567">
        <v>578.04229349991999</v>
      </c>
      <c r="M440" s="567">
        <v>581.60922226992</v>
      </c>
      <c r="N440" s="567">
        <v>621.32445395191996</v>
      </c>
      <c r="O440" s="567">
        <v>661.11399526191997</v>
      </c>
      <c r="P440" s="567">
        <v>731.59098601391997</v>
      </c>
      <c r="Q440" s="567">
        <v>800.34614040791996</v>
      </c>
      <c r="R440" s="567">
        <v>800.56239043792004</v>
      </c>
      <c r="S440" s="567">
        <v>800.99489040792002</v>
      </c>
      <c r="T440" s="567">
        <v>801.64364040791997</v>
      </c>
      <c r="U440" s="567">
        <f t="shared" si="47"/>
        <v>7841.3949370040373</v>
      </c>
    </row>
    <row r="441" spans="1:21" x14ac:dyDescent="0.25">
      <c r="A441" s="567" t="str">
        <f t="shared" si="41"/>
        <v>KU</v>
      </c>
      <c r="B441" s="567" t="str">
        <f t="shared" si="42"/>
        <v>KY</v>
      </c>
      <c r="C441" s="567" t="str">
        <f t="shared" si="43"/>
        <v>E</v>
      </c>
      <c r="D441" s="567" t="s">
        <v>2650</v>
      </c>
      <c r="E441" s="567" t="str">
        <f t="shared" si="46"/>
        <v>314</v>
      </c>
      <c r="F441" s="864" t="s">
        <v>1625</v>
      </c>
      <c r="G441" s="566" t="str">
        <f t="shared" si="48"/>
        <v>STEAM</v>
      </c>
      <c r="H441" s="567">
        <v>610.37509595596998</v>
      </c>
      <c r="I441" s="567">
        <v>788.71421822151694</v>
      </c>
      <c r="J441" s="567">
        <v>790.068191721517</v>
      </c>
      <c r="K441" s="567">
        <v>791.16977582751701</v>
      </c>
      <c r="L441" s="567">
        <v>791.37586328451698</v>
      </c>
      <c r="M441" s="567">
        <v>791.37586328451698</v>
      </c>
      <c r="N441" s="567">
        <v>791.37586328451698</v>
      </c>
      <c r="O441" s="567">
        <v>793.63152322651695</v>
      </c>
      <c r="P441" s="567">
        <v>810.06771458951698</v>
      </c>
      <c r="Q441" s="567">
        <v>824.24824600851696</v>
      </c>
      <c r="R441" s="567">
        <v>824.24824600851696</v>
      </c>
      <c r="S441" s="567">
        <v>824.24824600851696</v>
      </c>
      <c r="T441" s="567">
        <v>816.40522366051698</v>
      </c>
      <c r="U441" s="567">
        <f t="shared" si="47"/>
        <v>9636.928975126204</v>
      </c>
    </row>
    <row r="442" spans="1:21" x14ac:dyDescent="0.25">
      <c r="A442" s="567" t="str">
        <f t="shared" si="41"/>
        <v>KU</v>
      </c>
      <c r="B442" s="567" t="str">
        <f t="shared" si="42"/>
        <v>KY</v>
      </c>
      <c r="C442" s="567" t="str">
        <f t="shared" si="43"/>
        <v>E</v>
      </c>
      <c r="D442" s="567" t="s">
        <v>2650</v>
      </c>
      <c r="E442" s="567" t="str">
        <f t="shared" si="46"/>
        <v>315</v>
      </c>
      <c r="F442" s="864" t="s">
        <v>1626</v>
      </c>
      <c r="G442" s="566" t="str">
        <f t="shared" si="48"/>
        <v>STEAM</v>
      </c>
      <c r="H442" s="567">
        <v>452.21860323662997</v>
      </c>
      <c r="I442" s="567">
        <v>527.44725749529698</v>
      </c>
      <c r="J442" s="567">
        <v>527.55787831579698</v>
      </c>
      <c r="K442" s="567">
        <v>527.55787831579698</v>
      </c>
      <c r="L442" s="567">
        <v>527.55787831579698</v>
      </c>
      <c r="M442" s="567">
        <v>527.55787831579698</v>
      </c>
      <c r="N442" s="567">
        <v>527.55787831579698</v>
      </c>
      <c r="O442" s="567">
        <v>532.29411079869601</v>
      </c>
      <c r="P442" s="567">
        <v>538.64699521289697</v>
      </c>
      <c r="Q442" s="567">
        <v>540.263647126097</v>
      </c>
      <c r="R442" s="567">
        <v>540.263647126097</v>
      </c>
      <c r="S442" s="567">
        <v>540.263647126097</v>
      </c>
      <c r="T442" s="567">
        <v>539.687273127396</v>
      </c>
      <c r="U442" s="567">
        <f t="shared" si="47"/>
        <v>6396.6559695915621</v>
      </c>
    </row>
    <row r="443" spans="1:21" x14ac:dyDescent="0.25">
      <c r="A443" s="567" t="str">
        <f t="shared" si="41"/>
        <v>KU</v>
      </c>
      <c r="B443" s="567" t="str">
        <f t="shared" si="42"/>
        <v>KY</v>
      </c>
      <c r="C443" s="567" t="str">
        <f t="shared" si="43"/>
        <v>E</v>
      </c>
      <c r="D443" s="567" t="s">
        <v>2650</v>
      </c>
      <c r="E443" s="567" t="str">
        <f t="shared" si="46"/>
        <v>315</v>
      </c>
      <c r="F443" s="864" t="s">
        <v>1627</v>
      </c>
      <c r="G443" s="566" t="str">
        <f t="shared" si="48"/>
        <v>STEAM</v>
      </c>
      <c r="H443" s="567">
        <v>30.525137318029898</v>
      </c>
      <c r="I443" s="567">
        <v>62.271684961070001</v>
      </c>
      <c r="J443" s="567">
        <v>62.271684961070001</v>
      </c>
      <c r="K443" s="567">
        <v>62.271684961070001</v>
      </c>
      <c r="L443" s="567">
        <v>62.271684961070001</v>
      </c>
      <c r="M443" s="567">
        <v>62.271684961070001</v>
      </c>
      <c r="N443" s="567">
        <v>62.271684961070001</v>
      </c>
      <c r="O443" s="567">
        <v>62.271684961070001</v>
      </c>
      <c r="P443" s="567">
        <v>62.271684961070001</v>
      </c>
      <c r="Q443" s="567">
        <v>62.271684961070001</v>
      </c>
      <c r="R443" s="567">
        <v>62.271684961070001</v>
      </c>
      <c r="S443" s="567">
        <v>62.271684961070001</v>
      </c>
      <c r="T443" s="567">
        <v>62.271684961070001</v>
      </c>
      <c r="U443" s="567">
        <f t="shared" si="47"/>
        <v>747.2602195328401</v>
      </c>
    </row>
    <row r="444" spans="1:21" x14ac:dyDescent="0.25">
      <c r="A444" s="567" t="str">
        <f t="shared" si="41"/>
        <v>KU</v>
      </c>
      <c r="B444" s="567" t="str">
        <f t="shared" si="42"/>
        <v>KY</v>
      </c>
      <c r="C444" s="567" t="str">
        <f t="shared" si="43"/>
        <v>E</v>
      </c>
      <c r="D444" s="567" t="s">
        <v>2650</v>
      </c>
      <c r="E444" s="567" t="str">
        <f t="shared" si="46"/>
        <v>315</v>
      </c>
      <c r="F444" s="864" t="s">
        <v>1628</v>
      </c>
      <c r="G444" s="566" t="str">
        <f t="shared" si="48"/>
        <v>STEAM</v>
      </c>
      <c r="H444" s="567">
        <v>15.883009085199999</v>
      </c>
      <c r="I444" s="567">
        <v>37.894107699552997</v>
      </c>
      <c r="J444" s="567">
        <v>37.894107699552997</v>
      </c>
      <c r="K444" s="567">
        <v>37.894107699552997</v>
      </c>
      <c r="L444" s="567">
        <v>37.894107699552997</v>
      </c>
      <c r="M444" s="567">
        <v>37.894107699552997</v>
      </c>
      <c r="N444" s="567">
        <v>37.894107699552997</v>
      </c>
      <c r="O444" s="567">
        <v>37.894107699552997</v>
      </c>
      <c r="P444" s="567">
        <v>37.894107699552997</v>
      </c>
      <c r="Q444" s="567">
        <v>37.894107699552997</v>
      </c>
      <c r="R444" s="567">
        <v>37.894107699552997</v>
      </c>
      <c r="S444" s="567">
        <v>37.894107699552997</v>
      </c>
      <c r="T444" s="567">
        <v>37.894107699552997</v>
      </c>
      <c r="U444" s="567">
        <f t="shared" si="47"/>
        <v>454.72929239463593</v>
      </c>
    </row>
    <row r="445" spans="1:21" x14ac:dyDescent="0.25">
      <c r="A445" s="567" t="str">
        <f t="shared" si="41"/>
        <v>KU</v>
      </c>
      <c r="B445" s="567" t="str">
        <f t="shared" si="42"/>
        <v>KY</v>
      </c>
      <c r="C445" s="567" t="str">
        <f t="shared" si="43"/>
        <v>E</v>
      </c>
      <c r="D445" s="567" t="s">
        <v>2650</v>
      </c>
      <c r="E445" s="567" t="str">
        <f t="shared" si="46"/>
        <v>316</v>
      </c>
      <c r="F445" s="864" t="s">
        <v>1629</v>
      </c>
      <c r="G445" s="566" t="str">
        <f t="shared" si="48"/>
        <v>STEAM</v>
      </c>
      <c r="H445" s="567">
        <v>0.82492337999999998</v>
      </c>
      <c r="I445" s="567">
        <v>1.491736446</v>
      </c>
      <c r="J445" s="567">
        <v>1.491736446</v>
      </c>
      <c r="K445" s="567">
        <v>1.491736446</v>
      </c>
      <c r="L445" s="567">
        <v>1.491736446</v>
      </c>
      <c r="M445" s="567">
        <v>1.491736446</v>
      </c>
      <c r="N445" s="567">
        <v>1.491736446</v>
      </c>
      <c r="O445" s="567">
        <v>1.491736446</v>
      </c>
      <c r="P445" s="567">
        <v>1.491736446</v>
      </c>
      <c r="Q445" s="567">
        <v>1.491736446</v>
      </c>
      <c r="R445" s="567">
        <v>1.491736446</v>
      </c>
      <c r="S445" s="567">
        <v>1.491736446</v>
      </c>
      <c r="T445" s="567">
        <v>1.491736446</v>
      </c>
      <c r="U445" s="567">
        <f t="shared" si="47"/>
        <v>17.900837352000003</v>
      </c>
    </row>
    <row r="446" spans="1:21" x14ac:dyDescent="0.25">
      <c r="A446" s="567" t="str">
        <f t="shared" si="41"/>
        <v>KU</v>
      </c>
      <c r="B446" s="567" t="str">
        <f t="shared" si="42"/>
        <v>KY</v>
      </c>
      <c r="C446" s="567" t="str">
        <f t="shared" si="43"/>
        <v>E</v>
      </c>
      <c r="D446" s="567" t="s">
        <v>2650</v>
      </c>
      <c r="E446" s="567" t="str">
        <f t="shared" si="46"/>
        <v>316</v>
      </c>
      <c r="F446" s="864" t="s">
        <v>1630</v>
      </c>
      <c r="G446" s="566" t="str">
        <f t="shared" si="48"/>
        <v>STEAM</v>
      </c>
      <c r="H446" s="567">
        <v>75.425281644050003</v>
      </c>
      <c r="I446" s="567">
        <v>93.397928551009997</v>
      </c>
      <c r="J446" s="567">
        <v>95.453693481610003</v>
      </c>
      <c r="K446" s="567">
        <v>95.547349081009997</v>
      </c>
      <c r="L446" s="567">
        <v>96.06901091201</v>
      </c>
      <c r="M446" s="567">
        <v>96.590672754110003</v>
      </c>
      <c r="N446" s="567">
        <v>97.163231864110003</v>
      </c>
      <c r="O446" s="567">
        <v>98.070027873879994</v>
      </c>
      <c r="P446" s="567">
        <v>102.81791513495</v>
      </c>
      <c r="Q446" s="567">
        <v>107.231565526149</v>
      </c>
      <c r="R446" s="567">
        <v>107.231565526149</v>
      </c>
      <c r="S446" s="567">
        <v>107.49598327888</v>
      </c>
      <c r="T446" s="567">
        <v>108.1475700332</v>
      </c>
      <c r="U446" s="567">
        <f t="shared" si="47"/>
        <v>1205.216514017068</v>
      </c>
    </row>
    <row r="447" spans="1:21" x14ac:dyDescent="0.25">
      <c r="A447" s="567" t="str">
        <f t="shared" si="41"/>
        <v>KU</v>
      </c>
      <c r="B447" s="567" t="str">
        <f t="shared" si="42"/>
        <v>KY</v>
      </c>
      <c r="C447" s="567" t="str">
        <f t="shared" si="43"/>
        <v>E</v>
      </c>
      <c r="D447" s="567" t="s">
        <v>2650</v>
      </c>
      <c r="E447" s="567" t="str">
        <f t="shared" si="46"/>
        <v>317</v>
      </c>
      <c r="F447" s="864" t="s">
        <v>1631</v>
      </c>
      <c r="G447" s="566" t="str">
        <f t="shared" si="48"/>
        <v>STEAM</v>
      </c>
      <c r="H447" s="567">
        <v>451.94018000000102</v>
      </c>
      <c r="I447" s="567">
        <v>451.94018000000102</v>
      </c>
      <c r="J447" s="567">
        <v>451.94018000000102</v>
      </c>
      <c r="K447" s="567">
        <v>451.94018000000102</v>
      </c>
      <c r="L447" s="567">
        <v>451.94018000000102</v>
      </c>
      <c r="M447" s="567">
        <v>451.94018000000102</v>
      </c>
      <c r="N447" s="567">
        <v>451.94018000000102</v>
      </c>
      <c r="O447" s="567">
        <v>451.94018000000102</v>
      </c>
      <c r="P447" s="567">
        <v>451.94018000000102</v>
      </c>
      <c r="Q447" s="567">
        <v>60.823937044654102</v>
      </c>
      <c r="R447" s="567">
        <v>60.823937044654102</v>
      </c>
      <c r="S447" s="567">
        <v>60.823937044654102</v>
      </c>
      <c r="T447" s="567">
        <v>60.823937044654102</v>
      </c>
      <c r="U447" s="567">
        <f t="shared" si="47"/>
        <v>3858.8171881786243</v>
      </c>
    </row>
    <row r="448" spans="1:21" x14ac:dyDescent="0.25">
      <c r="A448" s="567" t="str">
        <f t="shared" si="41"/>
        <v>KU</v>
      </c>
      <c r="B448" s="567" t="str">
        <f t="shared" si="42"/>
        <v>KY</v>
      </c>
      <c r="C448" s="567" t="str">
        <f t="shared" si="43"/>
        <v>E</v>
      </c>
      <c r="D448" s="567" t="s">
        <v>2650</v>
      </c>
      <c r="E448" s="567" t="str">
        <f t="shared" si="46"/>
        <v>317</v>
      </c>
      <c r="F448" s="864" t="s">
        <v>2427</v>
      </c>
      <c r="G448" s="566" t="str">
        <f t="shared" si="48"/>
        <v>STEAM</v>
      </c>
      <c r="H448" s="567">
        <v>1035.3629000000001</v>
      </c>
      <c r="I448" s="567">
        <v>1035.3629000000001</v>
      </c>
      <c r="J448" s="567">
        <v>1035.3629000000001</v>
      </c>
      <c r="K448" s="567">
        <v>1035.3629000000001</v>
      </c>
      <c r="L448" s="567">
        <v>1035.3629000000001</v>
      </c>
      <c r="M448" s="567">
        <v>1035.3629000000001</v>
      </c>
      <c r="N448" s="567">
        <v>1035.3629000000001</v>
      </c>
      <c r="O448" s="567">
        <v>1035.3629000000001</v>
      </c>
      <c r="P448" s="567">
        <v>1035.3629000000001</v>
      </c>
      <c r="Q448" s="567">
        <v>962.96079999999995</v>
      </c>
      <c r="R448" s="567">
        <v>962.96079999999995</v>
      </c>
      <c r="S448" s="567">
        <v>962.96079999999995</v>
      </c>
      <c r="T448" s="567">
        <v>962.96079999999995</v>
      </c>
      <c r="U448" s="567">
        <f t="shared" si="47"/>
        <v>12134.746400000004</v>
      </c>
    </row>
    <row r="449" spans="1:21" x14ac:dyDescent="0.25">
      <c r="A449" s="567" t="str">
        <f t="shared" si="41"/>
        <v>KU</v>
      </c>
      <c r="B449" s="567" t="str">
        <f t="shared" si="42"/>
        <v>KY</v>
      </c>
      <c r="C449" s="567" t="str">
        <f t="shared" si="43"/>
        <v>E</v>
      </c>
      <c r="D449" s="567" t="s">
        <v>2650</v>
      </c>
      <c r="E449" s="567" t="str">
        <f t="shared" si="46"/>
        <v>331</v>
      </c>
      <c r="F449" s="864" t="s">
        <v>1633</v>
      </c>
      <c r="G449" s="566" t="str">
        <f t="shared" si="48"/>
        <v>HYDRO</v>
      </c>
      <c r="H449" s="567">
        <v>9.0792623714000005</v>
      </c>
      <c r="I449" s="567">
        <v>9.0792623714000005</v>
      </c>
      <c r="J449" s="567">
        <v>9.1758845462000007</v>
      </c>
      <c r="K449" s="567">
        <v>9.2725067220999993</v>
      </c>
      <c r="L449" s="567">
        <v>9.2725067220999993</v>
      </c>
      <c r="M449" s="567">
        <v>9.2725067220999993</v>
      </c>
      <c r="N449" s="567">
        <v>9.2725067220999993</v>
      </c>
      <c r="O449" s="567">
        <v>9.2725067220999993</v>
      </c>
      <c r="P449" s="567">
        <v>9.2725067220999993</v>
      </c>
      <c r="Q449" s="567">
        <v>9.2725067220999993</v>
      </c>
      <c r="R449" s="567">
        <v>9.2725067220999993</v>
      </c>
      <c r="S449" s="567">
        <v>9.2725067220999993</v>
      </c>
      <c r="T449" s="567">
        <v>9.2725067220999993</v>
      </c>
      <c r="U449" s="567">
        <f t="shared" si="47"/>
        <v>110.98021413860002</v>
      </c>
    </row>
    <row r="450" spans="1:21" x14ac:dyDescent="0.25">
      <c r="A450" s="567" t="str">
        <f t="shared" si="41"/>
        <v>KU</v>
      </c>
      <c r="B450" s="567" t="str">
        <f t="shared" si="42"/>
        <v>KY</v>
      </c>
      <c r="C450" s="567" t="str">
        <f t="shared" si="43"/>
        <v>E</v>
      </c>
      <c r="D450" s="567" t="s">
        <v>2650</v>
      </c>
      <c r="E450" s="567" t="str">
        <f t="shared" si="46"/>
        <v>332</v>
      </c>
      <c r="F450" s="864" t="s">
        <v>1634</v>
      </c>
      <c r="G450" s="566" t="str">
        <f t="shared" si="48"/>
        <v>HYDRO</v>
      </c>
      <c r="H450" s="567">
        <v>47.601280850999999</v>
      </c>
      <c r="I450" s="567">
        <v>47.601280850999999</v>
      </c>
      <c r="J450" s="567">
        <v>47.601280850999999</v>
      </c>
      <c r="K450" s="567">
        <v>47.601280850999999</v>
      </c>
      <c r="L450" s="567">
        <v>47.601280850999999</v>
      </c>
      <c r="M450" s="567">
        <v>47.601280850999999</v>
      </c>
      <c r="N450" s="567">
        <v>47.601280850999999</v>
      </c>
      <c r="O450" s="567">
        <v>47.601280850999999</v>
      </c>
      <c r="P450" s="567">
        <v>47.601280850999999</v>
      </c>
      <c r="Q450" s="567">
        <v>47.601280850999999</v>
      </c>
      <c r="R450" s="567">
        <v>47.601280850999999</v>
      </c>
      <c r="S450" s="567">
        <v>47.601280850999999</v>
      </c>
      <c r="T450" s="567">
        <v>47.601280850999999</v>
      </c>
      <c r="U450" s="567">
        <f t="shared" si="47"/>
        <v>571.21537021200004</v>
      </c>
    </row>
    <row r="451" spans="1:21" x14ac:dyDescent="0.25">
      <c r="A451" s="567" t="str">
        <f t="shared" si="41"/>
        <v>KU</v>
      </c>
      <c r="B451" s="567" t="str">
        <f t="shared" si="42"/>
        <v>KY</v>
      </c>
      <c r="C451" s="567" t="str">
        <f t="shared" si="43"/>
        <v>E</v>
      </c>
      <c r="D451" s="567" t="s">
        <v>2650</v>
      </c>
      <c r="E451" s="567" t="str">
        <f t="shared" si="46"/>
        <v>333</v>
      </c>
      <c r="F451" s="864" t="s">
        <v>1635</v>
      </c>
      <c r="G451" s="566" t="str">
        <f t="shared" si="48"/>
        <v>HYDRO</v>
      </c>
      <c r="H451" s="567">
        <v>45.183685418700001</v>
      </c>
      <c r="I451" s="567">
        <v>45.183685418700001</v>
      </c>
      <c r="J451" s="567">
        <v>45.183685418700001</v>
      </c>
      <c r="K451" s="567">
        <v>45.183685418700001</v>
      </c>
      <c r="L451" s="567">
        <v>45.183685418700001</v>
      </c>
      <c r="M451" s="567">
        <v>45.183685418700001</v>
      </c>
      <c r="N451" s="567">
        <v>45.183685418700001</v>
      </c>
      <c r="O451" s="567">
        <v>45.183685418700001</v>
      </c>
      <c r="P451" s="567">
        <v>45.183685418700001</v>
      </c>
      <c r="Q451" s="567">
        <v>45.183685418700001</v>
      </c>
      <c r="R451" s="567">
        <v>45.183685418700001</v>
      </c>
      <c r="S451" s="567">
        <v>45.183685418700001</v>
      </c>
      <c r="T451" s="567">
        <v>45.183685418700001</v>
      </c>
      <c r="U451" s="567">
        <f t="shared" si="47"/>
        <v>542.20422502439999</v>
      </c>
    </row>
    <row r="452" spans="1:21" x14ac:dyDescent="0.25">
      <c r="A452" s="567" t="str">
        <f t="shared" si="41"/>
        <v>KU</v>
      </c>
      <c r="B452" s="567" t="str">
        <f t="shared" si="42"/>
        <v>KY</v>
      </c>
      <c r="C452" s="567" t="str">
        <f t="shared" si="43"/>
        <v>E</v>
      </c>
      <c r="D452" s="567" t="s">
        <v>2650</v>
      </c>
      <c r="E452" s="567" t="str">
        <f t="shared" si="46"/>
        <v>334</v>
      </c>
      <c r="F452" s="864" t="s">
        <v>1636</v>
      </c>
      <c r="G452" s="566" t="str">
        <f t="shared" si="48"/>
        <v>HYDRO</v>
      </c>
      <c r="H452" s="567">
        <v>4.3874393770999998</v>
      </c>
      <c r="I452" s="567">
        <v>4.3874393770999998</v>
      </c>
      <c r="J452" s="567">
        <v>4.3874393770999998</v>
      </c>
      <c r="K452" s="567">
        <v>4.3874393770999998</v>
      </c>
      <c r="L452" s="567">
        <v>4.3874393770999998</v>
      </c>
      <c r="M452" s="567">
        <v>4.3874393770999998</v>
      </c>
      <c r="N452" s="567">
        <v>4.3874393770999998</v>
      </c>
      <c r="O452" s="567">
        <v>4.3874393770999998</v>
      </c>
      <c r="P452" s="567">
        <v>4.3874393770999998</v>
      </c>
      <c r="Q452" s="567">
        <v>4.3874393770999998</v>
      </c>
      <c r="R452" s="567">
        <v>4.3874393770999998</v>
      </c>
      <c r="S452" s="567">
        <v>4.3874393770999998</v>
      </c>
      <c r="T452" s="567">
        <v>4.3874393770999998</v>
      </c>
      <c r="U452" s="567">
        <f t="shared" si="47"/>
        <v>52.649272525200011</v>
      </c>
    </row>
    <row r="453" spans="1:21" x14ac:dyDescent="0.25">
      <c r="A453" s="567" t="str">
        <f t="shared" si="41"/>
        <v>KU</v>
      </c>
      <c r="B453" s="567" t="str">
        <f t="shared" si="42"/>
        <v>KY</v>
      </c>
      <c r="C453" s="567" t="str">
        <f t="shared" si="43"/>
        <v>E</v>
      </c>
      <c r="D453" s="567" t="s">
        <v>2650</v>
      </c>
      <c r="E453" s="567" t="str">
        <f t="shared" si="46"/>
        <v>335</v>
      </c>
      <c r="F453" s="864" t="s">
        <v>1637</v>
      </c>
      <c r="G453" s="566" t="str">
        <f t="shared" si="48"/>
        <v>HYDRO</v>
      </c>
      <c r="H453" s="567">
        <v>1.03203909717</v>
      </c>
      <c r="I453" s="567">
        <v>1.03203909717</v>
      </c>
      <c r="J453" s="567">
        <v>1.03203909717</v>
      </c>
      <c r="K453" s="567">
        <v>1.03203909717</v>
      </c>
      <c r="L453" s="567">
        <v>1.03203909717</v>
      </c>
      <c r="M453" s="567">
        <v>1.03203909717</v>
      </c>
      <c r="N453" s="567">
        <v>1.03203909717</v>
      </c>
      <c r="O453" s="567">
        <v>1.03203909717</v>
      </c>
      <c r="P453" s="567">
        <v>1.03203909717</v>
      </c>
      <c r="Q453" s="567">
        <v>1.03203909717</v>
      </c>
      <c r="R453" s="567">
        <v>1.03203909717</v>
      </c>
      <c r="S453" s="567">
        <v>1.03203909717</v>
      </c>
      <c r="T453" s="567">
        <v>1.03203909717</v>
      </c>
      <c r="U453" s="567">
        <f t="shared" si="47"/>
        <v>12.384469166039997</v>
      </c>
    </row>
    <row r="454" spans="1:21" x14ac:dyDescent="0.25">
      <c r="A454" s="567" t="str">
        <f t="shared" si="41"/>
        <v>KU</v>
      </c>
      <c r="B454" s="567" t="str">
        <f t="shared" si="42"/>
        <v>KY</v>
      </c>
      <c r="C454" s="567" t="str">
        <f t="shared" si="43"/>
        <v>E</v>
      </c>
      <c r="D454" s="567" t="s">
        <v>2650</v>
      </c>
      <c r="E454" s="567" t="str">
        <f t="shared" si="46"/>
        <v>336</v>
      </c>
      <c r="F454" s="864" t="s">
        <v>1638</v>
      </c>
      <c r="G454" s="566" t="str">
        <f t="shared" si="48"/>
        <v>HYDRO</v>
      </c>
      <c r="H454" s="567">
        <v>0.65076283580000005</v>
      </c>
      <c r="I454" s="567">
        <v>0.65076283580000005</v>
      </c>
      <c r="J454" s="567">
        <v>0.65076283580000005</v>
      </c>
      <c r="K454" s="567">
        <v>0.65076283580000005</v>
      </c>
      <c r="L454" s="567">
        <v>0.65076283580000005</v>
      </c>
      <c r="M454" s="567">
        <v>0.65076283580000005</v>
      </c>
      <c r="N454" s="567">
        <v>0.65076283580000005</v>
      </c>
      <c r="O454" s="567">
        <v>0.65076283580000005</v>
      </c>
      <c r="P454" s="567">
        <v>0.65076283580000005</v>
      </c>
      <c r="Q454" s="567">
        <v>0.65076283580000005</v>
      </c>
      <c r="R454" s="567">
        <v>0.65076283580000005</v>
      </c>
      <c r="S454" s="567">
        <v>0.65076283580000005</v>
      </c>
      <c r="T454" s="567">
        <v>0.65076283580000005</v>
      </c>
      <c r="U454" s="567">
        <f t="shared" si="47"/>
        <v>7.809154029600001</v>
      </c>
    </row>
    <row r="455" spans="1:21" x14ac:dyDescent="0.25">
      <c r="A455" s="567" t="str">
        <f t="shared" ref="A455:A518" si="49">MID($F455,4,2)</f>
        <v>KU</v>
      </c>
      <c r="B455" s="567" t="str">
        <f t="shared" si="42"/>
        <v>KY</v>
      </c>
      <c r="C455" s="567" t="str">
        <f t="shared" si="43"/>
        <v>E</v>
      </c>
      <c r="D455" s="567" t="s">
        <v>2650</v>
      </c>
      <c r="E455" s="567" t="str">
        <f t="shared" si="46"/>
        <v>337</v>
      </c>
      <c r="F455" s="864" t="s">
        <v>1639</v>
      </c>
      <c r="G455" s="566" t="str">
        <f t="shared" si="48"/>
        <v>HYDRO</v>
      </c>
      <c r="H455" s="567">
        <v>1.49068</v>
      </c>
      <c r="I455" s="567">
        <v>1.49068</v>
      </c>
      <c r="J455" s="567">
        <v>1.49068</v>
      </c>
      <c r="K455" s="567">
        <v>1.49068</v>
      </c>
      <c r="L455" s="567">
        <v>1.49068</v>
      </c>
      <c r="M455" s="567">
        <v>1.49068</v>
      </c>
      <c r="N455" s="567">
        <v>1.49068</v>
      </c>
      <c r="O455" s="567">
        <v>1.49068</v>
      </c>
      <c r="P455" s="567">
        <v>1.49068</v>
      </c>
      <c r="Q455" s="567">
        <v>0.20062174262471</v>
      </c>
      <c r="R455" s="567">
        <v>0.20062174262471</v>
      </c>
      <c r="S455" s="567">
        <v>0.20062174262471</v>
      </c>
      <c r="T455" s="567">
        <v>0.20062174262471</v>
      </c>
      <c r="U455" s="567">
        <f t="shared" si="47"/>
        <v>12.727926970498839</v>
      </c>
    </row>
    <row r="456" spans="1:21" x14ac:dyDescent="0.25">
      <c r="A456" s="567" t="str">
        <f t="shared" si="49"/>
        <v>KU</v>
      </c>
      <c r="B456" s="567" t="str">
        <f t="shared" si="42"/>
        <v>KY</v>
      </c>
      <c r="C456" s="567" t="str">
        <f t="shared" si="43"/>
        <v>E</v>
      </c>
      <c r="D456" s="567" t="s">
        <v>2650</v>
      </c>
      <c r="E456" s="567" t="str">
        <f t="shared" si="46"/>
        <v>340</v>
      </c>
      <c r="F456" s="864" t="s">
        <v>1641</v>
      </c>
      <c r="G456" s="566" t="str">
        <f t="shared" si="48"/>
        <v>OTHER</v>
      </c>
      <c r="H456" s="567">
        <v>0.43203582699999998</v>
      </c>
      <c r="I456" s="567">
        <v>0.43203582699999998</v>
      </c>
      <c r="J456" s="567">
        <v>0.43203582699999998</v>
      </c>
      <c r="K456" s="567">
        <v>0.43203582699999998</v>
      </c>
      <c r="L456" s="567">
        <v>0.43203582699999998</v>
      </c>
      <c r="M456" s="567">
        <v>0.43203582699999998</v>
      </c>
      <c r="N456" s="567">
        <v>0.43203582699999998</v>
      </c>
      <c r="O456" s="567">
        <v>0.43203582699999998</v>
      </c>
      <c r="P456" s="567">
        <v>0.43203582699999998</v>
      </c>
      <c r="Q456" s="567">
        <v>0.43203582699999998</v>
      </c>
      <c r="R456" s="567">
        <v>0.43203582699999998</v>
      </c>
      <c r="S456" s="567">
        <v>0.43203582699999998</v>
      </c>
      <c r="T456" s="567">
        <v>0.43203582699999998</v>
      </c>
      <c r="U456" s="567">
        <f t="shared" si="47"/>
        <v>5.1844299239999998</v>
      </c>
    </row>
    <row r="457" spans="1:21" x14ac:dyDescent="0.25">
      <c r="A457" s="567" t="str">
        <f t="shared" si="49"/>
        <v>KU</v>
      </c>
      <c r="B457" s="567" t="str">
        <f t="shared" si="42"/>
        <v>KY</v>
      </c>
      <c r="C457" s="567" t="str">
        <f t="shared" si="43"/>
        <v>E</v>
      </c>
      <c r="D457" s="567" t="s">
        <v>2650</v>
      </c>
      <c r="E457" s="567" t="str">
        <f t="shared" si="46"/>
        <v>341</v>
      </c>
      <c r="F457" s="864" t="s">
        <v>1643</v>
      </c>
      <c r="G457" s="566" t="str">
        <f t="shared" si="48"/>
        <v>OTHER</v>
      </c>
      <c r="H457" s="567">
        <v>116.42642167140001</v>
      </c>
      <c r="I457" s="567">
        <v>116.42642167140001</v>
      </c>
      <c r="J457" s="567">
        <v>116.42642167140001</v>
      </c>
      <c r="K457" s="567">
        <v>116.42642167140001</v>
      </c>
      <c r="L457" s="567">
        <v>116.42642167140001</v>
      </c>
      <c r="M457" s="567">
        <v>116.42642167140001</v>
      </c>
      <c r="N457" s="567">
        <v>116.42642167140001</v>
      </c>
      <c r="O457" s="567">
        <v>116.42642167140001</v>
      </c>
      <c r="P457" s="567">
        <v>116.42642167140001</v>
      </c>
      <c r="Q457" s="567">
        <v>116.42642167140001</v>
      </c>
      <c r="R457" s="567">
        <v>116.42642167140001</v>
      </c>
      <c r="S457" s="567">
        <v>116.42642167140001</v>
      </c>
      <c r="T457" s="567">
        <v>116.42642167140001</v>
      </c>
      <c r="U457" s="567">
        <f t="shared" si="47"/>
        <v>1397.1170600568</v>
      </c>
    </row>
    <row r="458" spans="1:21" x14ac:dyDescent="0.25">
      <c r="A458" s="567" t="str">
        <f t="shared" si="49"/>
        <v>KU</v>
      </c>
      <c r="B458" s="567" t="str">
        <f t="shared" si="42"/>
        <v>KY</v>
      </c>
      <c r="C458" s="567" t="str">
        <f t="shared" si="43"/>
        <v>E</v>
      </c>
      <c r="D458" s="567" t="s">
        <v>2650</v>
      </c>
      <c r="E458" s="567" t="str">
        <f t="shared" si="46"/>
        <v>341</v>
      </c>
      <c r="F458" s="864" t="s">
        <v>1644</v>
      </c>
      <c r="G458" s="566" t="str">
        <f t="shared" si="48"/>
        <v>OTHER</v>
      </c>
      <c r="H458" s="567">
        <v>124.17993959</v>
      </c>
      <c r="I458" s="567">
        <v>124.17993959</v>
      </c>
      <c r="J458" s="567">
        <v>124.17993959</v>
      </c>
      <c r="K458" s="567">
        <v>124.17993959</v>
      </c>
      <c r="L458" s="567">
        <v>124.17993959</v>
      </c>
      <c r="M458" s="567">
        <v>124.17993959</v>
      </c>
      <c r="N458" s="567">
        <v>124.17993959</v>
      </c>
      <c r="O458" s="567">
        <v>124.17993959</v>
      </c>
      <c r="P458" s="567">
        <v>124.17993959</v>
      </c>
      <c r="Q458" s="567">
        <v>124.17993959</v>
      </c>
      <c r="R458" s="567">
        <v>124.17993959</v>
      </c>
      <c r="S458" s="567">
        <v>124.17993959</v>
      </c>
      <c r="T458" s="567">
        <v>124.17993959</v>
      </c>
      <c r="U458" s="567">
        <f t="shared" si="47"/>
        <v>1490.15927508</v>
      </c>
    </row>
    <row r="459" spans="1:21" x14ac:dyDescent="0.25">
      <c r="A459" s="567" t="str">
        <f t="shared" si="49"/>
        <v>KU</v>
      </c>
      <c r="B459" s="567" t="str">
        <f t="shared" si="42"/>
        <v>KY</v>
      </c>
      <c r="C459" s="567" t="str">
        <f t="shared" si="43"/>
        <v>E</v>
      </c>
      <c r="D459" s="567" t="s">
        <v>2650</v>
      </c>
      <c r="E459" s="567" t="str">
        <f t="shared" si="46"/>
        <v>341</v>
      </c>
      <c r="F459" s="864" t="s">
        <v>1645</v>
      </c>
      <c r="G459" s="566" t="str">
        <f t="shared" si="48"/>
        <v>OTHER</v>
      </c>
      <c r="H459" s="567">
        <v>5.1014621416999999</v>
      </c>
      <c r="I459" s="567">
        <v>5.1014621416999999</v>
      </c>
      <c r="J459" s="567">
        <v>5.1014621416999999</v>
      </c>
      <c r="K459" s="567">
        <v>5.1014621416999999</v>
      </c>
      <c r="L459" s="567">
        <v>5.1014621416999999</v>
      </c>
      <c r="M459" s="567">
        <v>5.1014621416999999</v>
      </c>
      <c r="N459" s="567">
        <v>5.1014621416999999</v>
      </c>
      <c r="O459" s="567">
        <v>5.1014621416999999</v>
      </c>
      <c r="P459" s="567">
        <v>5.1014621416999999</v>
      </c>
      <c r="Q459" s="567">
        <v>5.1014621416999999</v>
      </c>
      <c r="R459" s="567">
        <v>5.1014621416999999</v>
      </c>
      <c r="S459" s="567">
        <v>5.1014621416999999</v>
      </c>
      <c r="T459" s="567">
        <v>5.1014621416999999</v>
      </c>
      <c r="U459" s="567">
        <f t="shared" si="47"/>
        <v>61.217545700399988</v>
      </c>
    </row>
    <row r="460" spans="1:21" x14ac:dyDescent="0.25">
      <c r="A460" s="567" t="str">
        <f t="shared" si="49"/>
        <v>KU</v>
      </c>
      <c r="B460" s="567" t="str">
        <f t="shared" si="42"/>
        <v>KY</v>
      </c>
      <c r="C460" s="567" t="str">
        <f t="shared" si="43"/>
        <v>E</v>
      </c>
      <c r="D460" s="567" t="s">
        <v>2650</v>
      </c>
      <c r="E460" s="567" t="str">
        <f t="shared" si="46"/>
        <v>342</v>
      </c>
      <c r="F460" s="864" t="s">
        <v>1646</v>
      </c>
      <c r="G460" s="566" t="str">
        <f t="shared" si="48"/>
        <v>OTHER</v>
      </c>
      <c r="H460" s="567">
        <v>55.157014934599999</v>
      </c>
      <c r="I460" s="567">
        <v>55.157014934599999</v>
      </c>
      <c r="J460" s="567">
        <v>55.157014934599999</v>
      </c>
      <c r="K460" s="567">
        <v>55.157014934599999</v>
      </c>
      <c r="L460" s="567">
        <v>55.157014934599999</v>
      </c>
      <c r="M460" s="567">
        <v>55.157014934599999</v>
      </c>
      <c r="N460" s="567">
        <v>55.157014934599999</v>
      </c>
      <c r="O460" s="567">
        <v>55.157014934599999</v>
      </c>
      <c r="P460" s="567">
        <v>55.157014934599999</v>
      </c>
      <c r="Q460" s="567">
        <v>55.157014934599999</v>
      </c>
      <c r="R460" s="567">
        <v>55.157014934599999</v>
      </c>
      <c r="S460" s="567">
        <v>55.157014934599999</v>
      </c>
      <c r="T460" s="567">
        <v>55.157014934599999</v>
      </c>
      <c r="U460" s="567">
        <f t="shared" si="47"/>
        <v>661.88417921519999</v>
      </c>
    </row>
    <row r="461" spans="1:21" x14ac:dyDescent="0.25">
      <c r="A461" s="567" t="str">
        <f t="shared" si="49"/>
        <v>KU</v>
      </c>
      <c r="B461" s="567" t="str">
        <f t="shared" si="42"/>
        <v>KY</v>
      </c>
      <c r="C461" s="567" t="str">
        <f t="shared" si="43"/>
        <v>E</v>
      </c>
      <c r="D461" s="567" t="s">
        <v>2650</v>
      </c>
      <c r="E461" s="567" t="str">
        <f t="shared" si="46"/>
        <v>342</v>
      </c>
      <c r="F461" s="864" t="s">
        <v>1647</v>
      </c>
      <c r="G461" s="566" t="str">
        <f t="shared" si="48"/>
        <v>OTHER</v>
      </c>
      <c r="H461" s="567">
        <v>16.325111757999998</v>
      </c>
      <c r="I461" s="567">
        <v>16.325111757999998</v>
      </c>
      <c r="J461" s="567">
        <v>16.325111757999998</v>
      </c>
      <c r="K461" s="567">
        <v>16.325111757999998</v>
      </c>
      <c r="L461" s="567">
        <v>16.325111757999998</v>
      </c>
      <c r="M461" s="567">
        <v>16.325111757999998</v>
      </c>
      <c r="N461" s="567">
        <v>16.325111757999998</v>
      </c>
      <c r="O461" s="567">
        <v>16.325111757999998</v>
      </c>
      <c r="P461" s="567">
        <v>16.325111757999998</v>
      </c>
      <c r="Q461" s="567">
        <v>16.325111757999998</v>
      </c>
      <c r="R461" s="567">
        <v>16.325111757999998</v>
      </c>
      <c r="S461" s="567">
        <v>16.325111757999998</v>
      </c>
      <c r="T461" s="567">
        <v>16.325111757999998</v>
      </c>
      <c r="U461" s="567">
        <f t="shared" si="47"/>
        <v>195.90134109599992</v>
      </c>
    </row>
    <row r="462" spans="1:21" x14ac:dyDescent="0.25">
      <c r="A462" s="567" t="str">
        <f t="shared" si="49"/>
        <v>KU</v>
      </c>
      <c r="B462" s="567" t="str">
        <f t="shared" si="42"/>
        <v>KY</v>
      </c>
      <c r="C462" s="567" t="str">
        <f t="shared" si="43"/>
        <v>E</v>
      </c>
      <c r="D462" s="567" t="s">
        <v>2650</v>
      </c>
      <c r="E462" s="567" t="str">
        <f t="shared" si="46"/>
        <v>342</v>
      </c>
      <c r="F462" s="864" t="s">
        <v>1648</v>
      </c>
      <c r="G462" s="566" t="str">
        <f t="shared" si="48"/>
        <v>OTHER</v>
      </c>
      <c r="H462" s="567">
        <v>116.437145328</v>
      </c>
      <c r="I462" s="567">
        <v>116.437145328</v>
      </c>
      <c r="J462" s="567">
        <v>116.437145328</v>
      </c>
      <c r="K462" s="567">
        <v>116.437145328</v>
      </c>
      <c r="L462" s="567">
        <v>116.437145328</v>
      </c>
      <c r="M462" s="567">
        <v>139.76011476799999</v>
      </c>
      <c r="N462" s="567">
        <v>164.94402743499899</v>
      </c>
      <c r="O462" s="567">
        <v>166.80497068199901</v>
      </c>
      <c r="P462" s="567">
        <v>166.80497068199901</v>
      </c>
      <c r="Q462" s="567">
        <v>166.80497068199901</v>
      </c>
      <c r="R462" s="567">
        <v>166.80497068199901</v>
      </c>
      <c r="S462" s="567">
        <v>166.80497068199901</v>
      </c>
      <c r="T462" s="567">
        <v>166.80497068199901</v>
      </c>
      <c r="U462" s="567">
        <f t="shared" si="47"/>
        <v>1771.2825476069934</v>
      </c>
    </row>
    <row r="463" spans="1:21" x14ac:dyDescent="0.25">
      <c r="A463" s="567" t="str">
        <f t="shared" si="49"/>
        <v>KU</v>
      </c>
      <c r="B463" s="567" t="str">
        <f t="shared" si="42"/>
        <v>KY</v>
      </c>
      <c r="C463" s="567" t="str">
        <f t="shared" si="43"/>
        <v>E</v>
      </c>
      <c r="D463" s="567" t="s">
        <v>2650</v>
      </c>
      <c r="E463" s="567" t="str">
        <f t="shared" si="46"/>
        <v>343</v>
      </c>
      <c r="F463" s="864" t="s">
        <v>1649</v>
      </c>
      <c r="G463" s="566" t="str">
        <f t="shared" si="48"/>
        <v>OTHER</v>
      </c>
      <c r="H463" s="567">
        <v>1637.0102563507</v>
      </c>
      <c r="I463" s="567">
        <v>1665.6602264401999</v>
      </c>
      <c r="J463" s="567">
        <v>1694.1018104290999</v>
      </c>
      <c r="K463" s="567">
        <v>1694.1018104290999</v>
      </c>
      <c r="L463" s="567">
        <v>1694.1018104290999</v>
      </c>
      <c r="M463" s="567">
        <v>1695.0767980159001</v>
      </c>
      <c r="N463" s="567">
        <v>1696.4805410115</v>
      </c>
      <c r="O463" s="567">
        <v>1697.4820567039001</v>
      </c>
      <c r="P463" s="567">
        <v>1699.8136485173</v>
      </c>
      <c r="Q463" s="567">
        <v>1701.5724799492</v>
      </c>
      <c r="R463" s="567">
        <v>1701.5724799492</v>
      </c>
      <c r="S463" s="567">
        <v>1701.5724799492</v>
      </c>
      <c r="T463" s="567">
        <v>1701.5724799492</v>
      </c>
      <c r="U463" s="567">
        <f t="shared" si="47"/>
        <v>20343.108621772903</v>
      </c>
    </row>
    <row r="464" spans="1:21" x14ac:dyDescent="0.25">
      <c r="A464" s="567" t="str">
        <f t="shared" si="49"/>
        <v>KU</v>
      </c>
      <c r="B464" s="567" t="str">
        <f t="shared" si="42"/>
        <v>KY</v>
      </c>
      <c r="C464" s="567" t="str">
        <f t="shared" si="43"/>
        <v>E</v>
      </c>
      <c r="D464" s="567" t="s">
        <v>2650</v>
      </c>
      <c r="E464" s="567" t="str">
        <f t="shared" si="46"/>
        <v>343</v>
      </c>
      <c r="F464" s="864" t="s">
        <v>1650</v>
      </c>
      <c r="G464" s="566" t="str">
        <f t="shared" si="48"/>
        <v>OTHER</v>
      </c>
      <c r="H464" s="567">
        <v>779.20100668099997</v>
      </c>
      <c r="I464" s="567">
        <v>779.20100668099997</v>
      </c>
      <c r="J464" s="567">
        <v>779.34793568299995</v>
      </c>
      <c r="K464" s="567">
        <v>779.49486468600003</v>
      </c>
      <c r="L464" s="567">
        <v>779.49486468600003</v>
      </c>
      <c r="M464" s="567">
        <v>779.64179368800001</v>
      </c>
      <c r="N464" s="567">
        <v>779.89058552999995</v>
      </c>
      <c r="O464" s="567">
        <v>779.99244848000001</v>
      </c>
      <c r="P464" s="567">
        <v>780.13937747199998</v>
      </c>
      <c r="Q464" s="567">
        <v>780.28630647499995</v>
      </c>
      <c r="R464" s="567">
        <v>780.28630647499995</v>
      </c>
      <c r="S464" s="567">
        <v>780.43357603499999</v>
      </c>
      <c r="T464" s="567">
        <v>799.81898390799995</v>
      </c>
      <c r="U464" s="567">
        <f t="shared" si="47"/>
        <v>9378.0280497990007</v>
      </c>
    </row>
    <row r="465" spans="1:21" x14ac:dyDescent="0.25">
      <c r="A465" s="567" t="str">
        <f t="shared" si="49"/>
        <v>KU</v>
      </c>
      <c r="B465" s="567" t="str">
        <f t="shared" si="42"/>
        <v>KY</v>
      </c>
      <c r="C465" s="567" t="str">
        <f t="shared" si="43"/>
        <v>E</v>
      </c>
      <c r="D465" s="567" t="s">
        <v>2650</v>
      </c>
      <c r="E465" s="567" t="str">
        <f t="shared" si="46"/>
        <v>344</v>
      </c>
      <c r="F465" s="864" t="s">
        <v>1651</v>
      </c>
      <c r="G465" s="566" t="str">
        <f t="shared" si="48"/>
        <v>OTHER</v>
      </c>
      <c r="H465" s="567">
        <v>201.85180136719899</v>
      </c>
      <c r="I465" s="567">
        <v>201.85180136719899</v>
      </c>
      <c r="J465" s="567">
        <v>201.85180136719899</v>
      </c>
      <c r="K465" s="567">
        <v>201.85180136719899</v>
      </c>
      <c r="L465" s="567">
        <v>201.85180136719899</v>
      </c>
      <c r="M465" s="567">
        <v>201.85180136719899</v>
      </c>
      <c r="N465" s="567">
        <v>201.85180136719899</v>
      </c>
      <c r="O465" s="567">
        <v>201.85180136719899</v>
      </c>
      <c r="P465" s="567">
        <v>201.85180136719899</v>
      </c>
      <c r="Q465" s="567">
        <v>201.85180136719899</v>
      </c>
      <c r="R465" s="567">
        <v>201.85180136719899</v>
      </c>
      <c r="S465" s="567">
        <v>201.85180136719899</v>
      </c>
      <c r="T465" s="567">
        <v>203.69110063779999</v>
      </c>
      <c r="U465" s="567">
        <f t="shared" si="47"/>
        <v>2424.0609156769888</v>
      </c>
    </row>
    <row r="466" spans="1:21" x14ac:dyDescent="0.25">
      <c r="A466" s="567" t="str">
        <f t="shared" si="49"/>
        <v>KU</v>
      </c>
      <c r="B466" s="567" t="str">
        <f t="shared" si="42"/>
        <v>KY</v>
      </c>
      <c r="C466" s="567" t="str">
        <f t="shared" si="43"/>
        <v>E</v>
      </c>
      <c r="D466" s="567" t="s">
        <v>2650</v>
      </c>
      <c r="E466" s="567" t="str">
        <f t="shared" si="46"/>
        <v>344</v>
      </c>
      <c r="F466" s="864" t="s">
        <v>1652</v>
      </c>
      <c r="G466" s="566" t="str">
        <f t="shared" si="48"/>
        <v>OTHER</v>
      </c>
      <c r="H466" s="567">
        <v>140.15068509299999</v>
      </c>
      <c r="I466" s="567">
        <v>140.15068509299999</v>
      </c>
      <c r="J466" s="567">
        <v>140.15068509299999</v>
      </c>
      <c r="K466" s="567">
        <v>140.15068509299999</v>
      </c>
      <c r="L466" s="567">
        <v>140.15068509299999</v>
      </c>
      <c r="M466" s="567">
        <v>140.15068509299999</v>
      </c>
      <c r="N466" s="567">
        <v>140.15068509299999</v>
      </c>
      <c r="O466" s="567">
        <v>140.15068509299999</v>
      </c>
      <c r="P466" s="567">
        <v>140.15068509299999</v>
      </c>
      <c r="Q466" s="567">
        <v>140.15068509299999</v>
      </c>
      <c r="R466" s="567">
        <v>140.15068509299999</v>
      </c>
      <c r="S466" s="567">
        <v>140.15068509299999</v>
      </c>
      <c r="T466" s="567">
        <v>140.15068509299999</v>
      </c>
      <c r="U466" s="567">
        <f t="shared" si="47"/>
        <v>1681.8082211159999</v>
      </c>
    </row>
    <row r="467" spans="1:21" x14ac:dyDescent="0.25">
      <c r="A467" s="567" t="str">
        <f t="shared" si="49"/>
        <v>KU</v>
      </c>
      <c r="B467" s="567" t="str">
        <f t="shared" si="42"/>
        <v>KY</v>
      </c>
      <c r="C467" s="567" t="str">
        <f t="shared" si="43"/>
        <v>E</v>
      </c>
      <c r="D467" s="567" t="s">
        <v>2650</v>
      </c>
      <c r="E467" s="567" t="str">
        <f t="shared" si="46"/>
        <v>344</v>
      </c>
      <c r="F467" s="864" t="s">
        <v>1653</v>
      </c>
      <c r="G467" s="566" t="str">
        <f t="shared" si="48"/>
        <v>OTHER</v>
      </c>
      <c r="H467" s="567">
        <v>50.205432538700002</v>
      </c>
      <c r="I467" s="567">
        <v>50.205432538700002</v>
      </c>
      <c r="J467" s="567">
        <v>50.205432538700002</v>
      </c>
      <c r="K467" s="567">
        <v>50.205432538700002</v>
      </c>
      <c r="L467" s="567">
        <v>50.205432538700002</v>
      </c>
      <c r="M467" s="567">
        <v>50.205432538700002</v>
      </c>
      <c r="N467" s="567">
        <v>50.205432538700002</v>
      </c>
      <c r="O467" s="567">
        <v>50.205432538700002</v>
      </c>
      <c r="P467" s="567">
        <v>50.205432538700002</v>
      </c>
      <c r="Q467" s="567">
        <v>50.205432538700002</v>
      </c>
      <c r="R467" s="567">
        <v>50.205432538700002</v>
      </c>
      <c r="S467" s="567">
        <v>50.205432538700002</v>
      </c>
      <c r="T467" s="567">
        <v>50.205432538700002</v>
      </c>
      <c r="U467" s="567">
        <f t="shared" si="47"/>
        <v>602.46519046440005</v>
      </c>
    </row>
    <row r="468" spans="1:21" x14ac:dyDescent="0.25">
      <c r="A468" s="567" t="str">
        <f t="shared" si="49"/>
        <v>KU</v>
      </c>
      <c r="B468" s="567" t="str">
        <f t="shared" ref="B468:B531" si="50">IF(MID($F468,12,2)="- ","KY",IF(MID($F468,12,2)="SY","KY",MID($F468,12,2)))</f>
        <v>KY</v>
      </c>
      <c r="C468" s="567" t="str">
        <f t="shared" si="43"/>
        <v>E</v>
      </c>
      <c r="D468" s="567" t="s">
        <v>2650</v>
      </c>
      <c r="E468" s="567" t="str">
        <f t="shared" si="46"/>
        <v>345</v>
      </c>
      <c r="F468" s="864" t="s">
        <v>1654</v>
      </c>
      <c r="G468" s="566" t="str">
        <f t="shared" si="48"/>
        <v>OTHER</v>
      </c>
      <c r="H468" s="567">
        <v>193.8523970979</v>
      </c>
      <c r="I468" s="567">
        <v>193.94013144440001</v>
      </c>
      <c r="J468" s="567">
        <v>193.94013144440001</v>
      </c>
      <c r="K468" s="567">
        <v>193.94013144440001</v>
      </c>
      <c r="L468" s="567">
        <v>193.94013144440001</v>
      </c>
      <c r="M468" s="567">
        <v>193.94013144440001</v>
      </c>
      <c r="N468" s="567">
        <v>193.94013144440001</v>
      </c>
      <c r="O468" s="567">
        <v>193.94013144440001</v>
      </c>
      <c r="P468" s="567">
        <v>193.94013144440001</v>
      </c>
      <c r="Q468" s="567">
        <v>193.94013144440001</v>
      </c>
      <c r="R468" s="567">
        <v>193.94013144440001</v>
      </c>
      <c r="S468" s="567">
        <v>193.94013144440001</v>
      </c>
      <c r="T468" s="567">
        <v>194.46611876129899</v>
      </c>
      <c r="U468" s="567">
        <f t="shared" si="47"/>
        <v>2327.8075646496995</v>
      </c>
    </row>
    <row r="469" spans="1:21" x14ac:dyDescent="0.25">
      <c r="A469" s="567" t="str">
        <f t="shared" si="49"/>
        <v>KU</v>
      </c>
      <c r="B469" s="567" t="str">
        <f t="shared" si="50"/>
        <v>KY</v>
      </c>
      <c r="C469" s="567" t="str">
        <f t="shared" si="43"/>
        <v>E</v>
      </c>
      <c r="D469" s="567" t="s">
        <v>2650</v>
      </c>
      <c r="E469" s="567" t="str">
        <f t="shared" si="46"/>
        <v>345</v>
      </c>
      <c r="F469" s="864" t="s">
        <v>1655</v>
      </c>
      <c r="G469" s="566" t="str">
        <f t="shared" si="48"/>
        <v>OTHER</v>
      </c>
      <c r="H469" s="567">
        <v>65.147647655</v>
      </c>
      <c r="I469" s="567">
        <v>65.147647655</v>
      </c>
      <c r="J469" s="567">
        <v>65.147647655</v>
      </c>
      <c r="K469" s="567">
        <v>65.147647655</v>
      </c>
      <c r="L469" s="567">
        <v>65.147647655</v>
      </c>
      <c r="M469" s="567">
        <v>65.147647655</v>
      </c>
      <c r="N469" s="567">
        <v>65.147647655</v>
      </c>
      <c r="O469" s="567">
        <v>65.147647655</v>
      </c>
      <c r="P469" s="567">
        <v>65.147647655</v>
      </c>
      <c r="Q469" s="567">
        <v>65.147647655</v>
      </c>
      <c r="R469" s="567">
        <v>65.147647655</v>
      </c>
      <c r="S469" s="567">
        <v>65.147647655</v>
      </c>
      <c r="T469" s="567">
        <v>65.147647655</v>
      </c>
      <c r="U469" s="567">
        <f t="shared" si="47"/>
        <v>781.77177186000006</v>
      </c>
    </row>
    <row r="470" spans="1:21" x14ac:dyDescent="0.25">
      <c r="A470" s="567" t="str">
        <f t="shared" si="49"/>
        <v>KU</v>
      </c>
      <c r="B470" s="567" t="str">
        <f t="shared" si="50"/>
        <v>KY</v>
      </c>
      <c r="C470" s="567" t="str">
        <f t="shared" si="43"/>
        <v>E</v>
      </c>
      <c r="D470" s="567" t="s">
        <v>2650</v>
      </c>
      <c r="E470" s="567" t="str">
        <f t="shared" si="46"/>
        <v>345</v>
      </c>
      <c r="F470" s="864" t="s">
        <v>1656</v>
      </c>
      <c r="G470" s="566" t="str">
        <f t="shared" si="48"/>
        <v>OTHER</v>
      </c>
      <c r="H470" s="567">
        <v>1.618539983</v>
      </c>
      <c r="I470" s="567">
        <v>1.618539983</v>
      </c>
      <c r="J470" s="567">
        <v>1.618539983</v>
      </c>
      <c r="K470" s="567">
        <v>1.618539983</v>
      </c>
      <c r="L470" s="567">
        <v>1.618539983</v>
      </c>
      <c r="M470" s="567">
        <v>1.618539983</v>
      </c>
      <c r="N470" s="567">
        <v>1.618539983</v>
      </c>
      <c r="O470" s="567">
        <v>1.618539983</v>
      </c>
      <c r="P470" s="567">
        <v>3.48949208862</v>
      </c>
      <c r="Q470" s="567">
        <v>5.4348759164000002</v>
      </c>
      <c r="R470" s="567">
        <v>5.5837392219999904</v>
      </c>
      <c r="S470" s="567">
        <v>5.7326023879000001</v>
      </c>
      <c r="T470" s="567">
        <v>5.8814655538</v>
      </c>
      <c r="U470" s="567">
        <f t="shared" si="47"/>
        <v>37.451955049719992</v>
      </c>
    </row>
    <row r="471" spans="1:21" x14ac:dyDescent="0.25">
      <c r="A471" s="567" t="str">
        <f t="shared" si="49"/>
        <v>KU</v>
      </c>
      <c r="B471" s="567" t="str">
        <f t="shared" si="50"/>
        <v>KY</v>
      </c>
      <c r="C471" s="567" t="str">
        <f t="shared" si="43"/>
        <v>E</v>
      </c>
      <c r="D471" s="567" t="s">
        <v>2650</v>
      </c>
      <c r="E471" s="567" t="str">
        <f t="shared" si="46"/>
        <v>346</v>
      </c>
      <c r="F471" s="864" t="s">
        <v>1657</v>
      </c>
      <c r="G471" s="566" t="str">
        <f t="shared" si="48"/>
        <v>OTHER</v>
      </c>
      <c r="H471" s="567">
        <v>21.698291601754001</v>
      </c>
      <c r="I471" s="567">
        <v>22.802551820653999</v>
      </c>
      <c r="J471" s="567">
        <v>22.820863318754</v>
      </c>
      <c r="K471" s="567">
        <v>22.839174815854001</v>
      </c>
      <c r="L471" s="567">
        <v>22.839174815854001</v>
      </c>
      <c r="M471" s="567">
        <v>27.641100964753999</v>
      </c>
      <c r="N471" s="567">
        <v>32.443027117454001</v>
      </c>
      <c r="O471" s="567">
        <v>32.443027117454001</v>
      </c>
      <c r="P471" s="567">
        <v>32.443027117454001</v>
      </c>
      <c r="Q471" s="567">
        <v>32.443027117454001</v>
      </c>
      <c r="R471" s="567">
        <v>33.354565401466999</v>
      </c>
      <c r="S471" s="567">
        <v>34.266103685787002</v>
      </c>
      <c r="T471" s="567">
        <v>35.559900156066902</v>
      </c>
      <c r="U471" s="567">
        <f t="shared" si="47"/>
        <v>351.89554344900682</v>
      </c>
    </row>
    <row r="472" spans="1:21" x14ac:dyDescent="0.25">
      <c r="A472" s="567" t="str">
        <f t="shared" si="49"/>
        <v>KU</v>
      </c>
      <c r="B472" s="567" t="str">
        <f t="shared" si="50"/>
        <v>KY</v>
      </c>
      <c r="C472" s="567" t="str">
        <f t="shared" ref="C472:C535" si="51">IF(ISTEXT(MID($F472,SEARCH("FUTURE USE",$F472),3)),"F",IF(MID($F472,7,1)="1","E",IF(MID($F472,7,1)="2","G",IF(MID($F472,7,1)="3","C",""))))</f>
        <v>E</v>
      </c>
      <c r="D472" s="567" t="s">
        <v>2650</v>
      </c>
      <c r="E472" s="567" t="str">
        <f t="shared" si="46"/>
        <v>346</v>
      </c>
      <c r="F472" s="864" t="s">
        <v>1658</v>
      </c>
      <c r="G472" s="566" t="str">
        <f t="shared" si="48"/>
        <v>OTHER</v>
      </c>
      <c r="H472" s="567">
        <v>10.505654980999999</v>
      </c>
      <c r="I472" s="567">
        <v>10.505654980999999</v>
      </c>
      <c r="J472" s="567">
        <v>10.875562433000001</v>
      </c>
      <c r="K472" s="567">
        <v>11.245469891000001</v>
      </c>
      <c r="L472" s="567">
        <v>11.245469891000001</v>
      </c>
      <c r="M472" s="567">
        <v>11.481655700999999</v>
      </c>
      <c r="N472" s="567">
        <v>11.717841522000001</v>
      </c>
      <c r="O472" s="567">
        <v>11.717841522000001</v>
      </c>
      <c r="P472" s="567">
        <v>11.717841522000001</v>
      </c>
      <c r="Q472" s="567">
        <v>11.717841522000001</v>
      </c>
      <c r="R472" s="567">
        <v>11.717841522000001</v>
      </c>
      <c r="S472" s="567">
        <v>12.092658126</v>
      </c>
      <c r="T472" s="567">
        <v>12.467474729999999</v>
      </c>
      <c r="U472" s="567">
        <f t="shared" si="47"/>
        <v>138.503153363</v>
      </c>
    </row>
    <row r="473" spans="1:21" x14ac:dyDescent="0.25">
      <c r="A473" s="567" t="str">
        <f t="shared" si="49"/>
        <v>KU</v>
      </c>
      <c r="B473" s="567" t="str">
        <f t="shared" si="50"/>
        <v>KY</v>
      </c>
      <c r="C473" s="567" t="str">
        <f t="shared" si="51"/>
        <v>E</v>
      </c>
      <c r="D473" s="567" t="s">
        <v>2650</v>
      </c>
      <c r="E473" s="567" t="str">
        <f t="shared" si="46"/>
        <v>346</v>
      </c>
      <c r="F473" s="864" t="s">
        <v>1659</v>
      </c>
      <c r="G473" s="566" t="str">
        <f t="shared" si="48"/>
        <v>OTHER</v>
      </c>
      <c r="H473" s="567">
        <v>1.5044230750000001</v>
      </c>
      <c r="I473" s="567">
        <v>1.5044230750000001</v>
      </c>
      <c r="J473" s="567">
        <v>1.5044230750000001</v>
      </c>
      <c r="K473" s="567">
        <v>1.5044230750000001</v>
      </c>
      <c r="L473" s="567">
        <v>1.5044230750000001</v>
      </c>
      <c r="M473" s="567">
        <v>1.5044230750000001</v>
      </c>
      <c r="N473" s="567">
        <v>1.5044230750000001</v>
      </c>
      <c r="O473" s="567">
        <v>1.5044230750000001</v>
      </c>
      <c r="P473" s="567">
        <v>1.5044230750000001</v>
      </c>
      <c r="Q473" s="567">
        <v>1.5044230750000001</v>
      </c>
      <c r="R473" s="567">
        <v>1.5044230750000001</v>
      </c>
      <c r="S473" s="567">
        <v>1.5044230750000001</v>
      </c>
      <c r="T473" s="567">
        <v>1.5044230750000001</v>
      </c>
      <c r="U473" s="567">
        <f t="shared" ref="U473:U543" si="52">SUM(I473:T473)</f>
        <v>18.053076900000001</v>
      </c>
    </row>
    <row r="474" spans="1:21" x14ac:dyDescent="0.25">
      <c r="A474" s="567" t="str">
        <f t="shared" si="49"/>
        <v>KU</v>
      </c>
      <c r="B474" s="567" t="str">
        <f t="shared" si="50"/>
        <v>KY</v>
      </c>
      <c r="C474" s="567" t="str">
        <f t="shared" si="51"/>
        <v>E</v>
      </c>
      <c r="D474" s="567" t="s">
        <v>2650</v>
      </c>
      <c r="E474" s="567" t="str">
        <f t="shared" si="46"/>
        <v>347</v>
      </c>
      <c r="F474" s="864" t="s">
        <v>1660</v>
      </c>
      <c r="G474" s="566" t="str">
        <f t="shared" si="48"/>
        <v>OTHER</v>
      </c>
      <c r="H474" s="567">
        <v>1.6791199999999999</v>
      </c>
      <c r="I474" s="567">
        <v>1.6791199999999999</v>
      </c>
      <c r="J474" s="567">
        <v>1.6791199999999999</v>
      </c>
      <c r="K474" s="567">
        <v>1.6791199999999999</v>
      </c>
      <c r="L474" s="567">
        <v>1.6791199999999999</v>
      </c>
      <c r="M474" s="567">
        <v>1.6791199999999999</v>
      </c>
      <c r="N474" s="567">
        <v>1.6791199999999999</v>
      </c>
      <c r="O474" s="567">
        <v>1.6791199999999999</v>
      </c>
      <c r="P474" s="567">
        <v>1.6791199999999999</v>
      </c>
      <c r="Q474" s="567">
        <v>0.22598275986529801</v>
      </c>
      <c r="R474" s="567">
        <v>0.22598275986529801</v>
      </c>
      <c r="S474" s="567">
        <v>0.22598275986529801</v>
      </c>
      <c r="T474" s="567">
        <v>0.22598275986529801</v>
      </c>
      <c r="U474" s="567">
        <f t="shared" si="52"/>
        <v>14.336891039461189</v>
      </c>
    </row>
    <row r="475" spans="1:21" x14ac:dyDescent="0.25">
      <c r="A475" s="567" t="str">
        <f t="shared" si="49"/>
        <v>KU</v>
      </c>
      <c r="B475" s="567" t="str">
        <f t="shared" si="50"/>
        <v>KY</v>
      </c>
      <c r="C475" s="567" t="str">
        <f t="shared" si="51"/>
        <v>E</v>
      </c>
      <c r="D475" s="567" t="s">
        <v>2650</v>
      </c>
      <c r="E475" s="567" t="str">
        <f t="shared" si="46"/>
        <v>350</v>
      </c>
      <c r="F475" s="864" t="s">
        <v>1661</v>
      </c>
      <c r="G475" s="566" t="str">
        <f t="shared" si="48"/>
        <v>TRANSMISSION</v>
      </c>
      <c r="H475" s="567">
        <v>19.66876911</v>
      </c>
      <c r="I475" s="567">
        <v>19.66876911</v>
      </c>
      <c r="J475" s="567">
        <v>19.66876911</v>
      </c>
      <c r="K475" s="567">
        <v>19.66876911</v>
      </c>
      <c r="L475" s="567">
        <v>19.66876911</v>
      </c>
      <c r="M475" s="567">
        <v>19.66876911</v>
      </c>
      <c r="N475" s="567">
        <v>19.66876911</v>
      </c>
      <c r="O475" s="567">
        <v>19.66876911</v>
      </c>
      <c r="P475" s="567">
        <v>19.66876911</v>
      </c>
      <c r="Q475" s="567">
        <v>19.66876911</v>
      </c>
      <c r="R475" s="567">
        <v>19.66876911</v>
      </c>
      <c r="S475" s="567">
        <v>19.66876911</v>
      </c>
      <c r="T475" s="567">
        <v>19.66876911</v>
      </c>
      <c r="U475" s="567">
        <f t="shared" si="52"/>
        <v>236.02522931999999</v>
      </c>
    </row>
    <row r="476" spans="1:21" x14ac:dyDescent="0.25">
      <c r="A476" s="567" t="str">
        <f t="shared" si="49"/>
        <v>KU</v>
      </c>
      <c r="B476" s="567" t="str">
        <f t="shared" si="50"/>
        <v>TN</v>
      </c>
      <c r="C476" s="567" t="str">
        <f t="shared" si="51"/>
        <v>E</v>
      </c>
      <c r="D476" s="567" t="s">
        <v>2650</v>
      </c>
      <c r="E476" s="567" t="str">
        <f t="shared" si="46"/>
        <v>350</v>
      </c>
      <c r="F476" s="864" t="s">
        <v>1662</v>
      </c>
      <c r="G476" s="566" t="str">
        <f t="shared" si="48"/>
        <v>TRANSMISSION</v>
      </c>
      <c r="H476" s="567">
        <v>3.1499650000000001E-4</v>
      </c>
      <c r="I476" s="567">
        <v>3.1499650000000001E-4</v>
      </c>
      <c r="J476" s="567">
        <v>3.1499650000000001E-4</v>
      </c>
      <c r="K476" s="567">
        <v>3.1499650000000001E-4</v>
      </c>
      <c r="L476" s="567">
        <v>3.1499650000000001E-4</v>
      </c>
      <c r="M476" s="567">
        <v>3.1499650000000001E-4</v>
      </c>
      <c r="N476" s="567">
        <v>3.1499650000000001E-4</v>
      </c>
      <c r="O476" s="567">
        <v>3.1499650000000001E-4</v>
      </c>
      <c r="P476" s="567">
        <v>3.1499650000000001E-4</v>
      </c>
      <c r="Q476" s="567">
        <v>3.1499650000000001E-4</v>
      </c>
      <c r="R476" s="567">
        <v>3.1499650000000001E-4</v>
      </c>
      <c r="S476" s="567">
        <v>3.1499650000000001E-4</v>
      </c>
      <c r="T476" s="567">
        <v>3.1499650000000001E-4</v>
      </c>
      <c r="U476" s="567">
        <f t="shared" si="52"/>
        <v>3.7799579999999995E-3</v>
      </c>
    </row>
    <row r="477" spans="1:21" x14ac:dyDescent="0.25">
      <c r="A477" s="567" t="str">
        <f t="shared" si="49"/>
        <v>KU</v>
      </c>
      <c r="B477" s="567" t="str">
        <f t="shared" si="50"/>
        <v>VA</v>
      </c>
      <c r="C477" s="567" t="str">
        <f t="shared" si="51"/>
        <v>E</v>
      </c>
      <c r="D477" s="567" t="s">
        <v>2650</v>
      </c>
      <c r="E477" s="567" t="str">
        <f t="shared" si="46"/>
        <v>350</v>
      </c>
      <c r="F477" s="864" t="s">
        <v>1663</v>
      </c>
      <c r="G477" s="566" t="str">
        <f t="shared" si="48"/>
        <v>TRANSMISSION</v>
      </c>
      <c r="H477" s="567">
        <v>1.5906241800000001</v>
      </c>
      <c r="I477" s="567">
        <v>1.5906241800000001</v>
      </c>
      <c r="J477" s="567">
        <v>1.5906241800000001</v>
      </c>
      <c r="K477" s="567">
        <v>1.5906241800000001</v>
      </c>
      <c r="L477" s="567">
        <v>1.5906241800000001</v>
      </c>
      <c r="M477" s="567">
        <v>1.5906241800000001</v>
      </c>
      <c r="N477" s="567">
        <v>1.5906241800000001</v>
      </c>
      <c r="O477" s="567">
        <v>1.5906241800000001</v>
      </c>
      <c r="P477" s="567">
        <v>1.5906241800000001</v>
      </c>
      <c r="Q477" s="567">
        <v>1.5906241800000001</v>
      </c>
      <c r="R477" s="567">
        <v>1.5906241800000001</v>
      </c>
      <c r="S477" s="567">
        <v>1.5906241800000001</v>
      </c>
      <c r="T477" s="567">
        <v>1.5906241800000001</v>
      </c>
      <c r="U477" s="567">
        <f t="shared" si="52"/>
        <v>19.087490160000002</v>
      </c>
    </row>
    <row r="478" spans="1:21" x14ac:dyDescent="0.25">
      <c r="A478" s="567" t="str">
        <f t="shared" si="49"/>
        <v>KU</v>
      </c>
      <c r="B478" s="567" t="str">
        <f t="shared" si="50"/>
        <v>KY</v>
      </c>
      <c r="C478" s="567" t="str">
        <f t="shared" si="51"/>
        <v>E</v>
      </c>
      <c r="D478" s="567" t="s">
        <v>2650</v>
      </c>
      <c r="E478" s="567" t="str">
        <f t="shared" si="46"/>
        <v>352</v>
      </c>
      <c r="F478" s="864" t="s">
        <v>1664</v>
      </c>
      <c r="G478" s="566" t="str">
        <f t="shared" si="48"/>
        <v>TRANSMISSION</v>
      </c>
      <c r="H478" s="567">
        <v>1.85503707479999</v>
      </c>
      <c r="I478" s="567">
        <v>1.85503707479999</v>
      </c>
      <c r="J478" s="567">
        <v>1.85503707479999</v>
      </c>
      <c r="K478" s="567">
        <v>1.85503707479999</v>
      </c>
      <c r="L478" s="567">
        <v>1.85503707479999</v>
      </c>
      <c r="M478" s="567">
        <v>1.85503707479999</v>
      </c>
      <c r="N478" s="567">
        <v>1.9143515497100001</v>
      </c>
      <c r="O478" s="567">
        <v>1.97366602473</v>
      </c>
      <c r="P478" s="567">
        <v>1.97366602473</v>
      </c>
      <c r="Q478" s="567">
        <v>1.97366602473</v>
      </c>
      <c r="R478" s="567">
        <v>1.97366602473</v>
      </c>
      <c r="S478" s="567">
        <v>1.97366602473</v>
      </c>
      <c r="T478" s="567">
        <v>1.97366602473</v>
      </c>
      <c r="U478" s="567">
        <f t="shared" si="52"/>
        <v>23.031533072089953</v>
      </c>
    </row>
    <row r="479" spans="1:21" x14ac:dyDescent="0.25">
      <c r="A479" s="567" t="str">
        <f t="shared" si="49"/>
        <v>KU</v>
      </c>
      <c r="B479" s="567" t="str">
        <f t="shared" si="50"/>
        <v>KY</v>
      </c>
      <c r="C479" s="567" t="str">
        <f t="shared" si="51"/>
        <v>E</v>
      </c>
      <c r="D479" s="567" t="s">
        <v>2650</v>
      </c>
      <c r="E479" s="567" t="str">
        <f t="shared" si="46"/>
        <v>352</v>
      </c>
      <c r="F479" s="864" t="s">
        <v>1665</v>
      </c>
      <c r="G479" s="566" t="str">
        <f t="shared" si="48"/>
        <v>TRANSMISSION</v>
      </c>
      <c r="H479" s="567">
        <v>36.728058271999998</v>
      </c>
      <c r="I479" s="567">
        <v>36.728058271999998</v>
      </c>
      <c r="J479" s="567">
        <v>36.728058271999998</v>
      </c>
      <c r="K479" s="567">
        <v>36.728058271999998</v>
      </c>
      <c r="L479" s="567">
        <v>36.728058271999998</v>
      </c>
      <c r="M479" s="567">
        <v>36.728058271999998</v>
      </c>
      <c r="N479" s="567">
        <v>36.728058271999998</v>
      </c>
      <c r="O479" s="567">
        <v>36.728058271999998</v>
      </c>
      <c r="P479" s="567">
        <v>36.728058271999998</v>
      </c>
      <c r="Q479" s="567">
        <v>36.728058271999998</v>
      </c>
      <c r="R479" s="567">
        <v>36.728058271999998</v>
      </c>
      <c r="S479" s="567">
        <v>36.728058271999998</v>
      </c>
      <c r="T479" s="567">
        <v>36.728058271999998</v>
      </c>
      <c r="U479" s="567">
        <f t="shared" si="52"/>
        <v>440.73669926399998</v>
      </c>
    </row>
    <row r="480" spans="1:21" x14ac:dyDescent="0.25">
      <c r="A480" s="567" t="str">
        <f t="shared" si="49"/>
        <v>KU</v>
      </c>
      <c r="B480" s="567" t="str">
        <f t="shared" si="50"/>
        <v>VA</v>
      </c>
      <c r="C480" s="567" t="str">
        <f t="shared" si="51"/>
        <v>E</v>
      </c>
      <c r="D480" s="567" t="s">
        <v>2650</v>
      </c>
      <c r="E480" s="567" t="str">
        <f t="shared" si="46"/>
        <v>352</v>
      </c>
      <c r="F480" s="864" t="s">
        <v>1666</v>
      </c>
      <c r="G480" s="566" t="str">
        <f t="shared" si="48"/>
        <v>TRANSMISSION</v>
      </c>
      <c r="H480" s="567">
        <v>2.4114251169999998</v>
      </c>
      <c r="I480" s="567">
        <v>2.4114251169999998</v>
      </c>
      <c r="J480" s="567">
        <v>2.4114251169999998</v>
      </c>
      <c r="K480" s="567">
        <v>2.4114251169999998</v>
      </c>
      <c r="L480" s="567">
        <v>2.4114251169999998</v>
      </c>
      <c r="M480" s="567">
        <v>2.4114251169999998</v>
      </c>
      <c r="N480" s="567">
        <v>2.4114251169999998</v>
      </c>
      <c r="O480" s="567">
        <v>2.4114251169999998</v>
      </c>
      <c r="P480" s="567">
        <v>2.4114251169999998</v>
      </c>
      <c r="Q480" s="567">
        <v>2.4114251169999998</v>
      </c>
      <c r="R480" s="567">
        <v>2.4114251169999998</v>
      </c>
      <c r="S480" s="567">
        <v>2.4114251169999998</v>
      </c>
      <c r="T480" s="567">
        <v>2.4114251169999998</v>
      </c>
      <c r="U480" s="567">
        <f t="shared" si="52"/>
        <v>28.937101404</v>
      </c>
    </row>
    <row r="481" spans="1:21" x14ac:dyDescent="0.25">
      <c r="A481" s="567" t="str">
        <f t="shared" si="49"/>
        <v>KU</v>
      </c>
      <c r="B481" s="567" t="str">
        <f t="shared" si="50"/>
        <v>KY</v>
      </c>
      <c r="C481" s="567" t="str">
        <f t="shared" si="51"/>
        <v>E</v>
      </c>
      <c r="D481" s="567" t="s">
        <v>2650</v>
      </c>
      <c r="E481" s="567" t="str">
        <f t="shared" si="46"/>
        <v>353</v>
      </c>
      <c r="F481" s="864" t="s">
        <v>1667</v>
      </c>
      <c r="G481" s="566" t="str">
        <f t="shared" si="48"/>
        <v>TRANSMISSION</v>
      </c>
      <c r="H481" s="567">
        <v>522.20925509000006</v>
      </c>
      <c r="I481" s="567">
        <v>524.39948125000001</v>
      </c>
      <c r="J481" s="567">
        <v>526.28975161999995</v>
      </c>
      <c r="K481" s="567">
        <v>529.94097057999898</v>
      </c>
      <c r="L481" s="567">
        <v>531.90271253000003</v>
      </c>
      <c r="M481" s="567">
        <v>532.21728607</v>
      </c>
      <c r="N481" s="567">
        <v>532.62679930000002</v>
      </c>
      <c r="O481" s="567">
        <v>532.71447197999998</v>
      </c>
      <c r="P481" s="567">
        <v>547.39122901999997</v>
      </c>
      <c r="Q481" s="567">
        <v>562.22030973999995</v>
      </c>
      <c r="R481" s="567">
        <v>562.70754390000002</v>
      </c>
      <c r="S481" s="567">
        <v>564.81232382999997</v>
      </c>
      <c r="T481" s="567">
        <v>567.46316236999996</v>
      </c>
      <c r="U481" s="567">
        <f t="shared" si="52"/>
        <v>6514.6860421899974</v>
      </c>
    </row>
    <row r="482" spans="1:21" x14ac:dyDescent="0.25">
      <c r="A482" s="567" t="str">
        <f t="shared" si="49"/>
        <v>KU</v>
      </c>
      <c r="B482" s="567" t="str">
        <f t="shared" si="50"/>
        <v>VA</v>
      </c>
      <c r="C482" s="567" t="str">
        <f t="shared" si="51"/>
        <v>E</v>
      </c>
      <c r="D482" s="567" t="s">
        <v>2650</v>
      </c>
      <c r="E482" s="567" t="str">
        <f t="shared" si="46"/>
        <v>353</v>
      </c>
      <c r="F482" s="864" t="s">
        <v>1669</v>
      </c>
      <c r="G482" s="566" t="str">
        <f t="shared" si="48"/>
        <v>TRANSMISSION</v>
      </c>
      <c r="H482" s="567">
        <v>36.340880595100003</v>
      </c>
      <c r="I482" s="567">
        <v>36.340880595100003</v>
      </c>
      <c r="J482" s="567">
        <v>36.340880595100003</v>
      </c>
      <c r="K482" s="567">
        <v>36.340880595100003</v>
      </c>
      <c r="L482" s="567">
        <v>36.340880595100003</v>
      </c>
      <c r="M482" s="567">
        <v>36.340880595100003</v>
      </c>
      <c r="N482" s="567">
        <v>36.340880595100003</v>
      </c>
      <c r="O482" s="567">
        <v>36.340880595100003</v>
      </c>
      <c r="P482" s="567">
        <v>36.340880595100003</v>
      </c>
      <c r="Q482" s="567">
        <v>36.340880595100003</v>
      </c>
      <c r="R482" s="567">
        <v>36.340880595100003</v>
      </c>
      <c r="S482" s="567">
        <v>36.340880595100003</v>
      </c>
      <c r="T482" s="567">
        <v>36.340880595100003</v>
      </c>
      <c r="U482" s="567">
        <f t="shared" si="52"/>
        <v>436.09056714119993</v>
      </c>
    </row>
    <row r="483" spans="1:21" x14ac:dyDescent="0.25">
      <c r="A483" s="567" t="str">
        <f t="shared" si="49"/>
        <v>KU</v>
      </c>
      <c r="B483" s="567" t="str">
        <f t="shared" si="50"/>
        <v>KY</v>
      </c>
      <c r="C483" s="567" t="str">
        <f t="shared" si="51"/>
        <v>E</v>
      </c>
      <c r="D483" s="567" t="s">
        <v>2650</v>
      </c>
      <c r="E483" s="567" t="str">
        <f t="shared" si="46"/>
        <v>354</v>
      </c>
      <c r="F483" s="864" t="s">
        <v>1670</v>
      </c>
      <c r="G483" s="566" t="str">
        <f t="shared" si="48"/>
        <v>TRANSMISSION</v>
      </c>
      <c r="H483" s="567">
        <v>99.783251426999996</v>
      </c>
      <c r="I483" s="567">
        <v>99.783251426999996</v>
      </c>
      <c r="J483" s="567">
        <v>99.783251426999996</v>
      </c>
      <c r="K483" s="567">
        <v>99.783251426999996</v>
      </c>
      <c r="L483" s="567">
        <v>99.783251426999996</v>
      </c>
      <c r="M483" s="567">
        <v>99.783251426999996</v>
      </c>
      <c r="N483" s="567">
        <v>99.783251426999996</v>
      </c>
      <c r="O483" s="567">
        <v>99.783251426999996</v>
      </c>
      <c r="P483" s="567">
        <v>99.783251426999996</v>
      </c>
      <c r="Q483" s="567">
        <v>99.783251426999996</v>
      </c>
      <c r="R483" s="567">
        <v>99.783251426999996</v>
      </c>
      <c r="S483" s="567">
        <v>99.783251426999996</v>
      </c>
      <c r="T483" s="567">
        <v>99.783251426999996</v>
      </c>
      <c r="U483" s="567">
        <f t="shared" si="52"/>
        <v>1197.399017124</v>
      </c>
    </row>
    <row r="484" spans="1:21" x14ac:dyDescent="0.25">
      <c r="A484" s="567" t="str">
        <f t="shared" si="49"/>
        <v>KU</v>
      </c>
      <c r="B484" s="567" t="str">
        <f t="shared" si="50"/>
        <v>VA</v>
      </c>
      <c r="C484" s="567" t="str">
        <f t="shared" si="51"/>
        <v>E</v>
      </c>
      <c r="D484" s="567" t="s">
        <v>2650</v>
      </c>
      <c r="E484" s="567" t="str">
        <f t="shared" si="46"/>
        <v>354</v>
      </c>
      <c r="F484" s="864" t="s">
        <v>1671</v>
      </c>
      <c r="G484" s="566" t="str">
        <f t="shared" si="48"/>
        <v>TRANSMISSION</v>
      </c>
      <c r="H484" s="567">
        <v>10.113356164000001</v>
      </c>
      <c r="I484" s="567">
        <v>10.113356164000001</v>
      </c>
      <c r="J484" s="567">
        <v>10.113356164000001</v>
      </c>
      <c r="K484" s="567">
        <v>10.113356164000001</v>
      </c>
      <c r="L484" s="567">
        <v>10.113356164000001</v>
      </c>
      <c r="M484" s="567">
        <v>10.113356164000001</v>
      </c>
      <c r="N484" s="567">
        <v>10.113356164000001</v>
      </c>
      <c r="O484" s="567">
        <v>10.113356164000001</v>
      </c>
      <c r="P484" s="567">
        <v>10.113356164000001</v>
      </c>
      <c r="Q484" s="567">
        <v>10.113356164000001</v>
      </c>
      <c r="R484" s="567">
        <v>10.113356164000001</v>
      </c>
      <c r="S484" s="567">
        <v>10.113356164000001</v>
      </c>
      <c r="T484" s="567">
        <v>10.113356164000001</v>
      </c>
      <c r="U484" s="567">
        <f t="shared" si="52"/>
        <v>121.36027396799999</v>
      </c>
    </row>
    <row r="485" spans="1:21" x14ac:dyDescent="0.25">
      <c r="A485" s="567" t="str">
        <f t="shared" si="49"/>
        <v>KU</v>
      </c>
      <c r="B485" s="567" t="str">
        <f t="shared" si="50"/>
        <v>KY</v>
      </c>
      <c r="C485" s="567" t="str">
        <f t="shared" si="51"/>
        <v>E</v>
      </c>
      <c r="D485" s="567" t="s">
        <v>2650</v>
      </c>
      <c r="E485" s="567" t="str">
        <f t="shared" si="46"/>
        <v>355</v>
      </c>
      <c r="F485" s="864" t="s">
        <v>1672</v>
      </c>
      <c r="G485" s="566" t="str">
        <f t="shared" si="48"/>
        <v>TRANSMISSION</v>
      </c>
      <c r="H485" s="567">
        <v>945.36824793999995</v>
      </c>
      <c r="I485" s="567">
        <v>958.35340937000001</v>
      </c>
      <c r="J485" s="567">
        <v>969.42173918999902</v>
      </c>
      <c r="K485" s="567">
        <v>977.98811969999997</v>
      </c>
      <c r="L485" s="567">
        <v>986.55526210000005</v>
      </c>
      <c r="M485" s="567">
        <v>993.59919995999996</v>
      </c>
      <c r="N485" s="567">
        <v>1001.16492233</v>
      </c>
      <c r="O485" s="567">
        <v>1008.39486085</v>
      </c>
      <c r="P485" s="567">
        <v>1041.12454976</v>
      </c>
      <c r="Q485" s="567">
        <v>1070.8509595599901</v>
      </c>
      <c r="R485" s="567">
        <v>1076.20779623</v>
      </c>
      <c r="S485" s="567">
        <v>1082.1987880199999</v>
      </c>
      <c r="T485" s="567">
        <v>1088.27872583</v>
      </c>
      <c r="U485" s="567">
        <f t="shared" si="52"/>
        <v>12254.138332899989</v>
      </c>
    </row>
    <row r="486" spans="1:21" x14ac:dyDescent="0.25">
      <c r="A486" s="567" t="str">
        <f t="shared" si="49"/>
        <v>KU</v>
      </c>
      <c r="B486" s="567" t="str">
        <f t="shared" si="50"/>
        <v>TN</v>
      </c>
      <c r="C486" s="567" t="str">
        <f t="shared" si="51"/>
        <v>E</v>
      </c>
      <c r="D486" s="567" t="s">
        <v>2650</v>
      </c>
      <c r="E486" s="567" t="str">
        <f t="shared" si="46"/>
        <v>355</v>
      </c>
      <c r="F486" s="864" t="s">
        <v>1673</v>
      </c>
      <c r="G486" s="566" t="str">
        <f t="shared" si="48"/>
        <v>TRANSMISSION</v>
      </c>
      <c r="H486" s="567">
        <v>0.31436831912000002</v>
      </c>
      <c r="I486" s="567">
        <v>0.31436831912000002</v>
      </c>
      <c r="J486" s="567">
        <v>0.31436831912000002</v>
      </c>
      <c r="K486" s="567">
        <v>0.31436831912000002</v>
      </c>
      <c r="L486" s="567">
        <v>0.31436831912000002</v>
      </c>
      <c r="M486" s="567">
        <v>0.31436831912000002</v>
      </c>
      <c r="N486" s="567">
        <v>0.31436831912000002</v>
      </c>
      <c r="O486" s="567">
        <v>0.31436831912000002</v>
      </c>
      <c r="P486" s="567">
        <v>0.31436831912000002</v>
      </c>
      <c r="Q486" s="567">
        <v>0.31436831912000002</v>
      </c>
      <c r="R486" s="567">
        <v>0.31436831912000002</v>
      </c>
      <c r="S486" s="567">
        <v>0.31436831912000002</v>
      </c>
      <c r="T486" s="567">
        <v>0.31436831912000002</v>
      </c>
      <c r="U486" s="567">
        <f t="shared" si="52"/>
        <v>3.7724198294400009</v>
      </c>
    </row>
    <row r="487" spans="1:21" x14ac:dyDescent="0.25">
      <c r="A487" s="567" t="str">
        <f t="shared" si="49"/>
        <v>KU</v>
      </c>
      <c r="B487" s="567" t="str">
        <f t="shared" si="50"/>
        <v>VA</v>
      </c>
      <c r="C487" s="567" t="str">
        <f t="shared" si="51"/>
        <v>E</v>
      </c>
      <c r="D487" s="567" t="s">
        <v>2650</v>
      </c>
      <c r="E487" s="567" t="str">
        <f t="shared" si="46"/>
        <v>355</v>
      </c>
      <c r="F487" s="864" t="s">
        <v>1674</v>
      </c>
      <c r="G487" s="566" t="str">
        <f t="shared" si="48"/>
        <v>TRANSMISSION</v>
      </c>
      <c r="H487" s="567">
        <v>35.534610141000002</v>
      </c>
      <c r="I487" s="567">
        <v>35.534610141000002</v>
      </c>
      <c r="J487" s="567">
        <v>36.126046160000001</v>
      </c>
      <c r="K487" s="567">
        <v>36.717482169999997</v>
      </c>
      <c r="L487" s="567">
        <v>36.717482169999997</v>
      </c>
      <c r="M487" s="567">
        <v>36.717482169999997</v>
      </c>
      <c r="N487" s="567">
        <v>36.717482169999997</v>
      </c>
      <c r="O487" s="567">
        <v>36.717482169999997</v>
      </c>
      <c r="P487" s="567">
        <v>36.717482169999997</v>
      </c>
      <c r="Q487" s="567">
        <v>36.717482169999997</v>
      </c>
      <c r="R487" s="567">
        <v>36.717482169999997</v>
      </c>
      <c r="S487" s="567">
        <v>36.717482169999997</v>
      </c>
      <c r="T487" s="567">
        <v>36.717482169999997</v>
      </c>
      <c r="U487" s="567">
        <f t="shared" si="52"/>
        <v>438.83547800099984</v>
      </c>
    </row>
    <row r="488" spans="1:21" x14ac:dyDescent="0.25">
      <c r="A488" s="567" t="str">
        <f t="shared" si="49"/>
        <v>KU</v>
      </c>
      <c r="B488" s="567" t="str">
        <f t="shared" si="50"/>
        <v>KY</v>
      </c>
      <c r="C488" s="567" t="str">
        <f t="shared" si="51"/>
        <v>E</v>
      </c>
      <c r="D488" s="567" t="s">
        <v>2650</v>
      </c>
      <c r="E488" s="567" t="str">
        <f t="shared" si="46"/>
        <v>356</v>
      </c>
      <c r="F488" s="864" t="s">
        <v>1675</v>
      </c>
      <c r="G488" s="566" t="str">
        <f t="shared" si="48"/>
        <v>TRANSMISSION</v>
      </c>
      <c r="H488" s="567">
        <v>361.72603479000003</v>
      </c>
      <c r="I488" s="567">
        <v>361.569703739999</v>
      </c>
      <c r="J488" s="567">
        <v>361.37459934999998</v>
      </c>
      <c r="K488" s="567">
        <v>361.23749137999999</v>
      </c>
      <c r="L488" s="567">
        <v>361.14932155999998</v>
      </c>
      <c r="M488" s="567">
        <v>361.08288309</v>
      </c>
      <c r="N488" s="567">
        <v>361.032036159999</v>
      </c>
      <c r="O488" s="567">
        <v>360.92230211999998</v>
      </c>
      <c r="P488" s="567">
        <v>360.77894726</v>
      </c>
      <c r="Q488" s="567">
        <v>360.71638932000002</v>
      </c>
      <c r="R488" s="567">
        <v>360.75729607</v>
      </c>
      <c r="S488" s="567">
        <v>360.75410142999999</v>
      </c>
      <c r="T488" s="567">
        <v>365.52579481999999</v>
      </c>
      <c r="U488" s="567">
        <f t="shared" si="52"/>
        <v>4336.9008662999977</v>
      </c>
    </row>
    <row r="489" spans="1:21" x14ac:dyDescent="0.25">
      <c r="A489" s="567" t="str">
        <f t="shared" si="49"/>
        <v>KU</v>
      </c>
      <c r="B489" s="567" t="str">
        <f t="shared" si="50"/>
        <v>TN</v>
      </c>
      <c r="C489" s="567" t="str">
        <f t="shared" si="51"/>
        <v>E</v>
      </c>
      <c r="D489" s="567" t="s">
        <v>2650</v>
      </c>
      <c r="E489" s="567" t="str">
        <f t="shared" si="46"/>
        <v>356</v>
      </c>
      <c r="F489" s="864" t="s">
        <v>1676</v>
      </c>
      <c r="G489" s="566" t="str">
        <f t="shared" si="48"/>
        <v>TRANSMISSION</v>
      </c>
      <c r="H489" s="567">
        <v>0.17079664850000001</v>
      </c>
      <c r="I489" s="567">
        <v>0.17079664850000001</v>
      </c>
      <c r="J489" s="567">
        <v>0.17079664850000001</v>
      </c>
      <c r="K489" s="567">
        <v>0.17079664850000001</v>
      </c>
      <c r="L489" s="567">
        <v>0.17079664850000001</v>
      </c>
      <c r="M489" s="567">
        <v>0.17079664850000001</v>
      </c>
      <c r="N489" s="567">
        <v>0.17079664850000001</v>
      </c>
      <c r="O489" s="567">
        <v>0.17079664850000001</v>
      </c>
      <c r="P489" s="567">
        <v>0.17079664850000001</v>
      </c>
      <c r="Q489" s="567">
        <v>0.17079664850000001</v>
      </c>
      <c r="R489" s="567">
        <v>0.17079664850000001</v>
      </c>
      <c r="S489" s="567">
        <v>0.17079664850000001</v>
      </c>
      <c r="T489" s="567">
        <v>0.17079664850000001</v>
      </c>
      <c r="U489" s="567">
        <f t="shared" si="52"/>
        <v>2.0495597820000007</v>
      </c>
    </row>
    <row r="490" spans="1:21" x14ac:dyDescent="0.25">
      <c r="A490" s="567" t="str">
        <f t="shared" si="49"/>
        <v>KU</v>
      </c>
      <c r="B490" s="567" t="str">
        <f t="shared" si="50"/>
        <v>VA</v>
      </c>
      <c r="C490" s="567" t="str">
        <f t="shared" si="51"/>
        <v>E</v>
      </c>
      <c r="D490" s="567" t="s">
        <v>2650</v>
      </c>
      <c r="E490" s="567" t="str">
        <f t="shared" si="46"/>
        <v>356</v>
      </c>
      <c r="F490" s="864" t="s">
        <v>1677</v>
      </c>
      <c r="G490" s="566" t="str">
        <f t="shared" si="48"/>
        <v>TRANSMISSION</v>
      </c>
      <c r="H490" s="567">
        <v>39.574261059000001</v>
      </c>
      <c r="I490" s="567">
        <v>39.574261059000001</v>
      </c>
      <c r="J490" s="567">
        <v>39.574261059000001</v>
      </c>
      <c r="K490" s="567">
        <v>39.574261059000001</v>
      </c>
      <c r="L490" s="567">
        <v>39.574261059000001</v>
      </c>
      <c r="M490" s="567">
        <v>39.574261059000001</v>
      </c>
      <c r="N490" s="567">
        <v>39.574261059000001</v>
      </c>
      <c r="O490" s="567">
        <v>39.574261059000001</v>
      </c>
      <c r="P490" s="567">
        <v>39.574261059000001</v>
      </c>
      <c r="Q490" s="567">
        <v>39.574261059000001</v>
      </c>
      <c r="R490" s="567">
        <v>39.574261059000001</v>
      </c>
      <c r="S490" s="567">
        <v>39.574261059000001</v>
      </c>
      <c r="T490" s="567">
        <v>39.574261059000001</v>
      </c>
      <c r="U490" s="567">
        <f t="shared" si="52"/>
        <v>474.89113270799993</v>
      </c>
    </row>
    <row r="491" spans="1:21" x14ac:dyDescent="0.25">
      <c r="A491" s="567" t="str">
        <f t="shared" si="49"/>
        <v>KU</v>
      </c>
      <c r="B491" s="567" t="str">
        <f t="shared" si="50"/>
        <v>KY</v>
      </c>
      <c r="C491" s="567" t="str">
        <f t="shared" si="51"/>
        <v>E</v>
      </c>
      <c r="D491" s="567" t="s">
        <v>2650</v>
      </c>
      <c r="E491" s="567" t="str">
        <f t="shared" ref="E491:E546" si="53">MID($F491,8,3)</f>
        <v>357</v>
      </c>
      <c r="F491" s="864" t="s">
        <v>1678</v>
      </c>
      <c r="G491" s="566" t="str">
        <f t="shared" si="48"/>
        <v>TRANSMISSION</v>
      </c>
      <c r="H491" s="567">
        <v>0.63574370169999905</v>
      </c>
      <c r="I491" s="567">
        <v>0.63574370169999905</v>
      </c>
      <c r="J491" s="567">
        <v>0.63574370169999905</v>
      </c>
      <c r="K491" s="567">
        <v>0.63574370169999905</v>
      </c>
      <c r="L491" s="567">
        <v>0.63574370169999905</v>
      </c>
      <c r="M491" s="567">
        <v>0.63574370169999905</v>
      </c>
      <c r="N491" s="567">
        <v>0.63574370169999905</v>
      </c>
      <c r="O491" s="567">
        <v>0.63574370169999905</v>
      </c>
      <c r="P491" s="567">
        <v>0.63574370169999905</v>
      </c>
      <c r="Q491" s="567">
        <v>0.63574370169999905</v>
      </c>
      <c r="R491" s="567">
        <v>0.63574370169999905</v>
      </c>
      <c r="S491" s="567">
        <v>0.63574370169999905</v>
      </c>
      <c r="T491" s="567">
        <v>0.63574370169999905</v>
      </c>
      <c r="U491" s="567">
        <f t="shared" si="52"/>
        <v>7.6289244203999891</v>
      </c>
    </row>
    <row r="492" spans="1:21" x14ac:dyDescent="0.25">
      <c r="A492" s="567" t="str">
        <f t="shared" si="49"/>
        <v>KU</v>
      </c>
      <c r="B492" s="567" t="str">
        <f t="shared" si="50"/>
        <v>KY</v>
      </c>
      <c r="C492" s="567" t="str">
        <f t="shared" si="51"/>
        <v>E</v>
      </c>
      <c r="D492" s="567" t="s">
        <v>2650</v>
      </c>
      <c r="E492" s="567" t="str">
        <f t="shared" si="53"/>
        <v>358</v>
      </c>
      <c r="F492" s="864" t="s">
        <v>1679</v>
      </c>
      <c r="G492" s="566" t="str">
        <f t="shared" si="48"/>
        <v>TRANSMISSION</v>
      </c>
      <c r="H492" s="567">
        <v>0.80141540580000004</v>
      </c>
      <c r="I492" s="567">
        <v>0.80141540580000004</v>
      </c>
      <c r="J492" s="567">
        <v>0.80141540580000004</v>
      </c>
      <c r="K492" s="567">
        <v>0.80141540580000004</v>
      </c>
      <c r="L492" s="567">
        <v>0.80141540580000004</v>
      </c>
      <c r="M492" s="567">
        <v>0.80141540580000004</v>
      </c>
      <c r="N492" s="567">
        <v>0.80141540580000004</v>
      </c>
      <c r="O492" s="567">
        <v>0.80141540580000004</v>
      </c>
      <c r="P492" s="567">
        <v>3.540972322</v>
      </c>
      <c r="Q492" s="567">
        <v>6.3247958989999997</v>
      </c>
      <c r="R492" s="567">
        <v>6.4503396259999999</v>
      </c>
      <c r="S492" s="567">
        <v>6.6128937600000004</v>
      </c>
      <c r="T492" s="567">
        <v>6.6941708269999998</v>
      </c>
      <c r="U492" s="567">
        <f t="shared" si="52"/>
        <v>35.233080274599999</v>
      </c>
    </row>
    <row r="493" spans="1:21" x14ac:dyDescent="0.25">
      <c r="A493" s="567" t="str">
        <f t="shared" si="49"/>
        <v>KU</v>
      </c>
      <c r="B493" s="567" t="str">
        <f t="shared" si="50"/>
        <v>KY</v>
      </c>
      <c r="C493" s="567" t="str">
        <f t="shared" si="51"/>
        <v>E</v>
      </c>
      <c r="D493" s="567" t="s">
        <v>2650</v>
      </c>
      <c r="E493" s="567" t="str">
        <f t="shared" si="53"/>
        <v>359</v>
      </c>
      <c r="F493" s="864" t="s">
        <v>1680</v>
      </c>
      <c r="G493" s="566" t="str">
        <f t="shared" si="48"/>
        <v>TRANSMISSION</v>
      </c>
      <c r="H493" s="567">
        <v>1.5926399999999901</v>
      </c>
      <c r="I493" s="567">
        <v>1.5926399999999901</v>
      </c>
      <c r="J493" s="567">
        <v>1.5926399999999901</v>
      </c>
      <c r="K493" s="567">
        <v>1.5926399999999901</v>
      </c>
      <c r="L493" s="567">
        <v>1.5926399999999901</v>
      </c>
      <c r="M493" s="567">
        <v>1.5926399999999901</v>
      </c>
      <c r="N493" s="567">
        <v>1.5926399999999901</v>
      </c>
      <c r="O493" s="567">
        <v>1.5926399999999901</v>
      </c>
      <c r="P493" s="567">
        <v>1.5926399999999901</v>
      </c>
      <c r="Q493" s="567">
        <v>0.21434393174512001</v>
      </c>
      <c r="R493" s="567">
        <v>0.21434393174512001</v>
      </c>
      <c r="S493" s="567">
        <v>0.21434393174512001</v>
      </c>
      <c r="T493" s="567">
        <v>0.21434393174512001</v>
      </c>
      <c r="U493" s="567">
        <f t="shared" si="52"/>
        <v>13.598495726980401</v>
      </c>
    </row>
    <row r="494" spans="1:21" x14ac:dyDescent="0.25">
      <c r="A494" s="567" t="str">
        <f t="shared" si="49"/>
        <v>KU</v>
      </c>
      <c r="B494" s="567" t="str">
        <f t="shared" si="50"/>
        <v>KY</v>
      </c>
      <c r="C494" s="567" t="str">
        <f t="shared" si="51"/>
        <v>E</v>
      </c>
      <c r="D494" s="567" t="s">
        <v>2650</v>
      </c>
      <c r="E494" s="567" t="str">
        <f t="shared" si="53"/>
        <v>360</v>
      </c>
      <c r="F494" s="864" t="s">
        <v>1682</v>
      </c>
      <c r="G494" s="566" t="str">
        <f t="shared" si="48"/>
        <v>DISTRIBUTION</v>
      </c>
      <c r="H494" s="567">
        <v>1.1068267039999999</v>
      </c>
      <c r="I494" s="567">
        <v>1.1068267039999999</v>
      </c>
      <c r="J494" s="567">
        <v>1.1068267039999999</v>
      </c>
      <c r="K494" s="567">
        <v>1.1068267039999999</v>
      </c>
      <c r="L494" s="567">
        <v>1.1068267039999999</v>
      </c>
      <c r="M494" s="567">
        <v>1.1068267039999999</v>
      </c>
      <c r="N494" s="567">
        <v>1.1068267039999999</v>
      </c>
      <c r="O494" s="567">
        <v>1.1068267039999999</v>
      </c>
      <c r="P494" s="567">
        <v>1.1068267039999999</v>
      </c>
      <c r="Q494" s="567">
        <v>1.1068267039999999</v>
      </c>
      <c r="R494" s="567">
        <v>1.1068267039999999</v>
      </c>
      <c r="S494" s="567">
        <v>1.1068267039999999</v>
      </c>
      <c r="T494" s="567">
        <v>1.1068267039999999</v>
      </c>
      <c r="U494" s="567">
        <f t="shared" si="52"/>
        <v>13.281920447999996</v>
      </c>
    </row>
    <row r="495" spans="1:21" x14ac:dyDescent="0.25">
      <c r="A495" s="567" t="str">
        <f t="shared" si="49"/>
        <v>KU</v>
      </c>
      <c r="B495" s="567" t="str">
        <f t="shared" si="50"/>
        <v>TN</v>
      </c>
      <c r="C495" s="567" t="str">
        <f t="shared" si="51"/>
        <v>E</v>
      </c>
      <c r="D495" s="567" t="s">
        <v>2650</v>
      </c>
      <c r="E495" s="567" t="str">
        <f t="shared" si="53"/>
        <v>360</v>
      </c>
      <c r="F495" s="864" t="s">
        <v>1683</v>
      </c>
      <c r="G495" s="566" t="str">
        <f t="shared" si="48"/>
        <v>DISTRIBUTION</v>
      </c>
      <c r="H495" s="567">
        <v>1.4012853329999999E-3</v>
      </c>
      <c r="I495" s="567">
        <v>1.4012853329999999E-3</v>
      </c>
      <c r="J495" s="567">
        <v>1.4012853329999999E-3</v>
      </c>
      <c r="K495" s="567">
        <v>1.4012853329999999E-3</v>
      </c>
      <c r="L495" s="567">
        <v>1.4012853329999999E-3</v>
      </c>
      <c r="M495" s="567">
        <v>1.4012853329999999E-3</v>
      </c>
      <c r="N495" s="567">
        <v>1.4012853329999999E-3</v>
      </c>
      <c r="O495" s="567">
        <v>1.4012853329999999E-3</v>
      </c>
      <c r="P495" s="567">
        <v>1.4012853329999999E-3</v>
      </c>
      <c r="Q495" s="567">
        <v>1.4012853329999999E-3</v>
      </c>
      <c r="R495" s="567">
        <v>1.4012853329999999E-3</v>
      </c>
      <c r="S495" s="567">
        <v>1.4012853329999999E-3</v>
      </c>
      <c r="T495" s="567">
        <v>1.4012853329999999E-3</v>
      </c>
      <c r="U495" s="567">
        <f t="shared" si="52"/>
        <v>1.6815423995999997E-2</v>
      </c>
    </row>
    <row r="496" spans="1:21" x14ac:dyDescent="0.25">
      <c r="A496" s="567" t="str">
        <f t="shared" si="49"/>
        <v>KU</v>
      </c>
      <c r="B496" s="567" t="str">
        <f t="shared" si="50"/>
        <v>VA</v>
      </c>
      <c r="C496" s="567" t="str">
        <f t="shared" si="51"/>
        <v>E</v>
      </c>
      <c r="D496" s="567" t="s">
        <v>2650</v>
      </c>
      <c r="E496" s="567" t="str">
        <f t="shared" si="53"/>
        <v>360</v>
      </c>
      <c r="F496" s="864" t="s">
        <v>1684</v>
      </c>
      <c r="G496" s="566" t="str">
        <f t="shared" si="48"/>
        <v>DISTRIBUTION</v>
      </c>
      <c r="H496" s="567">
        <v>4.8534309329999997E-2</v>
      </c>
      <c r="I496" s="567">
        <v>4.8534309329999997E-2</v>
      </c>
      <c r="J496" s="567">
        <v>4.8534309329999997E-2</v>
      </c>
      <c r="K496" s="567">
        <v>4.8534309329999997E-2</v>
      </c>
      <c r="L496" s="567">
        <v>4.8534309329999997E-2</v>
      </c>
      <c r="M496" s="567">
        <v>4.8534309329999997E-2</v>
      </c>
      <c r="N496" s="567">
        <v>4.8534309329999997E-2</v>
      </c>
      <c r="O496" s="567">
        <v>4.8534309329999997E-2</v>
      </c>
      <c r="P496" s="567">
        <v>4.8534309329999997E-2</v>
      </c>
      <c r="Q496" s="567">
        <v>4.8534309329999997E-2</v>
      </c>
      <c r="R496" s="567">
        <v>4.8534309329999997E-2</v>
      </c>
      <c r="S496" s="567">
        <v>4.8534309329999997E-2</v>
      </c>
      <c r="T496" s="567">
        <v>4.8534309329999997E-2</v>
      </c>
      <c r="U496" s="567">
        <f t="shared" si="52"/>
        <v>0.58241171196000008</v>
      </c>
    </row>
    <row r="497" spans="1:21" x14ac:dyDescent="0.25">
      <c r="A497" s="567" t="str">
        <f t="shared" si="49"/>
        <v>KU</v>
      </c>
      <c r="B497" s="567" t="str">
        <f t="shared" si="50"/>
        <v>KY</v>
      </c>
      <c r="C497" s="567" t="str">
        <f t="shared" si="51"/>
        <v>E</v>
      </c>
      <c r="D497" s="567" t="s">
        <v>2650</v>
      </c>
      <c r="E497" s="567" t="str">
        <f t="shared" si="53"/>
        <v>361</v>
      </c>
      <c r="F497" s="864" t="s">
        <v>1685</v>
      </c>
      <c r="G497" s="566" t="str">
        <f t="shared" ref="G497:G559" si="54">IF(ISTEXT(MID($F497,SEARCH("HYDRO PRODUCTION",$F497),9)),"HYDRO",IF(ISTEXT(MID($F497,SEARCH("OTHER PRODUCTION",$F497),9)),"OTHER",IF(ISTEXT(MID($F497,SEARCH("STEAM PRODUCTION",$F497),9)),"STEAM",IF(ISTEXT(MID($F497,SEARCH("TRANSMISSION",$F497),9)),"TRANSMISSION",IF(ISTEXT(MID($F497,SEARCH("DISTRIBUTION",$F497),9)),"DISTRIBUTION",IF(ISTEXT(MID($F497,SEARCH("COMMON",$F497),9)),"COMMON",IF(ISTEXT(MID($F497,SEARCH("GENERAL",$F497),9)),"GENERAL",IF(ISTEXT(MID($F497,SEARCH("INTANGIBLE",$F497),9)),"INTANGIBLE",IF(ISTEXT(MID($F497,SEARCH("STORAGE",$F497),3)),"STORAGE","")))))))))</f>
        <v>DISTRIBUTION</v>
      </c>
      <c r="H497" s="567">
        <v>40.532733024999999</v>
      </c>
      <c r="I497" s="567">
        <v>41.899502475999903</v>
      </c>
      <c r="J497" s="567">
        <v>43.266281925000001</v>
      </c>
      <c r="K497" s="567">
        <v>44.633057638999901</v>
      </c>
      <c r="L497" s="567">
        <v>45.999819924000001</v>
      </c>
      <c r="M497" s="567">
        <v>47.366599112000003</v>
      </c>
      <c r="N497" s="567">
        <v>48.733386625999998</v>
      </c>
      <c r="O497" s="567">
        <v>50.100169110000003</v>
      </c>
      <c r="P497" s="567">
        <v>52.057030599999997</v>
      </c>
      <c r="Q497" s="567">
        <v>53.93987508</v>
      </c>
      <c r="R497" s="567">
        <v>55.158631319999998</v>
      </c>
      <c r="S497" s="567">
        <v>56.377387540000001</v>
      </c>
      <c r="T497" s="567">
        <v>57.64076421</v>
      </c>
      <c r="U497" s="567">
        <f t="shared" si="52"/>
        <v>597.17250556199986</v>
      </c>
    </row>
    <row r="498" spans="1:21" x14ac:dyDescent="0.25">
      <c r="A498" s="567" t="str">
        <f t="shared" si="49"/>
        <v>KU</v>
      </c>
      <c r="B498" s="567" t="str">
        <f t="shared" si="50"/>
        <v>TN</v>
      </c>
      <c r="C498" s="567" t="str">
        <f t="shared" si="51"/>
        <v>E</v>
      </c>
      <c r="D498" s="567" t="s">
        <v>2650</v>
      </c>
      <c r="E498" s="567" t="str">
        <f t="shared" si="53"/>
        <v>361</v>
      </c>
      <c r="F498" s="864" t="s">
        <v>1686</v>
      </c>
      <c r="G498" s="566" t="str">
        <f t="shared" si="54"/>
        <v>DISTRIBUTION</v>
      </c>
      <c r="H498" s="567">
        <v>4.5600245839999996E-3</v>
      </c>
      <c r="I498" s="567">
        <v>4.5600245839999996E-3</v>
      </c>
      <c r="J498" s="567">
        <v>4.5600245839999996E-3</v>
      </c>
      <c r="K498" s="567">
        <v>4.5600245839999996E-3</v>
      </c>
      <c r="L498" s="567">
        <v>4.5600245839999996E-3</v>
      </c>
      <c r="M498" s="567">
        <v>4.5600245839999996E-3</v>
      </c>
      <c r="N498" s="567">
        <v>4.5600245839999996E-3</v>
      </c>
      <c r="O498" s="567">
        <v>4.5600245839999996E-3</v>
      </c>
      <c r="P498" s="567">
        <v>4.5600245839999996E-3</v>
      </c>
      <c r="Q498" s="567">
        <v>4.5600245839999996E-3</v>
      </c>
      <c r="R498" s="567">
        <v>4.5600245839999996E-3</v>
      </c>
      <c r="S498" s="567">
        <v>4.5600245839999996E-3</v>
      </c>
      <c r="T498" s="567">
        <v>4.5600245839999996E-3</v>
      </c>
      <c r="U498" s="567">
        <f t="shared" si="52"/>
        <v>5.4720295007999985E-2</v>
      </c>
    </row>
    <row r="499" spans="1:21" x14ac:dyDescent="0.25">
      <c r="A499" s="567" t="str">
        <f t="shared" si="49"/>
        <v>KU</v>
      </c>
      <c r="B499" s="567" t="str">
        <f t="shared" si="50"/>
        <v>VA</v>
      </c>
      <c r="C499" s="567" t="str">
        <f t="shared" si="51"/>
        <v>E</v>
      </c>
      <c r="D499" s="567" t="s">
        <v>2650</v>
      </c>
      <c r="E499" s="567" t="str">
        <f t="shared" si="53"/>
        <v>361</v>
      </c>
      <c r="F499" s="864" t="s">
        <v>1687</v>
      </c>
      <c r="G499" s="566" t="str">
        <f t="shared" si="54"/>
        <v>DISTRIBUTION</v>
      </c>
      <c r="H499" s="567">
        <v>1.375272625</v>
      </c>
      <c r="I499" s="567">
        <v>1.375272625</v>
      </c>
      <c r="J499" s="567">
        <v>1.375272625</v>
      </c>
      <c r="K499" s="567">
        <v>1.375272625</v>
      </c>
      <c r="L499" s="567">
        <v>1.375272625</v>
      </c>
      <c r="M499" s="567">
        <v>1.375272625</v>
      </c>
      <c r="N499" s="567">
        <v>1.375272625</v>
      </c>
      <c r="O499" s="567">
        <v>1.375272625</v>
      </c>
      <c r="P499" s="567">
        <v>1.375272625</v>
      </c>
      <c r="Q499" s="567">
        <v>1.375272625</v>
      </c>
      <c r="R499" s="567">
        <v>1.375272625</v>
      </c>
      <c r="S499" s="567">
        <v>1.375272625</v>
      </c>
      <c r="T499" s="567">
        <v>1.375272625</v>
      </c>
      <c r="U499" s="567">
        <f t="shared" si="52"/>
        <v>16.503271500000004</v>
      </c>
    </row>
    <row r="500" spans="1:21" x14ac:dyDescent="0.25">
      <c r="A500" s="567" t="str">
        <f t="shared" si="49"/>
        <v>KU</v>
      </c>
      <c r="B500" s="567" t="str">
        <f t="shared" si="50"/>
        <v>KY</v>
      </c>
      <c r="C500" s="567" t="str">
        <f t="shared" si="51"/>
        <v>E</v>
      </c>
      <c r="D500" s="567" t="s">
        <v>2650</v>
      </c>
      <c r="E500" s="567" t="str">
        <f t="shared" si="53"/>
        <v>362</v>
      </c>
      <c r="F500" s="864" t="s">
        <v>1688</v>
      </c>
      <c r="G500" s="566" t="str">
        <f t="shared" si="54"/>
        <v>DISTRIBUTION</v>
      </c>
      <c r="H500" s="567">
        <v>444.88542333999999</v>
      </c>
      <c r="I500" s="567">
        <v>445.67841928000001</v>
      </c>
      <c r="J500" s="567">
        <v>448.93232332999997</v>
      </c>
      <c r="K500" s="567">
        <v>452.34813204</v>
      </c>
      <c r="L500" s="567">
        <v>453.47186081999899</v>
      </c>
      <c r="M500" s="567">
        <v>455.96849603999999</v>
      </c>
      <c r="N500" s="567">
        <v>458.35450589999999</v>
      </c>
      <c r="O500" s="567">
        <v>459.30828480999998</v>
      </c>
      <c r="P500" s="567">
        <v>474.370119899999</v>
      </c>
      <c r="Q500" s="567">
        <v>489.18845298999997</v>
      </c>
      <c r="R500" s="567">
        <v>489.69298122999999</v>
      </c>
      <c r="S500" s="567">
        <v>491.58747603999899</v>
      </c>
      <c r="T500" s="567">
        <v>493.74776241000001</v>
      </c>
      <c r="U500" s="567">
        <f t="shared" si="52"/>
        <v>5612.6488147899963</v>
      </c>
    </row>
    <row r="501" spans="1:21" x14ac:dyDescent="0.25">
      <c r="A501" s="567" t="str">
        <f t="shared" si="49"/>
        <v>KU</v>
      </c>
      <c r="B501" s="567" t="str">
        <f t="shared" si="50"/>
        <v>TN</v>
      </c>
      <c r="C501" s="567" t="str">
        <f t="shared" si="51"/>
        <v>E</v>
      </c>
      <c r="D501" s="567" t="s">
        <v>2650</v>
      </c>
      <c r="E501" s="567" t="str">
        <f t="shared" si="53"/>
        <v>362</v>
      </c>
      <c r="F501" s="864" t="s">
        <v>1689</v>
      </c>
      <c r="G501" s="566" t="str">
        <f t="shared" si="54"/>
        <v>DISTRIBUTION</v>
      </c>
      <c r="H501" s="567">
        <v>0.12762961956300001</v>
      </c>
      <c r="I501" s="567">
        <v>0.12762961956300001</v>
      </c>
      <c r="J501" s="567">
        <v>0.12762961956300001</v>
      </c>
      <c r="K501" s="567">
        <v>0.12762961956300001</v>
      </c>
      <c r="L501" s="567">
        <v>0.12762961956300001</v>
      </c>
      <c r="M501" s="567">
        <v>0.12762961956300001</v>
      </c>
      <c r="N501" s="567">
        <v>0.12762961956300001</v>
      </c>
      <c r="O501" s="567">
        <v>0.12762961956300001</v>
      </c>
      <c r="P501" s="567">
        <v>0.12762961956300001</v>
      </c>
      <c r="Q501" s="567">
        <v>0.12762961956300001</v>
      </c>
      <c r="R501" s="567">
        <v>0.12762961956300001</v>
      </c>
      <c r="S501" s="567">
        <v>0.12762961956300001</v>
      </c>
      <c r="T501" s="567">
        <v>0.12762961956300001</v>
      </c>
      <c r="U501" s="567">
        <f>SUM(I501:T501)</f>
        <v>1.5315554347560001</v>
      </c>
    </row>
    <row r="502" spans="1:21" x14ac:dyDescent="0.25">
      <c r="A502" s="567" t="str">
        <f t="shared" si="49"/>
        <v>KU</v>
      </c>
      <c r="B502" s="567" t="str">
        <f t="shared" si="50"/>
        <v>VA</v>
      </c>
      <c r="C502" s="567" t="str">
        <f t="shared" si="51"/>
        <v>E</v>
      </c>
      <c r="D502" s="567" t="s">
        <v>2650</v>
      </c>
      <c r="E502" s="567" t="str">
        <f t="shared" si="53"/>
        <v>362</v>
      </c>
      <c r="F502" s="864" t="s">
        <v>1690</v>
      </c>
      <c r="G502" s="566" t="str">
        <f t="shared" si="54"/>
        <v>DISTRIBUTION</v>
      </c>
      <c r="H502" s="567">
        <v>16.246084267699999</v>
      </c>
      <c r="I502" s="567">
        <v>16.246084267699999</v>
      </c>
      <c r="J502" s="567">
        <v>16.246084267699999</v>
      </c>
      <c r="K502" s="567">
        <v>16.246084267699999</v>
      </c>
      <c r="L502" s="567">
        <v>16.246084267699999</v>
      </c>
      <c r="M502" s="567">
        <v>16.246084267699999</v>
      </c>
      <c r="N502" s="567">
        <v>16.246084267699999</v>
      </c>
      <c r="O502" s="567">
        <v>16.246084267699999</v>
      </c>
      <c r="P502" s="567">
        <v>16.246084267699999</v>
      </c>
      <c r="Q502" s="567">
        <v>16.246084267699999</v>
      </c>
      <c r="R502" s="567">
        <v>16.246084267699999</v>
      </c>
      <c r="S502" s="567">
        <v>16.246084267699999</v>
      </c>
      <c r="T502" s="567">
        <v>16.246084267699999</v>
      </c>
      <c r="U502" s="567">
        <f t="shared" si="52"/>
        <v>194.95301121239993</v>
      </c>
    </row>
    <row r="503" spans="1:21" x14ac:dyDescent="0.25">
      <c r="A503" s="567" t="str">
        <f t="shared" si="49"/>
        <v>KU</v>
      </c>
      <c r="B503" s="567" t="str">
        <f t="shared" si="50"/>
        <v>KY</v>
      </c>
      <c r="C503" s="567" t="str">
        <f t="shared" si="51"/>
        <v>E</v>
      </c>
      <c r="D503" s="567" t="s">
        <v>2650</v>
      </c>
      <c r="E503" s="567" t="str">
        <f t="shared" si="53"/>
        <v>364</v>
      </c>
      <c r="F503" s="864" t="s">
        <v>1691</v>
      </c>
      <c r="G503" s="566" t="str">
        <f t="shared" si="54"/>
        <v>DISTRIBUTION</v>
      </c>
      <c r="H503" s="567">
        <v>5.9031920000000002E-2</v>
      </c>
      <c r="I503" s="567">
        <v>5.9031920000000002E-2</v>
      </c>
      <c r="J503" s="567">
        <v>5.9031920000000002E-2</v>
      </c>
      <c r="K503" s="567">
        <v>5.9031920000000002E-2</v>
      </c>
      <c r="L503" s="567">
        <v>5.9031920000000002E-2</v>
      </c>
      <c r="M503" s="567">
        <v>5.9031920000000002E-2</v>
      </c>
      <c r="N503" s="567">
        <v>5.9031920000000002E-2</v>
      </c>
      <c r="O503" s="567">
        <v>5.9031920000000002E-2</v>
      </c>
      <c r="P503" s="567">
        <v>5.9031920000000002E-2</v>
      </c>
      <c r="Q503" s="567">
        <v>5.9031920000000002E-2</v>
      </c>
      <c r="R503" s="567">
        <v>5.9031920000000002E-2</v>
      </c>
      <c r="S503" s="567">
        <v>5.9031920000000002E-2</v>
      </c>
      <c r="T503" s="567">
        <v>5.9031920000000002E-2</v>
      </c>
      <c r="U503" s="567">
        <f t="shared" si="52"/>
        <v>0.70838304000000007</v>
      </c>
    </row>
    <row r="504" spans="1:21" x14ac:dyDescent="0.25">
      <c r="A504" s="567" t="str">
        <f t="shared" si="49"/>
        <v>KU</v>
      </c>
      <c r="B504" s="567" t="str">
        <f t="shared" si="50"/>
        <v>KY</v>
      </c>
      <c r="C504" s="567" t="str">
        <f t="shared" si="51"/>
        <v>E</v>
      </c>
      <c r="D504" s="567" t="s">
        <v>2650</v>
      </c>
      <c r="E504" s="567" t="str">
        <f t="shared" si="53"/>
        <v>364</v>
      </c>
      <c r="F504" s="864" t="s">
        <v>1692</v>
      </c>
      <c r="G504" s="566" t="str">
        <f t="shared" si="54"/>
        <v>DISTRIBUTION</v>
      </c>
      <c r="H504" s="567">
        <v>861.14692109300199</v>
      </c>
      <c r="I504" s="567">
        <v>864.71978890300295</v>
      </c>
      <c r="J504" s="567">
        <v>868.361286013003</v>
      </c>
      <c r="K504" s="567">
        <v>871.92759021300196</v>
      </c>
      <c r="L504" s="567">
        <v>875.63493861300196</v>
      </c>
      <c r="M504" s="567">
        <v>879.98174761300299</v>
      </c>
      <c r="N504" s="567">
        <v>884.12102800300295</v>
      </c>
      <c r="O504" s="567">
        <v>887.37240157300198</v>
      </c>
      <c r="P504" s="567">
        <v>890.06912977300203</v>
      </c>
      <c r="Q504" s="567">
        <v>892.77387959300199</v>
      </c>
      <c r="R504" s="567">
        <v>895.54911768300201</v>
      </c>
      <c r="S504" s="567">
        <v>898.58516363300203</v>
      </c>
      <c r="T504" s="567">
        <v>902.12536563300296</v>
      </c>
      <c r="U504" s="567">
        <f t="shared" si="52"/>
        <v>10611.221437246029</v>
      </c>
    </row>
    <row r="505" spans="1:21" x14ac:dyDescent="0.25">
      <c r="A505" s="567" t="str">
        <f t="shared" si="49"/>
        <v>KU</v>
      </c>
      <c r="B505" s="567" t="str">
        <f t="shared" si="50"/>
        <v>TN</v>
      </c>
      <c r="C505" s="567" t="str">
        <f t="shared" si="51"/>
        <v>E</v>
      </c>
      <c r="D505" s="567" t="s">
        <v>2650</v>
      </c>
      <c r="E505" s="567" t="str">
        <f t="shared" si="53"/>
        <v>364</v>
      </c>
      <c r="F505" s="864" t="s">
        <v>1693</v>
      </c>
      <c r="G505" s="566" t="str">
        <f t="shared" si="54"/>
        <v>DISTRIBUTION</v>
      </c>
      <c r="H505" s="567">
        <v>0.106322871</v>
      </c>
      <c r="I505" s="567">
        <v>0.106322871</v>
      </c>
      <c r="J505" s="567">
        <v>0.106322871</v>
      </c>
      <c r="K505" s="567">
        <v>0.106322871</v>
      </c>
      <c r="L505" s="567">
        <v>0.106322871</v>
      </c>
      <c r="M505" s="567">
        <v>0.106322871</v>
      </c>
      <c r="N505" s="567">
        <v>0.106322871</v>
      </c>
      <c r="O505" s="567">
        <v>0.106322871</v>
      </c>
      <c r="P505" s="567">
        <v>0.106322871</v>
      </c>
      <c r="Q505" s="567">
        <v>0.106322871</v>
      </c>
      <c r="R505" s="567">
        <v>0.106322871</v>
      </c>
      <c r="S505" s="567">
        <v>0.106322871</v>
      </c>
      <c r="T505" s="567">
        <v>0.106322871</v>
      </c>
      <c r="U505" s="567">
        <f t="shared" ref="U505" si="55">SUM(I505:T505)</f>
        <v>1.275874452</v>
      </c>
    </row>
    <row r="506" spans="1:21" x14ac:dyDescent="0.25">
      <c r="A506" s="567" t="str">
        <f t="shared" si="49"/>
        <v>KU</v>
      </c>
      <c r="B506" s="567" t="str">
        <f t="shared" si="50"/>
        <v>VA</v>
      </c>
      <c r="C506" s="567" t="str">
        <f t="shared" si="51"/>
        <v>E</v>
      </c>
      <c r="D506" s="567" t="s">
        <v>2650</v>
      </c>
      <c r="E506" s="567" t="str">
        <f t="shared" si="53"/>
        <v>364</v>
      </c>
      <c r="F506" s="864" t="s">
        <v>1694</v>
      </c>
      <c r="G506" s="566" t="str">
        <f t="shared" si="54"/>
        <v>DISTRIBUTION</v>
      </c>
      <c r="H506" s="567">
        <v>67.868597230999995</v>
      </c>
      <c r="I506" s="567">
        <v>67.942663752000001</v>
      </c>
      <c r="J506" s="567">
        <v>68.011898041999999</v>
      </c>
      <c r="K506" s="567">
        <v>68.086293253999997</v>
      </c>
      <c r="L506" s="567">
        <v>68.165397737999996</v>
      </c>
      <c r="M506" s="567">
        <v>68.233494917000002</v>
      </c>
      <c r="N506" s="567">
        <v>68.302694936999998</v>
      </c>
      <c r="O506" s="567">
        <v>68.368236345</v>
      </c>
      <c r="P506" s="567">
        <v>68.424020401999996</v>
      </c>
      <c r="Q506" s="567">
        <v>68.485563208999906</v>
      </c>
      <c r="R506" s="567">
        <v>68.550554830999999</v>
      </c>
      <c r="S506" s="567">
        <v>68.612631402999995</v>
      </c>
      <c r="T506" s="567">
        <v>68.682242041999999</v>
      </c>
      <c r="U506" s="567">
        <f t="shared" si="52"/>
        <v>819.86569087199996</v>
      </c>
    </row>
    <row r="507" spans="1:21" x14ac:dyDescent="0.25">
      <c r="A507" s="567" t="str">
        <f t="shared" si="49"/>
        <v>KU</v>
      </c>
      <c r="B507" s="567" t="str">
        <f t="shared" si="50"/>
        <v>KY</v>
      </c>
      <c r="C507" s="567" t="str">
        <f t="shared" si="51"/>
        <v>E</v>
      </c>
      <c r="D507" s="567" t="s">
        <v>2650</v>
      </c>
      <c r="E507" s="567" t="str">
        <f t="shared" si="53"/>
        <v>365</v>
      </c>
      <c r="F507" s="864" t="s">
        <v>1695</v>
      </c>
      <c r="G507" s="566" t="str">
        <f t="shared" si="54"/>
        <v>DISTRIBUTION</v>
      </c>
      <c r="H507" s="567">
        <v>4.8575452249999998E-2</v>
      </c>
      <c r="I507" s="567">
        <v>4.8575452249999998E-2</v>
      </c>
      <c r="J507" s="567">
        <v>4.8575452249999998E-2</v>
      </c>
      <c r="K507" s="567">
        <v>4.8575452249999998E-2</v>
      </c>
      <c r="L507" s="567">
        <v>4.8575452249999998E-2</v>
      </c>
      <c r="M507" s="567">
        <v>4.8575452249999998E-2</v>
      </c>
      <c r="N507" s="567">
        <v>4.8575452249999998E-2</v>
      </c>
      <c r="O507" s="567">
        <v>4.8575452249999998E-2</v>
      </c>
      <c r="P507" s="567">
        <v>4.8575452249999998E-2</v>
      </c>
      <c r="Q507" s="567">
        <v>4.8575452249999998E-2</v>
      </c>
      <c r="R507" s="567">
        <v>4.8575452249999998E-2</v>
      </c>
      <c r="S507" s="567">
        <v>4.8575452249999998E-2</v>
      </c>
      <c r="T507" s="567">
        <v>4.8575452249999998E-2</v>
      </c>
      <c r="U507" s="567">
        <f t="shared" si="52"/>
        <v>0.58290542699999992</v>
      </c>
    </row>
    <row r="508" spans="1:21" x14ac:dyDescent="0.25">
      <c r="A508" s="567" t="str">
        <f t="shared" si="49"/>
        <v>KU</v>
      </c>
      <c r="B508" s="567" t="str">
        <f t="shared" si="50"/>
        <v>KY</v>
      </c>
      <c r="C508" s="567" t="str">
        <f t="shared" si="51"/>
        <v>E</v>
      </c>
      <c r="D508" s="567" t="s">
        <v>2650</v>
      </c>
      <c r="E508" s="567" t="str">
        <f t="shared" si="53"/>
        <v>365</v>
      </c>
      <c r="F508" s="864" t="s">
        <v>1696</v>
      </c>
      <c r="G508" s="566" t="str">
        <f t="shared" si="54"/>
        <v>DISTRIBUTION</v>
      </c>
      <c r="H508" s="567">
        <v>794.43191190999903</v>
      </c>
      <c r="I508" s="567">
        <v>798.07380246000002</v>
      </c>
      <c r="J508" s="567">
        <v>802.29904392999902</v>
      </c>
      <c r="K508" s="567">
        <v>805.83360518999996</v>
      </c>
      <c r="L508" s="567">
        <v>810.06450628000005</v>
      </c>
      <c r="M508" s="567">
        <v>815.12936724999997</v>
      </c>
      <c r="N508" s="567">
        <v>818.76315885999998</v>
      </c>
      <c r="O508" s="567">
        <v>822.21288122999999</v>
      </c>
      <c r="P508" s="567">
        <v>827.37310281999999</v>
      </c>
      <c r="Q508" s="567">
        <v>832.55415648999997</v>
      </c>
      <c r="R508" s="567">
        <v>835.79782365999995</v>
      </c>
      <c r="S508" s="567">
        <v>838.97732841000004</v>
      </c>
      <c r="T508" s="567">
        <v>842.37078806</v>
      </c>
      <c r="U508" s="567">
        <f t="shared" si="52"/>
        <v>9849.4495646399992</v>
      </c>
    </row>
    <row r="509" spans="1:21" x14ac:dyDescent="0.25">
      <c r="A509" s="567" t="str">
        <f t="shared" si="49"/>
        <v>KU</v>
      </c>
      <c r="B509" s="567" t="str">
        <f t="shared" si="50"/>
        <v>TN</v>
      </c>
      <c r="C509" s="567" t="str">
        <f t="shared" si="51"/>
        <v>E</v>
      </c>
      <c r="D509" s="567" t="s">
        <v>2650</v>
      </c>
      <c r="E509" s="567" t="str">
        <f t="shared" si="53"/>
        <v>365</v>
      </c>
      <c r="F509" s="864" t="s">
        <v>1697</v>
      </c>
      <c r="G509" s="566" t="str">
        <f t="shared" si="54"/>
        <v>DISTRIBUTION</v>
      </c>
      <c r="H509" s="567">
        <v>9.6254294500000004E-2</v>
      </c>
      <c r="I509" s="567">
        <v>9.6254294500000004E-2</v>
      </c>
      <c r="J509" s="567">
        <v>9.6254294500000004E-2</v>
      </c>
      <c r="K509" s="567">
        <v>9.6254294500000004E-2</v>
      </c>
      <c r="L509" s="567">
        <v>9.6254294500000004E-2</v>
      </c>
      <c r="M509" s="567">
        <v>9.6254294500000004E-2</v>
      </c>
      <c r="N509" s="567">
        <v>9.6254294500000004E-2</v>
      </c>
      <c r="O509" s="567">
        <v>9.6254294500000004E-2</v>
      </c>
      <c r="P509" s="567">
        <v>9.6254294500000004E-2</v>
      </c>
      <c r="Q509" s="567">
        <v>9.6254294500000004E-2</v>
      </c>
      <c r="R509" s="567">
        <v>9.6254294500000004E-2</v>
      </c>
      <c r="S509" s="567">
        <v>9.6254294500000004E-2</v>
      </c>
      <c r="T509" s="567">
        <v>9.6254294500000004E-2</v>
      </c>
      <c r="U509" s="567">
        <f t="shared" si="52"/>
        <v>1.155051534</v>
      </c>
    </row>
    <row r="510" spans="1:21" x14ac:dyDescent="0.25">
      <c r="A510" s="567" t="str">
        <f t="shared" si="49"/>
        <v>KU</v>
      </c>
      <c r="B510" s="567" t="str">
        <f t="shared" si="50"/>
        <v>VA</v>
      </c>
      <c r="C510" s="567" t="str">
        <f t="shared" si="51"/>
        <v>E</v>
      </c>
      <c r="D510" s="567" t="s">
        <v>2650</v>
      </c>
      <c r="E510" s="567" t="str">
        <f t="shared" si="53"/>
        <v>365</v>
      </c>
      <c r="F510" s="864" t="s">
        <v>1698</v>
      </c>
      <c r="G510" s="566" t="str">
        <f t="shared" si="54"/>
        <v>DISTRIBUTION</v>
      </c>
      <c r="H510" s="567">
        <v>58.353101662999997</v>
      </c>
      <c r="I510" s="567">
        <v>58.588064858999999</v>
      </c>
      <c r="J510" s="567">
        <v>58.852239054000002</v>
      </c>
      <c r="K510" s="567">
        <v>59.359844734999903</v>
      </c>
      <c r="L510" s="567">
        <v>59.862444638999897</v>
      </c>
      <c r="M510" s="567">
        <v>60.101425214000002</v>
      </c>
      <c r="N510" s="567">
        <v>60.338408547</v>
      </c>
      <c r="O510" s="567">
        <v>60.559262267000001</v>
      </c>
      <c r="P510" s="567">
        <v>60.732088652000002</v>
      </c>
      <c r="Q510" s="567">
        <v>60.947630740999998</v>
      </c>
      <c r="R510" s="567">
        <v>61.197716406999902</v>
      </c>
      <c r="S510" s="567">
        <v>61.408939103000002</v>
      </c>
      <c r="T510" s="567">
        <v>61.611353864999998</v>
      </c>
      <c r="U510" s="567">
        <f t="shared" si="52"/>
        <v>723.55941808299974</v>
      </c>
    </row>
    <row r="511" spans="1:21" x14ac:dyDescent="0.25">
      <c r="A511" s="567" t="str">
        <f t="shared" si="49"/>
        <v>KU</v>
      </c>
      <c r="B511" s="567" t="str">
        <f t="shared" si="50"/>
        <v>KY</v>
      </c>
      <c r="C511" s="567" t="str">
        <f t="shared" si="51"/>
        <v>E</v>
      </c>
      <c r="D511" s="567" t="s">
        <v>2650</v>
      </c>
      <c r="E511" s="567" t="str">
        <f t="shared" si="53"/>
        <v>366</v>
      </c>
      <c r="F511" s="864" t="s">
        <v>1699</v>
      </c>
      <c r="G511" s="566" t="str">
        <f t="shared" si="54"/>
        <v>DISTRIBUTION</v>
      </c>
      <c r="H511" s="567">
        <v>0.33060487199999999</v>
      </c>
      <c r="I511" s="567">
        <v>0.33060487199999999</v>
      </c>
      <c r="J511" s="567">
        <v>0.33060487199999999</v>
      </c>
      <c r="K511" s="567">
        <v>0.33060487199999999</v>
      </c>
      <c r="L511" s="567">
        <v>0.33060487199999999</v>
      </c>
      <c r="M511" s="567">
        <v>0.33060487199999999</v>
      </c>
      <c r="N511" s="567">
        <v>0.33060487199999999</v>
      </c>
      <c r="O511" s="567">
        <v>0.33060487199999999</v>
      </c>
      <c r="P511" s="567">
        <v>0.33060487199999999</v>
      </c>
      <c r="Q511" s="567">
        <v>0.33060487199999999</v>
      </c>
      <c r="R511" s="567">
        <v>0.33060487199999999</v>
      </c>
      <c r="S511" s="567">
        <v>0.33060487199999999</v>
      </c>
      <c r="T511" s="567">
        <v>0.33060487199999999</v>
      </c>
      <c r="U511" s="567">
        <f t="shared" si="52"/>
        <v>3.967258463999999</v>
      </c>
    </row>
    <row r="512" spans="1:21" x14ac:dyDescent="0.25">
      <c r="A512" s="567" t="str">
        <f t="shared" si="49"/>
        <v>KU</v>
      </c>
      <c r="B512" s="567" t="str">
        <f t="shared" si="50"/>
        <v>KY</v>
      </c>
      <c r="C512" s="567" t="str">
        <f t="shared" si="51"/>
        <v>E</v>
      </c>
      <c r="D512" s="567" t="s">
        <v>2650</v>
      </c>
      <c r="E512" s="567" t="str">
        <f t="shared" si="53"/>
        <v>366</v>
      </c>
      <c r="F512" s="864" t="s">
        <v>1700</v>
      </c>
      <c r="G512" s="566" t="str">
        <f t="shared" si="54"/>
        <v>DISTRIBUTION</v>
      </c>
      <c r="H512" s="567">
        <v>4.2902668049999999</v>
      </c>
      <c r="I512" s="567">
        <v>4.2902668049999999</v>
      </c>
      <c r="J512" s="567">
        <v>4.2902668049999999</v>
      </c>
      <c r="K512" s="567">
        <v>4.2902668049999999</v>
      </c>
      <c r="L512" s="567">
        <v>4.2902668049999999</v>
      </c>
      <c r="M512" s="567">
        <v>4.2902668049999999</v>
      </c>
      <c r="N512" s="567">
        <v>4.2902668049999999</v>
      </c>
      <c r="O512" s="567">
        <v>4.2902668049999999</v>
      </c>
      <c r="P512" s="567">
        <v>4.2902668049999999</v>
      </c>
      <c r="Q512" s="567">
        <v>4.2902668049999999</v>
      </c>
      <c r="R512" s="567">
        <v>4.2902668049999999</v>
      </c>
      <c r="S512" s="567">
        <v>4.2902668049999999</v>
      </c>
      <c r="T512" s="567">
        <v>4.2902668049999999</v>
      </c>
      <c r="U512" s="567">
        <f t="shared" si="52"/>
        <v>51.483201660000013</v>
      </c>
    </row>
    <row r="513" spans="1:24" x14ac:dyDescent="0.25">
      <c r="A513" s="567" t="str">
        <f t="shared" si="49"/>
        <v>KU</v>
      </c>
      <c r="B513" s="567" t="str">
        <f t="shared" si="50"/>
        <v>KY</v>
      </c>
      <c r="C513" s="567" t="str">
        <f t="shared" si="51"/>
        <v>E</v>
      </c>
      <c r="D513" s="567" t="s">
        <v>2650</v>
      </c>
      <c r="E513" s="567" t="str">
        <f t="shared" si="53"/>
        <v>367</v>
      </c>
      <c r="F513" s="864" t="s">
        <v>1701</v>
      </c>
      <c r="G513" s="566" t="str">
        <f t="shared" si="54"/>
        <v>DISTRIBUTION</v>
      </c>
      <c r="H513" s="567">
        <v>2.6853836241</v>
      </c>
      <c r="I513" s="567">
        <v>2.6853836241</v>
      </c>
      <c r="J513" s="567">
        <v>2.6853836241</v>
      </c>
      <c r="K513" s="567">
        <v>2.6853836241</v>
      </c>
      <c r="L513" s="567">
        <v>2.6853836241</v>
      </c>
      <c r="M513" s="567">
        <v>2.6853836241</v>
      </c>
      <c r="N513" s="567">
        <v>2.6853836241</v>
      </c>
      <c r="O513" s="567">
        <v>2.6853836241</v>
      </c>
      <c r="P513" s="567">
        <v>2.6853836241</v>
      </c>
      <c r="Q513" s="567">
        <v>2.6853836241</v>
      </c>
      <c r="R513" s="567">
        <v>2.6853836241</v>
      </c>
      <c r="S513" s="567">
        <v>2.6853836241</v>
      </c>
      <c r="T513" s="567">
        <v>2.6853836241</v>
      </c>
      <c r="U513" s="567">
        <f t="shared" si="52"/>
        <v>32.224603489199993</v>
      </c>
    </row>
    <row r="514" spans="1:24" x14ac:dyDescent="0.25">
      <c r="A514" s="567" t="str">
        <f t="shared" si="49"/>
        <v>KU</v>
      </c>
      <c r="B514" s="567" t="str">
        <f t="shared" si="50"/>
        <v>KY</v>
      </c>
      <c r="C514" s="567" t="str">
        <f t="shared" si="51"/>
        <v>E</v>
      </c>
      <c r="D514" s="567" t="s">
        <v>2650</v>
      </c>
      <c r="E514" s="567" t="str">
        <f t="shared" si="53"/>
        <v>367</v>
      </c>
      <c r="F514" s="864" t="s">
        <v>1702</v>
      </c>
      <c r="G514" s="566" t="str">
        <f t="shared" si="54"/>
        <v>DISTRIBUTION</v>
      </c>
      <c r="H514" s="567">
        <v>417.09696407000001</v>
      </c>
      <c r="I514" s="567">
        <v>419.66398420000002</v>
      </c>
      <c r="J514" s="567">
        <v>422.22941305000001</v>
      </c>
      <c r="K514" s="567">
        <v>424.84868945999898</v>
      </c>
      <c r="L514" s="567">
        <v>427.63721408999999</v>
      </c>
      <c r="M514" s="567">
        <v>430.22567799999899</v>
      </c>
      <c r="N514" s="567">
        <v>434.06003308999999</v>
      </c>
      <c r="O514" s="567">
        <v>437.79204706000002</v>
      </c>
      <c r="P514" s="567">
        <v>440.95759880999998</v>
      </c>
      <c r="Q514" s="567">
        <v>444.318840359999</v>
      </c>
      <c r="R514" s="567">
        <v>446.82019622000001</v>
      </c>
      <c r="S514" s="567">
        <v>449.26472640999998</v>
      </c>
      <c r="T514" s="567">
        <v>451.75682217000002</v>
      </c>
      <c r="U514" s="567">
        <f t="shared" si="52"/>
        <v>5229.5752429199974</v>
      </c>
    </row>
    <row r="515" spans="1:24" x14ac:dyDescent="0.25">
      <c r="A515" s="567" t="str">
        <f t="shared" si="49"/>
        <v>KU</v>
      </c>
      <c r="B515" s="567" t="str">
        <f t="shared" si="50"/>
        <v>VA</v>
      </c>
      <c r="C515" s="567" t="str">
        <f t="shared" si="51"/>
        <v>E</v>
      </c>
      <c r="D515" s="567" t="s">
        <v>2650</v>
      </c>
      <c r="E515" s="567" t="str">
        <f t="shared" si="53"/>
        <v>367</v>
      </c>
      <c r="F515" s="864" t="s">
        <v>1703</v>
      </c>
      <c r="G515" s="566" t="str">
        <f t="shared" si="54"/>
        <v>DISTRIBUTION</v>
      </c>
      <c r="H515" s="567">
        <v>9.8021474351000002</v>
      </c>
      <c r="I515" s="567">
        <v>9.88606178369999</v>
      </c>
      <c r="J515" s="567">
        <v>9.9664234838999892</v>
      </c>
      <c r="K515" s="567">
        <v>10.0486199416</v>
      </c>
      <c r="L515" s="567">
        <v>10.1607016515</v>
      </c>
      <c r="M515" s="567">
        <v>10.2579060246</v>
      </c>
      <c r="N515" s="567">
        <v>10.355492441699999</v>
      </c>
      <c r="O515" s="567">
        <v>10.443938235099999</v>
      </c>
      <c r="P515" s="567">
        <v>10.490853984799999</v>
      </c>
      <c r="Q515" s="567">
        <v>10.5662303334</v>
      </c>
      <c r="R515" s="567">
        <v>10.6671115818</v>
      </c>
      <c r="S515" s="567">
        <v>10.760647994699999</v>
      </c>
      <c r="T515" s="567">
        <v>10.846719175800001</v>
      </c>
      <c r="U515" s="567">
        <f t="shared" si="52"/>
        <v>124.45070663259997</v>
      </c>
    </row>
    <row r="516" spans="1:24" x14ac:dyDescent="0.25">
      <c r="A516" s="567" t="str">
        <f t="shared" si="49"/>
        <v>KU</v>
      </c>
      <c r="B516" s="567" t="str">
        <f t="shared" si="50"/>
        <v>KY</v>
      </c>
      <c r="C516" s="567" t="str">
        <f t="shared" si="51"/>
        <v>E</v>
      </c>
      <c r="D516" s="567" t="s">
        <v>2650</v>
      </c>
      <c r="E516" s="567" t="str">
        <f t="shared" si="53"/>
        <v>368</v>
      </c>
      <c r="F516" s="864" t="s">
        <v>1704</v>
      </c>
      <c r="G516" s="566" t="str">
        <f t="shared" si="54"/>
        <v>DISTRIBUTION</v>
      </c>
      <c r="H516" s="567">
        <v>465.35016388000003</v>
      </c>
      <c r="I516" s="567">
        <v>466.096486999999</v>
      </c>
      <c r="J516" s="567">
        <v>467.06091636000002</v>
      </c>
      <c r="K516" s="567">
        <v>467.60024189000001</v>
      </c>
      <c r="L516" s="567">
        <v>467.72741359999998</v>
      </c>
      <c r="M516" s="567">
        <v>468.529680329999</v>
      </c>
      <c r="N516" s="567">
        <v>469.87608189999997</v>
      </c>
      <c r="O516" s="567">
        <v>471.14828406999999</v>
      </c>
      <c r="P516" s="567">
        <v>472.12011824000001</v>
      </c>
      <c r="Q516" s="567">
        <v>472.79430667999998</v>
      </c>
      <c r="R516" s="567">
        <v>473.51733231999998</v>
      </c>
      <c r="S516" s="567">
        <v>474.44037995000002</v>
      </c>
      <c r="T516" s="567">
        <v>475.28183652000001</v>
      </c>
      <c r="U516" s="567">
        <f>SUM(I516:T516)</f>
        <v>5646.1930788599975</v>
      </c>
    </row>
    <row r="517" spans="1:24" x14ac:dyDescent="0.25">
      <c r="A517" s="567" t="str">
        <f t="shared" si="49"/>
        <v>KU</v>
      </c>
      <c r="B517" s="567" t="str">
        <f t="shared" si="50"/>
        <v>TN</v>
      </c>
      <c r="C517" s="567" t="str">
        <f t="shared" si="51"/>
        <v>E</v>
      </c>
      <c r="D517" s="567" t="s">
        <v>2650</v>
      </c>
      <c r="E517" s="567" t="str">
        <f t="shared" si="53"/>
        <v>368</v>
      </c>
      <c r="F517" s="864" t="s">
        <v>1705</v>
      </c>
      <c r="G517" s="566" t="str">
        <f t="shared" si="54"/>
        <v>DISTRIBUTION</v>
      </c>
      <c r="H517" s="567">
        <v>4.6514343330000003E-3</v>
      </c>
      <c r="I517" s="567">
        <v>4.6514343330000003E-3</v>
      </c>
      <c r="J517" s="567">
        <v>4.6514343330000003E-3</v>
      </c>
      <c r="K517" s="567">
        <v>4.6514343330000003E-3</v>
      </c>
      <c r="L517" s="567">
        <v>4.6514343330000003E-3</v>
      </c>
      <c r="M517" s="567">
        <v>4.6514343330000003E-3</v>
      </c>
      <c r="N517" s="567">
        <v>4.6514343330000003E-3</v>
      </c>
      <c r="O517" s="567">
        <v>4.6514343330000003E-3</v>
      </c>
      <c r="P517" s="567">
        <v>4.6514343330000003E-3</v>
      </c>
      <c r="Q517" s="567">
        <v>4.6514343330000003E-3</v>
      </c>
      <c r="R517" s="567">
        <v>4.6514343330000003E-3</v>
      </c>
      <c r="S517" s="567">
        <v>4.6514343330000003E-3</v>
      </c>
      <c r="T517" s="567">
        <v>4.6514343330000003E-3</v>
      </c>
      <c r="U517" s="567">
        <f t="shared" si="52"/>
        <v>5.5817211995999989E-2</v>
      </c>
    </row>
    <row r="518" spans="1:24" x14ac:dyDescent="0.25">
      <c r="A518" s="567" t="str">
        <f t="shared" si="49"/>
        <v>KU</v>
      </c>
      <c r="B518" s="567" t="str">
        <f t="shared" si="50"/>
        <v>VA</v>
      </c>
      <c r="C518" s="567" t="str">
        <f t="shared" si="51"/>
        <v>E</v>
      </c>
      <c r="D518" s="567" t="s">
        <v>2650</v>
      </c>
      <c r="E518" s="567" t="str">
        <f t="shared" si="53"/>
        <v>368</v>
      </c>
      <c r="F518" s="864" t="s">
        <v>1706</v>
      </c>
      <c r="G518" s="566" t="str">
        <f t="shared" si="54"/>
        <v>DISTRIBUTION</v>
      </c>
      <c r="H518" s="567">
        <v>16.620584970099902</v>
      </c>
      <c r="I518" s="567">
        <v>16.628256014999899</v>
      </c>
      <c r="J518" s="567">
        <v>16.63592706</v>
      </c>
      <c r="K518" s="567">
        <v>16.6430604735</v>
      </c>
      <c r="L518" s="567">
        <v>16.650905106699899</v>
      </c>
      <c r="M518" s="567">
        <v>16.657653258900002</v>
      </c>
      <c r="N518" s="567">
        <v>16.666958426000001</v>
      </c>
      <c r="O518" s="567">
        <v>16.6753407014</v>
      </c>
      <c r="P518" s="567">
        <v>16.679531838500001</v>
      </c>
      <c r="Q518" s="567">
        <v>16.685329301199999</v>
      </c>
      <c r="R518" s="567">
        <v>16.693655982199999</v>
      </c>
      <c r="S518" s="567">
        <v>16.7019826722</v>
      </c>
      <c r="T518" s="567">
        <v>16.707773396099999</v>
      </c>
      <c r="U518" s="567">
        <f t="shared" si="52"/>
        <v>200.0263742316998</v>
      </c>
    </row>
    <row r="519" spans="1:24" x14ac:dyDescent="0.25">
      <c r="A519" s="567" t="str">
        <f t="shared" ref="A519:A600" si="56">MID($F519,4,2)</f>
        <v>KU</v>
      </c>
      <c r="B519" s="567" t="str">
        <f t="shared" si="50"/>
        <v>KY</v>
      </c>
      <c r="C519" s="567" t="str">
        <f t="shared" si="51"/>
        <v>E</v>
      </c>
      <c r="D519" s="567" t="s">
        <v>2650</v>
      </c>
      <c r="E519" s="567" t="str">
        <f t="shared" si="53"/>
        <v>369</v>
      </c>
      <c r="F519" s="864" t="s">
        <v>1707</v>
      </c>
      <c r="G519" s="566" t="str">
        <f t="shared" si="54"/>
        <v>DISTRIBUTION</v>
      </c>
      <c r="H519" s="567">
        <v>147.58366337000001</v>
      </c>
      <c r="I519" s="567">
        <v>147.58366337000001</v>
      </c>
      <c r="J519" s="567">
        <v>147.58366337000001</v>
      </c>
      <c r="K519" s="567">
        <v>147.58366337000001</v>
      </c>
      <c r="L519" s="567">
        <v>147.58366337000001</v>
      </c>
      <c r="M519" s="567">
        <v>147.58366337000001</v>
      </c>
      <c r="N519" s="567">
        <v>147.58366337000001</v>
      </c>
      <c r="O519" s="567">
        <v>147.58366337000001</v>
      </c>
      <c r="P519" s="567">
        <v>147.62018565</v>
      </c>
      <c r="Q519" s="567">
        <v>147.65670792999899</v>
      </c>
      <c r="R519" s="567">
        <v>147.65670792999899</v>
      </c>
      <c r="S519" s="567">
        <v>147.65670792999899</v>
      </c>
      <c r="T519" s="567">
        <v>147.65670792999899</v>
      </c>
      <c r="U519" s="567">
        <f t="shared" si="52"/>
        <v>1771.3326609599958</v>
      </c>
    </row>
    <row r="520" spans="1:24" x14ac:dyDescent="0.25">
      <c r="A520" s="567" t="str">
        <f t="shared" si="56"/>
        <v>KU</v>
      </c>
      <c r="B520" s="567" t="str">
        <f t="shared" si="50"/>
        <v>TN</v>
      </c>
      <c r="C520" s="567" t="str">
        <f t="shared" si="51"/>
        <v>E</v>
      </c>
      <c r="D520" s="567" t="s">
        <v>2650</v>
      </c>
      <c r="E520" s="567" t="str">
        <f t="shared" si="53"/>
        <v>369</v>
      </c>
      <c r="F520" s="864" t="s">
        <v>1708</v>
      </c>
      <c r="G520" s="566" t="str">
        <f t="shared" si="54"/>
        <v>DISTRIBUTION</v>
      </c>
      <c r="H520" s="567">
        <v>3.4585883300000003E-4</v>
      </c>
      <c r="I520" s="567">
        <v>3.4585883300000003E-4</v>
      </c>
      <c r="J520" s="567">
        <v>3.4585883300000003E-4</v>
      </c>
      <c r="K520" s="567">
        <v>3.4585883300000003E-4</v>
      </c>
      <c r="L520" s="567">
        <v>3.4585883300000003E-4</v>
      </c>
      <c r="M520" s="567">
        <v>3.4585883300000003E-4</v>
      </c>
      <c r="N520" s="567">
        <v>3.4585883300000003E-4</v>
      </c>
      <c r="O520" s="567">
        <v>3.4585883300000003E-4</v>
      </c>
      <c r="P520" s="567">
        <v>3.4585883300000003E-4</v>
      </c>
      <c r="Q520" s="567">
        <v>3.4585883300000003E-4</v>
      </c>
      <c r="R520" s="567">
        <v>3.4585883300000003E-4</v>
      </c>
      <c r="S520" s="567">
        <v>3.4585883300000003E-4</v>
      </c>
      <c r="T520" s="567">
        <v>3.4585883300000003E-4</v>
      </c>
      <c r="U520" s="567">
        <f t="shared" si="52"/>
        <v>4.1503059959999995E-3</v>
      </c>
    </row>
    <row r="521" spans="1:24" x14ac:dyDescent="0.25">
      <c r="A521" s="567" t="str">
        <f t="shared" si="56"/>
        <v>KU</v>
      </c>
      <c r="B521" s="567" t="str">
        <f t="shared" si="50"/>
        <v>VA</v>
      </c>
      <c r="C521" s="567" t="str">
        <f t="shared" si="51"/>
        <v>E</v>
      </c>
      <c r="D521" s="567" t="s">
        <v>2650</v>
      </c>
      <c r="E521" s="567" t="str">
        <f t="shared" si="53"/>
        <v>369</v>
      </c>
      <c r="F521" s="864" t="s">
        <v>1709</v>
      </c>
      <c r="G521" s="566" t="str">
        <f t="shared" si="54"/>
        <v>DISTRIBUTION</v>
      </c>
      <c r="H521" s="567">
        <v>7.9502537289999999</v>
      </c>
      <c r="I521" s="567">
        <v>7.9502537289999999</v>
      </c>
      <c r="J521" s="567">
        <v>7.9502537289999999</v>
      </c>
      <c r="K521" s="567">
        <v>7.9502537289999999</v>
      </c>
      <c r="L521" s="567">
        <v>7.9502537289999999</v>
      </c>
      <c r="M521" s="567">
        <v>7.9502537289999999</v>
      </c>
      <c r="N521" s="567">
        <v>7.9502537289999999</v>
      </c>
      <c r="O521" s="567">
        <v>7.9502537289999999</v>
      </c>
      <c r="P521" s="567">
        <v>7.9502537289999999</v>
      </c>
      <c r="Q521" s="567">
        <v>7.9502537289999999</v>
      </c>
      <c r="R521" s="567">
        <v>7.9502537289999999</v>
      </c>
      <c r="S521" s="567">
        <v>7.9502537289999999</v>
      </c>
      <c r="T521" s="567">
        <v>7.9502537289999999</v>
      </c>
      <c r="U521" s="567">
        <f t="shared" si="52"/>
        <v>95.403044747999971</v>
      </c>
    </row>
    <row r="522" spans="1:24" x14ac:dyDescent="0.25">
      <c r="A522" s="567" t="str">
        <f t="shared" si="56"/>
        <v>KU</v>
      </c>
      <c r="B522" s="567" t="str">
        <f t="shared" si="50"/>
        <v>KY</v>
      </c>
      <c r="C522" s="567" t="str">
        <f t="shared" si="51"/>
        <v>E</v>
      </c>
      <c r="D522" s="567" t="s">
        <v>2650</v>
      </c>
      <c r="E522" s="567" t="str">
        <f t="shared" si="53"/>
        <v>370</v>
      </c>
      <c r="F522" s="864" t="s">
        <v>1710</v>
      </c>
      <c r="G522" s="566" t="str">
        <f t="shared" si="54"/>
        <v>DISTRIBUTION</v>
      </c>
      <c r="H522" s="567">
        <v>232.456047157</v>
      </c>
      <c r="I522" s="567">
        <v>232.86400325700001</v>
      </c>
      <c r="J522" s="567">
        <v>233.27313795699999</v>
      </c>
      <c r="K522" s="567">
        <v>233.66969175700001</v>
      </c>
      <c r="L522" s="567">
        <v>234.07134685700001</v>
      </c>
      <c r="M522" s="567">
        <v>234.41691225700001</v>
      </c>
      <c r="N522" s="567">
        <v>234.750996257</v>
      </c>
      <c r="O522" s="567">
        <v>235.15634225700001</v>
      </c>
      <c r="P522" s="567">
        <v>236.58133565700001</v>
      </c>
      <c r="Q522" s="567">
        <v>237.88498265699999</v>
      </c>
      <c r="R522" s="567">
        <v>238.303899057</v>
      </c>
      <c r="S522" s="567">
        <v>238.777684357</v>
      </c>
      <c r="T522" s="567">
        <v>239.13052815699999</v>
      </c>
      <c r="U522" s="567">
        <f>SUM(I522:T522)</f>
        <v>2828.8808604839996</v>
      </c>
    </row>
    <row r="523" spans="1:24" x14ac:dyDescent="0.25">
      <c r="A523" s="567" t="str">
        <f t="shared" si="56"/>
        <v>KU</v>
      </c>
      <c r="B523" s="567" t="str">
        <f t="shared" si="50"/>
        <v>KY</v>
      </c>
      <c r="C523" s="567" t="str">
        <f t="shared" si="51"/>
        <v>E</v>
      </c>
      <c r="D523" s="567" t="s">
        <v>2650</v>
      </c>
      <c r="E523" s="567" t="str">
        <f t="shared" si="53"/>
        <v>370</v>
      </c>
      <c r="F523" s="864" t="s">
        <v>2428</v>
      </c>
      <c r="G523" s="566" t="str">
        <f t="shared" si="54"/>
        <v>DISTRIBUTION</v>
      </c>
      <c r="H523" s="567">
        <v>7.5996959669999997</v>
      </c>
      <c r="I523" s="567">
        <v>7.5996959669999997</v>
      </c>
      <c r="J523" s="567">
        <v>7.5996959669999997</v>
      </c>
      <c r="K523" s="567">
        <v>7.5996959669999997</v>
      </c>
      <c r="L523" s="567">
        <v>7.5996959669999997</v>
      </c>
      <c r="M523" s="567">
        <v>7.5996959669999997</v>
      </c>
      <c r="N523" s="567">
        <v>7.5996959669999997</v>
      </c>
      <c r="O523" s="567">
        <v>7.5996959669999997</v>
      </c>
      <c r="P523" s="567">
        <v>7.5996959669999997</v>
      </c>
      <c r="Q523" s="567">
        <v>7.5996959669999997</v>
      </c>
      <c r="R523" s="567">
        <v>7.5996959669999997</v>
      </c>
      <c r="S523" s="567">
        <v>7.5996959669999997</v>
      </c>
      <c r="T523" s="567">
        <v>7.5996959669999997</v>
      </c>
      <c r="U523" s="567">
        <f t="shared" si="52"/>
        <v>91.196351604000014</v>
      </c>
    </row>
    <row r="524" spans="1:24" x14ac:dyDescent="0.25">
      <c r="A524" s="567" t="str">
        <f t="shared" si="56"/>
        <v>KU</v>
      </c>
      <c r="B524" s="567" t="str">
        <f t="shared" si="50"/>
        <v>TN</v>
      </c>
      <c r="C524" s="567" t="str">
        <f t="shared" si="51"/>
        <v>E</v>
      </c>
      <c r="D524" s="567" t="s">
        <v>2650</v>
      </c>
      <c r="E524" s="567" t="str">
        <f t="shared" si="53"/>
        <v>370</v>
      </c>
      <c r="F524" s="864" t="s">
        <v>1711</v>
      </c>
      <c r="G524" s="566" t="str">
        <f t="shared" si="54"/>
        <v>DISTRIBUTION</v>
      </c>
      <c r="H524" s="567">
        <v>1.481678575E-2</v>
      </c>
      <c r="I524" s="567">
        <v>1.481678575E-2</v>
      </c>
      <c r="J524" s="567">
        <v>1.481678575E-2</v>
      </c>
      <c r="K524" s="567">
        <v>1.481678575E-2</v>
      </c>
      <c r="L524" s="567">
        <v>1.481678575E-2</v>
      </c>
      <c r="M524" s="567">
        <v>1.481678575E-2</v>
      </c>
      <c r="N524" s="567">
        <v>1.481678575E-2</v>
      </c>
      <c r="O524" s="567">
        <v>1.481678575E-2</v>
      </c>
      <c r="P524" s="567">
        <v>1.481678575E-2</v>
      </c>
      <c r="Q524" s="567">
        <v>1.481678575E-2</v>
      </c>
      <c r="R524" s="567">
        <v>1.481678575E-2</v>
      </c>
      <c r="S524" s="567">
        <v>1.481678575E-2</v>
      </c>
      <c r="T524" s="567">
        <v>1.481678575E-2</v>
      </c>
      <c r="U524" s="567">
        <f t="shared" si="52"/>
        <v>0.17780142900000004</v>
      </c>
    </row>
    <row r="525" spans="1:24" x14ac:dyDescent="0.25">
      <c r="A525" s="567" t="str">
        <f t="shared" si="56"/>
        <v>KU</v>
      </c>
      <c r="B525" s="567" t="str">
        <f t="shared" si="50"/>
        <v>VA</v>
      </c>
      <c r="C525" s="567" t="str">
        <f t="shared" si="51"/>
        <v>E</v>
      </c>
      <c r="D525" s="567" t="s">
        <v>2650</v>
      </c>
      <c r="E525" s="567" t="str">
        <f t="shared" si="53"/>
        <v>370</v>
      </c>
      <c r="F525" s="864" t="s">
        <v>1712</v>
      </c>
      <c r="G525" s="566" t="str">
        <f t="shared" si="54"/>
        <v>DISTRIBUTION</v>
      </c>
      <c r="H525" s="567">
        <v>11.611564217</v>
      </c>
      <c r="I525" s="567">
        <v>11.611564217</v>
      </c>
      <c r="J525" s="567">
        <v>11.611564217</v>
      </c>
      <c r="K525" s="567">
        <v>11.611564217</v>
      </c>
      <c r="L525" s="567">
        <v>11.611564217</v>
      </c>
      <c r="M525" s="567">
        <v>11.611564217</v>
      </c>
      <c r="N525" s="567">
        <v>11.611564217</v>
      </c>
      <c r="O525" s="567">
        <v>11.611564217</v>
      </c>
      <c r="P525" s="567">
        <v>11.611564217</v>
      </c>
      <c r="Q525" s="567">
        <v>11.611564217</v>
      </c>
      <c r="R525" s="567">
        <v>11.611564217</v>
      </c>
      <c r="S525" s="567">
        <v>11.611564217</v>
      </c>
      <c r="T525" s="567">
        <v>11.611564217</v>
      </c>
      <c r="U525" s="567">
        <f t="shared" si="52"/>
        <v>139.33877060399996</v>
      </c>
    </row>
    <row r="526" spans="1:24" x14ac:dyDescent="0.25">
      <c r="A526" s="567" t="str">
        <f t="shared" si="56"/>
        <v>KU</v>
      </c>
      <c r="B526" s="567" t="str">
        <f t="shared" si="50"/>
        <v>KY</v>
      </c>
      <c r="C526" s="567" t="str">
        <f t="shared" si="51"/>
        <v>E</v>
      </c>
      <c r="D526" s="567" t="s">
        <v>2650</v>
      </c>
      <c r="E526" s="567" t="str">
        <f t="shared" si="53"/>
        <v>371</v>
      </c>
      <c r="F526" s="864" t="s">
        <v>1713</v>
      </c>
      <c r="G526" s="566" t="str">
        <f t="shared" si="54"/>
        <v>DISTRIBUTION</v>
      </c>
      <c r="H526" s="567">
        <v>3.6823340000000002E-3</v>
      </c>
      <c r="I526" s="567">
        <v>3.6823340000000002E-3</v>
      </c>
      <c r="J526" s="567">
        <v>3.6823340000000002E-3</v>
      </c>
      <c r="K526" s="567">
        <v>3.6823340000000002E-3</v>
      </c>
      <c r="L526" s="567">
        <v>3.6823340000000002E-3</v>
      </c>
      <c r="M526" s="567">
        <v>3.6823340000000002E-3</v>
      </c>
      <c r="N526" s="567">
        <v>3.6823340000000002E-3</v>
      </c>
      <c r="O526" s="567">
        <v>3.6823340000000002E-3</v>
      </c>
      <c r="P526" s="567">
        <v>3.6823340000000002E-3</v>
      </c>
      <c r="Q526" s="567">
        <v>3.6823340000000002E-3</v>
      </c>
      <c r="R526" s="567">
        <v>3.6823340000000002E-3</v>
      </c>
      <c r="S526" s="567">
        <v>3.6823340000000002E-3</v>
      </c>
      <c r="T526" s="567">
        <v>3.6823340000000002E-3</v>
      </c>
      <c r="U526" s="567">
        <f t="shared" si="52"/>
        <v>4.4188008000000008E-2</v>
      </c>
    </row>
    <row r="527" spans="1:24" x14ac:dyDescent="0.25">
      <c r="A527" s="567" t="str">
        <f t="shared" si="56"/>
        <v>KU</v>
      </c>
      <c r="B527" s="567" t="str">
        <f t="shared" si="50"/>
        <v>KY</v>
      </c>
      <c r="C527" s="567" t="str">
        <f t="shared" si="51"/>
        <v>E</v>
      </c>
      <c r="D527" s="567" t="s">
        <v>2650</v>
      </c>
      <c r="E527" s="567" t="str">
        <f t="shared" si="53"/>
        <v>371</v>
      </c>
      <c r="F527" s="864" t="s">
        <v>2636</v>
      </c>
      <c r="G527" s="566" t="str">
        <f t="shared" si="54"/>
        <v>DISTRIBUTION</v>
      </c>
      <c r="H527" s="567">
        <v>1.144355067</v>
      </c>
      <c r="I527" s="567">
        <v>1.144355067</v>
      </c>
      <c r="J527" s="567">
        <v>1.144355067</v>
      </c>
      <c r="K527" s="567">
        <v>1.144355067</v>
      </c>
      <c r="L527" s="567">
        <v>1.144355067</v>
      </c>
      <c r="M527" s="567">
        <v>1.144355067</v>
      </c>
      <c r="N527" s="567">
        <v>1.144355067</v>
      </c>
      <c r="O527" s="567">
        <v>1.144355067</v>
      </c>
      <c r="P527" s="567">
        <v>1.144355067</v>
      </c>
      <c r="Q527" s="567">
        <v>1.144355067</v>
      </c>
      <c r="R527" s="567">
        <v>1.144355067</v>
      </c>
      <c r="S527" s="567">
        <v>1.144355067</v>
      </c>
      <c r="T527" s="567">
        <v>1.144355067</v>
      </c>
      <c r="U527" s="567">
        <f t="shared" si="52"/>
        <v>13.732260803999997</v>
      </c>
      <c r="V527" s="776"/>
    </row>
    <row r="528" spans="1:24" x14ac:dyDescent="0.25">
      <c r="A528" s="567" t="str">
        <f t="shared" si="56"/>
        <v>KU</v>
      </c>
      <c r="B528" s="567" t="str">
        <f t="shared" si="50"/>
        <v>KY</v>
      </c>
      <c r="C528" s="567" t="str">
        <f t="shared" si="51"/>
        <v>E</v>
      </c>
      <c r="D528" s="567" t="s">
        <v>2650</v>
      </c>
      <c r="E528" s="567" t="str">
        <f t="shared" si="53"/>
        <v>373</v>
      </c>
      <c r="F528" s="864" t="s">
        <v>1714</v>
      </c>
      <c r="G528" s="566" t="str">
        <f t="shared" si="54"/>
        <v>DISTRIBUTION</v>
      </c>
      <c r="H528" s="567">
        <v>417.28800989000001</v>
      </c>
      <c r="I528" s="567">
        <v>418.11224604</v>
      </c>
      <c r="J528" s="567">
        <v>419.22011428000002</v>
      </c>
      <c r="K528" s="567">
        <v>419.58138549</v>
      </c>
      <c r="L528" s="567">
        <v>419.04587319000001</v>
      </c>
      <c r="M528" s="567">
        <v>419.82300154000001</v>
      </c>
      <c r="N528" s="567">
        <v>421.41975187000003</v>
      </c>
      <c r="O528" s="567">
        <v>422.93812143000002</v>
      </c>
      <c r="P528" s="567">
        <v>424.01690471999899</v>
      </c>
      <c r="Q528" s="567">
        <v>425.29668801999998</v>
      </c>
      <c r="R528" s="567">
        <v>426.80908670000002</v>
      </c>
      <c r="S528" s="567">
        <v>427.97151572000001</v>
      </c>
      <c r="T528" s="567">
        <v>429.16993922999899</v>
      </c>
      <c r="U528" s="777">
        <f>SUM(I528:T528)</f>
        <v>5073.4046282299978</v>
      </c>
      <c r="W528" s="777"/>
      <c r="X528" s="777"/>
    </row>
    <row r="529" spans="1:22" x14ac:dyDescent="0.25">
      <c r="A529" s="567" t="str">
        <f t="shared" si="56"/>
        <v>KU</v>
      </c>
      <c r="B529" s="567" t="str">
        <f t="shared" si="50"/>
        <v>VA</v>
      </c>
      <c r="C529" s="567" t="str">
        <f t="shared" si="51"/>
        <v>E</v>
      </c>
      <c r="D529" s="567" t="s">
        <v>2650</v>
      </c>
      <c r="E529" s="567" t="str">
        <f t="shared" si="53"/>
        <v>373</v>
      </c>
      <c r="F529" s="864" t="s">
        <v>1715</v>
      </c>
      <c r="G529" s="566" t="str">
        <f t="shared" si="54"/>
        <v>DISTRIBUTION</v>
      </c>
      <c r="H529" s="567">
        <v>12.940349659299899</v>
      </c>
      <c r="I529" s="567">
        <v>12.9938380001</v>
      </c>
      <c r="J529" s="567">
        <v>13.051451011199999</v>
      </c>
      <c r="K529" s="567">
        <v>13.1111263629</v>
      </c>
      <c r="L529" s="567">
        <v>13.178105055</v>
      </c>
      <c r="M529" s="567">
        <v>13.243021418</v>
      </c>
      <c r="N529" s="567">
        <v>13.298572109999901</v>
      </c>
      <c r="O529" s="567">
        <v>13.3411054618</v>
      </c>
      <c r="P529" s="567">
        <v>13.374273175800001</v>
      </c>
      <c r="Q529" s="567">
        <v>13.423827517199999</v>
      </c>
      <c r="R529" s="567">
        <v>13.4898005167999</v>
      </c>
      <c r="S529" s="567">
        <v>13.5557735279</v>
      </c>
      <c r="T529" s="567">
        <v>13.6160795932</v>
      </c>
      <c r="U529" s="777">
        <f t="shared" ref="U529:U531" si="57">SUM(I529:T529)</f>
        <v>159.67697374989976</v>
      </c>
    </row>
    <row r="530" spans="1:22" x14ac:dyDescent="0.25">
      <c r="A530" s="567" t="str">
        <f t="shared" si="56"/>
        <v>KU</v>
      </c>
      <c r="B530" s="567" t="str">
        <f t="shared" si="50"/>
        <v>KY</v>
      </c>
      <c r="C530" s="567" t="str">
        <f t="shared" si="51"/>
        <v>E</v>
      </c>
      <c r="D530" s="567" t="s">
        <v>2650</v>
      </c>
      <c r="E530" s="567" t="str">
        <f t="shared" si="53"/>
        <v>374</v>
      </c>
      <c r="F530" s="864" t="s">
        <v>1716</v>
      </c>
      <c r="G530" s="566" t="str">
        <f t="shared" si="54"/>
        <v>DISTRIBUTION</v>
      </c>
      <c r="H530" s="567">
        <v>0.86819000000000002</v>
      </c>
      <c r="I530" s="567">
        <v>0.86819000000000002</v>
      </c>
      <c r="J530" s="567">
        <v>0.86819000000000002</v>
      </c>
      <c r="K530" s="567">
        <v>0.86819000000000002</v>
      </c>
      <c r="L530" s="567">
        <v>0.86819000000000002</v>
      </c>
      <c r="M530" s="567">
        <v>0.86819000000000002</v>
      </c>
      <c r="N530" s="567">
        <v>0.86819000000000002</v>
      </c>
      <c r="O530" s="567">
        <v>0.86819000000000002</v>
      </c>
      <c r="P530" s="567">
        <v>0.86819000000000002</v>
      </c>
      <c r="Q530" s="567">
        <v>0.116844521110732</v>
      </c>
      <c r="R530" s="567">
        <v>0.116844521110732</v>
      </c>
      <c r="S530" s="567">
        <v>0.116844521110732</v>
      </c>
      <c r="T530" s="567">
        <v>0.116844521110732</v>
      </c>
      <c r="U530" s="777">
        <f t="shared" si="57"/>
        <v>7.4128980844429284</v>
      </c>
    </row>
    <row r="531" spans="1:22" x14ac:dyDescent="0.25">
      <c r="A531" s="567" t="str">
        <f t="shared" si="56"/>
        <v>KU</v>
      </c>
      <c r="B531" s="567" t="str">
        <f t="shared" si="50"/>
        <v>KY</v>
      </c>
      <c r="C531" s="567" t="str">
        <f t="shared" si="51"/>
        <v>E</v>
      </c>
      <c r="D531" s="567" t="s">
        <v>2650</v>
      </c>
      <c r="E531" s="567" t="str">
        <f t="shared" si="53"/>
        <v>390</v>
      </c>
      <c r="F531" s="864" t="s">
        <v>1719</v>
      </c>
      <c r="G531" s="566" t="str">
        <f t="shared" si="54"/>
        <v>GENERAL</v>
      </c>
      <c r="H531" s="567">
        <v>5.9117405499759998</v>
      </c>
      <c r="I531" s="567">
        <v>5.9117405499759998</v>
      </c>
      <c r="J531" s="567">
        <v>5.9117405499759998</v>
      </c>
      <c r="K531" s="567">
        <v>5.9117405499759998</v>
      </c>
      <c r="L531" s="567">
        <v>5.9117405499759998</v>
      </c>
      <c r="M531" s="567">
        <v>5.9117405499759998</v>
      </c>
      <c r="N531" s="567">
        <v>5.9117405499759998</v>
      </c>
      <c r="O531" s="567">
        <v>5.9117405499759998</v>
      </c>
      <c r="P531" s="567">
        <v>5.9117405499759998</v>
      </c>
      <c r="Q531" s="567">
        <v>5.9117405499759998</v>
      </c>
      <c r="R531" s="567">
        <v>5.9117405499759998</v>
      </c>
      <c r="S531" s="567">
        <v>5.9117405499759998</v>
      </c>
      <c r="T531" s="567">
        <v>5.9117405499759998</v>
      </c>
      <c r="U531" s="777">
        <f t="shared" si="57"/>
        <v>70.940886599712016</v>
      </c>
    </row>
    <row r="532" spans="1:22" x14ac:dyDescent="0.25">
      <c r="A532" s="567" t="str">
        <f t="shared" si="56"/>
        <v>KU</v>
      </c>
      <c r="B532" s="567" t="str">
        <f t="shared" ref="B532:B613" si="58">IF(MID($F532,12,2)="- ","KY",IF(MID($F532,12,2)="SY","KY",MID($F532,12,2)))</f>
        <v>KY</v>
      </c>
      <c r="C532" s="567" t="str">
        <f t="shared" si="51"/>
        <v>E</v>
      </c>
      <c r="D532" s="567" t="s">
        <v>2650</v>
      </c>
      <c r="E532" s="567" t="str">
        <f t="shared" si="53"/>
        <v>390</v>
      </c>
      <c r="F532" s="864" t="s">
        <v>1720</v>
      </c>
      <c r="G532" s="566" t="str">
        <f t="shared" si="54"/>
        <v>GENERAL</v>
      </c>
      <c r="H532" s="567">
        <v>133.6222238885</v>
      </c>
      <c r="I532" s="567">
        <v>133.66941537849999</v>
      </c>
      <c r="J532" s="567">
        <v>141.2312516085</v>
      </c>
      <c r="K532" s="567">
        <v>148.7876894785</v>
      </c>
      <c r="L532" s="567">
        <v>148.97890869849999</v>
      </c>
      <c r="M532" s="567">
        <v>149.56058470849999</v>
      </c>
      <c r="N532" s="567">
        <v>150.69524410150001</v>
      </c>
      <c r="O532" s="567">
        <v>152.9330782335</v>
      </c>
      <c r="P532" s="567">
        <v>156.36611220349999</v>
      </c>
      <c r="Q532" s="567">
        <v>158.3056722035</v>
      </c>
      <c r="R532" s="567">
        <v>158.3454419935</v>
      </c>
      <c r="S532" s="567">
        <v>158.38042926349999</v>
      </c>
      <c r="T532" s="567">
        <v>158.41319786349999</v>
      </c>
      <c r="U532" s="567">
        <f>SUM(I532:T532)</f>
        <v>1815.6670257350002</v>
      </c>
      <c r="V532" s="776"/>
    </row>
    <row r="533" spans="1:22" x14ac:dyDescent="0.25">
      <c r="A533" s="567" t="str">
        <f t="shared" si="56"/>
        <v>KU</v>
      </c>
      <c r="B533" s="567" t="str">
        <f t="shared" si="58"/>
        <v>VA</v>
      </c>
      <c r="C533" s="567" t="str">
        <f t="shared" si="51"/>
        <v>E</v>
      </c>
      <c r="D533" s="567" t="s">
        <v>2650</v>
      </c>
      <c r="E533" s="567" t="str">
        <f t="shared" si="53"/>
        <v>390</v>
      </c>
      <c r="F533" s="864" t="s">
        <v>1721</v>
      </c>
      <c r="G533" s="566" t="str">
        <f t="shared" si="54"/>
        <v>GENERAL</v>
      </c>
      <c r="H533" s="567">
        <v>2.3099548888369998</v>
      </c>
      <c r="I533" s="567">
        <v>2.5325047251370001</v>
      </c>
      <c r="J533" s="567">
        <v>2.7482483859369999</v>
      </c>
      <c r="K533" s="567">
        <v>7.2911617316369997</v>
      </c>
      <c r="L533" s="567">
        <v>11.863247205336901</v>
      </c>
      <c r="M533" s="567">
        <v>11.892419333336999</v>
      </c>
      <c r="N533" s="567">
        <v>11.892419333336999</v>
      </c>
      <c r="O533" s="567">
        <v>11.892419333336999</v>
      </c>
      <c r="P533" s="567">
        <v>11.892419333336999</v>
      </c>
      <c r="Q533" s="567">
        <v>11.892419333336999</v>
      </c>
      <c r="R533" s="567">
        <v>11.892419333336999</v>
      </c>
      <c r="S533" s="567">
        <v>11.892419333336999</v>
      </c>
      <c r="T533" s="567">
        <v>11.892419333336999</v>
      </c>
      <c r="U533" s="567">
        <f t="shared" si="52"/>
        <v>119.57451671474392</v>
      </c>
    </row>
    <row r="534" spans="1:22" x14ac:dyDescent="0.25">
      <c r="A534" s="567" t="str">
        <f t="shared" si="56"/>
        <v>KU</v>
      </c>
      <c r="B534" s="567" t="str">
        <f t="shared" si="58"/>
        <v>KY</v>
      </c>
      <c r="C534" s="567" t="str">
        <f t="shared" si="51"/>
        <v>E</v>
      </c>
      <c r="D534" s="567" t="s">
        <v>2650</v>
      </c>
      <c r="E534" s="567" t="str">
        <f t="shared" si="53"/>
        <v>391</v>
      </c>
      <c r="F534" s="864" t="s">
        <v>1722</v>
      </c>
      <c r="G534" s="566" t="str">
        <f t="shared" si="54"/>
        <v>GENERAL</v>
      </c>
      <c r="H534" s="567">
        <v>121.9945072</v>
      </c>
      <c r="I534" s="567">
        <v>121.94275519999999</v>
      </c>
      <c r="J534" s="567">
        <v>121.94275519999999</v>
      </c>
      <c r="K534" s="567">
        <v>121.94275519999999</v>
      </c>
      <c r="L534" s="567">
        <v>121.94275519999999</v>
      </c>
      <c r="M534" s="567">
        <v>121.81205629999999</v>
      </c>
      <c r="N534" s="567">
        <v>113.834825</v>
      </c>
      <c r="O534" s="567">
        <v>118.7512984</v>
      </c>
      <c r="P534" s="567">
        <v>132.42550779999999</v>
      </c>
      <c r="Q534" s="567">
        <v>133.10806460000001</v>
      </c>
      <c r="R534" s="567">
        <v>132.8794178</v>
      </c>
      <c r="S534" s="567">
        <v>132.8794178</v>
      </c>
      <c r="T534" s="567">
        <v>132.8794178</v>
      </c>
      <c r="U534" s="567">
        <f t="shared" si="52"/>
        <v>1506.3410263000001</v>
      </c>
    </row>
    <row r="535" spans="1:22" x14ac:dyDescent="0.25">
      <c r="A535" s="567" t="str">
        <f t="shared" si="56"/>
        <v>KU</v>
      </c>
      <c r="B535" s="567" t="str">
        <f t="shared" si="58"/>
        <v>KY</v>
      </c>
      <c r="C535" s="567" t="str">
        <f t="shared" si="51"/>
        <v>E</v>
      </c>
      <c r="D535" s="567" t="s">
        <v>2650</v>
      </c>
      <c r="E535" s="567" t="str">
        <f t="shared" si="53"/>
        <v>391</v>
      </c>
      <c r="F535" s="864" t="s">
        <v>1723</v>
      </c>
      <c r="G535" s="566" t="str">
        <f t="shared" si="54"/>
        <v>GENERAL</v>
      </c>
      <c r="H535" s="567">
        <v>314.58215948999998</v>
      </c>
      <c r="I535" s="567">
        <v>306.42600947</v>
      </c>
      <c r="J535" s="567">
        <v>296.29283998</v>
      </c>
      <c r="K535" s="567">
        <v>293.10798738</v>
      </c>
      <c r="L535" s="567">
        <v>291.67736060999999</v>
      </c>
      <c r="M535" s="567">
        <v>292.46379450000001</v>
      </c>
      <c r="N535" s="567">
        <v>292.16499908999998</v>
      </c>
      <c r="O535" s="567">
        <v>292.45134068999999</v>
      </c>
      <c r="P535" s="567">
        <v>298.75956494000002</v>
      </c>
      <c r="Q535" s="567">
        <v>298.87959819000002</v>
      </c>
      <c r="R535" s="567">
        <v>287.05589148000001</v>
      </c>
      <c r="S535" s="567">
        <v>278.23859897</v>
      </c>
      <c r="T535" s="567">
        <v>277.99453455999998</v>
      </c>
      <c r="U535" s="567">
        <f t="shared" si="52"/>
        <v>3505.5125198599999</v>
      </c>
    </row>
    <row r="536" spans="1:22" x14ac:dyDescent="0.25">
      <c r="A536" s="567" t="str">
        <f t="shared" si="56"/>
        <v>KU</v>
      </c>
      <c r="B536" s="567" t="str">
        <f t="shared" si="58"/>
        <v>KY</v>
      </c>
      <c r="C536" s="567" t="str">
        <f t="shared" ref="C536:C617" si="59">IF(ISTEXT(MID($F536,SEARCH("FUTURE USE",$F536),3)),"F",IF(MID($F536,7,1)="1","E",IF(MID($F536,7,1)="2","G",IF(MID($F536,7,1)="3","C",""))))</f>
        <v>E</v>
      </c>
      <c r="D536" s="567" t="s">
        <v>2650</v>
      </c>
      <c r="E536" s="567" t="str">
        <f t="shared" si="53"/>
        <v>392</v>
      </c>
      <c r="F536" s="864" t="s">
        <v>1725</v>
      </c>
      <c r="G536" s="566" t="str">
        <f t="shared" si="54"/>
        <v>GENERAL</v>
      </c>
      <c r="H536" s="567">
        <v>3.1854604500000001E-2</v>
      </c>
      <c r="I536" s="567">
        <v>3.1854604500000001E-2</v>
      </c>
      <c r="J536" s="567">
        <v>3.1854604500000001E-2</v>
      </c>
      <c r="K536" s="567">
        <v>3.1854604500000001E-2</v>
      </c>
      <c r="L536" s="567">
        <v>3.1854604500000001E-2</v>
      </c>
      <c r="M536" s="567">
        <v>3.1854604500000001E-2</v>
      </c>
      <c r="N536" s="567">
        <v>3.1854604500000001E-2</v>
      </c>
      <c r="O536" s="567">
        <v>3.1854604500000001E-2</v>
      </c>
      <c r="P536" s="567">
        <v>3.1854604500000001E-2</v>
      </c>
      <c r="Q536" s="567">
        <v>3.1854604500000001E-2</v>
      </c>
      <c r="R536" s="567">
        <v>3.1854604500000001E-2</v>
      </c>
      <c r="S536" s="567">
        <v>3.1854604500000001E-2</v>
      </c>
      <c r="T536" s="567">
        <v>3.1854604500000001E-2</v>
      </c>
      <c r="U536" s="567">
        <f t="shared" si="52"/>
        <v>0.38225525399999999</v>
      </c>
    </row>
    <row r="537" spans="1:22" x14ac:dyDescent="0.25">
      <c r="A537" s="567" t="str">
        <f t="shared" si="56"/>
        <v>KU</v>
      </c>
      <c r="B537" s="567" t="str">
        <f t="shared" si="58"/>
        <v>KY</v>
      </c>
      <c r="C537" s="567" t="str">
        <f t="shared" si="59"/>
        <v>E</v>
      </c>
      <c r="D537" s="567" t="s">
        <v>2650</v>
      </c>
      <c r="E537" s="567" t="str">
        <f t="shared" si="53"/>
        <v>392</v>
      </c>
      <c r="F537" s="864" t="s">
        <v>1726</v>
      </c>
      <c r="G537" s="566" t="str">
        <f t="shared" si="54"/>
        <v>GENERAL</v>
      </c>
      <c r="H537" s="567">
        <v>18.293452858999999</v>
      </c>
      <c r="I537" s="567">
        <v>18.293452858999999</v>
      </c>
      <c r="J537" s="567">
        <v>18.293452858999999</v>
      </c>
      <c r="K537" s="567">
        <v>18.293452858999999</v>
      </c>
      <c r="L537" s="567">
        <v>18.293452858999999</v>
      </c>
      <c r="M537" s="567">
        <v>18.293452858999999</v>
      </c>
      <c r="N537" s="567">
        <v>18.293452858999999</v>
      </c>
      <c r="O537" s="567">
        <v>18.293452858999999</v>
      </c>
      <c r="P537" s="567">
        <v>18.293452858999999</v>
      </c>
      <c r="Q537" s="567">
        <v>18.293452858999999</v>
      </c>
      <c r="R537" s="567">
        <v>18.293452858999999</v>
      </c>
      <c r="S537" s="567">
        <v>18.293452858999999</v>
      </c>
      <c r="T537" s="567">
        <v>18.293452858999999</v>
      </c>
      <c r="U537" s="777">
        <f>SUM(I537:T537)</f>
        <v>219.52143430800004</v>
      </c>
      <c r="V537" s="776"/>
    </row>
    <row r="538" spans="1:22" x14ac:dyDescent="0.25">
      <c r="A538" s="567" t="str">
        <f t="shared" si="56"/>
        <v>KU</v>
      </c>
      <c r="B538" s="567" t="str">
        <f t="shared" si="58"/>
        <v>VA</v>
      </c>
      <c r="C538" s="567" t="str">
        <f t="shared" si="59"/>
        <v>E</v>
      </c>
      <c r="D538" s="567" t="s">
        <v>2650</v>
      </c>
      <c r="E538" s="567" t="str">
        <f t="shared" si="53"/>
        <v>392</v>
      </c>
      <c r="F538" s="864" t="s">
        <v>2429</v>
      </c>
      <c r="G538" s="566" t="str">
        <f t="shared" si="54"/>
        <v>GENERAL</v>
      </c>
      <c r="H538" s="567">
        <v>2.453700667E-2</v>
      </c>
      <c r="I538" s="567">
        <v>2.453700667E-2</v>
      </c>
      <c r="J538" s="567">
        <v>2.453700667E-2</v>
      </c>
      <c r="K538" s="567">
        <v>2.453700667E-2</v>
      </c>
      <c r="L538" s="567">
        <v>2.453700667E-2</v>
      </c>
      <c r="M538" s="567">
        <v>2.453700667E-2</v>
      </c>
      <c r="N538" s="567">
        <v>2.453700667E-2</v>
      </c>
      <c r="O538" s="567">
        <v>2.453700667E-2</v>
      </c>
      <c r="P538" s="567">
        <v>2.453700667E-2</v>
      </c>
      <c r="Q538" s="567">
        <v>2.453700667E-2</v>
      </c>
      <c r="R538" s="567">
        <v>2.453700667E-2</v>
      </c>
      <c r="S538" s="567">
        <v>2.453700667E-2</v>
      </c>
      <c r="T538" s="567">
        <v>2.453700667E-2</v>
      </c>
      <c r="U538" s="567">
        <f>SUM(I538:T538)</f>
        <v>0.29444408004</v>
      </c>
    </row>
    <row r="539" spans="1:22" x14ac:dyDescent="0.25">
      <c r="A539" s="567" t="str">
        <f t="shared" si="56"/>
        <v>KU</v>
      </c>
      <c r="B539" s="567" t="str">
        <f t="shared" si="58"/>
        <v>KY</v>
      </c>
      <c r="C539" s="567" t="str">
        <f t="shared" si="59"/>
        <v>E</v>
      </c>
      <c r="D539" s="567" t="s">
        <v>2650</v>
      </c>
      <c r="E539" s="567" t="str">
        <f t="shared" si="53"/>
        <v>393</v>
      </c>
      <c r="F539" s="864" t="s">
        <v>1727</v>
      </c>
      <c r="G539" s="566" t="str">
        <f t="shared" si="54"/>
        <v>GENERAL</v>
      </c>
      <c r="H539" s="567">
        <v>3.428930807</v>
      </c>
      <c r="I539" s="567">
        <v>3.3864336270000002</v>
      </c>
      <c r="J539" s="567">
        <v>3.3625128809999998</v>
      </c>
      <c r="K539" s="567">
        <v>3.3625128809999998</v>
      </c>
      <c r="L539" s="567">
        <v>3.359582316</v>
      </c>
      <c r="M539" s="567">
        <v>3.3446981419999999</v>
      </c>
      <c r="N539" s="567">
        <v>3.313174617</v>
      </c>
      <c r="O539" s="567">
        <v>3.293604701</v>
      </c>
      <c r="P539" s="567">
        <v>3.293604701</v>
      </c>
      <c r="Q539" s="567">
        <v>3.293604701</v>
      </c>
      <c r="R539" s="567">
        <v>3.293604701</v>
      </c>
      <c r="S539" s="567">
        <v>3.293604701</v>
      </c>
      <c r="T539" s="567">
        <v>3.293604701</v>
      </c>
      <c r="U539" s="567">
        <f>SUM(I539:T539)</f>
        <v>39.890542670000002</v>
      </c>
    </row>
    <row r="540" spans="1:22" x14ac:dyDescent="0.25">
      <c r="A540" s="567" t="str">
        <f t="shared" si="56"/>
        <v>KU</v>
      </c>
      <c r="B540" s="567" t="str">
        <f t="shared" si="58"/>
        <v>VA</v>
      </c>
      <c r="C540" s="567" t="str">
        <f t="shared" si="59"/>
        <v>E</v>
      </c>
      <c r="D540" s="567" t="s">
        <v>2650</v>
      </c>
      <c r="E540" s="567" t="str">
        <f t="shared" si="53"/>
        <v>393</v>
      </c>
      <c r="F540" s="864" t="s">
        <v>1728</v>
      </c>
      <c r="G540" s="566" t="str">
        <f t="shared" si="54"/>
        <v>GENERAL</v>
      </c>
      <c r="H540" s="567">
        <v>3.214016667E-3</v>
      </c>
      <c r="I540" s="567">
        <v>3.214016667E-3</v>
      </c>
      <c r="J540" s="567">
        <v>3.214016667E-3</v>
      </c>
      <c r="K540" s="567">
        <v>3.214016667E-3</v>
      </c>
      <c r="L540" s="567">
        <v>3.214016667E-3</v>
      </c>
      <c r="M540" s="567">
        <v>3.214016667E-3</v>
      </c>
      <c r="N540" s="567">
        <v>3.214016667E-3</v>
      </c>
      <c r="O540" s="567">
        <v>3.214016667E-3</v>
      </c>
      <c r="P540" s="567">
        <v>3.214016667E-3</v>
      </c>
      <c r="Q540" s="567">
        <v>3.214016667E-3</v>
      </c>
      <c r="R540" s="567">
        <v>3.214016667E-3</v>
      </c>
      <c r="S540" s="567">
        <v>3.214016667E-3</v>
      </c>
      <c r="T540" s="567">
        <v>3.214016667E-3</v>
      </c>
      <c r="U540" s="567">
        <f t="shared" si="52"/>
        <v>3.8568200003999992E-2</v>
      </c>
    </row>
    <row r="541" spans="1:22" x14ac:dyDescent="0.25">
      <c r="A541" s="567" t="str">
        <f t="shared" si="56"/>
        <v>KU</v>
      </c>
      <c r="B541" s="567" t="str">
        <f t="shared" si="58"/>
        <v>KY</v>
      </c>
      <c r="C541" s="567" t="str">
        <f t="shared" si="59"/>
        <v>E</v>
      </c>
      <c r="D541" s="567" t="s">
        <v>2650</v>
      </c>
      <c r="E541" s="567" t="str">
        <f t="shared" si="53"/>
        <v>394</v>
      </c>
      <c r="F541" s="864" t="s">
        <v>1729</v>
      </c>
      <c r="G541" s="566" t="str">
        <f t="shared" si="54"/>
        <v>GENERAL</v>
      </c>
      <c r="H541" s="567">
        <v>49.932156939999999</v>
      </c>
      <c r="I541" s="567">
        <v>50.517677810000002</v>
      </c>
      <c r="J541" s="567">
        <v>51.638278290000002</v>
      </c>
      <c r="K541" s="567">
        <v>52.445875569999998</v>
      </c>
      <c r="L541" s="567">
        <v>52.794299219999999</v>
      </c>
      <c r="M541" s="567">
        <v>54.131287610000001</v>
      </c>
      <c r="N541" s="567">
        <v>55.250663090000003</v>
      </c>
      <c r="O541" s="567">
        <v>55.293547590000003</v>
      </c>
      <c r="P541" s="567">
        <v>55.527957819999997</v>
      </c>
      <c r="Q541" s="567">
        <v>55.737893709999902</v>
      </c>
      <c r="R541" s="567">
        <v>55.765489219999999</v>
      </c>
      <c r="S541" s="567">
        <v>56.171738509999997</v>
      </c>
      <c r="T541" s="567">
        <v>57.06315721</v>
      </c>
      <c r="U541" s="777">
        <f t="shared" si="52"/>
        <v>652.3378656499998</v>
      </c>
    </row>
    <row r="542" spans="1:22" x14ac:dyDescent="0.25">
      <c r="A542" s="567" t="str">
        <f t="shared" si="56"/>
        <v>KU</v>
      </c>
      <c r="B542" s="567" t="str">
        <f t="shared" si="58"/>
        <v>VA</v>
      </c>
      <c r="C542" s="567" t="str">
        <f t="shared" si="59"/>
        <v>E</v>
      </c>
      <c r="D542" s="567" t="s">
        <v>2650</v>
      </c>
      <c r="E542" s="567" t="str">
        <f t="shared" si="53"/>
        <v>394</v>
      </c>
      <c r="F542" s="864" t="s">
        <v>1730</v>
      </c>
      <c r="G542" s="566" t="str">
        <f t="shared" si="54"/>
        <v>GENERAL</v>
      </c>
      <c r="H542" s="567">
        <v>2.279472894</v>
      </c>
      <c r="I542" s="567">
        <v>2.279472894</v>
      </c>
      <c r="J542" s="567">
        <v>2.3022720620000001</v>
      </c>
      <c r="K542" s="567">
        <v>2.3250712290000002</v>
      </c>
      <c r="L542" s="567">
        <v>2.3366163059999998</v>
      </c>
      <c r="M542" s="567">
        <v>2.3481613819999998</v>
      </c>
      <c r="N542" s="567">
        <v>2.3481613819999998</v>
      </c>
      <c r="O542" s="567">
        <v>2.3481613819999998</v>
      </c>
      <c r="P542" s="567">
        <v>2.3376468379999999</v>
      </c>
      <c r="Q542" s="567">
        <v>2.327132293</v>
      </c>
      <c r="R542" s="567">
        <v>2.327132293</v>
      </c>
      <c r="S542" s="567">
        <v>2.3475371190000001</v>
      </c>
      <c r="T542" s="567">
        <v>2.367941944</v>
      </c>
      <c r="U542" s="777">
        <f t="shared" si="52"/>
        <v>27.995307124000007</v>
      </c>
    </row>
    <row r="543" spans="1:22" x14ac:dyDescent="0.25">
      <c r="A543" s="567" t="str">
        <f t="shared" si="56"/>
        <v>KU</v>
      </c>
      <c r="B543" s="567" t="str">
        <f t="shared" si="58"/>
        <v>KY</v>
      </c>
      <c r="C543" s="567" t="str">
        <f t="shared" si="59"/>
        <v>E</v>
      </c>
      <c r="D543" s="567" t="s">
        <v>2650</v>
      </c>
      <c r="E543" s="567" t="str">
        <f t="shared" si="53"/>
        <v>396</v>
      </c>
      <c r="F543" s="864" t="s">
        <v>1731</v>
      </c>
      <c r="G543" s="566" t="str">
        <f t="shared" si="54"/>
        <v>GENERAL</v>
      </c>
      <c r="H543" s="567">
        <v>2.9348431099999899</v>
      </c>
      <c r="I543" s="567">
        <v>2.9348431099999899</v>
      </c>
      <c r="J543" s="567">
        <v>2.9348431099999899</v>
      </c>
      <c r="K543" s="567">
        <v>2.9348431099999899</v>
      </c>
      <c r="L543" s="567">
        <v>2.9348431099999899</v>
      </c>
      <c r="M543" s="567">
        <v>2.9348431099999899</v>
      </c>
      <c r="N543" s="567">
        <v>2.9348431099999899</v>
      </c>
      <c r="O543" s="567">
        <v>2.9348431099999899</v>
      </c>
      <c r="P543" s="567">
        <v>2.9348431099999899</v>
      </c>
      <c r="Q543" s="567">
        <v>2.9348431099999899</v>
      </c>
      <c r="R543" s="567">
        <v>2.9348431099999899</v>
      </c>
      <c r="S543" s="567">
        <v>2.9348431099999899</v>
      </c>
      <c r="T543" s="567">
        <v>2.9348431099999899</v>
      </c>
      <c r="U543" s="777">
        <f t="shared" si="52"/>
        <v>35.21811731999987</v>
      </c>
      <c r="V543" s="776"/>
    </row>
    <row r="544" spans="1:22" x14ac:dyDescent="0.25">
      <c r="A544" s="567" t="str">
        <f t="shared" si="56"/>
        <v>KU</v>
      </c>
      <c r="B544" s="567" t="str">
        <f t="shared" si="58"/>
        <v>KY</v>
      </c>
      <c r="C544" s="567" t="str">
        <f t="shared" si="59"/>
        <v>E</v>
      </c>
      <c r="D544" s="567" t="s">
        <v>2650</v>
      </c>
      <c r="E544" s="567" t="str">
        <f t="shared" si="53"/>
        <v>396</v>
      </c>
      <c r="F544" s="864" t="s">
        <v>2430</v>
      </c>
      <c r="G544" s="566" t="str">
        <f t="shared" si="54"/>
        <v>GENERAL</v>
      </c>
      <c r="H544" s="567">
        <v>15.2187488</v>
      </c>
      <c r="I544" s="778">
        <v>15.2187488</v>
      </c>
      <c r="J544" s="777">
        <v>15.2187488</v>
      </c>
      <c r="K544" s="777">
        <v>15.2187488</v>
      </c>
      <c r="L544" s="777">
        <v>15.2187488</v>
      </c>
      <c r="M544" s="777">
        <v>15.2187488</v>
      </c>
      <c r="N544" s="777">
        <v>15.2187488</v>
      </c>
      <c r="O544" s="777">
        <v>15.2187488</v>
      </c>
      <c r="P544" s="777">
        <v>15.2187488</v>
      </c>
      <c r="Q544" s="777">
        <v>15.2187488</v>
      </c>
      <c r="R544" s="777">
        <v>15.2187488</v>
      </c>
      <c r="S544" s="777">
        <v>15.2187488</v>
      </c>
      <c r="T544" s="777">
        <v>15.2187488</v>
      </c>
      <c r="U544" s="777">
        <f t="shared" ref="U544:U551" si="60">SUM(I544:T544)</f>
        <v>182.62498560000006</v>
      </c>
      <c r="V544" s="776"/>
    </row>
    <row r="545" spans="1:25" x14ac:dyDescent="0.25">
      <c r="A545" s="567" t="str">
        <f t="shared" si="56"/>
        <v>KU</v>
      </c>
      <c r="B545" s="567" t="str">
        <f t="shared" si="58"/>
        <v>VA</v>
      </c>
      <c r="C545" s="567" t="str">
        <f t="shared" si="59"/>
        <v>E</v>
      </c>
      <c r="D545" s="567" t="s">
        <v>2650</v>
      </c>
      <c r="E545" s="567" t="str">
        <f t="shared" si="53"/>
        <v>396</v>
      </c>
      <c r="F545" s="864" t="s">
        <v>1732</v>
      </c>
      <c r="G545" s="566" t="str">
        <f t="shared" si="54"/>
        <v>GENERAL</v>
      </c>
      <c r="H545" s="567">
        <v>0</v>
      </c>
      <c r="I545" s="567">
        <v>0</v>
      </c>
      <c r="J545" s="567">
        <v>0</v>
      </c>
      <c r="K545" s="567">
        <v>0</v>
      </c>
      <c r="L545" s="567">
        <v>0</v>
      </c>
      <c r="M545" s="567">
        <v>0</v>
      </c>
      <c r="N545" s="567">
        <v>0</v>
      </c>
      <c r="O545" s="567">
        <v>0</v>
      </c>
      <c r="P545" s="567">
        <v>0</v>
      </c>
      <c r="Q545" s="567">
        <v>0</v>
      </c>
      <c r="R545" s="567">
        <v>0</v>
      </c>
      <c r="S545" s="567">
        <v>0</v>
      </c>
      <c r="T545" s="567">
        <v>0</v>
      </c>
      <c r="U545" s="777">
        <f t="shared" si="60"/>
        <v>0</v>
      </c>
    </row>
    <row r="546" spans="1:25" x14ac:dyDescent="0.25">
      <c r="A546" s="567" t="str">
        <f t="shared" si="56"/>
        <v>KU</v>
      </c>
      <c r="B546" s="567" t="str">
        <f t="shared" si="58"/>
        <v>VA</v>
      </c>
      <c r="C546" s="567" t="str">
        <f t="shared" si="59"/>
        <v>E</v>
      </c>
      <c r="D546" s="567" t="s">
        <v>2650</v>
      </c>
      <c r="E546" s="567" t="str">
        <f t="shared" si="53"/>
        <v>396</v>
      </c>
      <c r="F546" s="864" t="s">
        <v>2431</v>
      </c>
      <c r="G546" s="566" t="str">
        <f t="shared" si="54"/>
        <v>GENERAL</v>
      </c>
      <c r="H546" s="567">
        <v>1.329055433</v>
      </c>
      <c r="I546" s="567">
        <v>1.329055433</v>
      </c>
      <c r="J546" s="567">
        <v>1.329055433</v>
      </c>
      <c r="K546" s="567">
        <v>1.329055433</v>
      </c>
      <c r="L546" s="567">
        <v>1.329055433</v>
      </c>
      <c r="M546" s="567">
        <v>1.329055433</v>
      </c>
      <c r="N546" s="567">
        <v>1.329055433</v>
      </c>
      <c r="O546" s="567">
        <v>1.329055433</v>
      </c>
      <c r="P546" s="567">
        <v>1.329055433</v>
      </c>
      <c r="Q546" s="567">
        <v>1.329055433</v>
      </c>
      <c r="R546" s="567">
        <v>1.329055433</v>
      </c>
      <c r="S546" s="567">
        <v>1.329055433</v>
      </c>
      <c r="T546" s="567">
        <v>1.329055433</v>
      </c>
      <c r="U546" s="777">
        <f t="shared" si="60"/>
        <v>15.948665196000002</v>
      </c>
      <c r="V546" s="567">
        <f t="shared" ref="V546:V565" si="61">SUM(H546:T546)/13</f>
        <v>1.3290554330000002</v>
      </c>
    </row>
    <row r="547" spans="1:25" x14ac:dyDescent="0.25">
      <c r="A547" s="567" t="str">
        <f t="shared" si="56"/>
        <v>KU</v>
      </c>
      <c r="B547" s="567" t="str">
        <f t="shared" si="58"/>
        <v>KY</v>
      </c>
      <c r="C547" s="567" t="str">
        <f t="shared" si="59"/>
        <v>E</v>
      </c>
      <c r="D547" s="567" t="s">
        <v>2650</v>
      </c>
      <c r="E547" s="775">
        <v>3972</v>
      </c>
      <c r="F547" s="864" t="s">
        <v>1733</v>
      </c>
      <c r="G547" s="566" t="str">
        <f t="shared" si="54"/>
        <v>GENERAL</v>
      </c>
      <c r="H547" s="567">
        <v>92.107922309999907</v>
      </c>
      <c r="I547" s="567">
        <v>92.352366709999998</v>
      </c>
      <c r="J547" s="567">
        <v>92.596811119999998</v>
      </c>
      <c r="K547" s="567">
        <v>92.841255529999998</v>
      </c>
      <c r="L547" s="567">
        <v>93.085699930000004</v>
      </c>
      <c r="M547" s="567">
        <v>93.330144340000004</v>
      </c>
      <c r="N547" s="567">
        <v>93.574588739999996</v>
      </c>
      <c r="O547" s="567">
        <v>93.819033149999996</v>
      </c>
      <c r="P547" s="567">
        <v>94.063477550000002</v>
      </c>
      <c r="Q547" s="567">
        <v>94.200610830000002</v>
      </c>
      <c r="R547" s="567">
        <v>94.23043303</v>
      </c>
      <c r="S547" s="567">
        <v>94.260255290000003</v>
      </c>
      <c r="T547" s="567">
        <v>94.290077550000007</v>
      </c>
      <c r="U547" s="777">
        <f t="shared" si="60"/>
        <v>1122.6447537699999</v>
      </c>
    </row>
    <row r="548" spans="1:25" x14ac:dyDescent="0.25">
      <c r="A548" s="567" t="str">
        <f t="shared" si="56"/>
        <v>KU</v>
      </c>
      <c r="B548" s="567" t="str">
        <f t="shared" si="58"/>
        <v>KY</v>
      </c>
      <c r="C548" s="567" t="str">
        <f t="shared" si="59"/>
        <v>E</v>
      </c>
      <c r="D548" s="567" t="s">
        <v>2650</v>
      </c>
      <c r="E548" s="567" t="str">
        <f t="shared" ref="E548:E610" si="62">MID($F548,8,3)</f>
        <v>397</v>
      </c>
      <c r="F548" s="864" t="s">
        <v>1734</v>
      </c>
      <c r="G548" s="566" t="str">
        <f t="shared" si="54"/>
        <v>GENERAL</v>
      </c>
      <c r="H548" s="567">
        <v>346.06298629999998</v>
      </c>
      <c r="I548" s="567">
        <v>346.06298629999998</v>
      </c>
      <c r="J548" s="567">
        <v>346.06298629999998</v>
      </c>
      <c r="K548" s="567">
        <v>346.06298629999998</v>
      </c>
      <c r="L548" s="567">
        <v>346.34293960000002</v>
      </c>
      <c r="M548" s="567">
        <v>347.2306638</v>
      </c>
      <c r="N548" s="567">
        <v>347.88548789999999</v>
      </c>
      <c r="O548" s="567">
        <v>350.48628930000001</v>
      </c>
      <c r="P548" s="567">
        <v>355.16328470000002</v>
      </c>
      <c r="Q548" s="567">
        <v>357.28653179999998</v>
      </c>
      <c r="R548" s="567">
        <v>357.28653179999998</v>
      </c>
      <c r="S548" s="567">
        <v>357.28653179999998</v>
      </c>
      <c r="T548" s="567">
        <v>357.28653179999998</v>
      </c>
      <c r="U548" s="777">
        <f t="shared" si="60"/>
        <v>4214.4437514000001</v>
      </c>
    </row>
    <row r="549" spans="1:25" x14ac:dyDescent="0.25">
      <c r="A549" s="567" t="str">
        <f t="shared" si="56"/>
        <v>KU</v>
      </c>
      <c r="B549" s="567" t="str">
        <f t="shared" si="58"/>
        <v>VA</v>
      </c>
      <c r="C549" s="567" t="str">
        <f t="shared" si="59"/>
        <v>E</v>
      </c>
      <c r="D549" s="567" t="s">
        <v>2650</v>
      </c>
      <c r="E549" s="567" t="str">
        <f t="shared" si="62"/>
        <v>397</v>
      </c>
      <c r="F549" s="864" t="s">
        <v>1735</v>
      </c>
      <c r="G549" s="566" t="str">
        <f t="shared" si="54"/>
        <v>GENERAL</v>
      </c>
      <c r="H549" s="567">
        <v>5.8953665099999997</v>
      </c>
      <c r="I549" s="567">
        <v>5.8953665099999997</v>
      </c>
      <c r="J549" s="567">
        <v>5.8953665099999997</v>
      </c>
      <c r="K549" s="567">
        <v>5.8953665099999997</v>
      </c>
      <c r="L549" s="567">
        <v>5.8953665099999997</v>
      </c>
      <c r="M549" s="567">
        <v>5.8953665099999997</v>
      </c>
      <c r="N549" s="567">
        <v>5.8953665099999997</v>
      </c>
      <c r="O549" s="567">
        <v>5.8953665099999997</v>
      </c>
      <c r="P549" s="567">
        <v>5.8953665099999997</v>
      </c>
      <c r="Q549" s="567">
        <v>5.8953665099999997</v>
      </c>
      <c r="R549" s="567">
        <v>5.8953665099999997</v>
      </c>
      <c r="S549" s="567">
        <v>5.8953665099999997</v>
      </c>
      <c r="T549" s="567">
        <v>5.8953665099999997</v>
      </c>
      <c r="U549" s="777">
        <f t="shared" si="60"/>
        <v>70.744398120000014</v>
      </c>
    </row>
    <row r="550" spans="1:25" x14ac:dyDescent="0.25">
      <c r="A550" s="567" t="str">
        <f t="shared" si="56"/>
        <v>KY</v>
      </c>
      <c r="B550" s="567" t="str">
        <f t="shared" si="58"/>
        <v xml:space="preserve"> A</v>
      </c>
      <c r="C550" s="567" t="str">
        <f t="shared" si="59"/>
        <v/>
      </c>
      <c r="D550" s="567" t="s">
        <v>2650</v>
      </c>
      <c r="E550" s="567" t="str">
        <f t="shared" si="62"/>
        <v>lan</v>
      </c>
      <c r="F550" s="864" t="s">
        <v>1740</v>
      </c>
      <c r="G550" s="566" t="str">
        <f t="shared" si="54"/>
        <v/>
      </c>
      <c r="H550" s="567">
        <v>25222.769820473488</v>
      </c>
      <c r="I550" s="567">
        <v>30638.854667418036</v>
      </c>
      <c r="J550" s="567">
        <v>31034.778157558041</v>
      </c>
      <c r="K550" s="567">
        <v>31174.396631675037</v>
      </c>
      <c r="L550" s="567">
        <v>31216.068116350936</v>
      </c>
      <c r="M550" s="567">
        <v>31279.055169255036</v>
      </c>
      <c r="N550" s="567">
        <v>31366.336910445447</v>
      </c>
      <c r="O550" s="567">
        <v>31463.715144299123</v>
      </c>
      <c r="P550" s="567">
        <v>31763.144451901429</v>
      </c>
      <c r="Q550" s="567">
        <v>31528.736758959196</v>
      </c>
      <c r="R550" s="567">
        <v>31501.248916442808</v>
      </c>
      <c r="S550" s="567">
        <v>31573.330355478764</v>
      </c>
      <c r="T550" s="567">
        <v>31719.661785390366</v>
      </c>
      <c r="U550" s="777">
        <f t="shared" si="60"/>
        <v>376259.32706517418</v>
      </c>
    </row>
    <row r="551" spans="1:25" x14ac:dyDescent="0.25">
      <c r="G551" s="566" t="str">
        <f t="shared" si="54"/>
        <v/>
      </c>
      <c r="U551" s="777">
        <f t="shared" si="60"/>
        <v>0</v>
      </c>
      <c r="W551" s="777"/>
      <c r="X551" s="777"/>
      <c r="Y551" s="777"/>
    </row>
    <row r="552" spans="1:25" x14ac:dyDescent="0.25">
      <c r="A552" s="567" t="str">
        <f t="shared" si="56"/>
        <v xml:space="preserve">S </v>
      </c>
      <c r="B552" s="567" t="str">
        <f t="shared" si="58"/>
        <v>me</v>
      </c>
      <c r="C552" s="567" t="str">
        <f t="shared" si="59"/>
        <v/>
      </c>
      <c r="D552" s="567" t="s">
        <v>2650</v>
      </c>
      <c r="E552" s="567" t="str">
        <f t="shared" si="62"/>
        <v>jus</v>
      </c>
      <c r="F552" s="865" t="s">
        <v>1741</v>
      </c>
      <c r="G552" s="566" t="str">
        <f t="shared" si="54"/>
        <v/>
      </c>
      <c r="U552" s="777">
        <f>SUM(I552:T552)</f>
        <v>0</v>
      </c>
    </row>
    <row r="553" spans="1:25" x14ac:dyDescent="0.25">
      <c r="A553" s="567" t="str">
        <f t="shared" si="56"/>
        <v>KU</v>
      </c>
      <c r="B553" s="567" t="str">
        <f t="shared" si="58"/>
        <v>KY</v>
      </c>
      <c r="C553" s="567" t="str">
        <f t="shared" si="59"/>
        <v>E</v>
      </c>
      <c r="D553" s="567" t="s">
        <v>2650</v>
      </c>
      <c r="E553" s="567" t="str">
        <f t="shared" si="62"/>
        <v>340</v>
      </c>
      <c r="F553" s="865" t="s">
        <v>1641</v>
      </c>
      <c r="G553" s="566" t="str">
        <f t="shared" si="54"/>
        <v>OTHER</v>
      </c>
      <c r="H553" s="567">
        <v>-0.43203582699999998</v>
      </c>
      <c r="I553" s="567">
        <v>-0.43203582699999998</v>
      </c>
      <c r="J553" s="567">
        <v>-0.43203582699999998</v>
      </c>
      <c r="K553" s="567">
        <v>-0.43203582699999998</v>
      </c>
      <c r="L553" s="567">
        <v>-0.43203582699999998</v>
      </c>
      <c r="M553" s="567">
        <v>-0.43203582699999998</v>
      </c>
      <c r="N553" s="567">
        <v>-0.43203582699999998</v>
      </c>
      <c r="O553" s="567">
        <v>-0.43203582699999998</v>
      </c>
      <c r="P553" s="567">
        <v>-0.43203582699999998</v>
      </c>
      <c r="Q553" s="567">
        <v>-0.43203582699999998</v>
      </c>
      <c r="R553" s="567">
        <v>-0.43203582699999998</v>
      </c>
      <c r="S553" s="567">
        <v>-0.43203582699999998</v>
      </c>
      <c r="T553" s="567">
        <v>-0.43203582699999998</v>
      </c>
      <c r="U553" s="777">
        <f t="shared" ref="U553:U568" si="63">SUM(I553:T553)</f>
        <v>-5.1844299239999998</v>
      </c>
      <c r="V553" s="567">
        <f t="shared" si="61"/>
        <v>-0.43203582699999998</v>
      </c>
    </row>
    <row r="554" spans="1:25" x14ac:dyDescent="0.25">
      <c r="A554" s="567" t="str">
        <f t="shared" si="56"/>
        <v>KU</v>
      </c>
      <c r="B554" s="567" t="str">
        <f t="shared" si="58"/>
        <v>KY</v>
      </c>
      <c r="C554" s="567" t="str">
        <f t="shared" si="59"/>
        <v>E</v>
      </c>
      <c r="D554" s="567" t="s">
        <v>2650</v>
      </c>
      <c r="E554" s="567" t="str">
        <f t="shared" si="62"/>
        <v>342</v>
      </c>
      <c r="F554" s="865" t="s">
        <v>1648</v>
      </c>
      <c r="G554" s="566" t="str">
        <f t="shared" si="54"/>
        <v>OTHER</v>
      </c>
      <c r="H554" s="567">
        <v>-116.437145328</v>
      </c>
      <c r="I554" s="567">
        <v>-116.437145328</v>
      </c>
      <c r="J554" s="567">
        <v>-116.437145328</v>
      </c>
      <c r="K554" s="567">
        <v>-116.437145328</v>
      </c>
      <c r="L554" s="567">
        <v>-116.437145328</v>
      </c>
      <c r="M554" s="567">
        <v>-139.76011476799999</v>
      </c>
      <c r="N554" s="567">
        <v>-164.94402743499899</v>
      </c>
      <c r="O554" s="567">
        <v>-166.80497068199901</v>
      </c>
      <c r="P554" s="567">
        <v>-166.80497068199901</v>
      </c>
      <c r="Q554" s="567">
        <v>-166.80497068199901</v>
      </c>
      <c r="R554" s="567">
        <v>-166.80497068199901</v>
      </c>
      <c r="S554" s="567">
        <v>-166.80497068199901</v>
      </c>
      <c r="T554" s="567">
        <v>-166.80497068199901</v>
      </c>
      <c r="U554" s="777">
        <f t="shared" si="63"/>
        <v>-1771.2825476069934</v>
      </c>
      <c r="V554" s="567">
        <f t="shared" si="61"/>
        <v>-145.20920714884565</v>
      </c>
    </row>
    <row r="555" spans="1:25" x14ac:dyDescent="0.25">
      <c r="A555" s="567" t="str">
        <f t="shared" si="56"/>
        <v>KU</v>
      </c>
      <c r="B555" s="567" t="str">
        <f t="shared" si="58"/>
        <v>KY</v>
      </c>
      <c r="C555" s="567" t="str">
        <f t="shared" si="59"/>
        <v>E</v>
      </c>
      <c r="D555" s="567" t="s">
        <v>2650</v>
      </c>
      <c r="E555" s="567" t="str">
        <f t="shared" si="62"/>
        <v>392</v>
      </c>
      <c r="F555" s="865" t="s">
        <v>1726</v>
      </c>
      <c r="G555" s="566" t="str">
        <f t="shared" si="54"/>
        <v>GENERAL</v>
      </c>
      <c r="H555" s="567">
        <v>-18.293452858999999</v>
      </c>
      <c r="I555" s="567">
        <v>-18.293452858999999</v>
      </c>
      <c r="J555" s="567">
        <v>-18.293452858999999</v>
      </c>
      <c r="K555" s="567">
        <v>-18.293452858999999</v>
      </c>
      <c r="L555" s="567">
        <v>-18.293452858999999</v>
      </c>
      <c r="M555" s="567">
        <v>-18.293452858999999</v>
      </c>
      <c r="N555" s="567">
        <v>-18.293452858999999</v>
      </c>
      <c r="O555" s="567">
        <v>-18.293452858999999</v>
      </c>
      <c r="P555" s="567">
        <v>-18.293452858999999</v>
      </c>
      <c r="Q555" s="567">
        <v>-18.293452858999999</v>
      </c>
      <c r="R555" s="567">
        <v>-18.293452858999999</v>
      </c>
      <c r="S555" s="567">
        <v>-18.293452858999999</v>
      </c>
      <c r="T555" s="567">
        <v>-18.293452858999999</v>
      </c>
      <c r="U555" s="777">
        <f t="shared" si="63"/>
        <v>-219.52143430800004</v>
      </c>
      <c r="V555" s="567">
        <f t="shared" si="61"/>
        <v>-18.293452859000006</v>
      </c>
    </row>
    <row r="556" spans="1:25" x14ac:dyDescent="0.25">
      <c r="A556" s="567" t="str">
        <f t="shared" si="56"/>
        <v>KU</v>
      </c>
      <c r="B556" s="567" t="str">
        <f t="shared" si="58"/>
        <v>VA</v>
      </c>
      <c r="C556" s="567" t="str">
        <f t="shared" si="59"/>
        <v>E</v>
      </c>
      <c r="D556" s="567" t="s">
        <v>2650</v>
      </c>
      <c r="E556" s="567" t="str">
        <f t="shared" si="62"/>
        <v>392</v>
      </c>
      <c r="F556" s="865" t="s">
        <v>2429</v>
      </c>
      <c r="G556" s="566" t="str">
        <f t="shared" si="54"/>
        <v>GENERAL</v>
      </c>
      <c r="H556" s="567">
        <v>-2.453700667E-2</v>
      </c>
      <c r="I556" s="567">
        <v>-2.453700667E-2</v>
      </c>
      <c r="J556" s="567">
        <v>-2.453700667E-2</v>
      </c>
      <c r="K556" s="567">
        <v>-2.453700667E-2</v>
      </c>
      <c r="L556" s="567">
        <v>-2.453700667E-2</v>
      </c>
      <c r="M556" s="567">
        <v>-2.453700667E-2</v>
      </c>
      <c r="N556" s="567">
        <v>-2.453700667E-2</v>
      </c>
      <c r="O556" s="567">
        <v>-2.453700667E-2</v>
      </c>
      <c r="P556" s="567">
        <v>-2.453700667E-2</v>
      </c>
      <c r="Q556" s="567">
        <v>-2.453700667E-2</v>
      </c>
      <c r="R556" s="567">
        <v>-2.453700667E-2</v>
      </c>
      <c r="S556" s="567">
        <v>-2.453700667E-2</v>
      </c>
      <c r="T556" s="567">
        <v>-2.453700667E-2</v>
      </c>
      <c r="U556" s="777">
        <f t="shared" si="63"/>
        <v>-0.29444408004</v>
      </c>
      <c r="V556" s="567">
        <f t="shared" si="61"/>
        <v>-2.4537006670000003E-2</v>
      </c>
    </row>
    <row r="557" spans="1:25" x14ac:dyDescent="0.25">
      <c r="A557" s="567" t="str">
        <f t="shared" si="56"/>
        <v>KU</v>
      </c>
      <c r="B557" s="567" t="str">
        <f t="shared" si="58"/>
        <v>KY</v>
      </c>
      <c r="C557" s="567" t="str">
        <f t="shared" si="59"/>
        <v>E</v>
      </c>
      <c r="D557" s="567" t="s">
        <v>2650</v>
      </c>
      <c r="E557" s="567" t="str">
        <f t="shared" si="62"/>
        <v>396</v>
      </c>
      <c r="F557" s="865" t="s">
        <v>2430</v>
      </c>
      <c r="G557" s="566" t="str">
        <f t="shared" si="54"/>
        <v>GENERAL</v>
      </c>
      <c r="H557" s="567">
        <v>-15.2187488</v>
      </c>
      <c r="I557" s="567">
        <v>-15.2187488</v>
      </c>
      <c r="J557" s="567">
        <v>-15.2187488</v>
      </c>
      <c r="K557" s="567">
        <v>-15.2187488</v>
      </c>
      <c r="L557" s="567">
        <v>-15.2187488</v>
      </c>
      <c r="M557" s="567">
        <v>-15.2187488</v>
      </c>
      <c r="N557" s="567">
        <v>-15.2187488</v>
      </c>
      <c r="O557" s="567">
        <v>-15.2187488</v>
      </c>
      <c r="P557" s="567">
        <v>-15.2187488</v>
      </c>
      <c r="Q557" s="567">
        <v>-15.2187488</v>
      </c>
      <c r="R557" s="567">
        <v>-15.2187488</v>
      </c>
      <c r="S557" s="567">
        <v>-15.2187488</v>
      </c>
      <c r="T557" s="567">
        <v>-15.2187488</v>
      </c>
      <c r="U557" s="777">
        <f t="shared" si="63"/>
        <v>-182.62498560000006</v>
      </c>
      <c r="V557" s="567">
        <f t="shared" si="61"/>
        <v>-15.218748800000006</v>
      </c>
    </row>
    <row r="558" spans="1:25" x14ac:dyDescent="0.25">
      <c r="A558" s="567" t="str">
        <f t="shared" si="56"/>
        <v>KU</v>
      </c>
      <c r="B558" s="567" t="str">
        <f t="shared" si="58"/>
        <v>VA</v>
      </c>
      <c r="C558" s="567" t="str">
        <f t="shared" si="59"/>
        <v>E</v>
      </c>
      <c r="D558" s="567" t="s">
        <v>2650</v>
      </c>
      <c r="E558" s="567" t="str">
        <f t="shared" si="62"/>
        <v>396</v>
      </c>
      <c r="F558" s="865" t="s">
        <v>2431</v>
      </c>
      <c r="G558" s="566" t="str">
        <f t="shared" si="54"/>
        <v>GENERAL</v>
      </c>
      <c r="H558" s="567">
        <v>-1.329055433</v>
      </c>
      <c r="I558" s="567">
        <v>-1.329055433</v>
      </c>
      <c r="J558" s="567">
        <v>-1.329055433</v>
      </c>
      <c r="K558" s="567">
        <v>-1.329055433</v>
      </c>
      <c r="L558" s="567">
        <v>-1.329055433</v>
      </c>
      <c r="M558" s="567">
        <v>-1.329055433</v>
      </c>
      <c r="N558" s="567">
        <v>-1.329055433</v>
      </c>
      <c r="O558" s="567">
        <v>-1.329055433</v>
      </c>
      <c r="P558" s="567">
        <v>-1.329055433</v>
      </c>
      <c r="Q558" s="567">
        <v>-1.329055433</v>
      </c>
      <c r="R558" s="567">
        <v>-1.329055433</v>
      </c>
      <c r="S558" s="567">
        <v>-1.329055433</v>
      </c>
      <c r="T558" s="567">
        <v>-1.329055433</v>
      </c>
      <c r="U558" s="777">
        <f t="shared" si="63"/>
        <v>-15.948665196000002</v>
      </c>
      <c r="V558" s="567">
        <f t="shared" si="61"/>
        <v>-1.3290554330000002</v>
      </c>
    </row>
    <row r="559" spans="1:25" x14ac:dyDescent="0.25">
      <c r="A559" s="567" t="str">
        <f t="shared" si="56"/>
        <v>KU</v>
      </c>
      <c r="B559" s="567" t="str">
        <f t="shared" si="58"/>
        <v>KY</v>
      </c>
      <c r="C559" s="567" t="str">
        <f t="shared" si="59"/>
        <v>E</v>
      </c>
      <c r="D559" s="567" t="s">
        <v>2650</v>
      </c>
      <c r="E559" s="567" t="str">
        <f t="shared" si="62"/>
        <v>317</v>
      </c>
      <c r="F559" s="865" t="s">
        <v>1631</v>
      </c>
      <c r="G559" s="566" t="str">
        <f t="shared" si="54"/>
        <v>STEAM</v>
      </c>
      <c r="H559" s="567">
        <v>-451.94018000000102</v>
      </c>
      <c r="I559" s="567">
        <v>-451.94018000000102</v>
      </c>
      <c r="J559" s="567">
        <v>-451.94018000000102</v>
      </c>
      <c r="K559" s="567">
        <v>-451.94018000000102</v>
      </c>
      <c r="L559" s="567">
        <v>-451.94018000000102</v>
      </c>
      <c r="M559" s="567">
        <v>-451.94018000000102</v>
      </c>
      <c r="N559" s="567">
        <v>-451.94018000000102</v>
      </c>
      <c r="O559" s="567">
        <v>-451.94018000000102</v>
      </c>
      <c r="P559" s="567">
        <v>-451.94018000000102</v>
      </c>
      <c r="Q559" s="567">
        <v>-60.823937044654102</v>
      </c>
      <c r="R559" s="567">
        <v>-60.823937044654102</v>
      </c>
      <c r="S559" s="567">
        <v>-60.823937044654102</v>
      </c>
      <c r="T559" s="567">
        <v>-60.823937044654102</v>
      </c>
      <c r="U559" s="777">
        <f t="shared" si="63"/>
        <v>-3858.8171881786243</v>
      </c>
      <c r="V559" s="567">
        <f t="shared" si="61"/>
        <v>-331.59672062912517</v>
      </c>
    </row>
    <row r="560" spans="1:25" x14ac:dyDescent="0.25">
      <c r="A560" s="567" t="str">
        <f t="shared" si="56"/>
        <v>KU</v>
      </c>
      <c r="B560" s="567" t="str">
        <f t="shared" si="58"/>
        <v>KY</v>
      </c>
      <c r="C560" s="567" t="str">
        <f t="shared" si="59"/>
        <v>E</v>
      </c>
      <c r="D560" s="567" t="s">
        <v>2650</v>
      </c>
      <c r="E560" s="567" t="str">
        <f t="shared" si="62"/>
        <v>317</v>
      </c>
      <c r="F560" s="865" t="s">
        <v>2427</v>
      </c>
      <c r="G560" s="566" t="str">
        <f t="shared" ref="G560:G622" si="64">IF(ISTEXT(MID($F560,SEARCH("HYDRO PRODUCTION",$F560),9)),"HYDRO",IF(ISTEXT(MID($F560,SEARCH("OTHER PRODUCTION",$F560),9)),"OTHER",IF(ISTEXT(MID($F560,SEARCH("STEAM PRODUCTION",$F560),9)),"STEAM",IF(ISTEXT(MID($F560,SEARCH("TRANSMISSION",$F560),9)),"TRANSMISSION",IF(ISTEXT(MID($F560,SEARCH("DISTRIBUTION",$F560),9)),"DISTRIBUTION",IF(ISTEXT(MID($F560,SEARCH("COMMON",$F560),9)),"COMMON",IF(ISTEXT(MID($F560,SEARCH("GENERAL",$F560),9)),"GENERAL",IF(ISTEXT(MID($F560,SEARCH("INTANGIBLE",$F560),9)),"INTANGIBLE",IF(ISTEXT(MID($F560,SEARCH("STORAGE",$F560),3)),"STORAGE","")))))))))</f>
        <v>STEAM</v>
      </c>
      <c r="H560" s="567">
        <v>-1035.3629000000001</v>
      </c>
      <c r="I560" s="567">
        <v>-1035.3629000000001</v>
      </c>
      <c r="J560" s="567">
        <v>-1035.3629000000001</v>
      </c>
      <c r="K560" s="567">
        <v>-1035.3629000000001</v>
      </c>
      <c r="L560" s="567">
        <v>-1035.3629000000001</v>
      </c>
      <c r="M560" s="567">
        <v>-1035.3629000000001</v>
      </c>
      <c r="N560" s="567">
        <v>-1035.3629000000001</v>
      </c>
      <c r="O560" s="567">
        <v>-1035.3629000000001</v>
      </c>
      <c r="P560" s="567">
        <v>-1035.3629000000001</v>
      </c>
      <c r="Q560" s="567">
        <v>-962.96079999999995</v>
      </c>
      <c r="R560" s="567">
        <v>-962.96079999999995</v>
      </c>
      <c r="S560" s="567">
        <v>-962.96079999999995</v>
      </c>
      <c r="T560" s="567">
        <v>-962.96079999999995</v>
      </c>
      <c r="U560" s="777">
        <f t="shared" si="63"/>
        <v>-12134.746400000004</v>
      </c>
      <c r="V560" s="567">
        <f t="shared" si="61"/>
        <v>-1013.0853307692311</v>
      </c>
    </row>
    <row r="561" spans="1:22" x14ac:dyDescent="0.25">
      <c r="A561" s="567" t="str">
        <f t="shared" si="56"/>
        <v>KU</v>
      </c>
      <c r="B561" s="567" t="str">
        <f t="shared" si="58"/>
        <v>KY</v>
      </c>
      <c r="C561" s="567" t="str">
        <f t="shared" si="59"/>
        <v>E</v>
      </c>
      <c r="D561" s="567" t="s">
        <v>2650</v>
      </c>
      <c r="E561" s="567" t="str">
        <f t="shared" si="62"/>
        <v>337</v>
      </c>
      <c r="F561" s="865" t="s">
        <v>1639</v>
      </c>
      <c r="G561" s="566" t="str">
        <f t="shared" si="64"/>
        <v>HYDRO</v>
      </c>
      <c r="H561" s="567">
        <v>-1.49068</v>
      </c>
      <c r="I561" s="567">
        <v>-1.49068</v>
      </c>
      <c r="J561" s="567">
        <v>-1.49068</v>
      </c>
      <c r="K561" s="567">
        <v>-1.49068</v>
      </c>
      <c r="L561" s="567">
        <v>-1.49068</v>
      </c>
      <c r="M561" s="567">
        <v>-1.49068</v>
      </c>
      <c r="N561" s="567">
        <v>-1.49068</v>
      </c>
      <c r="O561" s="567">
        <v>-1.49068</v>
      </c>
      <c r="P561" s="567">
        <v>-1.49068</v>
      </c>
      <c r="Q561" s="567">
        <v>-0.20062174262471</v>
      </c>
      <c r="R561" s="567">
        <v>-0.20062174262471</v>
      </c>
      <c r="S561" s="567">
        <v>-0.20062174262471</v>
      </c>
      <c r="T561" s="567">
        <v>-0.20062174262471</v>
      </c>
      <c r="U561" s="777">
        <f t="shared" si="63"/>
        <v>-12.727926970498839</v>
      </c>
      <c r="V561" s="567">
        <f t="shared" si="61"/>
        <v>-1.09373899773068</v>
      </c>
    </row>
    <row r="562" spans="1:22" x14ac:dyDescent="0.25">
      <c r="A562" s="567" t="str">
        <f t="shared" si="56"/>
        <v>KU</v>
      </c>
      <c r="B562" s="567" t="str">
        <f t="shared" si="58"/>
        <v>KY</v>
      </c>
      <c r="C562" s="567" t="str">
        <f t="shared" si="59"/>
        <v>E</v>
      </c>
      <c r="D562" s="567" t="s">
        <v>2650</v>
      </c>
      <c r="E562" s="567" t="str">
        <f t="shared" si="62"/>
        <v>347</v>
      </c>
      <c r="F562" s="865" t="s">
        <v>1660</v>
      </c>
      <c r="G562" s="566" t="str">
        <f t="shared" si="64"/>
        <v>OTHER</v>
      </c>
      <c r="H562" s="567">
        <v>-1.6791199999999999</v>
      </c>
      <c r="I562" s="567">
        <v>-1.6791199999999999</v>
      </c>
      <c r="J562" s="567">
        <v>-1.6791199999999999</v>
      </c>
      <c r="K562" s="567">
        <v>-1.6791199999999999</v>
      </c>
      <c r="L562" s="567">
        <v>-1.6791199999999999</v>
      </c>
      <c r="M562" s="567">
        <v>-1.6791199999999999</v>
      </c>
      <c r="N562" s="567">
        <v>-1.6791199999999999</v>
      </c>
      <c r="O562" s="567">
        <v>-1.6791199999999999</v>
      </c>
      <c r="P562" s="567">
        <v>-1.6791199999999999</v>
      </c>
      <c r="Q562" s="567">
        <v>-0.22598275986529801</v>
      </c>
      <c r="R562" s="567">
        <v>-0.22598275986529801</v>
      </c>
      <c r="S562" s="567">
        <v>-0.22598275986529801</v>
      </c>
      <c r="T562" s="567">
        <v>-0.22598275986529801</v>
      </c>
      <c r="U562" s="777">
        <f t="shared" si="63"/>
        <v>-14.336891039461189</v>
      </c>
      <c r="V562" s="567">
        <f t="shared" si="61"/>
        <v>-1.2320008491893224</v>
      </c>
    </row>
    <row r="563" spans="1:22" x14ac:dyDescent="0.25">
      <c r="A563" s="567" t="str">
        <f t="shared" si="56"/>
        <v>KU</v>
      </c>
      <c r="B563" s="567" t="str">
        <f t="shared" si="58"/>
        <v>KY</v>
      </c>
      <c r="C563" s="567" t="str">
        <f t="shared" si="59"/>
        <v>E</v>
      </c>
      <c r="D563" s="567" t="s">
        <v>2650</v>
      </c>
      <c r="E563" s="567" t="str">
        <f t="shared" si="62"/>
        <v>359</v>
      </c>
      <c r="F563" s="865" t="s">
        <v>1680</v>
      </c>
      <c r="G563" s="566" t="str">
        <f t="shared" si="64"/>
        <v>TRANSMISSION</v>
      </c>
      <c r="H563" s="567">
        <v>-1.5926399999999901</v>
      </c>
      <c r="I563" s="567">
        <v>-1.5926399999999901</v>
      </c>
      <c r="J563" s="567">
        <v>-1.5926399999999901</v>
      </c>
      <c r="K563" s="567">
        <v>-1.5926399999999901</v>
      </c>
      <c r="L563" s="567">
        <v>-1.5926399999999901</v>
      </c>
      <c r="M563" s="567">
        <v>-1.5926399999999901</v>
      </c>
      <c r="N563" s="567">
        <v>-1.5926399999999901</v>
      </c>
      <c r="O563" s="567">
        <v>-1.5926399999999901</v>
      </c>
      <c r="P563" s="567">
        <v>-1.5926399999999901</v>
      </c>
      <c r="Q563" s="567">
        <v>-0.21434393174512001</v>
      </c>
      <c r="R563" s="567">
        <v>-0.21434393174512001</v>
      </c>
      <c r="S563" s="567">
        <v>-0.21434393174512001</v>
      </c>
      <c r="T563" s="567">
        <v>-0.21434393174512001</v>
      </c>
      <c r="U563" s="777">
        <f t="shared" si="63"/>
        <v>-13.598495726980401</v>
      </c>
      <c r="V563" s="567">
        <f t="shared" si="61"/>
        <v>-1.1685489020754147</v>
      </c>
    </row>
    <row r="564" spans="1:22" x14ac:dyDescent="0.25">
      <c r="A564" s="567" t="str">
        <f t="shared" si="56"/>
        <v>KU</v>
      </c>
      <c r="B564" s="567" t="str">
        <f t="shared" si="58"/>
        <v>KY</v>
      </c>
      <c r="C564" s="567" t="str">
        <f t="shared" si="59"/>
        <v>E</v>
      </c>
      <c r="D564" s="567" t="s">
        <v>2650</v>
      </c>
      <c r="E564" s="567" t="str">
        <f t="shared" si="62"/>
        <v>374</v>
      </c>
      <c r="F564" s="865" t="s">
        <v>1716</v>
      </c>
      <c r="G564" s="566" t="str">
        <f t="shared" si="64"/>
        <v>DISTRIBUTION</v>
      </c>
      <c r="H564" s="567">
        <v>-0.86819000000000002</v>
      </c>
      <c r="I564" s="567">
        <v>-0.86819000000000002</v>
      </c>
      <c r="J564" s="567">
        <v>-0.86819000000000002</v>
      </c>
      <c r="K564" s="567">
        <v>-0.86819000000000002</v>
      </c>
      <c r="L564" s="567">
        <v>-0.86819000000000002</v>
      </c>
      <c r="M564" s="567">
        <v>-0.86819000000000002</v>
      </c>
      <c r="N564" s="567">
        <v>-0.86819000000000002</v>
      </c>
      <c r="O564" s="567">
        <v>-0.86819000000000002</v>
      </c>
      <c r="P564" s="567">
        <v>-0.86819000000000002</v>
      </c>
      <c r="Q564" s="567">
        <v>-0.116844521110732</v>
      </c>
      <c r="R564" s="567">
        <v>-0.116844521110732</v>
      </c>
      <c r="S564" s="567">
        <v>-0.116844521110732</v>
      </c>
      <c r="T564" s="567">
        <v>-0.116844521110732</v>
      </c>
      <c r="U564" s="777">
        <f t="shared" si="63"/>
        <v>-7.4128980844429284</v>
      </c>
      <c r="V564" s="567">
        <f t="shared" si="61"/>
        <v>-0.6370067757263792</v>
      </c>
    </row>
    <row r="565" spans="1:22" x14ac:dyDescent="0.25">
      <c r="A565" s="567" t="str">
        <f t="shared" si="56"/>
        <v>us</v>
      </c>
      <c r="B565" s="567" t="str">
        <f t="shared" si="58"/>
        <v xml:space="preserve"> P</v>
      </c>
      <c r="C565" s="567" t="str">
        <f t="shared" si="59"/>
        <v/>
      </c>
      <c r="D565" s="567" t="s">
        <v>2650</v>
      </c>
      <c r="E565" s="567" t="str">
        <f t="shared" si="62"/>
        <v>d K</v>
      </c>
      <c r="F565" s="865" t="s">
        <v>1742</v>
      </c>
      <c r="G565" s="566" t="str">
        <f t="shared" si="64"/>
        <v/>
      </c>
      <c r="H565" s="567">
        <v>23578.101135219811</v>
      </c>
      <c r="I565" s="567">
        <v>28994.185982164359</v>
      </c>
      <c r="J565" s="567">
        <v>29390.109472304364</v>
      </c>
      <c r="K565" s="567">
        <v>29529.727946421361</v>
      </c>
      <c r="L565" s="567">
        <v>29571.399431097259</v>
      </c>
      <c r="M565" s="567">
        <v>29611.06351456136</v>
      </c>
      <c r="N565" s="567">
        <v>29673.161343084772</v>
      </c>
      <c r="O565" s="567">
        <v>29768.678633691448</v>
      </c>
      <c r="P565" s="567">
        <v>30068.107941293754</v>
      </c>
      <c r="Q565" s="567">
        <v>30302.091428351523</v>
      </c>
      <c r="R565" s="567">
        <v>30274.603585835135</v>
      </c>
      <c r="S565" s="567">
        <v>30346.685024871091</v>
      </c>
      <c r="T565" s="567">
        <v>30493.016454782693</v>
      </c>
      <c r="U565" s="777">
        <f t="shared" si="63"/>
        <v>358022.83075845911</v>
      </c>
      <c r="V565" s="567">
        <f t="shared" si="61"/>
        <v>29353.917837975299</v>
      </c>
    </row>
    <row r="566" spans="1:22" x14ac:dyDescent="0.25">
      <c r="A566" s="567" t="str">
        <f t="shared" si="56"/>
        <v>us</v>
      </c>
      <c r="B566" s="567" t="str">
        <f t="shared" si="58"/>
        <v xml:space="preserve"> P</v>
      </c>
      <c r="C566" s="567" t="str">
        <f t="shared" si="59"/>
        <v/>
      </c>
      <c r="D566" s="567" t="s">
        <v>2650</v>
      </c>
      <c r="E566" s="567" t="str">
        <f t="shared" si="62"/>
        <v>d K</v>
      </c>
      <c r="F566" s="865" t="s">
        <v>2674</v>
      </c>
      <c r="G566" s="566" t="str">
        <f t="shared" si="64"/>
        <v/>
      </c>
      <c r="H566" s="567">
        <v>23578101.135219812</v>
      </c>
      <c r="I566" s="567">
        <v>28994185.982164361</v>
      </c>
      <c r="J566" s="567">
        <v>29390109.472304363</v>
      </c>
      <c r="K566" s="567">
        <v>29529727.946421362</v>
      </c>
      <c r="L566" s="567">
        <v>29571399.431097258</v>
      </c>
      <c r="M566" s="567">
        <v>29611063.514561359</v>
      </c>
      <c r="N566" s="567">
        <v>29673161.343084771</v>
      </c>
      <c r="O566" s="567">
        <v>29768678.633691449</v>
      </c>
      <c r="P566" s="567">
        <v>30068107.941293754</v>
      </c>
      <c r="Q566" s="567">
        <v>30302091.428351521</v>
      </c>
      <c r="R566" s="567">
        <v>30274603.585835136</v>
      </c>
      <c r="S566" s="567">
        <v>30346685.024871092</v>
      </c>
      <c r="T566" s="567">
        <v>30493016.454782695</v>
      </c>
      <c r="U566" s="777">
        <f t="shared" si="63"/>
        <v>358022830.75845921</v>
      </c>
    </row>
    <row r="567" spans="1:22" x14ac:dyDescent="0.25">
      <c r="A567" s="567" t="str">
        <f t="shared" si="56"/>
        <v>To</v>
      </c>
      <c r="B567" s="567" t="str">
        <f t="shared" si="58"/>
        <v>RC</v>
      </c>
      <c r="C567" s="567" t="str">
        <f t="shared" si="59"/>
        <v/>
      </c>
      <c r="D567" s="567" t="s">
        <v>2650</v>
      </c>
      <c r="E567" s="567" t="str">
        <f t="shared" si="62"/>
        <v>l F</v>
      </c>
      <c r="F567" s="865" t="s">
        <v>2675</v>
      </c>
      <c r="G567" s="566" t="str">
        <f t="shared" si="64"/>
        <v/>
      </c>
      <c r="H567" s="567">
        <v>0</v>
      </c>
      <c r="I567" s="567">
        <f>IS!B347+IS!B349</f>
        <v>28994.185982164301</v>
      </c>
      <c r="J567" s="567">
        <f>IS!C347+IS!C349</f>
        <v>29390.109472304299</v>
      </c>
      <c r="K567" s="567">
        <f>IS!D347+IS!D349</f>
        <v>29529.727946421299</v>
      </c>
      <c r="L567" s="567">
        <f>IS!E347+IS!E349</f>
        <v>29571.399431097198</v>
      </c>
      <c r="M567" s="567">
        <f>IS!F347+IS!F349</f>
        <v>29611.063514561301</v>
      </c>
      <c r="N567" s="567">
        <f>IS!G347+IS!G349</f>
        <v>29673.161343084699</v>
      </c>
      <c r="O567" s="567">
        <f>IS!H347+IS!H349</f>
        <v>29768.678633691401</v>
      </c>
      <c r="P567" s="567">
        <f>IS!I347+IS!I349</f>
        <v>30068.107941293703</v>
      </c>
      <c r="Q567" s="567">
        <f>IS!J347+IS!J349</f>
        <v>30302.091428351501</v>
      </c>
      <c r="R567" s="567">
        <f>IS!K347+IS!K349</f>
        <v>30274.603585835102</v>
      </c>
      <c r="S567" s="567">
        <f>IS!L347+IS!L349</f>
        <v>30346.685024871102</v>
      </c>
      <c r="T567" s="567">
        <f>IS!M347+IS!M349</f>
        <v>30493.016454782599</v>
      </c>
      <c r="U567" s="777">
        <f t="shared" si="63"/>
        <v>358022.83075845847</v>
      </c>
      <c r="V567" s="776" t="s">
        <v>1743</v>
      </c>
    </row>
    <row r="568" spans="1:22" x14ac:dyDescent="0.25">
      <c r="A568" s="567" t="str">
        <f t="shared" si="56"/>
        <v>of</v>
      </c>
      <c r="B568" s="567" t="str">
        <f t="shared" si="58"/>
        <v/>
      </c>
      <c r="C568" s="567" t="str">
        <f t="shared" si="59"/>
        <v/>
      </c>
      <c r="D568" s="567" t="s">
        <v>2650</v>
      </c>
      <c r="E568" s="567" t="str">
        <f t="shared" si="62"/>
        <v/>
      </c>
      <c r="F568" s="865" t="s">
        <v>2676</v>
      </c>
      <c r="G568" s="566" t="str">
        <f t="shared" si="64"/>
        <v/>
      </c>
      <c r="H568" s="567">
        <v>23578101.135219812</v>
      </c>
      <c r="I568" s="778">
        <v>28994185.982164402</v>
      </c>
      <c r="J568" s="777">
        <v>29390109.472304363</v>
      </c>
      <c r="K568" s="777">
        <v>29529727.946421362</v>
      </c>
      <c r="L568" s="777">
        <v>29571399.431097258</v>
      </c>
      <c r="M568" s="777">
        <v>29611063.514561359</v>
      </c>
      <c r="N568" s="777">
        <v>29673161.343084771</v>
      </c>
      <c r="O568" s="777">
        <v>29768678.633691449</v>
      </c>
      <c r="P568" s="777">
        <v>30068107.941293754</v>
      </c>
      <c r="Q568" s="777">
        <v>30302091.428351521</v>
      </c>
      <c r="R568" s="777">
        <v>30274603.585835136</v>
      </c>
      <c r="S568" s="777">
        <v>30346685.024871092</v>
      </c>
      <c r="T568" s="777">
        <v>30493016.454782695</v>
      </c>
      <c r="U568" s="777">
        <f t="shared" si="63"/>
        <v>358022830.75845921</v>
      </c>
      <c r="V568" s="776" t="s">
        <v>1744</v>
      </c>
    </row>
    <row r="569" spans="1:22" x14ac:dyDescent="0.25">
      <c r="A569" s="567" t="str">
        <f t="shared" si="56"/>
        <v/>
      </c>
      <c r="B569" s="567" t="str">
        <f t="shared" si="58"/>
        <v/>
      </c>
      <c r="C569" s="567" t="str">
        <f t="shared" si="59"/>
        <v/>
      </c>
      <c r="D569" s="567" t="s">
        <v>2650</v>
      </c>
      <c r="E569" s="567" t="str">
        <f t="shared" si="62"/>
        <v/>
      </c>
      <c r="G569" s="566" t="str">
        <f t="shared" si="64"/>
        <v/>
      </c>
      <c r="H569" s="567">
        <v>0</v>
      </c>
      <c r="I569" s="567">
        <v>3.637978807091713E-11</v>
      </c>
      <c r="J569" s="567">
        <v>4.0017766878008842E-11</v>
      </c>
      <c r="K569" s="567">
        <v>3.637978807091713E-11</v>
      </c>
      <c r="L569" s="567">
        <v>3.637978807091713E-11</v>
      </c>
      <c r="M569" s="567">
        <v>3.637978807091713E-11</v>
      </c>
      <c r="N569" s="567">
        <v>4.7293724492192268E-11</v>
      </c>
      <c r="O569" s="567">
        <v>0</v>
      </c>
      <c r="P569" s="567">
        <v>2.9103830456733704E-11</v>
      </c>
      <c r="Q569" s="567">
        <v>0</v>
      </c>
      <c r="R569" s="567">
        <v>0</v>
      </c>
      <c r="S569" s="567">
        <v>6.184563972055912E-11</v>
      </c>
      <c r="T569" s="567">
        <v>6.5483618527650833E-11</v>
      </c>
      <c r="V569" s="567">
        <f t="shared" ref="V569:V618" si="65">SUM(H569:T569)/13</f>
        <v>2.9943364027601019E-11</v>
      </c>
    </row>
    <row r="570" spans="1:22" x14ac:dyDescent="0.25">
      <c r="A570" s="567" t="str">
        <f t="shared" si="56"/>
        <v/>
      </c>
      <c r="B570" s="567" t="str">
        <f t="shared" si="58"/>
        <v/>
      </c>
      <c r="C570" s="567" t="str">
        <f t="shared" si="59"/>
        <v/>
      </c>
      <c r="E570" s="567" t="str">
        <f t="shared" si="62"/>
        <v/>
      </c>
      <c r="G570" s="566" t="str">
        <f t="shared" si="64"/>
        <v/>
      </c>
      <c r="V570" s="567">
        <f t="shared" si="65"/>
        <v>0</v>
      </c>
    </row>
    <row r="571" spans="1:22" x14ac:dyDescent="0.25">
      <c r="A571" s="567" t="str">
        <f t="shared" si="56"/>
        <v>ss</v>
      </c>
      <c r="B571" s="567" t="str">
        <f t="shared" si="58"/>
        <v xml:space="preserve"> F</v>
      </c>
      <c r="C571" s="567" t="str">
        <f t="shared" si="59"/>
        <v/>
      </c>
      <c r="E571" s="567" t="str">
        <f t="shared" si="62"/>
        <v>lan</v>
      </c>
      <c r="F571" s="862" t="s">
        <v>1745</v>
      </c>
      <c r="G571" s="566" t="str">
        <f t="shared" si="64"/>
        <v/>
      </c>
      <c r="V571" s="567">
        <f t="shared" si="65"/>
        <v>0</v>
      </c>
    </row>
    <row r="572" spans="1:22" x14ac:dyDescent="0.25">
      <c r="A572" s="567" t="str">
        <f t="shared" si="56"/>
        <v>KU</v>
      </c>
      <c r="B572" s="567" t="str">
        <f t="shared" si="58"/>
        <v>KY</v>
      </c>
      <c r="C572" s="567" t="str">
        <f t="shared" si="59"/>
        <v>E</v>
      </c>
      <c r="D572" s="567" t="s">
        <v>2651</v>
      </c>
      <c r="E572" s="567" t="str">
        <f t="shared" si="62"/>
        <v>311</v>
      </c>
      <c r="F572" s="864" t="s">
        <v>1620</v>
      </c>
      <c r="G572" s="566" t="str">
        <f t="shared" si="64"/>
        <v>STEAM</v>
      </c>
      <c r="H572" s="567">
        <v>1882.47603</v>
      </c>
      <c r="I572" s="567">
        <v>1882.47603</v>
      </c>
      <c r="J572" s="567">
        <v>1882.47603</v>
      </c>
      <c r="K572" s="567">
        <v>1882.47603</v>
      </c>
      <c r="L572" s="567">
        <v>1882.47603</v>
      </c>
      <c r="M572" s="567">
        <v>1882.47603</v>
      </c>
      <c r="N572" s="567">
        <v>1882.47603</v>
      </c>
      <c r="O572" s="567">
        <v>1882.47603</v>
      </c>
      <c r="P572" s="567">
        <v>1882.47603</v>
      </c>
      <c r="Q572" s="567">
        <v>1882.47603</v>
      </c>
      <c r="R572" s="567">
        <v>1882.47603</v>
      </c>
      <c r="S572" s="567">
        <v>1882.47603</v>
      </c>
      <c r="T572" s="567">
        <v>1882.47603</v>
      </c>
      <c r="U572" s="567">
        <f t="shared" ref="U572:U595" si="66">SUM(I572:T572)</f>
        <v>22589.712360000005</v>
      </c>
      <c r="V572" s="567">
        <f t="shared" si="65"/>
        <v>1882.4760300000005</v>
      </c>
    </row>
    <row r="573" spans="1:22" x14ac:dyDescent="0.25">
      <c r="A573" s="567" t="str">
        <f t="shared" si="56"/>
        <v>KU</v>
      </c>
      <c r="B573" s="567" t="str">
        <f t="shared" si="58"/>
        <v>KY</v>
      </c>
      <c r="C573" s="567" t="str">
        <f t="shared" si="59"/>
        <v>E</v>
      </c>
      <c r="D573" s="567" t="s">
        <v>2651</v>
      </c>
      <c r="E573" s="567" t="str">
        <f t="shared" si="62"/>
        <v>312</v>
      </c>
      <c r="F573" s="864" t="s">
        <v>1621</v>
      </c>
      <c r="G573" s="566" t="str">
        <f t="shared" si="64"/>
        <v>STEAM</v>
      </c>
      <c r="H573" s="567">
        <v>10076.09427</v>
      </c>
      <c r="I573" s="567">
        <v>10076.09427</v>
      </c>
      <c r="J573" s="567">
        <v>10076.09427</v>
      </c>
      <c r="K573" s="567">
        <v>10076.09427</v>
      </c>
      <c r="L573" s="567">
        <v>10076.09427</v>
      </c>
      <c r="M573" s="567">
        <v>10076.09427</v>
      </c>
      <c r="N573" s="567">
        <v>10076.09427</v>
      </c>
      <c r="O573" s="567">
        <v>10076.09427</v>
      </c>
      <c r="P573" s="567">
        <v>10076.09427</v>
      </c>
      <c r="Q573" s="567">
        <v>10076.09427</v>
      </c>
      <c r="R573" s="567">
        <v>10076.09427</v>
      </c>
      <c r="S573" s="567">
        <v>10076.09427</v>
      </c>
      <c r="T573" s="567">
        <v>10076.09427</v>
      </c>
      <c r="U573" s="567">
        <f t="shared" si="66"/>
        <v>120913.13124</v>
      </c>
      <c r="V573" s="567">
        <f t="shared" si="65"/>
        <v>10076.09427</v>
      </c>
    </row>
    <row r="574" spans="1:22" x14ac:dyDescent="0.25">
      <c r="A574" s="567" t="str">
        <f t="shared" si="56"/>
        <v>KU</v>
      </c>
      <c r="B574" s="567" t="str">
        <f t="shared" si="58"/>
        <v>KY</v>
      </c>
      <c r="C574" s="567" t="str">
        <f t="shared" si="59"/>
        <v>E</v>
      </c>
      <c r="D574" s="567" t="s">
        <v>2651</v>
      </c>
      <c r="E574" s="567" t="str">
        <f t="shared" si="62"/>
        <v>314</v>
      </c>
      <c r="F574" s="864" t="s">
        <v>1625</v>
      </c>
      <c r="G574" s="566" t="str">
        <f t="shared" si="64"/>
        <v>STEAM</v>
      </c>
      <c r="H574" s="567">
        <v>2805.7896999999998</v>
      </c>
      <c r="I574" s="567">
        <v>2805.7896999999998</v>
      </c>
      <c r="J574" s="567">
        <v>2805.7896999999998</v>
      </c>
      <c r="K574" s="567">
        <v>2805.7896999999998</v>
      </c>
      <c r="L574" s="567">
        <v>2805.7896999999998</v>
      </c>
      <c r="M574" s="567">
        <v>2805.7896999999998</v>
      </c>
      <c r="N574" s="567">
        <v>2805.7896999999998</v>
      </c>
      <c r="O574" s="567">
        <v>2805.7896999999998</v>
      </c>
      <c r="P574" s="567">
        <v>2805.7896999999998</v>
      </c>
      <c r="Q574" s="567">
        <v>2805.7896999999998</v>
      </c>
      <c r="R574" s="567">
        <v>2805.7896999999998</v>
      </c>
      <c r="S574" s="567">
        <v>2805.7896999999998</v>
      </c>
      <c r="T574" s="567">
        <v>2805.7896999999998</v>
      </c>
      <c r="U574" s="567">
        <f t="shared" si="66"/>
        <v>33669.476400000007</v>
      </c>
      <c r="V574" s="567">
        <f t="shared" si="65"/>
        <v>2805.7897000000007</v>
      </c>
    </row>
    <row r="575" spans="1:22" x14ac:dyDescent="0.25">
      <c r="A575" s="567" t="str">
        <f t="shared" si="56"/>
        <v>KU</v>
      </c>
      <c r="B575" s="567" t="str">
        <f t="shared" si="58"/>
        <v>KY</v>
      </c>
      <c r="C575" s="567" t="str">
        <f t="shared" si="59"/>
        <v>E</v>
      </c>
      <c r="D575" s="567" t="s">
        <v>2651</v>
      </c>
      <c r="E575" s="567" t="str">
        <f t="shared" si="62"/>
        <v>315</v>
      </c>
      <c r="F575" s="864" t="s">
        <v>1626</v>
      </c>
      <c r="G575" s="566" t="str">
        <f t="shared" si="64"/>
        <v>STEAM</v>
      </c>
      <c r="H575" s="567">
        <v>1844.98704</v>
      </c>
      <c r="I575" s="567">
        <v>1844.98704</v>
      </c>
      <c r="J575" s="567">
        <v>1844.98704</v>
      </c>
      <c r="K575" s="567">
        <v>1844.98704</v>
      </c>
      <c r="L575" s="567">
        <v>1844.98704</v>
      </c>
      <c r="M575" s="567">
        <v>1844.98704</v>
      </c>
      <c r="N575" s="567">
        <v>1844.98704</v>
      </c>
      <c r="O575" s="567">
        <v>1844.98704</v>
      </c>
      <c r="P575" s="567">
        <v>1844.98704</v>
      </c>
      <c r="Q575" s="567">
        <v>1844.98704</v>
      </c>
      <c r="R575" s="567">
        <v>1844.98704</v>
      </c>
      <c r="S575" s="567">
        <v>1844.98704</v>
      </c>
      <c r="T575" s="567">
        <v>1844.98704</v>
      </c>
      <c r="U575" s="567">
        <f t="shared" si="66"/>
        <v>22139.84448</v>
      </c>
      <c r="V575" s="567">
        <f t="shared" si="65"/>
        <v>1844.98704</v>
      </c>
    </row>
    <row r="576" spans="1:22" x14ac:dyDescent="0.25">
      <c r="A576" s="567" t="str">
        <f t="shared" si="56"/>
        <v>KU</v>
      </c>
      <c r="B576" s="567" t="str">
        <f t="shared" si="58"/>
        <v>KY</v>
      </c>
      <c r="C576" s="567" t="str">
        <f t="shared" si="59"/>
        <v>E</v>
      </c>
      <c r="D576" s="567" t="s">
        <v>2651</v>
      </c>
      <c r="E576" s="567" t="str">
        <f t="shared" si="62"/>
        <v>316</v>
      </c>
      <c r="F576" s="864" t="s">
        <v>1630</v>
      </c>
      <c r="G576" s="566" t="str">
        <f t="shared" si="64"/>
        <v>STEAM</v>
      </c>
      <c r="H576" s="567">
        <v>173.32499000000001</v>
      </c>
      <c r="I576" s="567">
        <v>173.32499000000001</v>
      </c>
      <c r="J576" s="567">
        <v>173.32499000000001</v>
      </c>
      <c r="K576" s="567">
        <v>173.32499000000001</v>
      </c>
      <c r="L576" s="567">
        <v>173.32499000000001</v>
      </c>
      <c r="M576" s="567">
        <v>173.32499000000001</v>
      </c>
      <c r="N576" s="567">
        <v>173.32499000000001</v>
      </c>
      <c r="O576" s="567">
        <v>173.32499000000001</v>
      </c>
      <c r="P576" s="567">
        <v>173.32499000000001</v>
      </c>
      <c r="Q576" s="567">
        <v>173.32499000000001</v>
      </c>
      <c r="R576" s="567">
        <v>173.32499000000001</v>
      </c>
      <c r="S576" s="567">
        <v>173.32499000000001</v>
      </c>
      <c r="T576" s="567">
        <v>173.32499000000001</v>
      </c>
      <c r="U576" s="567">
        <f t="shared" si="66"/>
        <v>2079.8998800000004</v>
      </c>
      <c r="V576" s="567">
        <f t="shared" si="65"/>
        <v>173.32499000000004</v>
      </c>
    </row>
    <row r="577" spans="1:22" x14ac:dyDescent="0.25">
      <c r="A577" s="567" t="str">
        <f t="shared" si="56"/>
        <v>KU</v>
      </c>
      <c r="B577" s="567" t="str">
        <f t="shared" si="58"/>
        <v>KY</v>
      </c>
      <c r="C577" s="567" t="str">
        <f t="shared" si="59"/>
        <v>E</v>
      </c>
      <c r="D577" s="567" t="s">
        <v>2651</v>
      </c>
      <c r="E577" s="567" t="str">
        <f t="shared" si="62"/>
        <v>335</v>
      </c>
      <c r="F577" s="864" t="s">
        <v>1637</v>
      </c>
      <c r="G577" s="566" t="str">
        <f t="shared" si="64"/>
        <v>HYDRO</v>
      </c>
      <c r="H577" s="567">
        <v>0.82</v>
      </c>
      <c r="I577" s="567">
        <v>0.82</v>
      </c>
      <c r="J577" s="567">
        <v>0.82</v>
      </c>
      <c r="K577" s="567">
        <v>0.82</v>
      </c>
      <c r="L577" s="567">
        <v>0.82</v>
      </c>
      <c r="M577" s="567">
        <v>0.82</v>
      </c>
      <c r="N577" s="567">
        <v>0.82</v>
      </c>
      <c r="O577" s="567">
        <v>0.82</v>
      </c>
      <c r="P577" s="567">
        <v>0.82</v>
      </c>
      <c r="Q577" s="567">
        <v>0.82</v>
      </c>
      <c r="R577" s="567">
        <v>0.82</v>
      </c>
      <c r="S577" s="567">
        <v>0.82</v>
      </c>
      <c r="T577" s="567">
        <v>0.82</v>
      </c>
      <c r="U577" s="567">
        <f t="shared" si="66"/>
        <v>9.8400000000000016</v>
      </c>
      <c r="V577" s="567">
        <f t="shared" si="65"/>
        <v>0.82000000000000017</v>
      </c>
    </row>
    <row r="578" spans="1:22" x14ac:dyDescent="0.25">
      <c r="A578" s="567" t="str">
        <f t="shared" si="56"/>
        <v>KU</v>
      </c>
      <c r="B578" s="567" t="str">
        <f t="shared" si="58"/>
        <v>KY</v>
      </c>
      <c r="C578" s="567" t="str">
        <f t="shared" si="59"/>
        <v>E</v>
      </c>
      <c r="D578" s="567" t="s">
        <v>2651</v>
      </c>
      <c r="E578" s="567" t="str">
        <f t="shared" si="62"/>
        <v>341</v>
      </c>
      <c r="F578" s="864" t="s">
        <v>1643</v>
      </c>
      <c r="G578" s="566" t="str">
        <f t="shared" si="64"/>
        <v>OTHER</v>
      </c>
      <c r="H578" s="567">
        <v>0.18792</v>
      </c>
      <c r="I578" s="567">
        <v>0.18792</v>
      </c>
      <c r="J578" s="567">
        <v>0.18792</v>
      </c>
      <c r="K578" s="567">
        <v>0.18792</v>
      </c>
      <c r="L578" s="567">
        <v>0.18792</v>
      </c>
      <c r="M578" s="567">
        <v>0.18792</v>
      </c>
      <c r="N578" s="567">
        <v>0.18792</v>
      </c>
      <c r="O578" s="567">
        <v>0.18792</v>
      </c>
      <c r="P578" s="567">
        <v>0.18792</v>
      </c>
      <c r="Q578" s="567">
        <v>0.18792</v>
      </c>
      <c r="R578" s="567">
        <v>0.18792</v>
      </c>
      <c r="S578" s="567">
        <v>0.18792</v>
      </c>
      <c r="T578" s="567">
        <v>0.18792</v>
      </c>
      <c r="U578" s="567">
        <f t="shared" si="66"/>
        <v>2.2550400000000006</v>
      </c>
      <c r="V578" s="567">
        <f t="shared" si="65"/>
        <v>0.18792000000000006</v>
      </c>
    </row>
    <row r="579" spans="1:22" x14ac:dyDescent="0.25">
      <c r="A579" s="567" t="str">
        <f t="shared" si="56"/>
        <v>KU</v>
      </c>
      <c r="B579" s="567" t="str">
        <f t="shared" si="58"/>
        <v>KY</v>
      </c>
      <c r="C579" s="567" t="str">
        <f t="shared" si="59"/>
        <v>E</v>
      </c>
      <c r="D579" s="567" t="s">
        <v>2651</v>
      </c>
      <c r="E579" s="567" t="str">
        <f t="shared" si="62"/>
        <v>342</v>
      </c>
      <c r="F579" s="864" t="s">
        <v>1646</v>
      </c>
      <c r="G579" s="566" t="str">
        <f t="shared" si="64"/>
        <v>OTHER</v>
      </c>
      <c r="H579" s="567">
        <v>3.2500000000000001E-2</v>
      </c>
      <c r="I579" s="567">
        <v>3.2500000000000001E-2</v>
      </c>
      <c r="J579" s="567">
        <v>3.2500000000000001E-2</v>
      </c>
      <c r="K579" s="567">
        <v>3.2500000000000001E-2</v>
      </c>
      <c r="L579" s="567">
        <v>3.2500000000000001E-2</v>
      </c>
      <c r="M579" s="567">
        <v>3.2500000000000001E-2</v>
      </c>
      <c r="N579" s="567">
        <v>3.2500000000000001E-2</v>
      </c>
      <c r="O579" s="567">
        <v>3.2500000000000001E-2</v>
      </c>
      <c r="P579" s="567">
        <v>3.2500000000000001E-2</v>
      </c>
      <c r="Q579" s="567">
        <v>3.2500000000000001E-2</v>
      </c>
      <c r="R579" s="567">
        <v>3.2500000000000001E-2</v>
      </c>
      <c r="S579" s="567">
        <v>3.2500000000000001E-2</v>
      </c>
      <c r="T579" s="567">
        <v>3.2500000000000001E-2</v>
      </c>
      <c r="U579" s="567">
        <f t="shared" si="66"/>
        <v>0.3899999999999999</v>
      </c>
      <c r="V579" s="567">
        <f t="shared" si="65"/>
        <v>3.2499999999999987E-2</v>
      </c>
    </row>
    <row r="580" spans="1:22" x14ac:dyDescent="0.25">
      <c r="A580" s="567" t="str">
        <f t="shared" si="56"/>
        <v>KU</v>
      </c>
      <c r="B580" s="567" t="str">
        <f t="shared" si="58"/>
        <v>KY</v>
      </c>
      <c r="C580" s="567" t="str">
        <f t="shared" si="59"/>
        <v>E</v>
      </c>
      <c r="D580" s="567" t="s">
        <v>2651</v>
      </c>
      <c r="E580" s="567" t="str">
        <f t="shared" si="62"/>
        <v>343</v>
      </c>
      <c r="F580" s="864" t="s">
        <v>1649</v>
      </c>
      <c r="G580" s="566" t="str">
        <f t="shared" si="64"/>
        <v>OTHER</v>
      </c>
      <c r="H580" s="567">
        <v>1.1640900000000001</v>
      </c>
      <c r="I580" s="567">
        <v>1.1640900000000001</v>
      </c>
      <c r="J580" s="567">
        <v>1.1640900000000001</v>
      </c>
      <c r="K580" s="567">
        <v>1.1640900000000001</v>
      </c>
      <c r="L580" s="567">
        <v>1.1640900000000001</v>
      </c>
      <c r="M580" s="567">
        <v>1.1640900000000001</v>
      </c>
      <c r="N580" s="567">
        <v>1.1640900000000001</v>
      </c>
      <c r="O580" s="567">
        <v>1.1640900000000001</v>
      </c>
      <c r="P580" s="567">
        <v>1.1640900000000001</v>
      </c>
      <c r="Q580" s="567">
        <v>1.1640900000000001</v>
      </c>
      <c r="R580" s="567">
        <v>1.1640900000000001</v>
      </c>
      <c r="S580" s="567">
        <v>1.1640900000000001</v>
      </c>
      <c r="T580" s="567">
        <v>1.1640900000000001</v>
      </c>
      <c r="U580" s="567">
        <f t="shared" si="66"/>
        <v>13.96908</v>
      </c>
      <c r="V580" s="567">
        <f t="shared" si="65"/>
        <v>1.1640900000000001</v>
      </c>
    </row>
    <row r="581" spans="1:22" x14ac:dyDescent="0.25">
      <c r="A581" s="567" t="str">
        <f t="shared" si="56"/>
        <v>KU</v>
      </c>
      <c r="B581" s="567" t="str">
        <f t="shared" si="58"/>
        <v>KY</v>
      </c>
      <c r="C581" s="567" t="str">
        <f t="shared" si="59"/>
        <v>E</v>
      </c>
      <c r="D581" s="567" t="s">
        <v>2651</v>
      </c>
      <c r="E581" s="567" t="str">
        <f t="shared" si="62"/>
        <v>344</v>
      </c>
      <c r="F581" s="864" t="s">
        <v>1651</v>
      </c>
      <c r="G581" s="566" t="str">
        <f t="shared" si="64"/>
        <v>OTHER</v>
      </c>
      <c r="H581" s="567">
        <v>0.29022999999999999</v>
      </c>
      <c r="I581" s="567">
        <v>0.29022999999999999</v>
      </c>
      <c r="J581" s="567">
        <v>0.29022999999999999</v>
      </c>
      <c r="K581" s="567">
        <v>0.29022999999999999</v>
      </c>
      <c r="L581" s="567">
        <v>0.29022999999999999</v>
      </c>
      <c r="M581" s="567">
        <v>0.29022999999999999</v>
      </c>
      <c r="N581" s="567">
        <v>0.29022999999999999</v>
      </c>
      <c r="O581" s="567">
        <v>0.29022999999999999</v>
      </c>
      <c r="P581" s="567">
        <v>0.29022999999999999</v>
      </c>
      <c r="Q581" s="567">
        <v>0.29022999999999999</v>
      </c>
      <c r="R581" s="567">
        <v>0.29022999999999999</v>
      </c>
      <c r="S581" s="567">
        <v>0.29022999999999999</v>
      </c>
      <c r="T581" s="567">
        <v>0.29022999999999999</v>
      </c>
      <c r="U581" s="567">
        <f t="shared" si="66"/>
        <v>3.4827600000000007</v>
      </c>
      <c r="V581" s="567">
        <f t="shared" si="65"/>
        <v>0.2902300000000001</v>
      </c>
    </row>
    <row r="582" spans="1:22" x14ac:dyDescent="0.25">
      <c r="A582" s="567" t="str">
        <f t="shared" si="56"/>
        <v>KU</v>
      </c>
      <c r="B582" s="567" t="str">
        <f t="shared" si="58"/>
        <v>KY</v>
      </c>
      <c r="C582" s="567" t="str">
        <f t="shared" si="59"/>
        <v>E</v>
      </c>
      <c r="D582" s="567" t="s">
        <v>2651</v>
      </c>
      <c r="E582" s="567" t="str">
        <f t="shared" si="62"/>
        <v>345</v>
      </c>
      <c r="F582" s="864" t="s">
        <v>1654</v>
      </c>
      <c r="G582" s="566" t="str">
        <f t="shared" si="64"/>
        <v>OTHER</v>
      </c>
      <c r="H582" s="567">
        <v>0.23452000000000001</v>
      </c>
      <c r="I582" s="567">
        <v>0.23452000000000001</v>
      </c>
      <c r="J582" s="567">
        <v>0.23452000000000001</v>
      </c>
      <c r="K582" s="567">
        <v>0.23452000000000001</v>
      </c>
      <c r="L582" s="567">
        <v>0.23452000000000001</v>
      </c>
      <c r="M582" s="567">
        <v>0.23452000000000001</v>
      </c>
      <c r="N582" s="567">
        <v>0.23452000000000001</v>
      </c>
      <c r="O582" s="567">
        <v>0.23452000000000001</v>
      </c>
      <c r="P582" s="567">
        <v>0.23452000000000001</v>
      </c>
      <c r="Q582" s="567">
        <v>0.23452000000000001</v>
      </c>
      <c r="R582" s="567">
        <v>0.23452000000000001</v>
      </c>
      <c r="S582" s="567">
        <v>0.23452000000000001</v>
      </c>
      <c r="T582" s="567">
        <v>0.23452000000000001</v>
      </c>
      <c r="U582" s="567">
        <f t="shared" si="66"/>
        <v>2.8142399999999999</v>
      </c>
      <c r="V582" s="567">
        <f t="shared" si="65"/>
        <v>0.23451999999999998</v>
      </c>
    </row>
    <row r="583" spans="1:22" x14ac:dyDescent="0.25">
      <c r="A583" s="567" t="str">
        <f t="shared" si="56"/>
        <v>KU</v>
      </c>
      <c r="B583" s="567" t="str">
        <f t="shared" si="58"/>
        <v>KY</v>
      </c>
      <c r="C583" s="567" t="str">
        <f t="shared" si="59"/>
        <v>E</v>
      </c>
      <c r="D583" s="567" t="s">
        <v>2651</v>
      </c>
      <c r="E583" s="567" t="str">
        <f t="shared" si="62"/>
        <v>346</v>
      </c>
      <c r="F583" s="864" t="s">
        <v>1657</v>
      </c>
      <c r="G583" s="566" t="str">
        <f t="shared" si="64"/>
        <v>OTHER</v>
      </c>
      <c r="H583" s="567">
        <v>2.5000000000000001E-2</v>
      </c>
      <c r="I583" s="567">
        <v>2.5000000000000001E-2</v>
      </c>
      <c r="J583" s="567">
        <v>2.5000000000000001E-2</v>
      </c>
      <c r="K583" s="567">
        <v>2.5000000000000001E-2</v>
      </c>
      <c r="L583" s="567">
        <v>2.5000000000000001E-2</v>
      </c>
      <c r="M583" s="567">
        <v>2.5000000000000001E-2</v>
      </c>
      <c r="N583" s="567">
        <v>2.5000000000000001E-2</v>
      </c>
      <c r="O583" s="567">
        <v>2.5000000000000001E-2</v>
      </c>
      <c r="P583" s="567">
        <v>2.5000000000000001E-2</v>
      </c>
      <c r="Q583" s="567">
        <v>2.5000000000000001E-2</v>
      </c>
      <c r="R583" s="567">
        <v>2.5000000000000001E-2</v>
      </c>
      <c r="S583" s="567">
        <v>2.5000000000000001E-2</v>
      </c>
      <c r="T583" s="567">
        <v>2.5000000000000001E-2</v>
      </c>
      <c r="U583" s="567">
        <f t="shared" si="66"/>
        <v>0.3</v>
      </c>
      <c r="V583" s="567">
        <f t="shared" si="65"/>
        <v>2.5000000000000001E-2</v>
      </c>
    </row>
    <row r="584" spans="1:22" x14ac:dyDescent="0.25">
      <c r="A584" s="567" t="str">
        <f t="shared" si="56"/>
        <v>KU</v>
      </c>
      <c r="B584" s="567" t="str">
        <f t="shared" si="58"/>
        <v>KY</v>
      </c>
      <c r="C584" s="567" t="str">
        <f t="shared" si="59"/>
        <v>E</v>
      </c>
      <c r="D584" s="567" t="s">
        <v>2651</v>
      </c>
      <c r="E584" s="567" t="str">
        <f t="shared" si="62"/>
        <v>350</v>
      </c>
      <c r="F584" s="864" t="s">
        <v>1661</v>
      </c>
      <c r="G584" s="566" t="str">
        <f t="shared" si="64"/>
        <v>TRANSMISSION</v>
      </c>
      <c r="H584" s="567">
        <v>76.67</v>
      </c>
      <c r="I584" s="567">
        <v>76.67</v>
      </c>
      <c r="J584" s="567">
        <v>76.67</v>
      </c>
      <c r="K584" s="567">
        <v>76.67</v>
      </c>
      <c r="L584" s="567">
        <v>76.67</v>
      </c>
      <c r="M584" s="567">
        <v>76.67</v>
      </c>
      <c r="N584" s="567">
        <v>76.67</v>
      </c>
      <c r="O584" s="567">
        <v>76.67</v>
      </c>
      <c r="P584" s="567">
        <v>76.67</v>
      </c>
      <c r="Q584" s="567">
        <v>76.67</v>
      </c>
      <c r="R584" s="567">
        <v>76.67</v>
      </c>
      <c r="S584" s="567">
        <v>76.67</v>
      </c>
      <c r="T584" s="567">
        <v>76.67</v>
      </c>
      <c r="U584" s="567">
        <f t="shared" si="66"/>
        <v>920.03999999999985</v>
      </c>
      <c r="V584" s="567">
        <f t="shared" si="65"/>
        <v>76.669999999999987</v>
      </c>
    </row>
    <row r="585" spans="1:22" x14ac:dyDescent="0.25">
      <c r="A585" s="567" t="str">
        <f t="shared" si="56"/>
        <v>KU</v>
      </c>
      <c r="B585" s="567" t="str">
        <f t="shared" si="58"/>
        <v>KY</v>
      </c>
      <c r="C585" s="567" t="str">
        <f t="shared" si="59"/>
        <v>E</v>
      </c>
      <c r="D585" s="567" t="s">
        <v>2651</v>
      </c>
      <c r="E585" s="567" t="str">
        <f t="shared" si="62"/>
        <v>352</v>
      </c>
      <c r="F585" s="864" t="s">
        <v>1665</v>
      </c>
      <c r="G585" s="566" t="str">
        <f t="shared" si="64"/>
        <v>TRANSMISSION</v>
      </c>
      <c r="H585" s="567">
        <v>72.901480000000006</v>
      </c>
      <c r="I585" s="567">
        <v>72.901480000000006</v>
      </c>
      <c r="J585" s="567">
        <v>72.901480000000006</v>
      </c>
      <c r="K585" s="567">
        <v>72.901480000000006</v>
      </c>
      <c r="L585" s="567">
        <v>72.901480000000006</v>
      </c>
      <c r="M585" s="567">
        <v>72.901480000000006</v>
      </c>
      <c r="N585" s="567">
        <v>72.901480000000006</v>
      </c>
      <c r="O585" s="567">
        <v>72.901480000000006</v>
      </c>
      <c r="P585" s="567">
        <v>72.901480000000006</v>
      </c>
      <c r="Q585" s="567">
        <v>72.901480000000006</v>
      </c>
      <c r="R585" s="567">
        <v>72.901480000000006</v>
      </c>
      <c r="S585" s="567">
        <v>72.901480000000006</v>
      </c>
      <c r="T585" s="777">
        <v>72.901480000000006</v>
      </c>
      <c r="U585" s="567">
        <f t="shared" si="66"/>
        <v>874.81776000000002</v>
      </c>
      <c r="V585" s="567">
        <f t="shared" si="65"/>
        <v>72.901480000000006</v>
      </c>
    </row>
    <row r="586" spans="1:22" x14ac:dyDescent="0.25">
      <c r="A586" s="567" t="str">
        <f t="shared" si="56"/>
        <v>KU</v>
      </c>
      <c r="B586" s="567" t="str">
        <f t="shared" si="58"/>
        <v>KY</v>
      </c>
      <c r="C586" s="567" t="str">
        <f t="shared" si="59"/>
        <v>E</v>
      </c>
      <c r="D586" s="567" t="s">
        <v>2651</v>
      </c>
      <c r="E586" s="567" t="str">
        <f t="shared" si="62"/>
        <v>353</v>
      </c>
      <c r="F586" s="864" t="s">
        <v>1667</v>
      </c>
      <c r="G586" s="566" t="str">
        <f t="shared" si="64"/>
        <v>TRANSMISSION</v>
      </c>
      <c r="H586" s="567">
        <v>539.84231</v>
      </c>
      <c r="I586" s="567">
        <v>539.84231</v>
      </c>
      <c r="J586" s="567">
        <v>539.84231</v>
      </c>
      <c r="K586" s="567">
        <v>539.84231</v>
      </c>
      <c r="L586" s="567">
        <v>539.84231</v>
      </c>
      <c r="M586" s="567">
        <v>539.84231</v>
      </c>
      <c r="N586" s="567">
        <v>539.84231</v>
      </c>
      <c r="O586" s="567">
        <v>539.84231</v>
      </c>
      <c r="P586" s="567">
        <v>539.84231</v>
      </c>
      <c r="Q586" s="567">
        <v>539.84231</v>
      </c>
      <c r="R586" s="567">
        <v>539.84231</v>
      </c>
      <c r="S586" s="567">
        <v>539.84231</v>
      </c>
      <c r="T586" s="567">
        <v>539.84231</v>
      </c>
      <c r="U586" s="567">
        <f t="shared" si="66"/>
        <v>6478.10772</v>
      </c>
      <c r="V586" s="567">
        <f t="shared" si="65"/>
        <v>539.84231</v>
      </c>
    </row>
    <row r="587" spans="1:22" x14ac:dyDescent="0.25">
      <c r="A587" s="567" t="str">
        <f t="shared" si="56"/>
        <v>KU</v>
      </c>
      <c r="B587" s="567" t="str">
        <f t="shared" si="58"/>
        <v>VA</v>
      </c>
      <c r="C587" s="567" t="str">
        <f t="shared" si="59"/>
        <v>E</v>
      </c>
      <c r="D587" s="567" t="s">
        <v>2651</v>
      </c>
      <c r="E587" s="567" t="str">
        <f t="shared" si="62"/>
        <v>353</v>
      </c>
      <c r="F587" s="864" t="s">
        <v>1669</v>
      </c>
      <c r="G587" s="566" t="str">
        <f t="shared" si="64"/>
        <v>TRANSMISSION</v>
      </c>
      <c r="H587" s="567">
        <v>2E-3</v>
      </c>
      <c r="I587" s="567">
        <v>2E-3</v>
      </c>
      <c r="J587" s="567">
        <v>2E-3</v>
      </c>
      <c r="K587" s="567">
        <v>2E-3</v>
      </c>
      <c r="L587" s="567">
        <v>2E-3</v>
      </c>
      <c r="M587" s="567">
        <v>2E-3</v>
      </c>
      <c r="N587" s="567">
        <v>2E-3</v>
      </c>
      <c r="O587" s="567">
        <v>2E-3</v>
      </c>
      <c r="P587" s="567">
        <v>2E-3</v>
      </c>
      <c r="Q587" s="567">
        <v>2E-3</v>
      </c>
      <c r="R587" s="567">
        <v>2E-3</v>
      </c>
      <c r="S587" s="567">
        <v>2E-3</v>
      </c>
      <c r="T587" s="567">
        <v>2E-3</v>
      </c>
      <c r="U587" s="567">
        <f t="shared" si="66"/>
        <v>2.4000000000000007E-2</v>
      </c>
      <c r="V587" s="567">
        <f t="shared" si="65"/>
        <v>2.0000000000000009E-3</v>
      </c>
    </row>
    <row r="588" spans="1:22" x14ac:dyDescent="0.25">
      <c r="A588" s="567" t="str">
        <f t="shared" si="56"/>
        <v>KU</v>
      </c>
      <c r="B588" s="567" t="str">
        <f t="shared" si="58"/>
        <v>KY</v>
      </c>
      <c r="C588" s="567" t="str">
        <f t="shared" si="59"/>
        <v>E</v>
      </c>
      <c r="D588" s="567" t="s">
        <v>2651</v>
      </c>
      <c r="E588" s="567" t="str">
        <f t="shared" si="62"/>
        <v>354</v>
      </c>
      <c r="F588" s="864" t="s">
        <v>1670</v>
      </c>
      <c r="G588" s="566" t="str">
        <f t="shared" si="64"/>
        <v>TRANSMISSION</v>
      </c>
      <c r="H588" s="567">
        <v>842.03867000000002</v>
      </c>
      <c r="I588" s="567">
        <v>842.03867000000002</v>
      </c>
      <c r="J588" s="567">
        <v>842.03867000000002</v>
      </c>
      <c r="K588" s="567">
        <v>842.03867000000002</v>
      </c>
      <c r="L588" s="567">
        <v>842.03867000000002</v>
      </c>
      <c r="M588" s="567">
        <v>842.03867000000002</v>
      </c>
      <c r="N588" s="567">
        <v>842.03867000000002</v>
      </c>
      <c r="O588" s="567">
        <v>842.03867000000002</v>
      </c>
      <c r="P588" s="567">
        <v>842.03867000000002</v>
      </c>
      <c r="Q588" s="567">
        <v>842.03867000000002</v>
      </c>
      <c r="R588" s="567">
        <v>842.03867000000002</v>
      </c>
      <c r="S588" s="567">
        <v>842.03867000000002</v>
      </c>
      <c r="T588" s="567">
        <v>842.03867000000002</v>
      </c>
      <c r="U588" s="567">
        <f t="shared" si="66"/>
        <v>10104.464040000001</v>
      </c>
      <c r="V588" s="567">
        <f t="shared" si="65"/>
        <v>842.03867000000002</v>
      </c>
    </row>
    <row r="589" spans="1:22" x14ac:dyDescent="0.25">
      <c r="A589" s="567" t="str">
        <f t="shared" si="56"/>
        <v>KU</v>
      </c>
      <c r="B589" s="567" t="str">
        <f t="shared" si="58"/>
        <v>KY</v>
      </c>
      <c r="C589" s="567" t="str">
        <f t="shared" si="59"/>
        <v>E</v>
      </c>
      <c r="D589" s="567" t="s">
        <v>2651</v>
      </c>
      <c r="E589" s="567" t="str">
        <f t="shared" si="62"/>
        <v>355</v>
      </c>
      <c r="F589" s="864" t="s">
        <v>1672</v>
      </c>
      <c r="G589" s="566" t="str">
        <f t="shared" si="64"/>
        <v>TRANSMISSION</v>
      </c>
      <c r="H589" s="567">
        <v>229.75781000000001</v>
      </c>
      <c r="I589" s="567">
        <v>229.75781000000001</v>
      </c>
      <c r="J589" s="567">
        <v>229.75781000000001</v>
      </c>
      <c r="K589" s="567">
        <v>229.75781000000001</v>
      </c>
      <c r="L589" s="567">
        <v>229.75781000000001</v>
      </c>
      <c r="M589" s="567">
        <v>229.75781000000001</v>
      </c>
      <c r="N589" s="567">
        <v>229.75781000000001</v>
      </c>
      <c r="O589" s="567">
        <v>229.75781000000001</v>
      </c>
      <c r="P589" s="567">
        <v>229.75781000000001</v>
      </c>
      <c r="Q589" s="567">
        <v>229.75781000000001</v>
      </c>
      <c r="R589" s="567">
        <v>229.75781000000001</v>
      </c>
      <c r="S589" s="567">
        <v>229.75781000000001</v>
      </c>
      <c r="T589" s="567">
        <v>229.75781000000001</v>
      </c>
      <c r="U589" s="567">
        <f t="shared" si="66"/>
        <v>2757.0937200000003</v>
      </c>
      <c r="V589" s="567">
        <f t="shared" si="65"/>
        <v>229.75781000000003</v>
      </c>
    </row>
    <row r="590" spans="1:22" x14ac:dyDescent="0.25">
      <c r="A590" s="567" t="str">
        <f t="shared" si="56"/>
        <v>KU</v>
      </c>
      <c r="B590" s="567" t="str">
        <f t="shared" si="58"/>
        <v>KY</v>
      </c>
      <c r="C590" s="567" t="str">
        <f t="shared" si="59"/>
        <v>E</v>
      </c>
      <c r="D590" s="567" t="s">
        <v>2651</v>
      </c>
      <c r="E590" s="567" t="str">
        <f t="shared" si="62"/>
        <v>356</v>
      </c>
      <c r="F590" s="864" t="s">
        <v>1675</v>
      </c>
      <c r="G590" s="566" t="str">
        <f t="shared" si="64"/>
        <v>TRANSMISSION</v>
      </c>
      <c r="H590" s="567">
        <v>1047.1483900000001</v>
      </c>
      <c r="I590" s="567">
        <v>1047.1483900000001</v>
      </c>
      <c r="J590" s="567">
        <v>1047.1483900000001</v>
      </c>
      <c r="K590" s="567">
        <v>1047.1483900000001</v>
      </c>
      <c r="L590" s="567">
        <v>1047.1483900000001</v>
      </c>
      <c r="M590" s="567">
        <v>1047.1483900000001</v>
      </c>
      <c r="N590" s="567">
        <v>1047.1483900000001</v>
      </c>
      <c r="O590" s="567">
        <v>1047.1483900000001</v>
      </c>
      <c r="P590" s="567">
        <v>1047.1483900000001</v>
      </c>
      <c r="Q590" s="567">
        <v>1047.1483900000001</v>
      </c>
      <c r="R590" s="567">
        <v>1047.1483900000001</v>
      </c>
      <c r="S590" s="567">
        <v>1047.1483900000001</v>
      </c>
      <c r="T590" s="567">
        <v>1047.1483900000001</v>
      </c>
      <c r="U590" s="567">
        <f t="shared" si="66"/>
        <v>12565.780680000002</v>
      </c>
      <c r="V590" s="567">
        <f t="shared" si="65"/>
        <v>1047.1483900000001</v>
      </c>
    </row>
    <row r="591" spans="1:22" x14ac:dyDescent="0.25">
      <c r="A591" s="567" t="str">
        <f t="shared" si="56"/>
        <v>KU</v>
      </c>
      <c r="B591" s="567" t="str">
        <f t="shared" si="58"/>
        <v>KY</v>
      </c>
      <c r="C591" s="567" t="str">
        <f t="shared" si="59"/>
        <v>E</v>
      </c>
      <c r="D591" s="567" t="s">
        <v>2651</v>
      </c>
      <c r="E591" s="567" t="str">
        <f t="shared" si="62"/>
        <v>357</v>
      </c>
      <c r="F591" s="864" t="s">
        <v>1678</v>
      </c>
      <c r="G591" s="566" t="str">
        <f t="shared" si="64"/>
        <v>TRANSMISSION</v>
      </c>
      <c r="H591" s="567">
        <v>0.27500000000000002</v>
      </c>
      <c r="I591" s="567">
        <v>0.27500000000000002</v>
      </c>
      <c r="J591" s="567">
        <v>0.27500000000000002</v>
      </c>
      <c r="K591" s="567">
        <v>0.27500000000000002</v>
      </c>
      <c r="L591" s="567">
        <v>0.27500000000000002</v>
      </c>
      <c r="M591" s="567">
        <v>0.27500000000000002</v>
      </c>
      <c r="N591" s="567">
        <v>0.27500000000000002</v>
      </c>
      <c r="O591" s="567">
        <v>0.27500000000000002</v>
      </c>
      <c r="P591" s="567">
        <v>0.27500000000000002</v>
      </c>
      <c r="Q591" s="567">
        <v>0.27500000000000002</v>
      </c>
      <c r="R591" s="567">
        <v>0.27500000000000002</v>
      </c>
      <c r="S591" s="567">
        <v>0.27500000000000002</v>
      </c>
      <c r="T591" s="567">
        <v>0.27500000000000002</v>
      </c>
      <c r="U591" s="567">
        <f t="shared" si="66"/>
        <v>3.2999999999999994</v>
      </c>
      <c r="V591" s="567">
        <f t="shared" si="65"/>
        <v>0.27499999999999997</v>
      </c>
    </row>
    <row r="592" spans="1:22" x14ac:dyDescent="0.25">
      <c r="A592" s="567" t="str">
        <f t="shared" si="56"/>
        <v>KU</v>
      </c>
      <c r="B592" s="567" t="str">
        <f t="shared" si="58"/>
        <v>KY</v>
      </c>
      <c r="C592" s="567" t="str">
        <f t="shared" si="59"/>
        <v>E</v>
      </c>
      <c r="D592" s="567" t="s">
        <v>2651</v>
      </c>
      <c r="E592" s="567" t="str">
        <f t="shared" si="62"/>
        <v>358</v>
      </c>
      <c r="F592" s="864" t="s">
        <v>1679</v>
      </c>
      <c r="G592" s="566" t="str">
        <f t="shared" si="64"/>
        <v>TRANSMISSION</v>
      </c>
      <c r="H592" s="567">
        <v>2.2109999999999999</v>
      </c>
      <c r="I592" s="567">
        <v>2.2109999999999999</v>
      </c>
      <c r="J592" s="567">
        <v>2.2109999999999999</v>
      </c>
      <c r="K592" s="567">
        <v>2.2109999999999999</v>
      </c>
      <c r="L592" s="567">
        <v>2.2109999999999999</v>
      </c>
      <c r="M592" s="567">
        <v>2.2109999999999999</v>
      </c>
      <c r="N592" s="567">
        <v>2.2109999999999999</v>
      </c>
      <c r="O592" s="567">
        <v>2.2109999999999999</v>
      </c>
      <c r="P592" s="567">
        <v>2.2109999999999999</v>
      </c>
      <c r="Q592" s="567">
        <v>2.2109999999999999</v>
      </c>
      <c r="R592" s="567">
        <v>2.2109999999999999</v>
      </c>
      <c r="S592" s="567">
        <v>2.2109999999999999</v>
      </c>
      <c r="T592" s="567">
        <v>2.2109999999999999</v>
      </c>
      <c r="U592" s="567">
        <f t="shared" si="66"/>
        <v>26.531999999999993</v>
      </c>
      <c r="V592" s="567">
        <f t="shared" si="65"/>
        <v>2.2109999999999994</v>
      </c>
    </row>
    <row r="593" spans="1:22" x14ac:dyDescent="0.25">
      <c r="A593" s="567" t="str">
        <f t="shared" si="56"/>
        <v>KY</v>
      </c>
      <c r="B593" s="567" t="str">
        <f t="shared" si="58"/>
        <v xml:space="preserve"> A</v>
      </c>
      <c r="C593" s="567" t="str">
        <f t="shared" si="59"/>
        <v/>
      </c>
      <c r="E593" s="567" t="str">
        <f t="shared" si="62"/>
        <v>lan</v>
      </c>
      <c r="F593" s="865" t="s">
        <v>1740</v>
      </c>
      <c r="G593" s="566" t="str">
        <f t="shared" si="64"/>
        <v/>
      </c>
      <c r="H593" s="567">
        <v>19596.272950000002</v>
      </c>
      <c r="I593" s="567">
        <v>19596.272950000002</v>
      </c>
      <c r="J593" s="567">
        <v>19596.272950000002</v>
      </c>
      <c r="K593" s="567">
        <v>19596.272950000002</v>
      </c>
      <c r="L593" s="567">
        <v>19596.272950000002</v>
      </c>
      <c r="M593" s="567">
        <v>19596.272950000002</v>
      </c>
      <c r="N593" s="567">
        <v>19596.272950000002</v>
      </c>
      <c r="O593" s="567">
        <v>19596.272950000002</v>
      </c>
      <c r="P593" s="567">
        <v>19596.272950000002</v>
      </c>
      <c r="Q593" s="567">
        <v>19596.272950000002</v>
      </c>
      <c r="R593" s="567">
        <v>19596.272950000002</v>
      </c>
      <c r="S593" s="567">
        <v>19596.272950000002</v>
      </c>
      <c r="T593" s="567">
        <v>19596.272950000002</v>
      </c>
      <c r="U593" s="567">
        <f t="shared" si="66"/>
        <v>235155.27540000007</v>
      </c>
      <c r="V593" s="567">
        <f t="shared" si="65"/>
        <v>19596.272950000006</v>
      </c>
    </row>
    <row r="594" spans="1:22" x14ac:dyDescent="0.25">
      <c r="A594" s="567" t="str">
        <f t="shared" si="56"/>
        <v/>
      </c>
      <c r="B594" s="567" t="str">
        <f t="shared" si="58"/>
        <v/>
      </c>
      <c r="C594" s="567" t="str">
        <f t="shared" si="59"/>
        <v/>
      </c>
      <c r="E594" s="567" t="str">
        <f t="shared" si="62"/>
        <v/>
      </c>
      <c r="G594" s="566" t="str">
        <f t="shared" si="64"/>
        <v/>
      </c>
      <c r="H594" s="567">
        <v>0</v>
      </c>
      <c r="I594" s="567">
        <v>0</v>
      </c>
      <c r="J594" s="567">
        <v>0</v>
      </c>
      <c r="K594" s="567">
        <v>0</v>
      </c>
      <c r="L594" s="567">
        <v>0</v>
      </c>
      <c r="M594" s="567">
        <v>0</v>
      </c>
      <c r="N594" s="567">
        <v>0</v>
      </c>
      <c r="O594" s="567">
        <v>0</v>
      </c>
      <c r="P594" s="567">
        <v>0</v>
      </c>
      <c r="Q594" s="567">
        <v>0</v>
      </c>
      <c r="R594" s="567">
        <v>0</v>
      </c>
      <c r="S594" s="567">
        <v>0</v>
      </c>
      <c r="T594" s="567">
        <v>0</v>
      </c>
      <c r="U594" s="567">
        <f t="shared" si="66"/>
        <v>0</v>
      </c>
      <c r="V594" s="567">
        <f t="shared" si="65"/>
        <v>0</v>
      </c>
    </row>
    <row r="595" spans="1:22" x14ac:dyDescent="0.25">
      <c r="A595" s="567" t="str">
        <f t="shared" si="56"/>
        <v>ss</v>
      </c>
      <c r="B595" s="567" t="str">
        <f t="shared" si="58"/>
        <v xml:space="preserve"> F</v>
      </c>
      <c r="C595" s="567" t="str">
        <f t="shared" si="59"/>
        <v/>
      </c>
      <c r="E595" s="567" t="str">
        <f t="shared" si="62"/>
        <v>lan</v>
      </c>
      <c r="F595" s="862" t="s">
        <v>1746</v>
      </c>
      <c r="G595" s="566" t="str">
        <f t="shared" si="64"/>
        <v/>
      </c>
      <c r="U595" s="567">
        <f t="shared" si="66"/>
        <v>0</v>
      </c>
      <c r="V595" s="567">
        <f t="shared" si="65"/>
        <v>0</v>
      </c>
    </row>
    <row r="596" spans="1:22" x14ac:dyDescent="0.25">
      <c r="A596" s="567" t="str">
        <f t="shared" si="56"/>
        <v>KU</v>
      </c>
      <c r="B596" s="567" t="str">
        <f t="shared" si="58"/>
        <v>KY</v>
      </c>
      <c r="C596" s="567" t="str">
        <f t="shared" si="59"/>
        <v>E</v>
      </c>
      <c r="D596" s="567" t="s">
        <v>2652</v>
      </c>
      <c r="E596" s="567" t="str">
        <f t="shared" si="62"/>
        <v>311</v>
      </c>
      <c r="F596" s="864" t="s">
        <v>1619</v>
      </c>
      <c r="G596" s="566" t="str">
        <f t="shared" si="64"/>
        <v>STEAM</v>
      </c>
      <c r="H596" s="567">
        <v>39.993479999999998</v>
      </c>
      <c r="I596" s="567">
        <v>39.993479999999998</v>
      </c>
      <c r="J596" s="567">
        <v>39.993479999999998</v>
      </c>
      <c r="K596" s="567">
        <v>39.993479999999998</v>
      </c>
      <c r="L596" s="567">
        <v>39.993479999999998</v>
      </c>
      <c r="M596" s="567">
        <v>39.993479999999998</v>
      </c>
      <c r="N596" s="567">
        <v>39.993479999999998</v>
      </c>
      <c r="O596" s="567">
        <v>39.993479999999998</v>
      </c>
      <c r="P596" s="567">
        <v>39.993479999999998</v>
      </c>
      <c r="Q596" s="567">
        <v>39.993479999999998</v>
      </c>
      <c r="R596" s="567">
        <v>39.993479999999998</v>
      </c>
      <c r="S596" s="567">
        <v>39.993479999999998</v>
      </c>
      <c r="T596" s="567">
        <v>39.993479999999998</v>
      </c>
      <c r="U596" s="567">
        <f t="shared" ref="U596:U598" si="67">SUM(I596:T596)</f>
        <v>479.92175999999989</v>
      </c>
      <c r="V596" s="567">
        <f t="shared" si="65"/>
        <v>39.993479999999991</v>
      </c>
    </row>
    <row r="597" spans="1:22" x14ac:dyDescent="0.25">
      <c r="A597" s="567" t="str">
        <f t="shared" si="56"/>
        <v>KU</v>
      </c>
      <c r="B597" s="567" t="str">
        <f t="shared" si="58"/>
        <v>KY</v>
      </c>
      <c r="C597" s="567" t="str">
        <f t="shared" si="59"/>
        <v>E</v>
      </c>
      <c r="D597" s="567" t="s">
        <v>2652</v>
      </c>
      <c r="E597" s="567" t="str">
        <f t="shared" si="62"/>
        <v>311</v>
      </c>
      <c r="F597" s="864" t="s">
        <v>1620</v>
      </c>
      <c r="G597" s="566" t="str">
        <f t="shared" si="64"/>
        <v>STEAM</v>
      </c>
      <c r="H597" s="567">
        <v>1668.10751</v>
      </c>
      <c r="I597" s="567">
        <v>1668.10751</v>
      </c>
      <c r="J597" s="567">
        <v>1668.10751</v>
      </c>
      <c r="K597" s="567">
        <v>1668.10751</v>
      </c>
      <c r="L597" s="567">
        <v>1668.10751</v>
      </c>
      <c r="M597" s="567">
        <v>1668.10751</v>
      </c>
      <c r="N597" s="567">
        <v>1668.10751</v>
      </c>
      <c r="O597" s="567">
        <v>1668.10751</v>
      </c>
      <c r="P597" s="567">
        <v>1668.10751</v>
      </c>
      <c r="Q597" s="567">
        <v>1668.10751</v>
      </c>
      <c r="R597" s="567">
        <v>1668.10751</v>
      </c>
      <c r="S597" s="567">
        <v>1668.10751</v>
      </c>
      <c r="T597" s="567">
        <v>1668.10751</v>
      </c>
      <c r="U597" s="567">
        <f t="shared" si="67"/>
        <v>20017.290120000005</v>
      </c>
      <c r="V597" s="567">
        <f t="shared" si="65"/>
        <v>1668.1075100000005</v>
      </c>
    </row>
    <row r="598" spans="1:22" x14ac:dyDescent="0.25">
      <c r="A598" s="567" t="str">
        <f t="shared" si="56"/>
        <v>KU</v>
      </c>
      <c r="B598" s="567" t="str">
        <f t="shared" si="58"/>
        <v>KY</v>
      </c>
      <c r="C598" s="567" t="str">
        <f t="shared" si="59"/>
        <v>E</v>
      </c>
      <c r="D598" s="567" t="s">
        <v>2652</v>
      </c>
      <c r="E598" s="567" t="str">
        <f t="shared" si="62"/>
        <v>312</v>
      </c>
      <c r="F598" s="864" t="s">
        <v>1621</v>
      </c>
      <c r="G598" s="566" t="str">
        <f t="shared" si="64"/>
        <v>STEAM</v>
      </c>
      <c r="H598" s="567">
        <v>17814.356110000001</v>
      </c>
      <c r="I598" s="567">
        <v>17814.356110000001</v>
      </c>
      <c r="J598" s="567">
        <v>17814.356110000001</v>
      </c>
      <c r="K598" s="567">
        <v>17814.356110000001</v>
      </c>
      <c r="L598" s="567">
        <v>17814.356110000001</v>
      </c>
      <c r="M598" s="567">
        <v>17814.356110000001</v>
      </c>
      <c r="N598" s="567">
        <v>17814.356110000001</v>
      </c>
      <c r="O598" s="567">
        <v>17814.356110000001</v>
      </c>
      <c r="P598" s="567">
        <v>17814.356110000001</v>
      </c>
      <c r="Q598" s="567">
        <v>17814.356110000001</v>
      </c>
      <c r="R598" s="567">
        <v>17814.356110000001</v>
      </c>
      <c r="S598" s="567">
        <v>17814.356110000001</v>
      </c>
      <c r="T598" s="567">
        <v>17814.356110000001</v>
      </c>
      <c r="U598" s="567">
        <f t="shared" si="67"/>
        <v>213772.27331999995</v>
      </c>
      <c r="V598" s="567">
        <f t="shared" si="65"/>
        <v>17814.356109999997</v>
      </c>
    </row>
    <row r="599" spans="1:22" x14ac:dyDescent="0.25">
      <c r="A599" s="567" t="str">
        <f t="shared" si="56"/>
        <v>KU</v>
      </c>
      <c r="B599" s="567" t="str">
        <f t="shared" si="58"/>
        <v>KY</v>
      </c>
      <c r="C599" s="567" t="str">
        <f t="shared" si="59"/>
        <v>E</v>
      </c>
      <c r="D599" s="567" t="s">
        <v>2652</v>
      </c>
      <c r="E599" s="567" t="str">
        <f t="shared" si="62"/>
        <v>312</v>
      </c>
      <c r="F599" s="864" t="s">
        <v>1622</v>
      </c>
      <c r="G599" s="566" t="str">
        <f t="shared" si="64"/>
        <v>STEAM</v>
      </c>
      <c r="H599" s="567">
        <v>54.588720000000002</v>
      </c>
      <c r="I599" s="567">
        <v>54.588720000000002</v>
      </c>
      <c r="J599" s="567">
        <v>54.588720000000002</v>
      </c>
      <c r="K599" s="567">
        <v>54.588720000000002</v>
      </c>
      <c r="L599" s="567">
        <v>54.588720000000002</v>
      </c>
      <c r="M599" s="567">
        <v>54.588720000000002</v>
      </c>
      <c r="N599" s="567">
        <v>54.588720000000002</v>
      </c>
      <c r="O599" s="567">
        <v>54.588720000000002</v>
      </c>
      <c r="P599" s="567">
        <v>54.588720000000002</v>
      </c>
      <c r="Q599" s="567">
        <v>54.588720000000002</v>
      </c>
      <c r="R599" s="567">
        <v>54.588720000000002</v>
      </c>
      <c r="S599" s="567">
        <v>54.588720000000002</v>
      </c>
      <c r="T599" s="567">
        <v>54.588720000000002</v>
      </c>
      <c r="U599" s="567">
        <f t="shared" ref="U599:U662" si="68">SUM(I599:T599)</f>
        <v>655.06464000000005</v>
      </c>
      <c r="V599" s="567">
        <f t="shared" si="65"/>
        <v>54.588720000000002</v>
      </c>
    </row>
    <row r="600" spans="1:22" x14ac:dyDescent="0.25">
      <c r="A600" s="567" t="str">
        <f t="shared" si="56"/>
        <v>KU</v>
      </c>
      <c r="B600" s="567" t="str">
        <f t="shared" si="58"/>
        <v>KY</v>
      </c>
      <c r="C600" s="567" t="str">
        <f t="shared" si="59"/>
        <v>E</v>
      </c>
      <c r="D600" s="567" t="s">
        <v>2652</v>
      </c>
      <c r="E600" s="567" t="str">
        <f t="shared" si="62"/>
        <v>312</v>
      </c>
      <c r="F600" s="864" t="s">
        <v>1623</v>
      </c>
      <c r="G600" s="566" t="str">
        <f t="shared" si="64"/>
        <v>STEAM</v>
      </c>
      <c r="H600" s="567">
        <v>2589.31324</v>
      </c>
      <c r="I600" s="567">
        <v>2589.31324</v>
      </c>
      <c r="J600" s="567">
        <v>2589.31324</v>
      </c>
      <c r="K600" s="567">
        <v>2589.31324</v>
      </c>
      <c r="L600" s="567">
        <v>2589.31324</v>
      </c>
      <c r="M600" s="567">
        <v>2589.31324</v>
      </c>
      <c r="N600" s="567">
        <v>2589.31324</v>
      </c>
      <c r="O600" s="567">
        <v>2589.31324</v>
      </c>
      <c r="P600" s="567">
        <v>2589.31324</v>
      </c>
      <c r="Q600" s="567">
        <v>2589.31324</v>
      </c>
      <c r="R600" s="567">
        <v>2589.31324</v>
      </c>
      <c r="S600" s="567">
        <v>2589.31324</v>
      </c>
      <c r="T600" s="567">
        <v>2589.31324</v>
      </c>
      <c r="U600" s="567">
        <f t="shared" si="68"/>
        <v>31071.758879999998</v>
      </c>
      <c r="V600" s="567">
        <f t="shared" si="65"/>
        <v>2589.31324</v>
      </c>
    </row>
    <row r="601" spans="1:22" x14ac:dyDescent="0.25">
      <c r="A601" s="567" t="str">
        <f t="shared" ref="A601:A664" si="69">MID($F601,4,2)</f>
        <v>KU</v>
      </c>
      <c r="B601" s="567" t="str">
        <f t="shared" si="58"/>
        <v>KY</v>
      </c>
      <c r="C601" s="567" t="str">
        <f t="shared" si="59"/>
        <v>E</v>
      </c>
      <c r="D601" s="567" t="s">
        <v>2652</v>
      </c>
      <c r="E601" s="567" t="str">
        <f t="shared" si="62"/>
        <v>314</v>
      </c>
      <c r="F601" s="864" t="s">
        <v>1625</v>
      </c>
      <c r="G601" s="566" t="str">
        <f t="shared" si="64"/>
        <v>STEAM</v>
      </c>
      <c r="H601" s="567">
        <v>1245.2610999999999</v>
      </c>
      <c r="I601" s="567">
        <v>1245.2610999999999</v>
      </c>
      <c r="J601" s="567">
        <v>1245.2610999999999</v>
      </c>
      <c r="K601" s="567">
        <v>1245.2610999999999</v>
      </c>
      <c r="L601" s="567">
        <v>1245.2610999999999</v>
      </c>
      <c r="M601" s="567">
        <v>1245.2610999999999</v>
      </c>
      <c r="N601" s="567">
        <v>1245.2610999999999</v>
      </c>
      <c r="O601" s="567">
        <v>1245.2610999999999</v>
      </c>
      <c r="P601" s="567">
        <v>1245.2610999999999</v>
      </c>
      <c r="Q601" s="567">
        <v>1245.2610999999999</v>
      </c>
      <c r="R601" s="567">
        <v>1245.2610999999999</v>
      </c>
      <c r="S601" s="567">
        <v>1245.2610999999999</v>
      </c>
      <c r="T601" s="567">
        <v>1245.2610999999999</v>
      </c>
      <c r="U601" s="567">
        <f t="shared" si="68"/>
        <v>14943.133199999998</v>
      </c>
      <c r="V601" s="567">
        <f t="shared" si="65"/>
        <v>1245.2610999999999</v>
      </c>
    </row>
    <row r="602" spans="1:22" x14ac:dyDescent="0.25">
      <c r="A602" s="567" t="str">
        <f t="shared" si="69"/>
        <v>KU</v>
      </c>
      <c r="B602" s="567" t="str">
        <f t="shared" si="58"/>
        <v>KY</v>
      </c>
      <c r="C602" s="567" t="str">
        <f t="shared" si="59"/>
        <v>E</v>
      </c>
      <c r="D602" s="567" t="s">
        <v>2652</v>
      </c>
      <c r="E602" s="567" t="str">
        <f t="shared" si="62"/>
        <v>315</v>
      </c>
      <c r="F602" s="864" t="s">
        <v>1626</v>
      </c>
      <c r="G602" s="566" t="str">
        <f t="shared" si="64"/>
        <v>STEAM</v>
      </c>
      <c r="H602" s="567">
        <v>1021.18362</v>
      </c>
      <c r="I602" s="567">
        <v>1021.18362</v>
      </c>
      <c r="J602" s="567">
        <v>1021.18362</v>
      </c>
      <c r="K602" s="567">
        <v>1021.18362</v>
      </c>
      <c r="L602" s="567">
        <v>1021.18362</v>
      </c>
      <c r="M602" s="567">
        <v>1021.18362</v>
      </c>
      <c r="N602" s="567">
        <v>1021.18362</v>
      </c>
      <c r="O602" s="567">
        <v>1021.18362</v>
      </c>
      <c r="P602" s="567">
        <v>1021.18362</v>
      </c>
      <c r="Q602" s="567">
        <v>1021.18362</v>
      </c>
      <c r="R602" s="567">
        <v>1021.18362</v>
      </c>
      <c r="S602" s="567">
        <v>1021.18362</v>
      </c>
      <c r="T602" s="567">
        <v>1021.18362</v>
      </c>
      <c r="U602" s="567">
        <f t="shared" si="68"/>
        <v>12254.203439999999</v>
      </c>
      <c r="V602" s="567">
        <f t="shared" si="65"/>
        <v>1021.1836199999999</v>
      </c>
    </row>
    <row r="603" spans="1:22" x14ac:dyDescent="0.25">
      <c r="A603" s="567" t="str">
        <f t="shared" si="69"/>
        <v>KU</v>
      </c>
      <c r="B603" s="567" t="str">
        <f t="shared" si="58"/>
        <v>KY</v>
      </c>
      <c r="C603" s="567" t="str">
        <f t="shared" si="59"/>
        <v>E</v>
      </c>
      <c r="D603" s="567" t="s">
        <v>2652</v>
      </c>
      <c r="E603" s="567" t="str">
        <f t="shared" si="62"/>
        <v>315</v>
      </c>
      <c r="F603" s="864" t="s">
        <v>1628</v>
      </c>
      <c r="G603" s="566" t="str">
        <f t="shared" si="64"/>
        <v>STEAM</v>
      </c>
      <c r="H603" s="567">
        <v>64.003950000000003</v>
      </c>
      <c r="I603" s="567">
        <v>64.003950000000003</v>
      </c>
      <c r="J603" s="567">
        <v>64.003950000000003</v>
      </c>
      <c r="K603" s="567">
        <v>64.003950000000003</v>
      </c>
      <c r="L603" s="567">
        <v>64.003950000000003</v>
      </c>
      <c r="M603" s="567">
        <v>64.003950000000003</v>
      </c>
      <c r="N603" s="567">
        <v>64.003950000000003</v>
      </c>
      <c r="O603" s="567">
        <v>64.003950000000003</v>
      </c>
      <c r="P603" s="567">
        <v>64.003950000000003</v>
      </c>
      <c r="Q603" s="567">
        <v>64.003950000000003</v>
      </c>
      <c r="R603" s="567">
        <v>64.003950000000003</v>
      </c>
      <c r="S603" s="567">
        <v>64.003950000000003</v>
      </c>
      <c r="T603" s="567">
        <v>64.003950000000003</v>
      </c>
      <c r="U603" s="567">
        <f t="shared" si="68"/>
        <v>768.04740000000027</v>
      </c>
      <c r="V603" s="567">
        <f t="shared" si="65"/>
        <v>64.003950000000017</v>
      </c>
    </row>
    <row r="604" spans="1:22" x14ac:dyDescent="0.25">
      <c r="A604" s="567" t="str">
        <f t="shared" si="69"/>
        <v>KU</v>
      </c>
      <c r="B604" s="567" t="str">
        <f t="shared" si="58"/>
        <v>KY</v>
      </c>
      <c r="C604" s="567" t="str">
        <f t="shared" si="59"/>
        <v>E</v>
      </c>
      <c r="D604" s="567" t="s">
        <v>2652</v>
      </c>
      <c r="E604" s="567" t="str">
        <f t="shared" si="62"/>
        <v>316</v>
      </c>
      <c r="F604" s="864" t="s">
        <v>1630</v>
      </c>
      <c r="G604" s="566" t="str">
        <f t="shared" si="64"/>
        <v>STEAM</v>
      </c>
      <c r="H604" s="567">
        <v>83.497619999999998</v>
      </c>
      <c r="I604" s="567">
        <v>83.497619999999998</v>
      </c>
      <c r="J604" s="567">
        <v>83.497619999999998</v>
      </c>
      <c r="K604" s="567">
        <v>83.497619999999998</v>
      </c>
      <c r="L604" s="567">
        <v>83.497619999999998</v>
      </c>
      <c r="M604" s="567">
        <v>83.497619999999998</v>
      </c>
      <c r="N604" s="567">
        <v>83.497619999999998</v>
      </c>
      <c r="O604" s="567">
        <v>83.497619999999998</v>
      </c>
      <c r="P604" s="567">
        <v>83.497619999999998</v>
      </c>
      <c r="Q604" s="567">
        <v>83.497619999999998</v>
      </c>
      <c r="R604" s="567">
        <v>83.497619999999998</v>
      </c>
      <c r="S604" s="567">
        <v>83.497619999999998</v>
      </c>
      <c r="T604" s="567">
        <v>83.497619999999998</v>
      </c>
      <c r="U604" s="567">
        <f t="shared" si="68"/>
        <v>1001.9714399999999</v>
      </c>
      <c r="V604" s="567">
        <f t="shared" si="65"/>
        <v>83.497619999999998</v>
      </c>
    </row>
    <row r="605" spans="1:22" x14ac:dyDescent="0.25">
      <c r="A605" s="567" t="str">
        <f t="shared" si="69"/>
        <v>KU</v>
      </c>
      <c r="B605" s="567" t="str">
        <f t="shared" si="58"/>
        <v>KY</v>
      </c>
      <c r="C605" s="567" t="str">
        <f t="shared" si="59"/>
        <v>E</v>
      </c>
      <c r="D605" s="567" t="s">
        <v>2652</v>
      </c>
      <c r="E605" s="567" t="str">
        <f t="shared" si="62"/>
        <v>332</v>
      </c>
      <c r="F605" s="864" t="s">
        <v>1634</v>
      </c>
      <c r="G605" s="566" t="str">
        <f t="shared" si="64"/>
        <v>HYDRO</v>
      </c>
      <c r="H605" s="567">
        <v>42.95232</v>
      </c>
      <c r="I605" s="567">
        <v>42.95232</v>
      </c>
      <c r="J605" s="567">
        <v>42.95232</v>
      </c>
      <c r="K605" s="567">
        <v>42.95232</v>
      </c>
      <c r="L605" s="567">
        <v>42.95232</v>
      </c>
      <c r="M605" s="567">
        <v>42.95232</v>
      </c>
      <c r="N605" s="567">
        <v>42.95232</v>
      </c>
      <c r="O605" s="567">
        <v>42.95232</v>
      </c>
      <c r="P605" s="567">
        <v>42.95232</v>
      </c>
      <c r="Q605" s="567">
        <v>42.95232</v>
      </c>
      <c r="R605" s="567">
        <v>42.95232</v>
      </c>
      <c r="S605" s="567">
        <v>42.95232</v>
      </c>
      <c r="T605" s="567">
        <v>42.95232</v>
      </c>
      <c r="U605" s="567">
        <f t="shared" si="68"/>
        <v>515.42783999999995</v>
      </c>
      <c r="V605" s="567">
        <f t="shared" si="65"/>
        <v>42.952319999999993</v>
      </c>
    </row>
    <row r="606" spans="1:22" x14ac:dyDescent="0.25">
      <c r="A606" s="567" t="str">
        <f t="shared" si="69"/>
        <v>KU</v>
      </c>
      <c r="B606" s="567" t="str">
        <f t="shared" si="58"/>
        <v>KY</v>
      </c>
      <c r="C606" s="567" t="str">
        <f t="shared" si="59"/>
        <v>E</v>
      </c>
      <c r="D606" s="567" t="s">
        <v>2652</v>
      </c>
      <c r="E606" s="567" t="str">
        <f t="shared" si="62"/>
        <v>333</v>
      </c>
      <c r="F606" s="864" t="s">
        <v>1635</v>
      </c>
      <c r="G606" s="566" t="str">
        <f t="shared" si="64"/>
        <v>HYDRO</v>
      </c>
      <c r="H606" s="567">
        <v>58.5</v>
      </c>
      <c r="I606" s="567">
        <v>58.5</v>
      </c>
      <c r="J606" s="567">
        <v>58.5</v>
      </c>
      <c r="K606" s="567">
        <v>58.5</v>
      </c>
      <c r="L606" s="567">
        <v>58.5</v>
      </c>
      <c r="M606" s="567">
        <v>58.5</v>
      </c>
      <c r="N606" s="567">
        <v>58.5</v>
      </c>
      <c r="O606" s="567">
        <v>58.5</v>
      </c>
      <c r="P606" s="567">
        <v>58.5</v>
      </c>
      <c r="Q606" s="567">
        <v>58.5</v>
      </c>
      <c r="R606" s="567">
        <v>58.5</v>
      </c>
      <c r="S606" s="567">
        <v>58.5</v>
      </c>
      <c r="T606" s="567">
        <v>58.5</v>
      </c>
      <c r="U606" s="567">
        <f t="shared" si="68"/>
        <v>702</v>
      </c>
      <c r="V606" s="567">
        <f t="shared" si="65"/>
        <v>58.5</v>
      </c>
    </row>
    <row r="607" spans="1:22" x14ac:dyDescent="0.25">
      <c r="A607" s="567" t="str">
        <f t="shared" si="69"/>
        <v>KU</v>
      </c>
      <c r="B607" s="567" t="str">
        <f t="shared" si="58"/>
        <v>KY</v>
      </c>
      <c r="C607" s="567" t="str">
        <f t="shared" si="59"/>
        <v>E</v>
      </c>
      <c r="D607" s="567" t="s">
        <v>2652</v>
      </c>
      <c r="E607" s="567" t="str">
        <f t="shared" si="62"/>
        <v>334</v>
      </c>
      <c r="F607" s="864" t="s">
        <v>1636</v>
      </c>
      <c r="G607" s="566" t="str">
        <f t="shared" si="64"/>
        <v>HYDRO</v>
      </c>
      <c r="H607" s="567">
        <v>3.8844400000000001</v>
      </c>
      <c r="I607" s="567">
        <v>3.8844400000000001</v>
      </c>
      <c r="J607" s="567">
        <v>3.8844400000000001</v>
      </c>
      <c r="K607" s="567">
        <v>3.8844400000000001</v>
      </c>
      <c r="L607" s="567">
        <v>3.8844400000000001</v>
      </c>
      <c r="M607" s="567">
        <v>3.8844400000000001</v>
      </c>
      <c r="N607" s="567">
        <v>3.8844400000000001</v>
      </c>
      <c r="O607" s="567">
        <v>3.8844400000000001</v>
      </c>
      <c r="P607" s="567">
        <v>3.8844400000000001</v>
      </c>
      <c r="Q607" s="567">
        <v>3.8844400000000001</v>
      </c>
      <c r="R607" s="567">
        <v>3.8844400000000001</v>
      </c>
      <c r="S607" s="567">
        <v>3.8844400000000001</v>
      </c>
      <c r="T607" s="567">
        <v>3.8844400000000001</v>
      </c>
      <c r="U607" s="567">
        <f t="shared" si="68"/>
        <v>46.613279999999996</v>
      </c>
      <c r="V607" s="567">
        <f t="shared" si="65"/>
        <v>3.8844399999999997</v>
      </c>
    </row>
    <row r="608" spans="1:22" x14ac:dyDescent="0.25">
      <c r="A608" s="567" t="str">
        <f t="shared" si="69"/>
        <v>KU</v>
      </c>
      <c r="B608" s="567" t="str">
        <f t="shared" si="58"/>
        <v>KY</v>
      </c>
      <c r="C608" s="567" t="str">
        <f t="shared" si="59"/>
        <v>E</v>
      </c>
      <c r="D608" s="567" t="s">
        <v>2652</v>
      </c>
      <c r="E608" s="567" t="str">
        <f t="shared" si="62"/>
        <v>341</v>
      </c>
      <c r="F608" s="864" t="s">
        <v>1643</v>
      </c>
      <c r="G608" s="566" t="str">
        <f t="shared" si="64"/>
        <v>OTHER</v>
      </c>
      <c r="H608" s="567">
        <v>557.31254999999999</v>
      </c>
      <c r="I608" s="567">
        <v>557.31254999999999</v>
      </c>
      <c r="J608" s="567">
        <v>557.31254999999999</v>
      </c>
      <c r="K608" s="567">
        <v>557.31254999999999</v>
      </c>
      <c r="L608" s="567">
        <v>557.31254999999999</v>
      </c>
      <c r="M608" s="567">
        <v>557.31254999999999</v>
      </c>
      <c r="N608" s="567">
        <v>557.31254999999999</v>
      </c>
      <c r="O608" s="567">
        <v>557.31254999999999</v>
      </c>
      <c r="P608" s="567">
        <v>557.31254999999999</v>
      </c>
      <c r="Q608" s="567">
        <v>557.31254999999999</v>
      </c>
      <c r="R608" s="567">
        <v>557.31254999999999</v>
      </c>
      <c r="S608" s="567">
        <v>557.31254999999999</v>
      </c>
      <c r="T608" s="567">
        <v>557.31254999999999</v>
      </c>
      <c r="U608" s="567">
        <f t="shared" si="68"/>
        <v>6687.7505999999985</v>
      </c>
      <c r="V608" s="567">
        <f t="shared" si="65"/>
        <v>557.31254999999987</v>
      </c>
    </row>
    <row r="609" spans="1:22" x14ac:dyDescent="0.25">
      <c r="A609" s="567" t="str">
        <f t="shared" si="69"/>
        <v>KU</v>
      </c>
      <c r="B609" s="567" t="str">
        <f t="shared" si="58"/>
        <v>KY</v>
      </c>
      <c r="C609" s="567" t="str">
        <f t="shared" si="59"/>
        <v>E</v>
      </c>
      <c r="D609" s="567" t="s">
        <v>2652</v>
      </c>
      <c r="E609" s="567" t="str">
        <f t="shared" si="62"/>
        <v>342</v>
      </c>
      <c r="F609" s="864" t="s">
        <v>1646</v>
      </c>
      <c r="G609" s="566" t="str">
        <f t="shared" si="64"/>
        <v>OTHER</v>
      </c>
      <c r="H609" s="567">
        <v>121.09593</v>
      </c>
      <c r="I609" s="567">
        <v>121.09593</v>
      </c>
      <c r="J609" s="567">
        <v>121.09593</v>
      </c>
      <c r="K609" s="567">
        <v>121.09593</v>
      </c>
      <c r="L609" s="567">
        <v>121.09593</v>
      </c>
      <c r="M609" s="567">
        <v>121.09593</v>
      </c>
      <c r="N609" s="567">
        <v>121.09593</v>
      </c>
      <c r="O609" s="567">
        <v>121.09593</v>
      </c>
      <c r="P609" s="567">
        <v>121.09593</v>
      </c>
      <c r="Q609" s="567">
        <v>121.09593</v>
      </c>
      <c r="R609" s="567">
        <v>121.09593</v>
      </c>
      <c r="S609" s="567">
        <v>121.09593</v>
      </c>
      <c r="T609" s="567">
        <v>121.09593</v>
      </c>
      <c r="U609" s="567">
        <f t="shared" si="68"/>
        <v>1453.1511599999997</v>
      </c>
      <c r="V609" s="567">
        <f t="shared" si="65"/>
        <v>121.09592999999997</v>
      </c>
    </row>
    <row r="610" spans="1:22" x14ac:dyDescent="0.25">
      <c r="A610" s="567" t="str">
        <f t="shared" si="69"/>
        <v>KU</v>
      </c>
      <c r="B610" s="567" t="str">
        <f t="shared" si="58"/>
        <v>KY</v>
      </c>
      <c r="C610" s="567" t="str">
        <f t="shared" si="59"/>
        <v>E</v>
      </c>
      <c r="D610" s="567" t="s">
        <v>2652</v>
      </c>
      <c r="E610" s="567" t="str">
        <f t="shared" si="62"/>
        <v>343</v>
      </c>
      <c r="F610" s="864" t="s">
        <v>1649</v>
      </c>
      <c r="G610" s="566" t="str">
        <f t="shared" si="64"/>
        <v>OTHER</v>
      </c>
      <c r="H610" s="567">
        <v>3196.3693800000001</v>
      </c>
      <c r="I610" s="567">
        <v>3196.3693800000001</v>
      </c>
      <c r="J610" s="567">
        <v>3196.3693800000001</v>
      </c>
      <c r="K610" s="567">
        <v>3196.3693800000001</v>
      </c>
      <c r="L610" s="567">
        <v>3196.3693800000001</v>
      </c>
      <c r="M610" s="567">
        <v>3196.3693800000001</v>
      </c>
      <c r="N610" s="567">
        <v>3196.3693800000001</v>
      </c>
      <c r="O610" s="567">
        <v>3196.3693800000001</v>
      </c>
      <c r="P610" s="567">
        <v>3196.3693800000001</v>
      </c>
      <c r="Q610" s="567">
        <v>3196.3693800000001</v>
      </c>
      <c r="R610" s="567">
        <v>3196.3693800000001</v>
      </c>
      <c r="S610" s="567">
        <v>3196.3693800000001</v>
      </c>
      <c r="T610" s="567">
        <v>3196.3693800000001</v>
      </c>
      <c r="U610" s="567">
        <f t="shared" si="68"/>
        <v>38356.432560000001</v>
      </c>
      <c r="V610" s="567">
        <f t="shared" si="65"/>
        <v>3196.3693800000005</v>
      </c>
    </row>
    <row r="611" spans="1:22" x14ac:dyDescent="0.25">
      <c r="A611" s="567" t="str">
        <f t="shared" si="69"/>
        <v>KU</v>
      </c>
      <c r="B611" s="567" t="str">
        <f t="shared" si="58"/>
        <v>KY</v>
      </c>
      <c r="C611" s="567" t="str">
        <f t="shared" si="59"/>
        <v>E</v>
      </c>
      <c r="D611" s="567" t="s">
        <v>2652</v>
      </c>
      <c r="E611" s="567" t="str">
        <f t="shared" ref="E611:E634" si="70">MID($F611,8,3)</f>
        <v>344</v>
      </c>
      <c r="F611" s="864" t="s">
        <v>1651</v>
      </c>
      <c r="G611" s="566" t="str">
        <f t="shared" si="64"/>
        <v>OTHER</v>
      </c>
      <c r="H611" s="567">
        <v>715.27536999999995</v>
      </c>
      <c r="I611" s="567">
        <v>715.27536999999995</v>
      </c>
      <c r="J611" s="567">
        <v>715.27536999999995</v>
      </c>
      <c r="K611" s="567">
        <v>715.27536999999995</v>
      </c>
      <c r="L611" s="567">
        <v>715.27536999999995</v>
      </c>
      <c r="M611" s="567">
        <v>715.27536999999995</v>
      </c>
      <c r="N611" s="567">
        <v>715.27536999999995</v>
      </c>
      <c r="O611" s="567">
        <v>715.27536999999995</v>
      </c>
      <c r="P611" s="567">
        <v>715.27536999999995</v>
      </c>
      <c r="Q611" s="567">
        <v>715.27536999999995</v>
      </c>
      <c r="R611" s="567">
        <v>715.27536999999995</v>
      </c>
      <c r="S611" s="567">
        <v>715.27536999999995</v>
      </c>
      <c r="T611" s="567">
        <v>715.27536999999995</v>
      </c>
      <c r="U611" s="567">
        <f t="shared" si="68"/>
        <v>8583.3044400000017</v>
      </c>
      <c r="V611" s="567">
        <f t="shared" si="65"/>
        <v>715.27537000000007</v>
      </c>
    </row>
    <row r="612" spans="1:22" x14ac:dyDescent="0.25">
      <c r="A612" s="567" t="str">
        <f t="shared" si="69"/>
        <v>KU</v>
      </c>
      <c r="B612" s="567" t="str">
        <f t="shared" si="58"/>
        <v>KY</v>
      </c>
      <c r="C612" s="567" t="str">
        <f t="shared" si="59"/>
        <v>E</v>
      </c>
      <c r="D612" s="567" t="s">
        <v>2652</v>
      </c>
      <c r="E612" s="567" t="str">
        <f t="shared" si="70"/>
        <v>345</v>
      </c>
      <c r="F612" s="864" t="s">
        <v>1654</v>
      </c>
      <c r="G612" s="566" t="str">
        <f t="shared" si="64"/>
        <v>OTHER</v>
      </c>
      <c r="H612" s="567">
        <v>358.09240999999997</v>
      </c>
      <c r="I612" s="567">
        <v>358.09240999999997</v>
      </c>
      <c r="J612" s="567">
        <v>358.09240999999997</v>
      </c>
      <c r="K612" s="567">
        <v>358.09240999999997</v>
      </c>
      <c r="L612" s="567">
        <v>358.09240999999997</v>
      </c>
      <c r="M612" s="567">
        <v>358.09240999999997</v>
      </c>
      <c r="N612" s="567">
        <v>358.09240999999997</v>
      </c>
      <c r="O612" s="567">
        <v>358.09240999999997</v>
      </c>
      <c r="P612" s="567">
        <v>358.09240999999997</v>
      </c>
      <c r="Q612" s="567">
        <v>358.09240999999997</v>
      </c>
      <c r="R612" s="567">
        <v>358.09240999999997</v>
      </c>
      <c r="S612" s="567">
        <v>358.09240999999997</v>
      </c>
      <c r="T612" s="567">
        <v>358.09240999999997</v>
      </c>
      <c r="U612" s="567">
        <f t="shared" si="68"/>
        <v>4297.1089200000006</v>
      </c>
      <c r="V612" s="567">
        <f t="shared" si="65"/>
        <v>358.09241000000009</v>
      </c>
    </row>
    <row r="613" spans="1:22" x14ac:dyDescent="0.25">
      <c r="A613" s="567" t="str">
        <f t="shared" si="69"/>
        <v>KU</v>
      </c>
      <c r="B613" s="567" t="str">
        <f t="shared" si="58"/>
        <v>KY</v>
      </c>
      <c r="C613" s="567" t="str">
        <f t="shared" si="59"/>
        <v>E</v>
      </c>
      <c r="D613" s="567" t="s">
        <v>2652</v>
      </c>
      <c r="E613" s="567" t="str">
        <f t="shared" si="70"/>
        <v>346</v>
      </c>
      <c r="F613" s="864" t="s">
        <v>1657</v>
      </c>
      <c r="G613" s="566" t="str">
        <f t="shared" si="64"/>
        <v>OTHER</v>
      </c>
      <c r="H613" s="567">
        <v>34.127940000000002</v>
      </c>
      <c r="I613" s="567">
        <v>34.127940000000002</v>
      </c>
      <c r="J613" s="567">
        <v>34.127940000000002</v>
      </c>
      <c r="K613" s="567">
        <v>34.127940000000002</v>
      </c>
      <c r="L613" s="567">
        <v>34.127940000000002</v>
      </c>
      <c r="M613" s="567">
        <v>34.127940000000002</v>
      </c>
      <c r="N613" s="567">
        <v>34.127940000000002</v>
      </c>
      <c r="O613" s="567">
        <v>34.127940000000002</v>
      </c>
      <c r="P613" s="567">
        <v>34.127940000000002</v>
      </c>
      <c r="Q613" s="567">
        <v>34.127940000000002</v>
      </c>
      <c r="R613" s="567">
        <v>34.127940000000002</v>
      </c>
      <c r="S613" s="567">
        <v>34.127940000000002</v>
      </c>
      <c r="T613" s="567">
        <v>34.127940000000002</v>
      </c>
      <c r="U613" s="567">
        <f t="shared" si="68"/>
        <v>409.53528000000011</v>
      </c>
      <c r="V613" s="567">
        <f t="shared" si="65"/>
        <v>34.127940000000009</v>
      </c>
    </row>
    <row r="614" spans="1:22" x14ac:dyDescent="0.25">
      <c r="A614" s="567" t="str">
        <f t="shared" si="69"/>
        <v>KU</v>
      </c>
      <c r="B614" s="567" t="str">
        <f t="shared" ref="B614:B677" si="71">IF(MID($F614,12,2)="- ","KY",IF(MID($F614,12,2)="SY","KY",MID($F614,12,2)))</f>
        <v>KY</v>
      </c>
      <c r="C614" s="567" t="str">
        <f t="shared" si="59"/>
        <v>E</v>
      </c>
      <c r="D614" s="567" t="s">
        <v>2652</v>
      </c>
      <c r="E614" s="567" t="str">
        <f t="shared" si="70"/>
        <v>350</v>
      </c>
      <c r="F614" s="864" t="s">
        <v>1661</v>
      </c>
      <c r="G614" s="566" t="str">
        <f t="shared" si="64"/>
        <v>TRANSMISSION</v>
      </c>
      <c r="H614" s="567">
        <v>5.8478599999999998</v>
      </c>
      <c r="I614" s="567">
        <v>5.8478599999999998</v>
      </c>
      <c r="J614" s="567">
        <v>5.8478599999999998</v>
      </c>
      <c r="K614" s="567">
        <v>5.8478599999999998</v>
      </c>
      <c r="L614" s="567">
        <v>5.8478599999999998</v>
      </c>
      <c r="M614" s="567">
        <v>5.8478599999999998</v>
      </c>
      <c r="N614" s="567">
        <v>5.8478599999999998</v>
      </c>
      <c r="O614" s="567">
        <v>5.8478599999999998</v>
      </c>
      <c r="P614" s="567">
        <v>5.8478599999999998</v>
      </c>
      <c r="Q614" s="567">
        <v>5.8478599999999998</v>
      </c>
      <c r="R614" s="567">
        <v>5.8478599999999998</v>
      </c>
      <c r="S614" s="567">
        <v>5.8478599999999998</v>
      </c>
      <c r="T614" s="567">
        <v>5.8478599999999998</v>
      </c>
      <c r="U614" s="567">
        <f t="shared" si="68"/>
        <v>70.17431999999998</v>
      </c>
      <c r="V614" s="567">
        <f t="shared" si="65"/>
        <v>5.8478599999999981</v>
      </c>
    </row>
    <row r="615" spans="1:22" x14ac:dyDescent="0.25">
      <c r="A615" s="567" t="str">
        <f t="shared" si="69"/>
        <v>KU</v>
      </c>
      <c r="B615" s="567" t="str">
        <f t="shared" si="71"/>
        <v>KY</v>
      </c>
      <c r="C615" s="567" t="str">
        <f t="shared" si="59"/>
        <v>E</v>
      </c>
      <c r="D615" s="567" t="s">
        <v>2652</v>
      </c>
      <c r="E615" s="567" t="str">
        <f t="shared" si="70"/>
        <v>352</v>
      </c>
      <c r="F615" s="864" t="s">
        <v>1665</v>
      </c>
      <c r="G615" s="566" t="str">
        <f t="shared" si="64"/>
        <v>TRANSMISSION</v>
      </c>
      <c r="H615" s="567">
        <v>38.295990000000003</v>
      </c>
      <c r="I615" s="567">
        <v>38.295990000000003</v>
      </c>
      <c r="J615" s="567">
        <v>38.295990000000003</v>
      </c>
      <c r="K615" s="567">
        <v>38.295990000000003</v>
      </c>
      <c r="L615" s="567">
        <v>38.295990000000003</v>
      </c>
      <c r="M615" s="567">
        <v>38.295990000000003</v>
      </c>
      <c r="N615" s="567">
        <v>38.295990000000003</v>
      </c>
      <c r="O615" s="567">
        <v>38.295990000000003</v>
      </c>
      <c r="P615" s="567">
        <v>38.295990000000003</v>
      </c>
      <c r="Q615" s="567">
        <v>38.295990000000003</v>
      </c>
      <c r="R615" s="567">
        <v>38.295990000000003</v>
      </c>
      <c r="S615" s="567">
        <v>38.295990000000003</v>
      </c>
      <c r="T615" s="567">
        <v>38.295990000000003</v>
      </c>
      <c r="U615" s="567">
        <f t="shared" si="68"/>
        <v>459.55188000000015</v>
      </c>
      <c r="V615" s="567">
        <f t="shared" si="65"/>
        <v>38.29599000000001</v>
      </c>
    </row>
    <row r="616" spans="1:22" x14ac:dyDescent="0.25">
      <c r="A616" s="567" t="str">
        <f t="shared" si="69"/>
        <v>KU</v>
      </c>
      <c r="B616" s="567" t="str">
        <f t="shared" si="71"/>
        <v>VA</v>
      </c>
      <c r="C616" s="567" t="str">
        <f t="shared" si="59"/>
        <v>E</v>
      </c>
      <c r="D616" s="567" t="s">
        <v>2652</v>
      </c>
      <c r="E616" s="567" t="str">
        <f t="shared" si="70"/>
        <v>352</v>
      </c>
      <c r="F616" s="864" t="s">
        <v>1666</v>
      </c>
      <c r="G616" s="566" t="str">
        <f t="shared" si="64"/>
        <v>TRANSMISSION</v>
      </c>
      <c r="H616" s="567">
        <v>3.0000000000000001E-3</v>
      </c>
      <c r="I616" s="567">
        <v>3.0000000000000001E-3</v>
      </c>
      <c r="J616" s="567">
        <v>3.0000000000000001E-3</v>
      </c>
      <c r="K616" s="567">
        <v>3.0000000000000001E-3</v>
      </c>
      <c r="L616" s="567">
        <v>3.0000000000000001E-3</v>
      </c>
      <c r="M616" s="567">
        <v>3.0000000000000001E-3</v>
      </c>
      <c r="N616" s="567">
        <v>3.0000000000000001E-3</v>
      </c>
      <c r="O616" s="567">
        <v>3.0000000000000001E-3</v>
      </c>
      <c r="P616" s="567">
        <v>3.0000000000000001E-3</v>
      </c>
      <c r="Q616" s="567">
        <v>3.0000000000000001E-3</v>
      </c>
      <c r="R616" s="567">
        <v>3.0000000000000001E-3</v>
      </c>
      <c r="S616" s="567">
        <v>3.0000000000000001E-3</v>
      </c>
      <c r="T616" s="567">
        <v>3.0000000000000001E-3</v>
      </c>
      <c r="U616" s="567">
        <f t="shared" si="68"/>
        <v>3.5999999999999997E-2</v>
      </c>
      <c r="V616" s="567">
        <f t="shared" si="65"/>
        <v>3.0000000000000001E-3</v>
      </c>
    </row>
    <row r="617" spans="1:22" x14ac:dyDescent="0.25">
      <c r="A617" s="567" t="str">
        <f t="shared" si="69"/>
        <v>KU</v>
      </c>
      <c r="B617" s="567" t="str">
        <f t="shared" si="71"/>
        <v>KY</v>
      </c>
      <c r="C617" s="567" t="str">
        <f t="shared" si="59"/>
        <v>E</v>
      </c>
      <c r="D617" s="567" t="s">
        <v>2652</v>
      </c>
      <c r="E617" s="567" t="str">
        <f t="shared" si="70"/>
        <v>353</v>
      </c>
      <c r="F617" s="864" t="s">
        <v>1667</v>
      </c>
      <c r="G617" s="566" t="str">
        <f t="shared" si="64"/>
        <v>TRANSMISSION</v>
      </c>
      <c r="H617" s="567">
        <v>482.69191999999998</v>
      </c>
      <c r="I617" s="567">
        <v>482.69191999999998</v>
      </c>
      <c r="J617" s="567">
        <v>482.69191999999998</v>
      </c>
      <c r="K617" s="567">
        <v>482.69191999999998</v>
      </c>
      <c r="L617" s="567">
        <v>482.69191999999998</v>
      </c>
      <c r="M617" s="567">
        <v>482.69191999999998</v>
      </c>
      <c r="N617" s="567">
        <v>482.69191999999998</v>
      </c>
      <c r="O617" s="567">
        <v>482.69191999999998</v>
      </c>
      <c r="P617" s="567">
        <v>482.69191999999998</v>
      </c>
      <c r="Q617" s="567">
        <v>482.69191999999998</v>
      </c>
      <c r="R617" s="567">
        <v>482.69191999999998</v>
      </c>
      <c r="S617" s="567">
        <v>482.69191999999998</v>
      </c>
      <c r="T617" s="777">
        <v>482.69191999999998</v>
      </c>
      <c r="U617" s="567">
        <f t="shared" si="68"/>
        <v>5792.3030400000016</v>
      </c>
      <c r="V617" s="567">
        <f t="shared" si="65"/>
        <v>482.69192000000015</v>
      </c>
    </row>
    <row r="618" spans="1:22" x14ac:dyDescent="0.25">
      <c r="A618" s="567" t="str">
        <f t="shared" si="69"/>
        <v>KU</v>
      </c>
      <c r="B618" s="567" t="str">
        <f t="shared" si="71"/>
        <v>VA</v>
      </c>
      <c r="C618" s="567" t="str">
        <f t="shared" ref="C618:C681" si="72">IF(ISTEXT(MID($F618,SEARCH("FUTURE USE",$F618),3)),"F",IF(MID($F618,7,1)="1","E",IF(MID($F618,7,1)="2","G",IF(MID($F618,7,1)="3","C",""))))</f>
        <v>E</v>
      </c>
      <c r="D618" s="567" t="s">
        <v>2652</v>
      </c>
      <c r="E618" s="567" t="str">
        <f t="shared" si="70"/>
        <v>353</v>
      </c>
      <c r="F618" s="864" t="s">
        <v>1669</v>
      </c>
      <c r="G618" s="566" t="str">
        <f t="shared" si="64"/>
        <v>TRANSMISSION</v>
      </c>
      <c r="H618" s="567">
        <v>1.571</v>
      </c>
      <c r="I618" s="567">
        <v>1.571</v>
      </c>
      <c r="J618" s="567">
        <v>1.571</v>
      </c>
      <c r="K618" s="567">
        <v>1.571</v>
      </c>
      <c r="L618" s="567">
        <v>1.571</v>
      </c>
      <c r="M618" s="567">
        <v>1.571</v>
      </c>
      <c r="N618" s="567">
        <v>1.571</v>
      </c>
      <c r="O618" s="567">
        <v>1.571</v>
      </c>
      <c r="P618" s="567">
        <v>1.571</v>
      </c>
      <c r="Q618" s="567">
        <v>1.571</v>
      </c>
      <c r="R618" s="567">
        <v>1.571</v>
      </c>
      <c r="S618" s="567">
        <v>1.571</v>
      </c>
      <c r="T618" s="567">
        <v>1.571</v>
      </c>
      <c r="U618" s="567">
        <f t="shared" si="68"/>
        <v>18.852</v>
      </c>
      <c r="V618" s="567">
        <f t="shared" si="65"/>
        <v>1.5710000000000002</v>
      </c>
    </row>
    <row r="619" spans="1:22" x14ac:dyDescent="0.25">
      <c r="A619" s="567" t="str">
        <f t="shared" si="69"/>
        <v>KU</v>
      </c>
      <c r="B619" s="567" t="str">
        <f t="shared" si="71"/>
        <v>KY</v>
      </c>
      <c r="C619" s="567" t="str">
        <f t="shared" si="72"/>
        <v>E</v>
      </c>
      <c r="D619" s="567" t="s">
        <v>2652</v>
      </c>
      <c r="E619" s="567" t="str">
        <f t="shared" si="70"/>
        <v>354</v>
      </c>
      <c r="F619" s="864" t="s">
        <v>1670</v>
      </c>
      <c r="G619" s="566" t="str">
        <f t="shared" si="64"/>
        <v>TRANSMISSION</v>
      </c>
      <c r="H619" s="567">
        <v>120.31005999999999</v>
      </c>
      <c r="I619" s="567">
        <v>120.31005999999999</v>
      </c>
      <c r="J619" s="567">
        <v>120.31005999999999</v>
      </c>
      <c r="K619" s="567">
        <v>120.31005999999999</v>
      </c>
      <c r="L619" s="567">
        <v>120.31005999999999</v>
      </c>
      <c r="M619" s="567">
        <v>120.31005999999999</v>
      </c>
      <c r="N619" s="567">
        <v>120.31005999999999</v>
      </c>
      <c r="O619" s="567">
        <v>120.31005999999999</v>
      </c>
      <c r="P619" s="567">
        <v>120.31005999999999</v>
      </c>
      <c r="Q619" s="567">
        <v>120.31005999999999</v>
      </c>
      <c r="R619" s="567">
        <v>120.31005999999999</v>
      </c>
      <c r="S619" s="567">
        <v>120.31005999999999</v>
      </c>
      <c r="T619" s="567">
        <v>120.31005999999999</v>
      </c>
      <c r="U619" s="567">
        <f t="shared" si="68"/>
        <v>1443.72072</v>
      </c>
      <c r="V619" s="567">
        <f t="shared" ref="V619:V680" si="73">SUM(H619:T619)/13</f>
        <v>120.31006000000001</v>
      </c>
    </row>
    <row r="620" spans="1:22" x14ac:dyDescent="0.25">
      <c r="A620" s="567" t="str">
        <f t="shared" si="69"/>
        <v>KU</v>
      </c>
      <c r="B620" s="567" t="str">
        <f t="shared" si="71"/>
        <v>KY</v>
      </c>
      <c r="C620" s="567" t="str">
        <f t="shared" si="72"/>
        <v>E</v>
      </c>
      <c r="D620" s="567" t="s">
        <v>2652</v>
      </c>
      <c r="E620" s="567" t="str">
        <f t="shared" si="70"/>
        <v>355</v>
      </c>
      <c r="F620" s="864" t="s">
        <v>1672</v>
      </c>
      <c r="G620" s="566" t="str">
        <f t="shared" si="64"/>
        <v>TRANSMISSION</v>
      </c>
      <c r="H620" s="567">
        <v>579.74188000000004</v>
      </c>
      <c r="I620" s="567">
        <v>579.74188000000004</v>
      </c>
      <c r="J620" s="567">
        <v>579.74188000000004</v>
      </c>
      <c r="K620" s="567">
        <v>579.74188000000004</v>
      </c>
      <c r="L620" s="567">
        <v>579.74188000000004</v>
      </c>
      <c r="M620" s="567">
        <v>579.74188000000004</v>
      </c>
      <c r="N620" s="567">
        <v>579.74188000000004</v>
      </c>
      <c r="O620" s="567">
        <v>579.74188000000004</v>
      </c>
      <c r="P620" s="567">
        <v>579.74188000000004</v>
      </c>
      <c r="Q620" s="567">
        <v>579.74188000000004</v>
      </c>
      <c r="R620" s="567">
        <v>579.74188000000004</v>
      </c>
      <c r="S620" s="567">
        <v>579.74188000000004</v>
      </c>
      <c r="T620" s="567">
        <v>579.74188000000004</v>
      </c>
      <c r="U620" s="567">
        <f t="shared" si="68"/>
        <v>6956.9025599999986</v>
      </c>
      <c r="V620" s="567">
        <f t="shared" si="73"/>
        <v>579.74187999999981</v>
      </c>
    </row>
    <row r="621" spans="1:22" x14ac:dyDescent="0.25">
      <c r="A621" s="567" t="str">
        <f t="shared" si="69"/>
        <v>KU</v>
      </c>
      <c r="B621" s="567" t="str">
        <f t="shared" si="71"/>
        <v>VA</v>
      </c>
      <c r="C621" s="567" t="str">
        <f t="shared" si="72"/>
        <v>E</v>
      </c>
      <c r="D621" s="567" t="s">
        <v>2652</v>
      </c>
      <c r="E621" s="567" t="str">
        <f t="shared" si="70"/>
        <v>355</v>
      </c>
      <c r="F621" s="864" t="s">
        <v>1674</v>
      </c>
      <c r="G621" s="566" t="str">
        <f t="shared" si="64"/>
        <v>TRANSMISSION</v>
      </c>
      <c r="H621" s="567">
        <v>0.64976999999999996</v>
      </c>
      <c r="I621" s="567">
        <v>0.64976999999999996</v>
      </c>
      <c r="J621" s="567">
        <v>0.64976999999999996</v>
      </c>
      <c r="K621" s="567">
        <v>0.64976999999999996</v>
      </c>
      <c r="L621" s="567">
        <v>0.64976999999999996</v>
      </c>
      <c r="M621" s="567">
        <v>0.64976999999999996</v>
      </c>
      <c r="N621" s="567">
        <v>0.64976999999999996</v>
      </c>
      <c r="O621" s="567">
        <v>0.64976999999999996</v>
      </c>
      <c r="P621" s="567">
        <v>0.64976999999999996</v>
      </c>
      <c r="Q621" s="567">
        <v>0.64976999999999996</v>
      </c>
      <c r="R621" s="567">
        <v>0.64976999999999996</v>
      </c>
      <c r="S621" s="567">
        <v>0.64976999999999996</v>
      </c>
      <c r="T621" s="567">
        <v>0.64976999999999996</v>
      </c>
      <c r="U621" s="567">
        <f t="shared" si="68"/>
        <v>7.7972400000000013</v>
      </c>
      <c r="V621" s="567">
        <f t="shared" si="73"/>
        <v>0.64977000000000007</v>
      </c>
    </row>
    <row r="622" spans="1:22" x14ac:dyDescent="0.25">
      <c r="A622" s="567" t="str">
        <f t="shared" si="69"/>
        <v>KU</v>
      </c>
      <c r="B622" s="567" t="str">
        <f t="shared" si="71"/>
        <v>KY</v>
      </c>
      <c r="C622" s="567" t="str">
        <f t="shared" si="72"/>
        <v>E</v>
      </c>
      <c r="D622" s="567" t="s">
        <v>2652</v>
      </c>
      <c r="E622" s="567" t="str">
        <f t="shared" si="70"/>
        <v>356</v>
      </c>
      <c r="F622" s="864" t="s">
        <v>1675</v>
      </c>
      <c r="G622" s="566" t="str">
        <f t="shared" si="64"/>
        <v>TRANSMISSION</v>
      </c>
      <c r="H622" s="567">
        <v>191.09273999999999</v>
      </c>
      <c r="I622" s="567">
        <v>191.09273999999999</v>
      </c>
      <c r="J622" s="567">
        <v>191.09273999999999</v>
      </c>
      <c r="K622" s="567">
        <v>191.09273999999999</v>
      </c>
      <c r="L622" s="567">
        <v>191.09273999999999</v>
      </c>
      <c r="M622" s="567">
        <v>191.09273999999999</v>
      </c>
      <c r="N622" s="567">
        <v>191.09273999999999</v>
      </c>
      <c r="O622" s="567">
        <v>191.09273999999999</v>
      </c>
      <c r="P622" s="567">
        <v>191.09273999999999</v>
      </c>
      <c r="Q622" s="567">
        <v>191.09273999999999</v>
      </c>
      <c r="R622" s="567">
        <v>191.09273999999999</v>
      </c>
      <c r="S622" s="567">
        <v>191.09273999999999</v>
      </c>
      <c r="T622" s="567">
        <v>191.09273999999999</v>
      </c>
      <c r="U622" s="567">
        <f t="shared" si="68"/>
        <v>2293.1128800000001</v>
      </c>
      <c r="V622" s="567">
        <f t="shared" si="73"/>
        <v>191.09274000000002</v>
      </c>
    </row>
    <row r="623" spans="1:22" x14ac:dyDescent="0.25">
      <c r="A623" s="567" t="str">
        <f t="shared" si="69"/>
        <v>KU</v>
      </c>
      <c r="B623" s="567" t="str">
        <f t="shared" si="71"/>
        <v>VA</v>
      </c>
      <c r="C623" s="567" t="str">
        <f t="shared" si="72"/>
        <v>E</v>
      </c>
      <c r="D623" s="567" t="s">
        <v>2652</v>
      </c>
      <c r="E623" s="567" t="str">
        <f t="shared" si="70"/>
        <v>356</v>
      </c>
      <c r="F623" s="864" t="s">
        <v>1677</v>
      </c>
      <c r="G623" s="566" t="str">
        <f t="shared" ref="G623:G686" si="74">IF(ISTEXT(MID($F623,SEARCH("HYDRO PRODUCTION",$F623),9)),"HYDRO",IF(ISTEXT(MID($F623,SEARCH("OTHER PRODUCTION",$F623),9)),"OTHER",IF(ISTEXT(MID($F623,SEARCH("STEAM PRODUCTION",$F623),9)),"STEAM",IF(ISTEXT(MID($F623,SEARCH("TRANSMISSION",$F623),9)),"TRANSMISSION",IF(ISTEXT(MID($F623,SEARCH("DISTRIBUTION",$F623),9)),"DISTRIBUTION",IF(ISTEXT(MID($F623,SEARCH("COMMON",$F623),9)),"COMMON",IF(ISTEXT(MID($F623,SEARCH("GENERAL",$F623),9)),"GENERAL",IF(ISTEXT(MID($F623,SEARCH("INTANGIBLE",$F623),9)),"INTANGIBLE",IF(ISTEXT(MID($F623,SEARCH("STORAGE",$F623),3)),"STORAGE","")))))))))</f>
        <v>TRANSMISSION</v>
      </c>
      <c r="H623" s="567">
        <v>2.0646100000000001</v>
      </c>
      <c r="I623" s="567">
        <v>2.0646100000000001</v>
      </c>
      <c r="J623" s="567">
        <v>2.0646100000000001</v>
      </c>
      <c r="K623" s="567">
        <v>2.0646100000000001</v>
      </c>
      <c r="L623" s="567">
        <v>2.0646100000000001</v>
      </c>
      <c r="M623" s="567">
        <v>2.0646100000000001</v>
      </c>
      <c r="N623" s="567">
        <v>2.0646100000000001</v>
      </c>
      <c r="O623" s="567">
        <v>2.0646100000000001</v>
      </c>
      <c r="P623" s="567">
        <v>2.0646100000000001</v>
      </c>
      <c r="Q623" s="567">
        <v>2.0646100000000001</v>
      </c>
      <c r="R623" s="567">
        <v>2.0646100000000001</v>
      </c>
      <c r="S623" s="567">
        <v>2.0646100000000001</v>
      </c>
      <c r="T623" s="567">
        <v>2.0646100000000001</v>
      </c>
      <c r="U623" s="567">
        <f t="shared" si="68"/>
        <v>24.775320000000008</v>
      </c>
      <c r="V623" s="567">
        <f t="shared" si="73"/>
        <v>2.0646100000000009</v>
      </c>
    </row>
    <row r="624" spans="1:22" x14ac:dyDescent="0.25">
      <c r="A624" s="567" t="str">
        <f t="shared" si="69"/>
        <v>KU</v>
      </c>
      <c r="B624" s="567" t="str">
        <f t="shared" si="71"/>
        <v>KY</v>
      </c>
      <c r="C624" s="567" t="str">
        <f t="shared" si="72"/>
        <v>E</v>
      </c>
      <c r="D624" s="567" t="s">
        <v>2652</v>
      </c>
      <c r="E624" s="567" t="str">
        <f t="shared" si="70"/>
        <v>357</v>
      </c>
      <c r="F624" s="864" t="s">
        <v>1678</v>
      </c>
      <c r="G624" s="566" t="str">
        <f t="shared" si="74"/>
        <v>TRANSMISSION</v>
      </c>
      <c r="H624" s="567">
        <v>1.1220000000000001</v>
      </c>
      <c r="I624" s="567">
        <v>1.1220000000000001</v>
      </c>
      <c r="J624" s="567">
        <v>1.1220000000000001</v>
      </c>
      <c r="K624" s="567">
        <v>1.1220000000000001</v>
      </c>
      <c r="L624" s="567">
        <v>1.1220000000000001</v>
      </c>
      <c r="M624" s="567">
        <v>1.1220000000000001</v>
      </c>
      <c r="N624" s="567">
        <v>1.1220000000000001</v>
      </c>
      <c r="O624" s="567">
        <v>1.1220000000000001</v>
      </c>
      <c r="P624" s="567">
        <v>1.1220000000000001</v>
      </c>
      <c r="Q624" s="567">
        <v>1.1220000000000001</v>
      </c>
      <c r="R624" s="567">
        <v>1.1220000000000001</v>
      </c>
      <c r="S624" s="567">
        <v>1.1220000000000001</v>
      </c>
      <c r="T624" s="567">
        <v>1.1220000000000001</v>
      </c>
      <c r="U624" s="567">
        <f t="shared" si="68"/>
        <v>13.464</v>
      </c>
      <c r="V624" s="567">
        <f t="shared" si="73"/>
        <v>1.1220000000000001</v>
      </c>
    </row>
    <row r="625" spans="1:22" x14ac:dyDescent="0.25">
      <c r="A625" s="567" t="str">
        <f t="shared" si="69"/>
        <v>KU</v>
      </c>
      <c r="B625" s="567" t="str">
        <f t="shared" si="71"/>
        <v>KY</v>
      </c>
      <c r="C625" s="567" t="str">
        <f t="shared" si="72"/>
        <v>E</v>
      </c>
      <c r="D625" s="567" t="s">
        <v>2652</v>
      </c>
      <c r="E625" s="567" t="str">
        <f t="shared" si="70"/>
        <v>358</v>
      </c>
      <c r="F625" s="864" t="s">
        <v>1679</v>
      </c>
      <c r="G625" s="566" t="str">
        <f t="shared" si="74"/>
        <v>TRANSMISSION</v>
      </c>
      <c r="H625" s="567">
        <v>1.1279999999999999</v>
      </c>
      <c r="I625" s="567">
        <v>1.1279999999999999</v>
      </c>
      <c r="J625" s="567">
        <v>1.1279999999999999</v>
      </c>
      <c r="K625" s="567">
        <v>1.1279999999999999</v>
      </c>
      <c r="L625" s="567">
        <v>1.1279999999999999</v>
      </c>
      <c r="M625" s="567">
        <v>1.1279999999999999</v>
      </c>
      <c r="N625" s="567">
        <v>1.1279999999999999</v>
      </c>
      <c r="O625" s="567">
        <v>1.1279999999999999</v>
      </c>
      <c r="P625" s="567">
        <v>1.1279999999999999</v>
      </c>
      <c r="Q625" s="567">
        <v>1.1279999999999999</v>
      </c>
      <c r="R625" s="567">
        <v>1.1279999999999999</v>
      </c>
      <c r="S625" s="567">
        <v>1.1279999999999999</v>
      </c>
      <c r="T625" s="567">
        <v>1.1279999999999999</v>
      </c>
      <c r="U625" s="567">
        <f t="shared" si="68"/>
        <v>13.536</v>
      </c>
      <c r="V625" s="567">
        <f t="shared" si="73"/>
        <v>1.1279999999999999</v>
      </c>
    </row>
    <row r="626" spans="1:22" x14ac:dyDescent="0.25">
      <c r="A626" s="567" t="str">
        <f t="shared" si="69"/>
        <v>KY</v>
      </c>
      <c r="B626" s="567" t="str">
        <f t="shared" si="71"/>
        <v xml:space="preserve"> A</v>
      </c>
      <c r="C626" s="567" t="str">
        <f t="shared" si="72"/>
        <v/>
      </c>
      <c r="E626" s="567" t="str">
        <f t="shared" si="70"/>
        <v>lan</v>
      </c>
      <c r="F626" s="865" t="s">
        <v>1740</v>
      </c>
      <c r="G626" s="566" t="str">
        <f t="shared" si="74"/>
        <v/>
      </c>
      <c r="H626" s="567">
        <v>31092.434519999999</v>
      </c>
      <c r="I626" s="567">
        <v>31092.434519999999</v>
      </c>
      <c r="J626" s="567">
        <v>31092.434519999999</v>
      </c>
      <c r="K626" s="567">
        <v>31092.434519999999</v>
      </c>
      <c r="L626" s="567">
        <v>31092.434519999999</v>
      </c>
      <c r="M626" s="567">
        <v>31092.434519999999</v>
      </c>
      <c r="N626" s="567">
        <v>31092.434519999999</v>
      </c>
      <c r="O626" s="567">
        <v>31092.434519999999</v>
      </c>
      <c r="P626" s="567">
        <v>31092.434519999999</v>
      </c>
      <c r="Q626" s="567">
        <v>31092.434519999999</v>
      </c>
      <c r="R626" s="567">
        <v>31092.434519999999</v>
      </c>
      <c r="S626" s="567">
        <v>31092.434519999999</v>
      </c>
      <c r="T626" s="567">
        <v>31092.434519999999</v>
      </c>
      <c r="U626" s="567">
        <f t="shared" si="68"/>
        <v>373109.21424000006</v>
      </c>
      <c r="V626" s="567">
        <f t="shared" si="73"/>
        <v>31092.434520000006</v>
      </c>
    </row>
    <row r="627" spans="1:22" x14ac:dyDescent="0.25">
      <c r="A627" s="567" t="str">
        <f t="shared" si="69"/>
        <v/>
      </c>
      <c r="B627" s="567" t="str">
        <f t="shared" si="71"/>
        <v/>
      </c>
      <c r="C627" s="567" t="str">
        <f t="shared" si="72"/>
        <v/>
      </c>
      <c r="E627" s="567" t="str">
        <f t="shared" si="70"/>
        <v/>
      </c>
      <c r="G627" s="566" t="str">
        <f t="shared" si="74"/>
        <v/>
      </c>
      <c r="H627" s="567">
        <v>0</v>
      </c>
      <c r="I627" s="567">
        <v>0</v>
      </c>
      <c r="J627" s="567">
        <v>0</v>
      </c>
      <c r="K627" s="567">
        <v>0</v>
      </c>
      <c r="L627" s="567">
        <v>0</v>
      </c>
      <c r="M627" s="567">
        <v>0</v>
      </c>
      <c r="N627" s="567">
        <v>0</v>
      </c>
      <c r="O627" s="567">
        <v>0</v>
      </c>
      <c r="P627" s="567">
        <v>0</v>
      </c>
      <c r="Q627" s="567">
        <v>0</v>
      </c>
      <c r="R627" s="567">
        <v>0</v>
      </c>
      <c r="S627" s="567">
        <v>0</v>
      </c>
      <c r="T627" s="567">
        <v>0</v>
      </c>
      <c r="U627" s="567">
        <f t="shared" si="68"/>
        <v>0</v>
      </c>
      <c r="V627" s="567">
        <f t="shared" si="73"/>
        <v>0</v>
      </c>
    </row>
    <row r="628" spans="1:22" x14ac:dyDescent="0.25">
      <c r="A628" s="567" t="str">
        <f t="shared" si="69"/>
        <v>re</v>
      </c>
      <c r="B628" s="567" t="str">
        <f t="shared" si="71"/>
        <v xml:space="preserve">n </v>
      </c>
      <c r="C628" s="567" t="str">
        <f t="shared" si="72"/>
        <v/>
      </c>
      <c r="D628" s="567" t="s">
        <v>2653</v>
      </c>
      <c r="E628" s="567" t="str">
        <f t="shared" si="70"/>
        <v>ati</v>
      </c>
      <c r="F628" s="862" t="s">
        <v>1747</v>
      </c>
      <c r="G628" s="566" t="str">
        <f t="shared" si="74"/>
        <v/>
      </c>
      <c r="U628" s="567">
        <f t="shared" si="68"/>
        <v>0</v>
      </c>
      <c r="V628" s="567">
        <f t="shared" si="73"/>
        <v>0</v>
      </c>
    </row>
    <row r="629" spans="1:22" x14ac:dyDescent="0.25">
      <c r="A629" s="567" t="str">
        <f t="shared" si="69"/>
        <v>KU</v>
      </c>
      <c r="B629" s="567" t="str">
        <f t="shared" si="71"/>
        <v>KY</v>
      </c>
      <c r="C629" s="567" t="str">
        <f t="shared" si="72"/>
        <v>E</v>
      </c>
      <c r="D629" s="567" t="s">
        <v>2653</v>
      </c>
      <c r="E629" s="567" t="str">
        <f t="shared" si="70"/>
        <v>312</v>
      </c>
      <c r="F629" s="864" t="s">
        <v>1621</v>
      </c>
      <c r="G629" s="566" t="str">
        <f t="shared" si="74"/>
        <v>STEAM</v>
      </c>
      <c r="H629" s="567">
        <v>32.226750000000003</v>
      </c>
      <c r="I629" s="567">
        <v>32.226750000000003</v>
      </c>
      <c r="J629" s="567">
        <v>32.226750000000003</v>
      </c>
      <c r="K629" s="567">
        <v>32.226750000000003</v>
      </c>
      <c r="L629" s="567">
        <v>32.226750000000003</v>
      </c>
      <c r="M629" s="567">
        <v>32.226750000000003</v>
      </c>
      <c r="N629" s="567">
        <v>32.226750000000003</v>
      </c>
      <c r="O629" s="567">
        <v>32.226750000000003</v>
      </c>
      <c r="P629" s="567">
        <v>32.226750000000003</v>
      </c>
      <c r="Q629" s="567">
        <v>32.226750000000003</v>
      </c>
      <c r="R629" s="567">
        <v>32.226750000000003</v>
      </c>
      <c r="S629" s="567">
        <v>32.226750000000003</v>
      </c>
      <c r="T629" s="567">
        <v>32.226750000000003</v>
      </c>
      <c r="U629" s="777">
        <f t="shared" si="68"/>
        <v>386.72099999999995</v>
      </c>
      <c r="V629" s="567">
        <f t="shared" si="73"/>
        <v>32.226749999999996</v>
      </c>
    </row>
    <row r="630" spans="1:22" x14ac:dyDescent="0.25">
      <c r="A630" s="567" t="str">
        <f t="shared" si="69"/>
        <v>KU</v>
      </c>
      <c r="B630" s="567" t="str">
        <f t="shared" si="71"/>
        <v>KY</v>
      </c>
      <c r="C630" s="567" t="str">
        <f t="shared" si="72"/>
        <v>E</v>
      </c>
      <c r="D630" s="567" t="s">
        <v>2653</v>
      </c>
      <c r="E630" s="567" t="str">
        <f t="shared" si="70"/>
        <v>334</v>
      </c>
      <c r="F630" s="864" t="s">
        <v>1636</v>
      </c>
      <c r="G630" s="566" t="str">
        <f t="shared" si="74"/>
        <v>HYDRO</v>
      </c>
      <c r="H630" s="567">
        <v>2.0833333333333298E-3</v>
      </c>
      <c r="I630" s="567">
        <v>2.0833333333333298E-3</v>
      </c>
      <c r="J630" s="567">
        <v>2.0833333333333298E-3</v>
      </c>
      <c r="K630" s="567">
        <v>2.0833333333333298E-3</v>
      </c>
      <c r="L630" s="567">
        <v>2.0833333333333298E-3</v>
      </c>
      <c r="M630" s="567">
        <v>2.0833333333333298E-3</v>
      </c>
      <c r="N630" s="567">
        <v>2.0833333333333298E-3</v>
      </c>
      <c r="O630" s="567">
        <v>2.0833333333333298E-3</v>
      </c>
      <c r="P630" s="567">
        <v>2.0833333333333298E-3</v>
      </c>
      <c r="Q630" s="567">
        <v>2.0833333333333298E-3</v>
      </c>
      <c r="R630" s="567">
        <v>2.0833333333333298E-3</v>
      </c>
      <c r="S630" s="567">
        <v>2.0833333333333298E-3</v>
      </c>
      <c r="T630" s="567">
        <v>2.0833333333333298E-3</v>
      </c>
      <c r="U630" s="777">
        <f t="shared" si="68"/>
        <v>2.4999999999999956E-2</v>
      </c>
      <c r="V630" s="567">
        <f t="shared" si="73"/>
        <v>2.0833333333333298E-3</v>
      </c>
    </row>
    <row r="631" spans="1:22" x14ac:dyDescent="0.25">
      <c r="A631" s="567" t="str">
        <f t="shared" si="69"/>
        <v>KU</v>
      </c>
      <c r="B631" s="567" t="str">
        <f t="shared" si="71"/>
        <v>KY</v>
      </c>
      <c r="C631" s="567" t="str">
        <f t="shared" si="72"/>
        <v>E</v>
      </c>
      <c r="D631" s="567" t="s">
        <v>2653</v>
      </c>
      <c r="E631" s="567" t="str">
        <f t="shared" si="70"/>
        <v>342</v>
      </c>
      <c r="F631" s="864" t="s">
        <v>1646</v>
      </c>
      <c r="G631" s="566" t="str">
        <f t="shared" si="74"/>
        <v>OTHER</v>
      </c>
      <c r="H631" s="567">
        <v>7.8333333333333293E-3</v>
      </c>
      <c r="I631" s="567">
        <v>7.8333333333333293E-3</v>
      </c>
      <c r="J631" s="567">
        <v>7.8333333333333293E-3</v>
      </c>
      <c r="K631" s="567">
        <v>7.8333333333333293E-3</v>
      </c>
      <c r="L631" s="567">
        <v>7.8333333333333293E-3</v>
      </c>
      <c r="M631" s="567">
        <v>7.8333333333333293E-3</v>
      </c>
      <c r="N631" s="567">
        <v>7.8333333333333293E-3</v>
      </c>
      <c r="O631" s="567">
        <v>7.8333333333333293E-3</v>
      </c>
      <c r="P631" s="567">
        <v>7.8333333333333293E-3</v>
      </c>
      <c r="Q631" s="567">
        <v>7.8333333333333293E-3</v>
      </c>
      <c r="R631" s="567">
        <v>7.8333333333333293E-3</v>
      </c>
      <c r="S631" s="567">
        <v>7.8333333333333293E-3</v>
      </c>
      <c r="T631" s="567">
        <v>7.8333333333333293E-3</v>
      </c>
      <c r="U631" s="777">
        <f t="shared" si="68"/>
        <v>9.3999999999999959E-2</v>
      </c>
      <c r="V631" s="567">
        <f t="shared" si="73"/>
        <v>7.8333333333333293E-3</v>
      </c>
    </row>
    <row r="632" spans="1:22" x14ac:dyDescent="0.25">
      <c r="A632" s="567" t="str">
        <f t="shared" si="69"/>
        <v>KU</v>
      </c>
      <c r="B632" s="567" t="str">
        <f t="shared" si="71"/>
        <v>KY</v>
      </c>
      <c r="C632" s="567" t="str">
        <f t="shared" si="72"/>
        <v>E</v>
      </c>
      <c r="D632" s="567" t="s">
        <v>2653</v>
      </c>
      <c r="E632" s="567" t="str">
        <f t="shared" si="70"/>
        <v>353</v>
      </c>
      <c r="F632" s="864" t="s">
        <v>1667</v>
      </c>
      <c r="G632" s="566" t="str">
        <f t="shared" si="74"/>
        <v>TRANSMISSION</v>
      </c>
      <c r="H632" s="567">
        <v>5.2703333333333298</v>
      </c>
      <c r="I632" s="567">
        <v>5.2703333333333298</v>
      </c>
      <c r="J632" s="567">
        <v>5.2703333333333298</v>
      </c>
      <c r="K632" s="567">
        <v>5.2703333333333298</v>
      </c>
      <c r="L632" s="567">
        <v>5.2703333333333298</v>
      </c>
      <c r="M632" s="567">
        <v>5.2703333333333298</v>
      </c>
      <c r="N632" s="567">
        <v>5.2703333333333298</v>
      </c>
      <c r="O632" s="567">
        <v>5.2703333333333298</v>
      </c>
      <c r="P632" s="567">
        <v>5.2703333333333298</v>
      </c>
      <c r="Q632" s="567">
        <v>5.2703333333333298</v>
      </c>
      <c r="R632" s="567">
        <v>5.2703333333333298</v>
      </c>
      <c r="S632" s="567">
        <v>5.2703333333333298</v>
      </c>
      <c r="T632" s="567">
        <v>5.2703333333333298</v>
      </c>
      <c r="U632" s="777">
        <f t="shared" si="68"/>
        <v>63.243999999999943</v>
      </c>
      <c r="V632" s="567">
        <f t="shared" si="73"/>
        <v>5.270333333333328</v>
      </c>
    </row>
    <row r="633" spans="1:22" x14ac:dyDescent="0.25">
      <c r="A633" s="567" t="str">
        <f t="shared" si="69"/>
        <v>KY</v>
      </c>
      <c r="B633" s="567" t="str">
        <f t="shared" si="71"/>
        <v xml:space="preserve"> A</v>
      </c>
      <c r="C633" s="567" t="str">
        <f t="shared" si="72"/>
        <v/>
      </c>
      <c r="E633" s="567" t="str">
        <f t="shared" si="70"/>
        <v>lan</v>
      </c>
      <c r="F633" s="865" t="s">
        <v>1740</v>
      </c>
      <c r="G633" s="566" t="str">
        <f t="shared" si="74"/>
        <v/>
      </c>
      <c r="H633" s="567">
        <v>37.506999999999991</v>
      </c>
      <c r="I633" s="567">
        <v>37.506999999999991</v>
      </c>
      <c r="J633" s="567">
        <v>37.506999999999991</v>
      </c>
      <c r="K633" s="567">
        <v>37.506999999999991</v>
      </c>
      <c r="L633" s="567">
        <v>37.506999999999991</v>
      </c>
      <c r="M633" s="567">
        <v>37.506999999999991</v>
      </c>
      <c r="N633" s="567">
        <v>37.506999999999991</v>
      </c>
      <c r="O633" s="567">
        <v>37.506999999999991</v>
      </c>
      <c r="P633" s="567">
        <v>37.506999999999991</v>
      </c>
      <c r="Q633" s="567">
        <v>37.506999999999991</v>
      </c>
      <c r="R633" s="567">
        <v>37.506999999999991</v>
      </c>
      <c r="S633" s="567">
        <v>37.506999999999991</v>
      </c>
      <c r="T633" s="567">
        <v>37.506999999999991</v>
      </c>
      <c r="U633" s="777">
        <f t="shared" si="68"/>
        <v>450.084</v>
      </c>
      <c r="V633" s="567">
        <f t="shared" si="73"/>
        <v>37.506999999999998</v>
      </c>
    </row>
    <row r="634" spans="1:22" x14ac:dyDescent="0.25">
      <c r="A634" s="567" t="str">
        <f t="shared" si="69"/>
        <v/>
      </c>
      <c r="B634" s="567" t="str">
        <f t="shared" si="71"/>
        <v/>
      </c>
      <c r="C634" s="567" t="str">
        <f t="shared" si="72"/>
        <v/>
      </c>
      <c r="E634" s="567" t="str">
        <f t="shared" si="70"/>
        <v/>
      </c>
      <c r="G634" s="566" t="str">
        <f t="shared" si="74"/>
        <v/>
      </c>
      <c r="H634" s="567">
        <v>9.2370555648813024E-14</v>
      </c>
      <c r="I634" s="567">
        <v>9.2370555648813024E-14</v>
      </c>
      <c r="J634" s="567">
        <v>9.2370555648813024E-14</v>
      </c>
      <c r="K634" s="567">
        <v>9.2370555648813024E-14</v>
      </c>
      <c r="L634" s="567">
        <v>9.2370555648813024E-14</v>
      </c>
      <c r="M634" s="567">
        <v>9.2370555648813024E-14</v>
      </c>
      <c r="N634" s="567">
        <v>9.2370555648813024E-14</v>
      </c>
      <c r="O634" s="567">
        <v>9.2370555648813024E-14</v>
      </c>
      <c r="P634" s="567">
        <v>9.2370555648813024E-14</v>
      </c>
      <c r="Q634" s="567">
        <v>9.2370555648813024E-14</v>
      </c>
      <c r="R634" s="567">
        <v>9.2370555648813024E-14</v>
      </c>
      <c r="S634" s="567">
        <v>9.2370555648813024E-14</v>
      </c>
      <c r="T634" s="567">
        <v>9.2370555648813024E-14</v>
      </c>
      <c r="U634" s="777">
        <f t="shared" si="68"/>
        <v>1.1084466677857563E-12</v>
      </c>
      <c r="V634" s="567">
        <f t="shared" si="73"/>
        <v>9.2370555648813024E-14</v>
      </c>
    </row>
    <row r="635" spans="1:22" x14ac:dyDescent="0.25">
      <c r="A635" s="567" t="str">
        <f t="shared" si="69"/>
        <v>re</v>
      </c>
      <c r="B635" s="567" t="str">
        <f t="shared" si="71"/>
        <v xml:space="preserve">n </v>
      </c>
      <c r="C635" s="567" t="str">
        <f t="shared" si="72"/>
        <v/>
      </c>
      <c r="D635" s="567" t="s">
        <v>2654</v>
      </c>
      <c r="F635" s="862" t="s">
        <v>1748</v>
      </c>
      <c r="G635" s="566" t="str">
        <f t="shared" si="74"/>
        <v/>
      </c>
      <c r="U635" s="777">
        <f t="shared" si="68"/>
        <v>0</v>
      </c>
      <c r="V635" s="567">
        <f t="shared" si="73"/>
        <v>0</v>
      </c>
    </row>
    <row r="636" spans="1:22" x14ac:dyDescent="0.25">
      <c r="A636" s="567" t="str">
        <f t="shared" si="69"/>
        <v>KU</v>
      </c>
      <c r="B636" s="567" t="str">
        <f t="shared" si="71"/>
        <v>KY</v>
      </c>
      <c r="C636" s="567" t="str">
        <f t="shared" si="72"/>
        <v>E</v>
      </c>
      <c r="D636" s="567" t="s">
        <v>2654</v>
      </c>
      <c r="E636" s="567" t="str">
        <f>MID($F636,8,3)</f>
        <v>311</v>
      </c>
      <c r="F636" s="864" t="s">
        <v>1619</v>
      </c>
      <c r="G636" s="566" t="str">
        <f t="shared" si="74"/>
        <v>STEAM</v>
      </c>
      <c r="H636" s="567">
        <v>0.06</v>
      </c>
      <c r="I636" s="567">
        <v>0.06</v>
      </c>
      <c r="J636" s="567">
        <v>0.06</v>
      </c>
      <c r="K636" s="567">
        <v>0.06</v>
      </c>
      <c r="L636" s="567">
        <v>0.06</v>
      </c>
      <c r="M636" s="567">
        <v>0.06</v>
      </c>
      <c r="N636" s="567">
        <v>0.06</v>
      </c>
      <c r="O636" s="567">
        <v>0.06</v>
      </c>
      <c r="P636" s="567">
        <v>0.06</v>
      </c>
      <c r="Q636" s="567">
        <v>0.06</v>
      </c>
      <c r="R636" s="567">
        <v>0.06</v>
      </c>
      <c r="S636" s="567">
        <v>0.06</v>
      </c>
      <c r="T636" s="567">
        <v>0.06</v>
      </c>
      <c r="U636" s="777">
        <f t="shared" si="68"/>
        <v>0.7200000000000002</v>
      </c>
      <c r="V636" s="567">
        <f t="shared" si="73"/>
        <v>6.0000000000000019E-2</v>
      </c>
    </row>
    <row r="637" spans="1:22" x14ac:dyDescent="0.25">
      <c r="A637" s="567" t="str">
        <f t="shared" si="69"/>
        <v>KU</v>
      </c>
      <c r="B637" s="567" t="str">
        <f t="shared" si="71"/>
        <v>KY</v>
      </c>
      <c r="C637" s="567" t="str">
        <f t="shared" si="72"/>
        <v>E</v>
      </c>
      <c r="D637" s="567" t="s">
        <v>2654</v>
      </c>
      <c r="E637" s="567" t="str">
        <f>MID($F637,8,3)</f>
        <v>312</v>
      </c>
      <c r="F637" s="864" t="s">
        <v>1621</v>
      </c>
      <c r="G637" s="566" t="str">
        <f t="shared" si="74"/>
        <v>STEAM</v>
      </c>
      <c r="H637" s="567">
        <v>51.9151666666667</v>
      </c>
      <c r="I637" s="567">
        <v>51.9151666666667</v>
      </c>
      <c r="J637" s="567">
        <v>51.9151666666667</v>
      </c>
      <c r="K637" s="567">
        <v>51.9151666666667</v>
      </c>
      <c r="L637" s="567">
        <v>51.9151666666667</v>
      </c>
      <c r="M637" s="567">
        <v>51.9151666666667</v>
      </c>
      <c r="N637" s="567">
        <v>51.9151666666667</v>
      </c>
      <c r="O637" s="567">
        <v>51.9151666666667</v>
      </c>
      <c r="P637" s="567">
        <v>51.9151666666667</v>
      </c>
      <c r="Q637" s="567">
        <v>51.9151666666667</v>
      </c>
      <c r="R637" s="567">
        <v>51.9151666666667</v>
      </c>
      <c r="S637" s="567">
        <v>51.9151666666667</v>
      </c>
      <c r="T637" s="567">
        <v>51.9151666666667</v>
      </c>
      <c r="U637" s="777">
        <f t="shared" si="68"/>
        <v>622.98200000000043</v>
      </c>
      <c r="V637" s="567">
        <f t="shared" si="73"/>
        <v>51.9151666666667</v>
      </c>
    </row>
    <row r="638" spans="1:22" x14ac:dyDescent="0.25">
      <c r="A638" s="567" t="str">
        <f t="shared" si="69"/>
        <v>KU</v>
      </c>
      <c r="B638" s="567" t="str">
        <f t="shared" si="71"/>
        <v>KY</v>
      </c>
      <c r="C638" s="567" t="str">
        <f t="shared" si="72"/>
        <v>E</v>
      </c>
      <c r="D638" s="567" t="s">
        <v>2654</v>
      </c>
      <c r="E638" s="567" t="str">
        <f>MID($F638,8,3)</f>
        <v>312</v>
      </c>
      <c r="F638" s="864" t="s">
        <v>1622</v>
      </c>
      <c r="G638" s="566" t="str">
        <f t="shared" si="74"/>
        <v>STEAM</v>
      </c>
      <c r="H638" s="567">
        <v>0.118333333333333</v>
      </c>
      <c r="I638" s="567">
        <v>0.118333333333333</v>
      </c>
      <c r="J638" s="567">
        <v>0.118333333333333</v>
      </c>
      <c r="K638" s="567">
        <v>0.118333333333333</v>
      </c>
      <c r="L638" s="567">
        <v>0.118333333333333</v>
      </c>
      <c r="M638" s="567">
        <v>0.118333333333333</v>
      </c>
      <c r="N638" s="567">
        <v>0.118333333333333</v>
      </c>
      <c r="O638" s="567">
        <v>0.118333333333333</v>
      </c>
      <c r="P638" s="567">
        <v>0.118333333333333</v>
      </c>
      <c r="Q638" s="567">
        <v>0.118333333333333</v>
      </c>
      <c r="R638" s="567">
        <v>0.118333333333333</v>
      </c>
      <c r="S638" s="567">
        <v>0.118333333333333</v>
      </c>
      <c r="T638" s="567">
        <v>0.118333333333333</v>
      </c>
      <c r="U638" s="777">
        <f t="shared" si="68"/>
        <v>1.4199999999999957</v>
      </c>
      <c r="V638" s="567">
        <f t="shared" si="73"/>
        <v>0.11833333333333297</v>
      </c>
    </row>
    <row r="639" spans="1:22" x14ac:dyDescent="0.25">
      <c r="A639" s="567" t="str">
        <f t="shared" si="69"/>
        <v>KU</v>
      </c>
      <c r="B639" s="567" t="str">
        <f t="shared" si="71"/>
        <v>KY</v>
      </c>
      <c r="C639" s="567" t="str">
        <f t="shared" si="72"/>
        <v>E</v>
      </c>
      <c r="D639" s="567" t="s">
        <v>2654</v>
      </c>
      <c r="E639" s="567" t="str">
        <f>MID($F639,8,3)</f>
        <v>312</v>
      </c>
      <c r="F639" s="864" t="s">
        <v>1623</v>
      </c>
      <c r="G639" s="566" t="str">
        <f t="shared" si="74"/>
        <v>STEAM</v>
      </c>
      <c r="H639" s="567">
        <v>5.3594999999999997</v>
      </c>
      <c r="I639" s="567">
        <v>5.3594999999999997</v>
      </c>
      <c r="J639" s="567">
        <v>5.3594999999999997</v>
      </c>
      <c r="K639" s="567">
        <v>5.3594999999999997</v>
      </c>
      <c r="L639" s="567">
        <v>5.3594999999999997</v>
      </c>
      <c r="M639" s="567">
        <v>5.3594999999999997</v>
      </c>
      <c r="N639" s="567">
        <v>5.3594999999999997</v>
      </c>
      <c r="O639" s="567">
        <v>5.3594999999999997</v>
      </c>
      <c r="P639" s="567">
        <v>5.3594999999999997</v>
      </c>
      <c r="Q639" s="567">
        <v>5.3594999999999997</v>
      </c>
      <c r="R639" s="567">
        <v>5.3594999999999997</v>
      </c>
      <c r="S639" s="567">
        <v>5.3594999999999997</v>
      </c>
      <c r="T639" s="567">
        <v>5.3594999999999997</v>
      </c>
      <c r="U639" s="777">
        <f t="shared" si="68"/>
        <v>64.313999999999979</v>
      </c>
      <c r="V639" s="567">
        <f t="shared" si="73"/>
        <v>5.3594999999999979</v>
      </c>
    </row>
    <row r="640" spans="1:22" x14ac:dyDescent="0.25">
      <c r="A640" s="567" t="str">
        <f t="shared" si="69"/>
        <v>KU</v>
      </c>
      <c r="B640" s="567" t="str">
        <f t="shared" si="71"/>
        <v>KY</v>
      </c>
      <c r="C640" s="567" t="str">
        <f t="shared" si="72"/>
        <v>E</v>
      </c>
      <c r="D640" s="567" t="s">
        <v>2654</v>
      </c>
      <c r="E640" s="567" t="str">
        <f>MID($F640,8,3)</f>
        <v>315</v>
      </c>
      <c r="F640" s="864" t="s">
        <v>1628</v>
      </c>
      <c r="G640" s="566" t="str">
        <f t="shared" si="74"/>
        <v>STEAM</v>
      </c>
      <c r="H640" s="567">
        <v>6.7916666666666695E-2</v>
      </c>
      <c r="I640" s="567">
        <v>6.7916666666666695E-2</v>
      </c>
      <c r="J640" s="567">
        <v>6.7916666666666695E-2</v>
      </c>
      <c r="K640" s="567">
        <v>6.7916666666666695E-2</v>
      </c>
      <c r="L640" s="567">
        <v>6.7916666666666695E-2</v>
      </c>
      <c r="M640" s="567">
        <v>6.7916666666666695E-2</v>
      </c>
      <c r="N640" s="567">
        <v>6.7916666666666695E-2</v>
      </c>
      <c r="O640" s="567">
        <v>6.7916666666666695E-2</v>
      </c>
      <c r="P640" s="567">
        <v>6.7916666666666695E-2</v>
      </c>
      <c r="Q640" s="567">
        <v>6.7916666666666695E-2</v>
      </c>
      <c r="R640" s="567">
        <v>6.7916666666666695E-2</v>
      </c>
      <c r="S640" s="567">
        <v>6.7916666666666695E-2</v>
      </c>
      <c r="T640" s="567">
        <v>6.7916666666666695E-2</v>
      </c>
      <c r="U640" s="777">
        <f t="shared" si="68"/>
        <v>0.8150000000000005</v>
      </c>
      <c r="V640" s="567">
        <f t="shared" si="73"/>
        <v>6.7916666666666708E-2</v>
      </c>
    </row>
    <row r="641" spans="1:22" x14ac:dyDescent="0.25">
      <c r="A641" s="567" t="str">
        <f t="shared" si="69"/>
        <v>KU</v>
      </c>
      <c r="B641" s="567" t="str">
        <f t="shared" si="71"/>
        <v>KY</v>
      </c>
      <c r="C641" s="567" t="str">
        <f t="shared" si="72"/>
        <v>E</v>
      </c>
      <c r="D641" s="567" t="s">
        <v>2654</v>
      </c>
      <c r="E641" s="567" t="str">
        <f t="shared" ref="E641:E651" si="75">MID($F641,8,3)</f>
        <v>334</v>
      </c>
      <c r="F641" s="864" t="s">
        <v>1636</v>
      </c>
      <c r="G641" s="566" t="str">
        <f t="shared" si="74"/>
        <v>HYDRO</v>
      </c>
      <c r="H641" s="567">
        <v>0.26774999999999999</v>
      </c>
      <c r="I641" s="567">
        <v>0.26774999999999999</v>
      </c>
      <c r="J641" s="567">
        <v>0.26774999999999999</v>
      </c>
      <c r="K641" s="567">
        <v>0.26774999999999999</v>
      </c>
      <c r="L641" s="567">
        <v>0.26774999999999999</v>
      </c>
      <c r="M641" s="567">
        <v>0.26774999999999999</v>
      </c>
      <c r="N641" s="567">
        <v>0.26774999999999999</v>
      </c>
      <c r="O641" s="567">
        <v>0.26774999999999999</v>
      </c>
      <c r="P641" s="567">
        <v>0.26774999999999999</v>
      </c>
      <c r="Q641" s="567">
        <v>0.26774999999999999</v>
      </c>
      <c r="R641" s="567">
        <v>0.26774999999999999</v>
      </c>
      <c r="S641" s="567">
        <v>0.26774999999999999</v>
      </c>
      <c r="T641" s="567">
        <v>0.26774999999999999</v>
      </c>
      <c r="U641" s="777">
        <f t="shared" si="68"/>
        <v>3.2129999999999996</v>
      </c>
      <c r="V641" s="567">
        <f t="shared" si="73"/>
        <v>0.26774999999999999</v>
      </c>
    </row>
    <row r="642" spans="1:22" x14ac:dyDescent="0.25">
      <c r="A642" s="567" t="str">
        <f t="shared" si="69"/>
        <v>KU</v>
      </c>
      <c r="B642" s="567" t="str">
        <f t="shared" si="71"/>
        <v>KY</v>
      </c>
      <c r="C642" s="567" t="str">
        <f t="shared" si="72"/>
        <v>E</v>
      </c>
      <c r="D642" s="567" t="s">
        <v>2654</v>
      </c>
      <c r="E642" s="567" t="str">
        <f t="shared" si="75"/>
        <v>342</v>
      </c>
      <c r="F642" s="864" t="s">
        <v>1646</v>
      </c>
      <c r="G642" s="566" t="str">
        <f t="shared" si="74"/>
        <v>OTHER</v>
      </c>
      <c r="H642" s="567">
        <v>15.355499999999999</v>
      </c>
      <c r="I642" s="567">
        <v>15.355499999999999</v>
      </c>
      <c r="J642" s="567">
        <v>15.355499999999999</v>
      </c>
      <c r="K642" s="567">
        <v>15.355499999999999</v>
      </c>
      <c r="L642" s="567">
        <v>15.355499999999999</v>
      </c>
      <c r="M642" s="567">
        <v>15.355499999999999</v>
      </c>
      <c r="N642" s="567">
        <v>15.355499999999999</v>
      </c>
      <c r="O642" s="567">
        <v>15.355499999999999</v>
      </c>
      <c r="P642" s="567">
        <v>15.355499999999999</v>
      </c>
      <c r="Q642" s="567">
        <v>15.355499999999999</v>
      </c>
      <c r="R642" s="567">
        <v>15.355499999999999</v>
      </c>
      <c r="S642" s="567">
        <v>15.355499999999999</v>
      </c>
      <c r="T642" s="567">
        <v>15.355499999999999</v>
      </c>
      <c r="U642" s="777">
        <f t="shared" si="68"/>
        <v>184.26600000000005</v>
      </c>
      <c r="V642" s="567">
        <f t="shared" si="73"/>
        <v>15.355500000000005</v>
      </c>
    </row>
    <row r="643" spans="1:22" x14ac:dyDescent="0.25">
      <c r="A643" s="567" t="str">
        <f t="shared" si="69"/>
        <v>KU</v>
      </c>
      <c r="B643" s="567" t="str">
        <f t="shared" si="71"/>
        <v>KY</v>
      </c>
      <c r="C643" s="567" t="str">
        <f t="shared" si="72"/>
        <v>E</v>
      </c>
      <c r="D643" s="567" t="s">
        <v>2654</v>
      </c>
      <c r="E643" s="567" t="str">
        <f t="shared" si="75"/>
        <v>353</v>
      </c>
      <c r="F643" s="864" t="s">
        <v>1667</v>
      </c>
      <c r="G643" s="566" t="str">
        <f t="shared" si="74"/>
        <v>TRANSMISSION</v>
      </c>
      <c r="H643" s="567">
        <v>2.6709999999999998</v>
      </c>
      <c r="I643" s="567">
        <v>2.6709999999999998</v>
      </c>
      <c r="J643" s="567">
        <v>2.6709999999999998</v>
      </c>
      <c r="K643" s="567">
        <v>2.6709999999999998</v>
      </c>
      <c r="L643" s="567">
        <v>2.6709999999999998</v>
      </c>
      <c r="M643" s="567">
        <v>2.6709999999999998</v>
      </c>
      <c r="N643" s="567">
        <v>2.6709999999999998</v>
      </c>
      <c r="O643" s="567">
        <v>2.6709999999999998</v>
      </c>
      <c r="P643" s="567">
        <v>2.6709999999999998</v>
      </c>
      <c r="Q643" s="567">
        <v>2.6709999999999998</v>
      </c>
      <c r="R643" s="567">
        <v>2.6709999999999998</v>
      </c>
      <c r="S643" s="567">
        <v>2.6709999999999998</v>
      </c>
      <c r="T643" s="567">
        <v>2.6709999999999998</v>
      </c>
      <c r="U643" s="777">
        <f t="shared" si="68"/>
        <v>32.052</v>
      </c>
      <c r="V643" s="567">
        <f t="shared" si="73"/>
        <v>2.6709999999999998</v>
      </c>
    </row>
    <row r="644" spans="1:22" x14ac:dyDescent="0.25">
      <c r="A644" s="567" t="str">
        <f t="shared" si="69"/>
        <v>KY</v>
      </c>
      <c r="B644" s="567" t="str">
        <f t="shared" si="71"/>
        <v xml:space="preserve"> A</v>
      </c>
      <c r="C644" s="567" t="str">
        <f t="shared" si="72"/>
        <v/>
      </c>
      <c r="E644" s="567" t="str">
        <f t="shared" si="75"/>
        <v>lan</v>
      </c>
      <c r="F644" s="865" t="s">
        <v>1740</v>
      </c>
      <c r="G644" s="566" t="str">
        <f t="shared" si="74"/>
        <v/>
      </c>
      <c r="H644" s="567">
        <v>75.815166666666713</v>
      </c>
      <c r="I644" s="567">
        <v>75.815166666666713</v>
      </c>
      <c r="J644" s="567">
        <v>75.815166666666713</v>
      </c>
      <c r="K644" s="567">
        <v>75.815166666666713</v>
      </c>
      <c r="L644" s="567">
        <v>75.815166666666713</v>
      </c>
      <c r="M644" s="567">
        <v>75.815166666666713</v>
      </c>
      <c r="N644" s="567">
        <v>75.815166666666713</v>
      </c>
      <c r="O644" s="567">
        <v>75.815166666666713</v>
      </c>
      <c r="P644" s="567">
        <v>75.815166666666713</v>
      </c>
      <c r="Q644" s="567">
        <v>75.815166666666713</v>
      </c>
      <c r="R644" s="567">
        <v>75.815166666666713</v>
      </c>
      <c r="S644" s="567">
        <v>75.815166666666713</v>
      </c>
      <c r="T644" s="567">
        <v>75.815166666666713</v>
      </c>
      <c r="U644" s="777">
        <f t="shared" si="68"/>
        <v>909.78200000000072</v>
      </c>
      <c r="V644" s="567">
        <f t="shared" si="73"/>
        <v>75.815166666666727</v>
      </c>
    </row>
    <row r="645" spans="1:22" x14ac:dyDescent="0.25">
      <c r="A645" s="567" t="str">
        <f t="shared" si="69"/>
        <v/>
      </c>
      <c r="B645" s="567" t="str">
        <f t="shared" si="71"/>
        <v/>
      </c>
      <c r="C645" s="567" t="str">
        <f t="shared" si="72"/>
        <v/>
      </c>
      <c r="E645" s="567" t="str">
        <f t="shared" si="75"/>
        <v/>
      </c>
      <c r="G645" s="566" t="str">
        <f t="shared" si="74"/>
        <v/>
      </c>
      <c r="H645" s="567">
        <v>0</v>
      </c>
      <c r="I645" s="567">
        <v>0</v>
      </c>
      <c r="J645" s="567">
        <v>0</v>
      </c>
      <c r="K645" s="567">
        <v>0</v>
      </c>
      <c r="L645" s="567">
        <v>0</v>
      </c>
      <c r="M645" s="567">
        <v>0</v>
      </c>
      <c r="N645" s="567">
        <v>0</v>
      </c>
      <c r="O645" s="567">
        <v>0</v>
      </c>
      <c r="P645" s="567">
        <v>0</v>
      </c>
      <c r="Q645" s="567">
        <v>0</v>
      </c>
      <c r="R645" s="567">
        <v>0</v>
      </c>
      <c r="S645" s="567">
        <v>0</v>
      </c>
      <c r="T645" s="567">
        <v>0</v>
      </c>
      <c r="U645" s="567">
        <f t="shared" si="68"/>
        <v>0</v>
      </c>
      <c r="V645" s="567">
        <f t="shared" si="73"/>
        <v>0</v>
      </c>
    </row>
    <row r="646" spans="1:22" x14ac:dyDescent="0.25">
      <c r="A646" s="567" t="str">
        <f t="shared" si="69"/>
        <v>um</v>
      </c>
      <c r="B646" s="567" t="str">
        <f t="shared" si="71"/>
        <v>FE</v>
      </c>
      <c r="C646" s="567" t="str">
        <f t="shared" si="72"/>
        <v/>
      </c>
      <c r="D646" s="567" t="s">
        <v>2655</v>
      </c>
      <c r="E646" s="567" t="str">
        <f t="shared" si="75"/>
        <v>epr</v>
      </c>
      <c r="F646" s="862" t="s">
        <v>1749</v>
      </c>
      <c r="G646" s="566" t="str">
        <f t="shared" si="74"/>
        <v/>
      </c>
      <c r="U646" s="567">
        <f t="shared" si="68"/>
        <v>0</v>
      </c>
      <c r="V646" s="567">
        <f t="shared" si="73"/>
        <v>0</v>
      </c>
    </row>
    <row r="647" spans="1:22" x14ac:dyDescent="0.25">
      <c r="A647" s="567" t="str">
        <f t="shared" si="69"/>
        <v>KU</v>
      </c>
      <c r="B647" s="567" t="str">
        <f t="shared" si="71"/>
        <v>KY</v>
      </c>
      <c r="C647" s="567" t="str">
        <f t="shared" si="72"/>
        <v>E</v>
      </c>
      <c r="D647" s="567" t="s">
        <v>2655</v>
      </c>
      <c r="E647" s="567" t="str">
        <f t="shared" si="75"/>
        <v>312</v>
      </c>
      <c r="F647" s="864" t="s">
        <v>1621</v>
      </c>
      <c r="G647" s="566" t="str">
        <f t="shared" si="74"/>
        <v>STEAM</v>
      </c>
      <c r="H647" s="567">
        <v>17815.230153333399</v>
      </c>
      <c r="I647" s="567">
        <v>17847.456903333401</v>
      </c>
      <c r="J647" s="567">
        <v>17879.683653333399</v>
      </c>
      <c r="K647" s="567">
        <v>17911.910403333401</v>
      </c>
      <c r="L647" s="567">
        <v>17944.137153333399</v>
      </c>
      <c r="M647" s="567">
        <v>17976.3639033334</v>
      </c>
      <c r="N647" s="567">
        <v>18008.590653333398</v>
      </c>
      <c r="O647" s="567">
        <v>18040.8174033334</v>
      </c>
      <c r="P647" s="567">
        <v>18073.044153333401</v>
      </c>
      <c r="Q647" s="567">
        <v>18105.270903333399</v>
      </c>
      <c r="R647" s="567">
        <v>18137.497653333401</v>
      </c>
      <c r="S647" s="567">
        <v>18169.724403333399</v>
      </c>
      <c r="T647" s="567">
        <v>18201.951153333401</v>
      </c>
      <c r="U647" s="567">
        <f t="shared" si="68"/>
        <v>216296.44834000088</v>
      </c>
      <c r="V647" s="567">
        <f t="shared" si="73"/>
        <v>18008.590653333405</v>
      </c>
    </row>
    <row r="648" spans="1:22" x14ac:dyDescent="0.25">
      <c r="A648" s="567" t="str">
        <f t="shared" si="69"/>
        <v>KU</v>
      </c>
      <c r="B648" s="567" t="str">
        <f t="shared" si="71"/>
        <v>KY</v>
      </c>
      <c r="C648" s="567" t="str">
        <f t="shared" si="72"/>
        <v>E</v>
      </c>
      <c r="D648" s="567" t="s">
        <v>2655</v>
      </c>
      <c r="E648" s="567" t="str">
        <f t="shared" si="75"/>
        <v>334</v>
      </c>
      <c r="F648" s="864" t="s">
        <v>1636</v>
      </c>
      <c r="G648" s="566" t="str">
        <f t="shared" si="74"/>
        <v>HYDRO</v>
      </c>
      <c r="H648" s="567">
        <v>3.4018333333333399</v>
      </c>
      <c r="I648" s="567">
        <v>3.40391666666667</v>
      </c>
      <c r="J648" s="567">
        <v>3.4060000000000099</v>
      </c>
      <c r="K648" s="567">
        <v>3.40808333333334</v>
      </c>
      <c r="L648" s="567">
        <v>3.4101666666666701</v>
      </c>
      <c r="M648" s="567">
        <v>3.41225000000001</v>
      </c>
      <c r="N648" s="567">
        <v>3.4143333333333401</v>
      </c>
      <c r="O648" s="567">
        <v>3.4164166666666702</v>
      </c>
      <c r="P648" s="567">
        <v>3.4185000000000101</v>
      </c>
      <c r="Q648" s="567">
        <v>3.4205833333333402</v>
      </c>
      <c r="R648" s="567">
        <v>3.4226666666666699</v>
      </c>
      <c r="S648" s="567">
        <v>3.4247500000000102</v>
      </c>
      <c r="T648" s="567">
        <v>3.4268333333333398</v>
      </c>
      <c r="U648" s="567">
        <f t="shared" si="68"/>
        <v>40.984500000000082</v>
      </c>
      <c r="V648" s="567">
        <f t="shared" si="73"/>
        <v>3.4143333333333405</v>
      </c>
    </row>
    <row r="649" spans="1:22" x14ac:dyDescent="0.25">
      <c r="A649" s="567" t="str">
        <f t="shared" si="69"/>
        <v>KU</v>
      </c>
      <c r="B649" s="567" t="str">
        <f t="shared" si="71"/>
        <v>KY</v>
      </c>
      <c r="C649" s="567" t="str">
        <f t="shared" si="72"/>
        <v>E</v>
      </c>
      <c r="D649" s="567" t="s">
        <v>2655</v>
      </c>
      <c r="E649" s="567" t="str">
        <f t="shared" si="75"/>
        <v>342</v>
      </c>
      <c r="F649" s="864" t="s">
        <v>1646</v>
      </c>
      <c r="G649" s="566" t="str">
        <f t="shared" si="74"/>
        <v>OTHER</v>
      </c>
      <c r="H649" s="567">
        <v>1.7951566666666701</v>
      </c>
      <c r="I649" s="567">
        <v>1.8029900000000001</v>
      </c>
      <c r="J649" s="567">
        <v>1.8108233333333299</v>
      </c>
      <c r="K649" s="567">
        <v>1.8186566666666699</v>
      </c>
      <c r="L649" s="567">
        <v>1.8264899999999999</v>
      </c>
      <c r="M649" s="567">
        <v>1.83432333333333</v>
      </c>
      <c r="N649" s="567">
        <v>1.84215666666667</v>
      </c>
      <c r="O649" s="567">
        <v>1.84999</v>
      </c>
      <c r="P649" s="567">
        <v>1.8578233333333301</v>
      </c>
      <c r="Q649" s="567">
        <v>1.8656566666666701</v>
      </c>
      <c r="R649" s="567">
        <v>1.8734900000000001</v>
      </c>
      <c r="S649" s="567">
        <v>1.8813233333333299</v>
      </c>
      <c r="T649" s="567">
        <v>1.8891566666666699</v>
      </c>
      <c r="U649" s="567">
        <f t="shared" si="68"/>
        <v>22.15288</v>
      </c>
      <c r="V649" s="567">
        <f t="shared" si="73"/>
        <v>1.8421566666666669</v>
      </c>
    </row>
    <row r="650" spans="1:22" x14ac:dyDescent="0.25">
      <c r="A650" s="567" t="str">
        <f t="shared" si="69"/>
        <v>KU</v>
      </c>
      <c r="B650" s="567" t="str">
        <f t="shared" si="71"/>
        <v>KY</v>
      </c>
      <c r="C650" s="567" t="str">
        <f t="shared" si="72"/>
        <v>E</v>
      </c>
      <c r="D650" s="567" t="s">
        <v>2655</v>
      </c>
      <c r="E650" s="567" t="str">
        <f t="shared" si="75"/>
        <v>353</v>
      </c>
      <c r="F650" s="864" t="s">
        <v>1667</v>
      </c>
      <c r="G650" s="566" t="str">
        <f t="shared" si="74"/>
        <v>TRANSMISSION</v>
      </c>
      <c r="H650" s="567">
        <v>2672.03501333333</v>
      </c>
      <c r="I650" s="567">
        <v>2677.3053466666702</v>
      </c>
      <c r="J650" s="567">
        <v>2682.5756799999999</v>
      </c>
      <c r="K650" s="567">
        <v>2687.8460133333301</v>
      </c>
      <c r="L650" s="567">
        <v>2693.1163466666699</v>
      </c>
      <c r="M650" s="567">
        <v>2698.3866800000001</v>
      </c>
      <c r="N650" s="567">
        <v>2703.6570133333298</v>
      </c>
      <c r="O650" s="567">
        <v>2708.92734666667</v>
      </c>
      <c r="P650" s="567">
        <v>2714.1976800000002</v>
      </c>
      <c r="Q650" s="567">
        <v>2719.46801333333</v>
      </c>
      <c r="R650" s="567">
        <v>2724.7383466666702</v>
      </c>
      <c r="S650" s="567">
        <v>2730.0086799999999</v>
      </c>
      <c r="T650" s="567">
        <v>2735.2790133333301</v>
      </c>
      <c r="U650" s="567">
        <f t="shared" si="68"/>
        <v>32475.506159999997</v>
      </c>
      <c r="V650" s="567">
        <f t="shared" si="73"/>
        <v>2703.657013333333</v>
      </c>
    </row>
    <row r="651" spans="1:22" x14ac:dyDescent="0.25">
      <c r="A651" s="567" t="str">
        <f t="shared" si="69"/>
        <v>KY</v>
      </c>
      <c r="B651" s="567" t="str">
        <f t="shared" si="71"/>
        <v xml:space="preserve"> A</v>
      </c>
      <c r="C651" s="567" t="str">
        <f t="shared" si="72"/>
        <v/>
      </c>
      <c r="D651" s="567" t="str">
        <f t="shared" ref="D651:D652" si="76">IF(ISTEXT(MID($E651,SEARCH("FUTURE USE",$E651),3)),"F",IF(MID($E651,8,1)="1","E",IF(MID($E651,8,1)="2","G",IF(MID($E651,8,1)="3","C",""))))</f>
        <v/>
      </c>
      <c r="E651" s="567" t="str">
        <f t="shared" si="75"/>
        <v>lan</v>
      </c>
      <c r="F651" s="865" t="s">
        <v>1740</v>
      </c>
      <c r="G651" s="566" t="str">
        <f t="shared" si="74"/>
        <v/>
      </c>
      <c r="H651" s="567">
        <v>20492.46215666673</v>
      </c>
      <c r="I651" s="567">
        <v>20529.969156666739</v>
      </c>
      <c r="J651" s="567">
        <v>20567.476156666729</v>
      </c>
      <c r="K651" s="567">
        <v>20604.983156666727</v>
      </c>
      <c r="L651" s="567">
        <v>20642.490156666736</v>
      </c>
      <c r="M651" s="567">
        <v>20679.997156666734</v>
      </c>
      <c r="N651" s="567">
        <v>20717.504156666728</v>
      </c>
      <c r="O651" s="567">
        <v>20755.011156666736</v>
      </c>
      <c r="P651" s="567">
        <v>20792.518156666734</v>
      </c>
      <c r="Q651" s="567">
        <v>20830.025156666728</v>
      </c>
      <c r="R651" s="567">
        <v>20867.532156666737</v>
      </c>
      <c r="S651" s="567">
        <v>20905.039156666731</v>
      </c>
      <c r="T651" s="567">
        <v>20942.546156666733</v>
      </c>
      <c r="U651" s="567">
        <f t="shared" si="68"/>
        <v>248835.09188000081</v>
      </c>
      <c r="V651" s="567">
        <f t="shared" si="73"/>
        <v>20717.504156666731</v>
      </c>
    </row>
    <row r="652" spans="1:22" x14ac:dyDescent="0.25">
      <c r="A652" s="567" t="str">
        <f t="shared" si="69"/>
        <v/>
      </c>
      <c r="B652" s="567" t="str">
        <f t="shared" si="71"/>
        <v/>
      </c>
      <c r="C652" s="567" t="str">
        <f t="shared" si="72"/>
        <v/>
      </c>
      <c r="D652" s="567" t="str">
        <f t="shared" si="76"/>
        <v/>
      </c>
      <c r="G652" s="566" t="str">
        <f t="shared" si="74"/>
        <v/>
      </c>
      <c r="H652" s="567">
        <v>2.9103830456733704E-11</v>
      </c>
      <c r="I652" s="567">
        <v>4.0017766878008842E-11</v>
      </c>
      <c r="J652" s="567">
        <v>2.9103830456733704E-11</v>
      </c>
      <c r="K652" s="567">
        <v>0</v>
      </c>
      <c r="L652" s="567">
        <v>3.637978807091713E-11</v>
      </c>
      <c r="M652" s="567">
        <v>3.2741809263825417E-11</v>
      </c>
      <c r="N652" s="567">
        <v>2.9103830456733704E-11</v>
      </c>
      <c r="O652" s="567">
        <v>3.637978807091713E-11</v>
      </c>
      <c r="P652" s="567">
        <v>3.2741809263825417E-11</v>
      </c>
      <c r="Q652" s="567">
        <v>2.9103830456733704E-11</v>
      </c>
      <c r="R652" s="567">
        <v>3.637978807091713E-11</v>
      </c>
      <c r="S652" s="567">
        <v>3.2741809263825417E-11</v>
      </c>
      <c r="T652" s="567">
        <v>3.2741809263825417E-11</v>
      </c>
      <c r="U652" s="567">
        <f t="shared" si="68"/>
        <v>3.6743585951626301E-10</v>
      </c>
      <c r="V652" s="567">
        <f t="shared" si="73"/>
        <v>3.0503053074845902E-11</v>
      </c>
    </row>
    <row r="653" spans="1:22" x14ac:dyDescent="0.25">
      <c r="A653" s="567" t="str">
        <f t="shared" si="69"/>
        <v>um</v>
      </c>
      <c r="B653" s="567" t="str">
        <f t="shared" si="71"/>
        <v>FE</v>
      </c>
      <c r="C653" s="567" t="str">
        <f t="shared" si="72"/>
        <v/>
      </c>
      <c r="D653" s="567" t="s">
        <v>2656</v>
      </c>
      <c r="F653" s="862" t="s">
        <v>1750</v>
      </c>
      <c r="G653" s="566" t="str">
        <f t="shared" si="74"/>
        <v/>
      </c>
      <c r="U653" s="567">
        <f t="shared" si="68"/>
        <v>0</v>
      </c>
      <c r="V653" s="567">
        <f t="shared" si="73"/>
        <v>0</v>
      </c>
    </row>
    <row r="654" spans="1:22" x14ac:dyDescent="0.25">
      <c r="A654" s="567" t="str">
        <f t="shared" si="69"/>
        <v>KU</v>
      </c>
      <c r="B654" s="567" t="str">
        <f t="shared" si="71"/>
        <v>KY</v>
      </c>
      <c r="C654" s="567" t="str">
        <f t="shared" si="72"/>
        <v>E</v>
      </c>
      <c r="D654" s="567" t="s">
        <v>2656</v>
      </c>
      <c r="E654" s="567" t="str">
        <f t="shared" ref="E654:E669" si="77">MID($F654,8,3)</f>
        <v>311</v>
      </c>
      <c r="F654" s="864" t="s">
        <v>1619</v>
      </c>
      <c r="G654" s="566" t="str">
        <f t="shared" si="74"/>
        <v>STEAM</v>
      </c>
      <c r="H654" s="567">
        <v>1.5177499999999999</v>
      </c>
      <c r="I654" s="567">
        <v>1.57775</v>
      </c>
      <c r="J654" s="567">
        <v>1.63775</v>
      </c>
      <c r="K654" s="567">
        <v>1.6977500000000001</v>
      </c>
      <c r="L654" s="567">
        <v>1.7577499999999999</v>
      </c>
      <c r="M654" s="567">
        <v>1.81775</v>
      </c>
      <c r="N654" s="567">
        <v>1.87775</v>
      </c>
      <c r="O654" s="567">
        <v>1.9377500000000001</v>
      </c>
      <c r="P654" s="567">
        <v>1.9977499999999999</v>
      </c>
      <c r="Q654" s="567">
        <v>2.05775</v>
      </c>
      <c r="R654" s="567">
        <v>2.11775</v>
      </c>
      <c r="S654" s="567">
        <v>2.1777500000000001</v>
      </c>
      <c r="T654" s="567">
        <v>2.2377500000000001</v>
      </c>
      <c r="U654" s="567">
        <f t="shared" si="68"/>
        <v>22.893000000000001</v>
      </c>
      <c r="V654" s="567">
        <f t="shared" si="73"/>
        <v>1.87775</v>
      </c>
    </row>
    <row r="655" spans="1:22" x14ac:dyDescent="0.25">
      <c r="A655" s="567" t="str">
        <f t="shared" si="69"/>
        <v>KU</v>
      </c>
      <c r="B655" s="567" t="str">
        <f t="shared" si="71"/>
        <v>KY</v>
      </c>
      <c r="C655" s="567" t="str">
        <f t="shared" si="72"/>
        <v>E</v>
      </c>
      <c r="D655" s="567" t="s">
        <v>2656</v>
      </c>
      <c r="E655" s="567" t="str">
        <f t="shared" si="77"/>
        <v>312</v>
      </c>
      <c r="F655" s="864" t="s">
        <v>1621</v>
      </c>
      <c r="G655" s="566" t="str">
        <f t="shared" si="74"/>
        <v>STEAM</v>
      </c>
      <c r="H655" s="567">
        <v>6851.6649233333401</v>
      </c>
      <c r="I655" s="567">
        <v>6903.5800900000004</v>
      </c>
      <c r="J655" s="567">
        <v>6955.4952566666698</v>
      </c>
      <c r="K655" s="567">
        <v>7007.4104233333401</v>
      </c>
      <c r="L655" s="567">
        <v>7059.3255900000004</v>
      </c>
      <c r="M655" s="567">
        <v>7111.2407566666698</v>
      </c>
      <c r="N655" s="567">
        <v>7163.1559233333401</v>
      </c>
      <c r="O655" s="567">
        <v>7215.0710900000004</v>
      </c>
      <c r="P655" s="567">
        <v>7266.9862566666698</v>
      </c>
      <c r="Q655" s="567">
        <v>7318.9014233333401</v>
      </c>
      <c r="R655" s="567">
        <v>7370.8165900000004</v>
      </c>
      <c r="S655" s="567">
        <v>7422.7317566666698</v>
      </c>
      <c r="T655" s="567">
        <v>7474.6469233333401</v>
      </c>
      <c r="U655" s="567">
        <f t="shared" si="68"/>
        <v>86269.362080000035</v>
      </c>
      <c r="V655" s="567">
        <f t="shared" si="73"/>
        <v>7163.1559233333373</v>
      </c>
    </row>
    <row r="656" spans="1:22" x14ac:dyDescent="0.25">
      <c r="A656" s="567" t="str">
        <f t="shared" si="69"/>
        <v>KU</v>
      </c>
      <c r="B656" s="567" t="str">
        <f t="shared" si="71"/>
        <v>KY</v>
      </c>
      <c r="C656" s="567" t="str">
        <f t="shared" si="72"/>
        <v>E</v>
      </c>
      <c r="D656" s="567" t="s">
        <v>2656</v>
      </c>
      <c r="E656" s="567" t="str">
        <f t="shared" si="77"/>
        <v>312</v>
      </c>
      <c r="F656" s="864" t="s">
        <v>1622</v>
      </c>
      <c r="G656" s="566" t="str">
        <f t="shared" si="74"/>
        <v>STEAM</v>
      </c>
      <c r="H656" s="567">
        <v>3.8643333333333301</v>
      </c>
      <c r="I656" s="567">
        <v>3.9826666666666699</v>
      </c>
      <c r="J656" s="567">
        <v>4.101</v>
      </c>
      <c r="K656" s="567">
        <v>4.2193333333333296</v>
      </c>
      <c r="L656" s="567">
        <v>4.3376666666666699</v>
      </c>
      <c r="M656" s="567">
        <v>4.4560000000000004</v>
      </c>
      <c r="N656" s="567">
        <v>4.57433333333333</v>
      </c>
      <c r="O656" s="567">
        <v>4.6926666666666703</v>
      </c>
      <c r="P656" s="567">
        <v>4.8109999999999999</v>
      </c>
      <c r="Q656" s="567">
        <v>4.9293333333333296</v>
      </c>
      <c r="R656" s="567">
        <v>5.0476666666666699</v>
      </c>
      <c r="S656" s="567">
        <v>5.1660000000000004</v>
      </c>
      <c r="T656" s="567">
        <v>5.28433333333333</v>
      </c>
      <c r="U656" s="567">
        <f t="shared" si="68"/>
        <v>55.601999999999997</v>
      </c>
      <c r="V656" s="567">
        <f t="shared" si="73"/>
        <v>4.5743333333333336</v>
      </c>
    </row>
    <row r="657" spans="1:22" x14ac:dyDescent="0.25">
      <c r="A657" s="567" t="str">
        <f t="shared" si="69"/>
        <v>KU</v>
      </c>
      <c r="B657" s="567" t="str">
        <f t="shared" si="71"/>
        <v>KY</v>
      </c>
      <c r="C657" s="567" t="str">
        <f t="shared" si="72"/>
        <v>E</v>
      </c>
      <c r="D657" s="567" t="s">
        <v>2656</v>
      </c>
      <c r="E657" s="567" t="str">
        <f t="shared" si="77"/>
        <v>312</v>
      </c>
      <c r="F657" s="864" t="s">
        <v>1623</v>
      </c>
      <c r="G657" s="566" t="str">
        <f t="shared" si="74"/>
        <v>STEAM</v>
      </c>
      <c r="H657" s="567">
        <v>206.128166666667</v>
      </c>
      <c r="I657" s="567">
        <v>211.487666666667</v>
      </c>
      <c r="J657" s="567">
        <v>216.84716666666699</v>
      </c>
      <c r="K657" s="567">
        <v>222.20666666666699</v>
      </c>
      <c r="L657" s="567">
        <v>227.56616666666699</v>
      </c>
      <c r="M657" s="567">
        <v>232.92566666666701</v>
      </c>
      <c r="N657" s="567">
        <v>238.28516666666701</v>
      </c>
      <c r="O657" s="567">
        <v>243.64466666666701</v>
      </c>
      <c r="P657" s="567">
        <v>249.004166666667</v>
      </c>
      <c r="Q657" s="567">
        <v>254.363666666667</v>
      </c>
      <c r="R657" s="567">
        <v>259.723166666667</v>
      </c>
      <c r="S657" s="567">
        <v>265.08266666666702</v>
      </c>
      <c r="T657" s="567">
        <v>270.44216666666699</v>
      </c>
      <c r="U657" s="567">
        <f t="shared" si="68"/>
        <v>2891.5790000000043</v>
      </c>
      <c r="V657" s="567">
        <f t="shared" si="73"/>
        <v>238.28516666666704</v>
      </c>
    </row>
    <row r="658" spans="1:22" x14ac:dyDescent="0.25">
      <c r="A658" s="567" t="str">
        <f t="shared" si="69"/>
        <v>KU</v>
      </c>
      <c r="B658" s="567" t="str">
        <f t="shared" si="71"/>
        <v>KY</v>
      </c>
      <c r="C658" s="567" t="str">
        <f t="shared" si="72"/>
        <v>E</v>
      </c>
      <c r="D658" s="567" t="s">
        <v>2656</v>
      </c>
      <c r="E658" s="567" t="str">
        <f t="shared" si="77"/>
        <v>315</v>
      </c>
      <c r="F658" s="864" t="s">
        <v>1628</v>
      </c>
      <c r="G658" s="566" t="str">
        <f t="shared" si="74"/>
        <v>STEAM</v>
      </c>
      <c r="H658" s="567">
        <v>2.3035000000000001</v>
      </c>
      <c r="I658" s="567">
        <v>2.3714166666666698</v>
      </c>
      <c r="J658" s="567">
        <v>2.4393333333333298</v>
      </c>
      <c r="K658" s="567">
        <v>2.50725</v>
      </c>
      <c r="L658" s="567">
        <v>2.5751666666666702</v>
      </c>
      <c r="M658" s="567">
        <v>2.6430833333333301</v>
      </c>
      <c r="N658" s="567">
        <v>2.7109999999999999</v>
      </c>
      <c r="O658" s="567">
        <v>2.77891666666667</v>
      </c>
      <c r="P658" s="567">
        <v>2.84683333333333</v>
      </c>
      <c r="Q658" s="567">
        <v>2.9147500000000002</v>
      </c>
      <c r="R658" s="567">
        <v>2.9826666666666699</v>
      </c>
      <c r="S658" s="567">
        <v>3.0505833333333299</v>
      </c>
      <c r="T658" s="567">
        <v>3.1185</v>
      </c>
      <c r="U658" s="567">
        <f t="shared" si="68"/>
        <v>32.939499999999995</v>
      </c>
      <c r="V658" s="567">
        <f t="shared" si="73"/>
        <v>2.7110000000000003</v>
      </c>
    </row>
    <row r="659" spans="1:22" x14ac:dyDescent="0.25">
      <c r="A659" s="567" t="str">
        <f t="shared" si="69"/>
        <v>KU</v>
      </c>
      <c r="B659" s="567" t="str">
        <f t="shared" si="71"/>
        <v>KY</v>
      </c>
      <c r="C659" s="567" t="str">
        <f t="shared" si="72"/>
        <v>E</v>
      </c>
      <c r="D659" s="567" t="s">
        <v>2656</v>
      </c>
      <c r="E659" s="567" t="str">
        <f t="shared" si="77"/>
        <v>334</v>
      </c>
      <c r="F659" s="864" t="s">
        <v>1636</v>
      </c>
      <c r="G659" s="566" t="str">
        <f t="shared" si="74"/>
        <v>HYDRO</v>
      </c>
      <c r="H659" s="567">
        <v>19.841999999999999</v>
      </c>
      <c r="I659" s="567">
        <v>20.109749999999998</v>
      </c>
      <c r="J659" s="567">
        <v>20.377500000000001</v>
      </c>
      <c r="K659" s="567">
        <v>20.645250000000001</v>
      </c>
      <c r="L659" s="567">
        <v>20.913</v>
      </c>
      <c r="M659" s="567">
        <v>21.18075</v>
      </c>
      <c r="N659" s="567">
        <v>21.448499999999999</v>
      </c>
      <c r="O659" s="567">
        <v>21.716249999999999</v>
      </c>
      <c r="P659" s="567">
        <v>21.984000000000002</v>
      </c>
      <c r="Q659" s="567">
        <v>22.251750000000001</v>
      </c>
      <c r="R659" s="567">
        <v>22.519500000000001</v>
      </c>
      <c r="S659" s="567">
        <v>22.78725</v>
      </c>
      <c r="T659" s="567">
        <v>23.055</v>
      </c>
      <c r="U659" s="567">
        <f t="shared" si="68"/>
        <v>258.98849999999999</v>
      </c>
      <c r="V659" s="567">
        <f t="shared" si="73"/>
        <v>21.448499999999999</v>
      </c>
    </row>
    <row r="660" spans="1:22" x14ac:dyDescent="0.25">
      <c r="A660" s="567" t="str">
        <f t="shared" si="69"/>
        <v>KU</v>
      </c>
      <c r="B660" s="567" t="str">
        <f t="shared" si="71"/>
        <v>KY</v>
      </c>
      <c r="C660" s="567" t="str">
        <f t="shared" si="72"/>
        <v>E</v>
      </c>
      <c r="D660" s="567" t="s">
        <v>2656</v>
      </c>
      <c r="E660" s="567" t="str">
        <f t="shared" si="77"/>
        <v>342</v>
      </c>
      <c r="F660" s="864" t="s">
        <v>1646</v>
      </c>
      <c r="G660" s="566" t="str">
        <f t="shared" si="74"/>
        <v>OTHER</v>
      </c>
      <c r="H660" s="567">
        <v>1776.4663499999999</v>
      </c>
      <c r="I660" s="567">
        <v>1791.82185</v>
      </c>
      <c r="J660" s="567">
        <v>1807.1773499999999</v>
      </c>
      <c r="K660" s="567">
        <v>1822.5328500000001</v>
      </c>
      <c r="L660" s="567">
        <v>1837.8883499999999</v>
      </c>
      <c r="M660" s="567">
        <v>1853.2438500000001</v>
      </c>
      <c r="N660" s="567">
        <v>1868.59935</v>
      </c>
      <c r="O660" s="567">
        <v>1883.9548500000001</v>
      </c>
      <c r="P660" s="567">
        <v>1899.31035</v>
      </c>
      <c r="Q660" s="567">
        <v>1914.6658500000001</v>
      </c>
      <c r="R660" s="567">
        <v>1930.02135</v>
      </c>
      <c r="S660" s="567">
        <v>1945.3768500000001</v>
      </c>
      <c r="T660" s="567">
        <v>1960.73235</v>
      </c>
      <c r="U660" s="567">
        <f t="shared" si="68"/>
        <v>22515.325199999999</v>
      </c>
      <c r="V660" s="567">
        <f t="shared" si="73"/>
        <v>1868.5993500000002</v>
      </c>
    </row>
    <row r="661" spans="1:22" x14ac:dyDescent="0.25">
      <c r="A661" s="567" t="str">
        <f t="shared" si="69"/>
        <v>KU</v>
      </c>
      <c r="B661" s="567" t="str">
        <f t="shared" si="71"/>
        <v>KY</v>
      </c>
      <c r="C661" s="567" t="str">
        <f t="shared" si="72"/>
        <v>E</v>
      </c>
      <c r="D661" s="567" t="s">
        <v>2656</v>
      </c>
      <c r="E661" s="567" t="str">
        <f t="shared" si="77"/>
        <v>353</v>
      </c>
      <c r="F661" s="864" t="s">
        <v>1667</v>
      </c>
      <c r="G661" s="566" t="str">
        <f t="shared" si="74"/>
        <v>TRANSMISSION</v>
      </c>
      <c r="H661" s="567">
        <v>339.08556333333303</v>
      </c>
      <c r="I661" s="567">
        <v>341.75656333333302</v>
      </c>
      <c r="J661" s="567">
        <v>344.42756333333301</v>
      </c>
      <c r="K661" s="567">
        <v>347.098563333333</v>
      </c>
      <c r="L661" s="567">
        <v>349.769563333333</v>
      </c>
      <c r="M661" s="567">
        <v>352.44056333333299</v>
      </c>
      <c r="N661" s="567">
        <v>355.11156333333298</v>
      </c>
      <c r="O661" s="567">
        <v>357.78256333333297</v>
      </c>
      <c r="P661" s="567">
        <v>360.45356333333302</v>
      </c>
      <c r="Q661" s="567">
        <v>363.12456333333301</v>
      </c>
      <c r="R661" s="567">
        <v>365.79556333333301</v>
      </c>
      <c r="S661" s="567">
        <v>368.466563333333</v>
      </c>
      <c r="T661" s="567">
        <v>371.13756333333299</v>
      </c>
      <c r="U661" s="567">
        <f t="shared" si="68"/>
        <v>4277.3647599999958</v>
      </c>
      <c r="V661" s="567">
        <f t="shared" si="73"/>
        <v>355.11156333333298</v>
      </c>
    </row>
    <row r="662" spans="1:22" x14ac:dyDescent="0.25">
      <c r="A662" s="567" t="str">
        <f t="shared" si="69"/>
        <v>KY</v>
      </c>
      <c r="B662" s="567" t="str">
        <f t="shared" si="71"/>
        <v xml:space="preserve"> A</v>
      </c>
      <c r="C662" s="567" t="str">
        <f t="shared" si="72"/>
        <v/>
      </c>
      <c r="D662" s="567" t="s">
        <v>2656</v>
      </c>
      <c r="E662" s="567" t="str">
        <f t="shared" si="77"/>
        <v>lan</v>
      </c>
      <c r="F662" s="864" t="s">
        <v>1740</v>
      </c>
      <c r="G662" s="566" t="str">
        <f t="shared" si="74"/>
        <v/>
      </c>
      <c r="H662" s="567">
        <v>9200.8725866666719</v>
      </c>
      <c r="I662" s="567">
        <v>9276.6877533333336</v>
      </c>
      <c r="J662" s="567">
        <v>9352.5029200000026</v>
      </c>
      <c r="K662" s="567">
        <v>9428.3180866666735</v>
      </c>
      <c r="L662" s="567">
        <v>9504.1332533333334</v>
      </c>
      <c r="M662" s="567">
        <v>9579.9484200000043</v>
      </c>
      <c r="N662" s="567">
        <v>9655.7635866666733</v>
      </c>
      <c r="O662" s="567">
        <v>9731.5787533333332</v>
      </c>
      <c r="P662" s="567">
        <v>9807.3939200000023</v>
      </c>
      <c r="Q662" s="567">
        <v>9883.2090866666731</v>
      </c>
      <c r="R662" s="567">
        <v>9959.024253333333</v>
      </c>
      <c r="S662" s="567">
        <v>10034.839420000004</v>
      </c>
      <c r="T662" s="567">
        <v>10110.654586666673</v>
      </c>
      <c r="U662" s="567">
        <f t="shared" si="68"/>
        <v>116324.05404000003</v>
      </c>
      <c r="V662" s="567">
        <f t="shared" si="73"/>
        <v>9655.7635866666697</v>
      </c>
    </row>
    <row r="663" spans="1:22" x14ac:dyDescent="0.25">
      <c r="A663" s="567" t="str">
        <f t="shared" si="69"/>
        <v/>
      </c>
      <c r="B663" s="567" t="str">
        <f t="shared" si="71"/>
        <v/>
      </c>
      <c r="C663" s="567" t="str">
        <f t="shared" si="72"/>
        <v/>
      </c>
      <c r="E663" s="567" t="str">
        <f t="shared" si="77"/>
        <v/>
      </c>
      <c r="G663" s="566" t="str">
        <f t="shared" si="74"/>
        <v/>
      </c>
      <c r="H663" s="567">
        <v>0</v>
      </c>
      <c r="I663" s="567">
        <v>0</v>
      </c>
      <c r="J663" s="567">
        <v>0</v>
      </c>
      <c r="K663" s="567">
        <v>0</v>
      </c>
      <c r="L663" s="567">
        <v>0</v>
      </c>
      <c r="M663" s="567">
        <v>0</v>
      </c>
      <c r="N663" s="567">
        <v>0</v>
      </c>
      <c r="O663" s="567">
        <v>0</v>
      </c>
      <c r="P663" s="567">
        <v>0</v>
      </c>
      <c r="Q663" s="567">
        <v>0</v>
      </c>
      <c r="R663" s="567">
        <v>0</v>
      </c>
      <c r="S663" s="567">
        <v>0</v>
      </c>
      <c r="T663" s="567">
        <v>7.2759576141834259E-11</v>
      </c>
      <c r="U663" s="567">
        <f t="shared" ref="U663:U716" si="78">SUM(I663:T663)</f>
        <v>7.2759576141834259E-11</v>
      </c>
      <c r="V663" s="567">
        <f t="shared" si="73"/>
        <v>5.5968904724487895E-12</v>
      </c>
    </row>
    <row r="664" spans="1:22" x14ac:dyDescent="0.25">
      <c r="A664" s="567" t="str">
        <f t="shared" si="69"/>
        <v/>
      </c>
      <c r="B664" s="567" t="str">
        <f t="shared" si="71"/>
        <v/>
      </c>
      <c r="C664" s="567" t="str">
        <f t="shared" si="72"/>
        <v/>
      </c>
      <c r="E664" s="567" t="str">
        <f t="shared" si="77"/>
        <v/>
      </c>
      <c r="G664" s="566" t="str">
        <f t="shared" si="74"/>
        <v/>
      </c>
      <c r="U664" s="567">
        <f t="shared" si="78"/>
        <v>0</v>
      </c>
      <c r="V664" s="567">
        <f t="shared" si="73"/>
        <v>0</v>
      </c>
    </row>
    <row r="665" spans="1:22" x14ac:dyDescent="0.25">
      <c r="A665" s="567" t="str">
        <f t="shared" ref="A665:A728" si="79">MID($F665,4,2)</f>
        <v/>
      </c>
      <c r="B665" s="567" t="str">
        <f t="shared" si="71"/>
        <v/>
      </c>
      <c r="C665" s="567" t="str">
        <f t="shared" si="72"/>
        <v/>
      </c>
      <c r="E665" s="567" t="str">
        <f t="shared" si="77"/>
        <v/>
      </c>
      <c r="G665" s="566" t="str">
        <f t="shared" si="74"/>
        <v/>
      </c>
      <c r="U665" s="567">
        <f t="shared" si="78"/>
        <v>0</v>
      </c>
      <c r="V665" s="567">
        <f t="shared" si="73"/>
        <v>0</v>
      </c>
    </row>
    <row r="666" spans="1:22" x14ac:dyDescent="0.25">
      <c r="A666" s="567" t="str">
        <f t="shared" si="79"/>
        <v/>
      </c>
      <c r="B666" s="567" t="str">
        <f t="shared" si="71"/>
        <v/>
      </c>
      <c r="C666" s="567" t="str">
        <f t="shared" si="72"/>
        <v/>
      </c>
      <c r="E666" s="567" t="str">
        <f t="shared" si="77"/>
        <v/>
      </c>
      <c r="G666" s="566" t="str">
        <f t="shared" si="74"/>
        <v/>
      </c>
      <c r="U666" s="567">
        <f t="shared" si="78"/>
        <v>0</v>
      </c>
      <c r="V666" s="567">
        <f t="shared" si="73"/>
        <v>0</v>
      </c>
    </row>
    <row r="667" spans="1:22" x14ac:dyDescent="0.25">
      <c r="A667" s="567" t="str">
        <f t="shared" si="79"/>
        <v/>
      </c>
      <c r="B667" s="567" t="str">
        <f t="shared" si="71"/>
        <v/>
      </c>
      <c r="C667" s="567" t="str">
        <f t="shared" si="72"/>
        <v/>
      </c>
      <c r="E667" s="567" t="str">
        <f t="shared" si="77"/>
        <v/>
      </c>
      <c r="G667" s="566" t="str">
        <f t="shared" si="74"/>
        <v/>
      </c>
      <c r="U667" s="567">
        <f t="shared" si="78"/>
        <v>0</v>
      </c>
      <c r="V667" s="567">
        <f t="shared" si="73"/>
        <v>0</v>
      </c>
    </row>
    <row r="668" spans="1:22" x14ac:dyDescent="0.25">
      <c r="A668" s="567" t="str">
        <f t="shared" si="79"/>
        <v/>
      </c>
      <c r="B668" s="567" t="str">
        <f t="shared" si="71"/>
        <v/>
      </c>
      <c r="C668" s="567" t="str">
        <f t="shared" si="72"/>
        <v/>
      </c>
      <c r="E668" s="567" t="str">
        <f t="shared" si="77"/>
        <v/>
      </c>
      <c r="G668" s="566" t="str">
        <f t="shared" si="74"/>
        <v/>
      </c>
      <c r="U668" s="567">
        <f t="shared" si="78"/>
        <v>0</v>
      </c>
      <c r="V668" s="567">
        <f t="shared" si="73"/>
        <v>0</v>
      </c>
    </row>
    <row r="669" spans="1:22" x14ac:dyDescent="0.25">
      <c r="A669" s="567" t="str">
        <f t="shared" si="79"/>
        <v/>
      </c>
      <c r="B669" s="567" t="str">
        <f t="shared" si="71"/>
        <v/>
      </c>
      <c r="C669" s="567" t="str">
        <f t="shared" si="72"/>
        <v/>
      </c>
      <c r="E669" s="567" t="str">
        <f t="shared" si="77"/>
        <v/>
      </c>
      <c r="G669" s="566" t="str">
        <f t="shared" si="74"/>
        <v/>
      </c>
      <c r="U669" s="567">
        <f t="shared" si="78"/>
        <v>0</v>
      </c>
      <c r="V669" s="567">
        <f t="shared" si="73"/>
        <v>0</v>
      </c>
    </row>
    <row r="670" spans="1:22" x14ac:dyDescent="0.25">
      <c r="A670" s="567" t="str">
        <f t="shared" si="79"/>
        <v/>
      </c>
      <c r="B670" s="567" t="str">
        <f t="shared" si="71"/>
        <v/>
      </c>
      <c r="C670" s="567" t="str">
        <f t="shared" si="72"/>
        <v/>
      </c>
      <c r="G670" s="566" t="str">
        <f t="shared" si="74"/>
        <v/>
      </c>
      <c r="U670" s="567">
        <f t="shared" si="78"/>
        <v>0</v>
      </c>
      <c r="V670" s="567">
        <f t="shared" si="73"/>
        <v>0</v>
      </c>
    </row>
    <row r="671" spans="1:22" x14ac:dyDescent="0.25">
      <c r="A671" s="567" t="str">
        <f t="shared" si="79"/>
        <v/>
      </c>
      <c r="B671" s="567" t="str">
        <f t="shared" si="71"/>
        <v/>
      </c>
      <c r="C671" s="567" t="str">
        <f t="shared" si="72"/>
        <v/>
      </c>
      <c r="G671" s="566" t="str">
        <f t="shared" si="74"/>
        <v/>
      </c>
      <c r="U671" s="567">
        <f t="shared" si="78"/>
        <v>0</v>
      </c>
      <c r="V671" s="567">
        <f t="shared" si="73"/>
        <v>0</v>
      </c>
    </row>
    <row r="672" spans="1:22" x14ac:dyDescent="0.25">
      <c r="A672" s="567" t="str">
        <f t="shared" si="79"/>
        <v/>
      </c>
      <c r="B672" s="567" t="str">
        <f t="shared" si="71"/>
        <v/>
      </c>
      <c r="C672" s="567" t="str">
        <f t="shared" si="72"/>
        <v/>
      </c>
      <c r="G672" s="566" t="str">
        <f t="shared" si="74"/>
        <v/>
      </c>
      <c r="U672" s="567">
        <f t="shared" si="78"/>
        <v>0</v>
      </c>
      <c r="V672" s="567">
        <f t="shared" si="73"/>
        <v>0</v>
      </c>
    </row>
    <row r="673" spans="1:22" x14ac:dyDescent="0.25">
      <c r="A673" s="567" t="str">
        <f t="shared" si="79"/>
        <v/>
      </c>
      <c r="B673" s="567" t="str">
        <f t="shared" si="71"/>
        <v/>
      </c>
      <c r="C673" s="567" t="str">
        <f t="shared" si="72"/>
        <v/>
      </c>
      <c r="E673" s="567" t="str">
        <f t="shared" ref="E673:E686" si="80">MID($F673,8,3)</f>
        <v/>
      </c>
      <c r="G673" s="566" t="str">
        <f t="shared" si="74"/>
        <v/>
      </c>
      <c r="U673" s="567">
        <f t="shared" si="78"/>
        <v>0</v>
      </c>
      <c r="V673" s="567">
        <f t="shared" si="73"/>
        <v>0</v>
      </c>
    </row>
    <row r="674" spans="1:22" x14ac:dyDescent="0.25">
      <c r="A674" s="567" t="str">
        <f t="shared" si="79"/>
        <v/>
      </c>
      <c r="B674" s="567" t="str">
        <f t="shared" si="71"/>
        <v/>
      </c>
      <c r="C674" s="567" t="str">
        <f t="shared" si="72"/>
        <v/>
      </c>
      <c r="E674" s="567" t="str">
        <f t="shared" si="80"/>
        <v/>
      </c>
      <c r="G674" s="566" t="str">
        <f t="shared" si="74"/>
        <v/>
      </c>
      <c r="U674" s="567">
        <f t="shared" si="78"/>
        <v>0</v>
      </c>
      <c r="V674" s="567">
        <f t="shared" si="73"/>
        <v>0</v>
      </c>
    </row>
    <row r="675" spans="1:22" x14ac:dyDescent="0.25">
      <c r="A675" s="567" t="str">
        <f t="shared" si="79"/>
        <v/>
      </c>
      <c r="B675" s="567" t="str">
        <f t="shared" si="71"/>
        <v/>
      </c>
      <c r="C675" s="567" t="str">
        <f t="shared" si="72"/>
        <v/>
      </c>
      <c r="E675" s="567" t="str">
        <f t="shared" si="80"/>
        <v/>
      </c>
      <c r="G675" s="566" t="str">
        <f t="shared" si="74"/>
        <v/>
      </c>
      <c r="U675" s="567">
        <f t="shared" si="78"/>
        <v>0</v>
      </c>
      <c r="V675" s="567">
        <f t="shared" si="73"/>
        <v>0</v>
      </c>
    </row>
    <row r="676" spans="1:22" x14ac:dyDescent="0.25">
      <c r="A676" s="567" t="str">
        <f t="shared" si="79"/>
        <v/>
      </c>
      <c r="B676" s="567" t="str">
        <f t="shared" si="71"/>
        <v/>
      </c>
      <c r="C676" s="567" t="str">
        <f t="shared" si="72"/>
        <v/>
      </c>
      <c r="E676" s="567" t="str">
        <f t="shared" si="80"/>
        <v/>
      </c>
      <c r="G676" s="566" t="str">
        <f t="shared" si="74"/>
        <v/>
      </c>
      <c r="U676" s="567">
        <f t="shared" si="78"/>
        <v>0</v>
      </c>
      <c r="V676" s="567">
        <f t="shared" si="73"/>
        <v>0</v>
      </c>
    </row>
    <row r="677" spans="1:22" x14ac:dyDescent="0.25">
      <c r="A677" s="567" t="str">
        <f t="shared" si="79"/>
        <v/>
      </c>
      <c r="B677" s="567" t="str">
        <f t="shared" si="71"/>
        <v/>
      </c>
      <c r="C677" s="567" t="str">
        <f t="shared" si="72"/>
        <v/>
      </c>
      <c r="E677" s="567" t="str">
        <f t="shared" si="80"/>
        <v/>
      </c>
      <c r="G677" s="566" t="str">
        <f t="shared" si="74"/>
        <v/>
      </c>
      <c r="U677" s="567">
        <f t="shared" si="78"/>
        <v>0</v>
      </c>
      <c r="V677" s="567">
        <f t="shared" si="73"/>
        <v>0</v>
      </c>
    </row>
    <row r="678" spans="1:22" x14ac:dyDescent="0.25">
      <c r="A678" s="567" t="str">
        <f t="shared" si="79"/>
        <v/>
      </c>
      <c r="B678" s="567" t="str">
        <f t="shared" ref="B678:B741" si="81">IF(MID($F678,12,2)="- ","KY",IF(MID($F678,12,2)="SY","KY",MID($F678,12,2)))</f>
        <v/>
      </c>
      <c r="C678" s="567" t="str">
        <f t="shared" si="72"/>
        <v/>
      </c>
      <c r="E678" s="567" t="str">
        <f t="shared" si="80"/>
        <v/>
      </c>
      <c r="G678" s="566" t="str">
        <f t="shared" si="74"/>
        <v/>
      </c>
      <c r="U678" s="567">
        <f t="shared" si="78"/>
        <v>0</v>
      </c>
      <c r="V678" s="567">
        <f t="shared" si="73"/>
        <v>0</v>
      </c>
    </row>
    <row r="679" spans="1:22" x14ac:dyDescent="0.25">
      <c r="A679" s="567" t="str">
        <f t="shared" si="79"/>
        <v/>
      </c>
      <c r="B679" s="567" t="str">
        <f t="shared" si="81"/>
        <v/>
      </c>
      <c r="C679" s="567" t="str">
        <f t="shared" si="72"/>
        <v/>
      </c>
      <c r="E679" s="567" t="str">
        <f t="shared" si="80"/>
        <v/>
      </c>
      <c r="G679" s="566" t="str">
        <f t="shared" si="74"/>
        <v/>
      </c>
      <c r="U679" s="567">
        <f t="shared" si="78"/>
        <v>0</v>
      </c>
      <c r="V679" s="567">
        <f t="shared" si="73"/>
        <v>0</v>
      </c>
    </row>
    <row r="680" spans="1:22" x14ac:dyDescent="0.25">
      <c r="A680" s="567" t="str">
        <f t="shared" si="79"/>
        <v/>
      </c>
      <c r="B680" s="567" t="str">
        <f t="shared" si="81"/>
        <v/>
      </c>
      <c r="C680" s="567" t="str">
        <f t="shared" si="72"/>
        <v/>
      </c>
      <c r="E680" s="567" t="str">
        <f t="shared" si="80"/>
        <v/>
      </c>
      <c r="G680" s="566" t="str">
        <f t="shared" si="74"/>
        <v/>
      </c>
      <c r="U680" s="567">
        <f t="shared" si="78"/>
        <v>0</v>
      </c>
      <c r="V680" s="567">
        <f t="shared" si="73"/>
        <v>0</v>
      </c>
    </row>
    <row r="681" spans="1:22" x14ac:dyDescent="0.25">
      <c r="A681" s="567" t="str">
        <f t="shared" si="79"/>
        <v/>
      </c>
      <c r="B681" s="567" t="str">
        <f t="shared" si="81"/>
        <v/>
      </c>
      <c r="C681" s="567" t="str">
        <f t="shared" si="72"/>
        <v/>
      </c>
      <c r="E681" s="567" t="str">
        <f t="shared" si="80"/>
        <v/>
      </c>
      <c r="G681" s="566" t="str">
        <f t="shared" si="74"/>
        <v/>
      </c>
      <c r="U681" s="567">
        <f t="shared" si="78"/>
        <v>0</v>
      </c>
      <c r="V681" s="567">
        <f t="shared" ref="V681:V706" si="82">SUM(H681:T681)/13</f>
        <v>0</v>
      </c>
    </row>
    <row r="682" spans="1:22" x14ac:dyDescent="0.25">
      <c r="A682" s="567" t="str">
        <f t="shared" si="79"/>
        <v/>
      </c>
      <c r="B682" s="567" t="str">
        <f t="shared" si="81"/>
        <v/>
      </c>
      <c r="C682" s="567" t="str">
        <f t="shared" ref="C682:C713" si="83">IF(ISTEXT(MID($F682,SEARCH("FUTURE USE",$F682),3)),"F",IF(MID($F682,7,1)="1","E",IF(MID($F682,7,1)="2","G",IF(MID($F682,7,1)="3","C",""))))</f>
        <v/>
      </c>
      <c r="E682" s="567" t="str">
        <f t="shared" si="80"/>
        <v/>
      </c>
      <c r="G682" s="566" t="str">
        <f t="shared" si="74"/>
        <v/>
      </c>
      <c r="U682" s="567">
        <f t="shared" si="78"/>
        <v>0</v>
      </c>
      <c r="V682" s="567">
        <f t="shared" si="82"/>
        <v>0</v>
      </c>
    </row>
    <row r="683" spans="1:22" x14ac:dyDescent="0.25">
      <c r="A683" s="567" t="str">
        <f t="shared" si="79"/>
        <v/>
      </c>
      <c r="B683" s="567" t="str">
        <f t="shared" si="81"/>
        <v/>
      </c>
      <c r="C683" s="567" t="str">
        <f t="shared" si="83"/>
        <v/>
      </c>
      <c r="E683" s="567" t="str">
        <f t="shared" si="80"/>
        <v/>
      </c>
      <c r="G683" s="566" t="str">
        <f t="shared" si="74"/>
        <v/>
      </c>
      <c r="U683" s="567">
        <f t="shared" si="78"/>
        <v>0</v>
      </c>
      <c r="V683" s="567">
        <f t="shared" si="82"/>
        <v>0</v>
      </c>
    </row>
    <row r="684" spans="1:22" x14ac:dyDescent="0.25">
      <c r="A684" s="567" t="str">
        <f t="shared" si="79"/>
        <v/>
      </c>
      <c r="B684" s="567" t="str">
        <f t="shared" si="81"/>
        <v/>
      </c>
      <c r="C684" s="567" t="str">
        <f t="shared" si="83"/>
        <v/>
      </c>
      <c r="E684" s="567" t="str">
        <f t="shared" si="80"/>
        <v/>
      </c>
      <c r="G684" s="566" t="str">
        <f t="shared" si="74"/>
        <v/>
      </c>
      <c r="U684" s="567">
        <f t="shared" si="78"/>
        <v>0</v>
      </c>
      <c r="V684" s="567">
        <f t="shared" si="82"/>
        <v>0</v>
      </c>
    </row>
    <row r="685" spans="1:22" x14ac:dyDescent="0.25">
      <c r="A685" s="567" t="str">
        <f t="shared" si="79"/>
        <v/>
      </c>
      <c r="B685" s="567" t="str">
        <f t="shared" si="81"/>
        <v/>
      </c>
      <c r="C685" s="567" t="str">
        <f t="shared" si="83"/>
        <v/>
      </c>
      <c r="E685" s="567" t="str">
        <f t="shared" si="80"/>
        <v/>
      </c>
      <c r="G685" s="566" t="str">
        <f t="shared" si="74"/>
        <v/>
      </c>
      <c r="U685" s="567">
        <f t="shared" si="78"/>
        <v>0</v>
      </c>
      <c r="V685" s="567">
        <f t="shared" si="82"/>
        <v>0</v>
      </c>
    </row>
    <row r="686" spans="1:22" x14ac:dyDescent="0.25">
      <c r="A686" s="567" t="str">
        <f t="shared" si="79"/>
        <v/>
      </c>
      <c r="B686" s="567" t="str">
        <f t="shared" si="81"/>
        <v/>
      </c>
      <c r="C686" s="567" t="str">
        <f t="shared" si="83"/>
        <v/>
      </c>
      <c r="E686" s="567" t="str">
        <f t="shared" si="80"/>
        <v/>
      </c>
      <c r="G686" s="566" t="str">
        <f t="shared" si="74"/>
        <v/>
      </c>
      <c r="U686" s="567">
        <f t="shared" si="78"/>
        <v>0</v>
      </c>
      <c r="V686" s="567">
        <f t="shared" si="82"/>
        <v>0</v>
      </c>
    </row>
    <row r="687" spans="1:22" x14ac:dyDescent="0.25">
      <c r="A687" s="567" t="str">
        <f t="shared" si="79"/>
        <v/>
      </c>
      <c r="B687" s="567" t="str">
        <f t="shared" si="81"/>
        <v/>
      </c>
      <c r="C687" s="567" t="str">
        <f t="shared" si="83"/>
        <v/>
      </c>
      <c r="G687" s="566" t="str">
        <f t="shared" ref="G687:G701" si="84">IF(ISTEXT(MID($F687,SEARCH("HYDRO PRODUCTION",$F687),9)),"HYDRO",IF(ISTEXT(MID($F687,SEARCH("OTHER PRODUCTION",$F687),9)),"OTHER",IF(ISTEXT(MID($F687,SEARCH("STEAM PRODUCTION",$F687),9)),"STEAM",IF(ISTEXT(MID($F687,SEARCH("TRANSMISSION",$F687),9)),"TRANSMISSION",IF(ISTEXT(MID($F687,SEARCH("DISTRIBUTION",$F687),9)),"DISTRIBUTION",IF(ISTEXT(MID($F687,SEARCH("COMMON",$F687),9)),"COMMON",IF(ISTEXT(MID($F687,SEARCH("GENERAL",$F687),9)),"GENERAL",IF(ISTEXT(MID($F687,SEARCH("INTANGIBLE",$F687),9)),"INTANGIBLE",IF(ISTEXT(MID($F687,SEARCH("STORAGE",$F687),3)),"STORAGE","")))))))))</f>
        <v/>
      </c>
      <c r="U687" s="567">
        <f t="shared" si="78"/>
        <v>0</v>
      </c>
      <c r="V687" s="567">
        <f t="shared" si="82"/>
        <v>0</v>
      </c>
    </row>
    <row r="688" spans="1:22" x14ac:dyDescent="0.25">
      <c r="A688" s="567" t="str">
        <f t="shared" si="79"/>
        <v/>
      </c>
      <c r="B688" s="567" t="str">
        <f t="shared" si="81"/>
        <v/>
      </c>
      <c r="C688" s="567" t="str">
        <f t="shared" si="83"/>
        <v/>
      </c>
      <c r="D688" s="567" t="str">
        <f t="shared" ref="C688:D738" si="85">IF(ISTEXT(MID($E688,SEARCH("FUTURE USE",$E688),3)),"F",IF(MID($E688,8,1)="1","E",IF(MID($E688,8,1)="2","G",IF(MID($E688,8,1)="3","C",""))))</f>
        <v/>
      </c>
      <c r="G688" s="566" t="str">
        <f t="shared" si="84"/>
        <v/>
      </c>
      <c r="U688" s="567">
        <f t="shared" si="78"/>
        <v>0</v>
      </c>
      <c r="V688" s="567">
        <f t="shared" si="82"/>
        <v>0</v>
      </c>
    </row>
    <row r="689" spans="1:22" x14ac:dyDescent="0.25">
      <c r="A689" s="567" t="str">
        <f t="shared" si="79"/>
        <v/>
      </c>
      <c r="B689" s="567" t="str">
        <f t="shared" si="81"/>
        <v/>
      </c>
      <c r="C689" s="567" t="str">
        <f t="shared" si="83"/>
        <v/>
      </c>
      <c r="D689" s="567" t="str">
        <f t="shared" si="85"/>
        <v/>
      </c>
      <c r="G689" s="566" t="str">
        <f t="shared" si="84"/>
        <v/>
      </c>
      <c r="U689" s="567">
        <f t="shared" si="78"/>
        <v>0</v>
      </c>
      <c r="V689" s="567">
        <f t="shared" si="82"/>
        <v>0</v>
      </c>
    </row>
    <row r="690" spans="1:22" x14ac:dyDescent="0.25">
      <c r="A690" s="567" t="str">
        <f t="shared" si="79"/>
        <v/>
      </c>
      <c r="B690" s="567" t="str">
        <f t="shared" si="81"/>
        <v/>
      </c>
      <c r="C690" s="567" t="str">
        <f t="shared" si="83"/>
        <v/>
      </c>
      <c r="D690" s="567" t="str">
        <f t="shared" si="85"/>
        <v/>
      </c>
      <c r="G690" s="566" t="str">
        <f t="shared" si="84"/>
        <v/>
      </c>
      <c r="U690" s="567">
        <f t="shared" si="78"/>
        <v>0</v>
      </c>
      <c r="V690" s="567">
        <f t="shared" si="82"/>
        <v>0</v>
      </c>
    </row>
    <row r="691" spans="1:22" x14ac:dyDescent="0.25">
      <c r="A691" s="567" t="str">
        <f t="shared" si="79"/>
        <v/>
      </c>
      <c r="B691" s="567" t="str">
        <f t="shared" si="81"/>
        <v/>
      </c>
      <c r="C691" s="567" t="str">
        <f t="shared" si="83"/>
        <v/>
      </c>
      <c r="D691" s="567" t="str">
        <f t="shared" si="85"/>
        <v/>
      </c>
      <c r="G691" s="566" t="str">
        <f t="shared" si="84"/>
        <v/>
      </c>
      <c r="U691" s="567">
        <f t="shared" si="78"/>
        <v>0</v>
      </c>
      <c r="V691" s="567">
        <f t="shared" si="82"/>
        <v>0</v>
      </c>
    </row>
    <row r="692" spans="1:22" x14ac:dyDescent="0.25">
      <c r="A692" s="567" t="str">
        <f t="shared" si="79"/>
        <v/>
      </c>
      <c r="B692" s="567" t="str">
        <f t="shared" si="81"/>
        <v/>
      </c>
      <c r="C692" s="567" t="str">
        <f t="shared" si="83"/>
        <v/>
      </c>
      <c r="D692" s="567" t="str">
        <f t="shared" si="85"/>
        <v/>
      </c>
      <c r="G692" s="566" t="str">
        <f t="shared" si="84"/>
        <v/>
      </c>
      <c r="U692" s="567">
        <f t="shared" si="78"/>
        <v>0</v>
      </c>
      <c r="V692" s="567">
        <f t="shared" si="82"/>
        <v>0</v>
      </c>
    </row>
    <row r="693" spans="1:22" x14ac:dyDescent="0.25">
      <c r="A693" s="567" t="str">
        <f t="shared" si="79"/>
        <v/>
      </c>
      <c r="B693" s="567" t="str">
        <f t="shared" si="81"/>
        <v/>
      </c>
      <c r="C693" s="567" t="str">
        <f t="shared" si="83"/>
        <v/>
      </c>
      <c r="D693" s="567" t="str">
        <f t="shared" si="85"/>
        <v/>
      </c>
      <c r="G693" s="566" t="str">
        <f t="shared" si="84"/>
        <v/>
      </c>
      <c r="U693" s="567">
        <f t="shared" si="78"/>
        <v>0</v>
      </c>
      <c r="V693" s="567">
        <f t="shared" si="82"/>
        <v>0</v>
      </c>
    </row>
    <row r="694" spans="1:22" x14ac:dyDescent="0.25">
      <c r="A694" s="567" t="str">
        <f t="shared" si="79"/>
        <v/>
      </c>
      <c r="B694" s="567" t="str">
        <f t="shared" si="81"/>
        <v/>
      </c>
      <c r="C694" s="567" t="str">
        <f t="shared" si="83"/>
        <v/>
      </c>
      <c r="D694" s="567" t="str">
        <f t="shared" si="85"/>
        <v/>
      </c>
      <c r="G694" s="566" t="str">
        <f t="shared" si="84"/>
        <v/>
      </c>
      <c r="U694" s="567">
        <f t="shared" si="78"/>
        <v>0</v>
      </c>
      <c r="V694" s="567">
        <f t="shared" si="82"/>
        <v>0</v>
      </c>
    </row>
    <row r="695" spans="1:22" x14ac:dyDescent="0.25">
      <c r="A695" s="567" t="str">
        <f t="shared" si="79"/>
        <v/>
      </c>
      <c r="B695" s="567" t="str">
        <f t="shared" si="81"/>
        <v/>
      </c>
      <c r="C695" s="567" t="str">
        <f t="shared" si="83"/>
        <v/>
      </c>
      <c r="D695" s="567" t="str">
        <f t="shared" si="85"/>
        <v/>
      </c>
      <c r="G695" s="566" t="str">
        <f t="shared" si="84"/>
        <v/>
      </c>
      <c r="U695" s="567">
        <f t="shared" si="78"/>
        <v>0</v>
      </c>
      <c r="V695" s="567">
        <f t="shared" si="82"/>
        <v>0</v>
      </c>
    </row>
    <row r="696" spans="1:22" x14ac:dyDescent="0.25">
      <c r="A696" s="567" t="str">
        <f t="shared" si="79"/>
        <v/>
      </c>
      <c r="B696" s="567" t="str">
        <f t="shared" si="81"/>
        <v/>
      </c>
      <c r="C696" s="567" t="str">
        <f t="shared" si="83"/>
        <v/>
      </c>
      <c r="D696" s="567" t="str">
        <f t="shared" si="85"/>
        <v/>
      </c>
      <c r="G696" s="566" t="str">
        <f t="shared" si="84"/>
        <v/>
      </c>
      <c r="U696" s="567">
        <f t="shared" si="78"/>
        <v>0</v>
      </c>
      <c r="V696" s="567">
        <f t="shared" si="82"/>
        <v>0</v>
      </c>
    </row>
    <row r="697" spans="1:22" x14ac:dyDescent="0.25">
      <c r="A697" s="567" t="str">
        <f t="shared" si="79"/>
        <v/>
      </c>
      <c r="B697" s="567" t="str">
        <f t="shared" si="81"/>
        <v/>
      </c>
      <c r="C697" s="567" t="str">
        <f t="shared" si="83"/>
        <v/>
      </c>
      <c r="D697" s="567" t="str">
        <f t="shared" si="85"/>
        <v/>
      </c>
      <c r="G697" s="566" t="str">
        <f t="shared" si="84"/>
        <v/>
      </c>
      <c r="U697" s="567">
        <f t="shared" si="78"/>
        <v>0</v>
      </c>
      <c r="V697" s="567">
        <f t="shared" si="82"/>
        <v>0</v>
      </c>
    </row>
    <row r="698" spans="1:22" x14ac:dyDescent="0.25">
      <c r="A698" s="567" t="str">
        <f t="shared" si="79"/>
        <v/>
      </c>
      <c r="B698" s="567" t="str">
        <f t="shared" si="81"/>
        <v/>
      </c>
      <c r="C698" s="567" t="str">
        <f t="shared" si="83"/>
        <v/>
      </c>
      <c r="D698" s="567" t="str">
        <f t="shared" si="85"/>
        <v/>
      </c>
      <c r="G698" s="566" t="str">
        <f t="shared" si="84"/>
        <v/>
      </c>
      <c r="U698" s="567">
        <f t="shared" si="78"/>
        <v>0</v>
      </c>
      <c r="V698" s="567">
        <f t="shared" si="82"/>
        <v>0</v>
      </c>
    </row>
    <row r="699" spans="1:22" x14ac:dyDescent="0.25">
      <c r="A699" s="567" t="str">
        <f t="shared" si="79"/>
        <v/>
      </c>
      <c r="B699" s="567" t="str">
        <f t="shared" si="81"/>
        <v/>
      </c>
      <c r="C699" s="567" t="str">
        <f t="shared" si="83"/>
        <v/>
      </c>
      <c r="D699" s="567" t="str">
        <f t="shared" si="85"/>
        <v/>
      </c>
      <c r="G699" s="566" t="str">
        <f t="shared" si="84"/>
        <v/>
      </c>
      <c r="U699" s="567">
        <f t="shared" si="78"/>
        <v>0</v>
      </c>
      <c r="V699" s="567">
        <f t="shared" si="82"/>
        <v>0</v>
      </c>
    </row>
    <row r="700" spans="1:22" x14ac:dyDescent="0.25">
      <c r="A700" s="567" t="str">
        <f t="shared" si="79"/>
        <v/>
      </c>
      <c r="B700" s="567" t="str">
        <f t="shared" si="81"/>
        <v/>
      </c>
      <c r="C700" s="567" t="str">
        <f t="shared" si="83"/>
        <v/>
      </c>
      <c r="D700" s="567" t="str">
        <f t="shared" si="85"/>
        <v/>
      </c>
      <c r="G700" s="566" t="str">
        <f t="shared" si="84"/>
        <v/>
      </c>
      <c r="U700" s="567">
        <f t="shared" si="78"/>
        <v>0</v>
      </c>
      <c r="V700" s="567">
        <f t="shared" si="82"/>
        <v>0</v>
      </c>
    </row>
    <row r="701" spans="1:22" x14ac:dyDescent="0.25">
      <c r="A701" s="567" t="str">
        <f t="shared" si="79"/>
        <v/>
      </c>
      <c r="B701" s="567" t="str">
        <f t="shared" si="81"/>
        <v/>
      </c>
      <c r="C701" s="567" t="str">
        <f t="shared" si="83"/>
        <v/>
      </c>
      <c r="D701" s="567" t="str">
        <f t="shared" si="85"/>
        <v/>
      </c>
      <c r="G701" s="566" t="str">
        <f t="shared" si="84"/>
        <v/>
      </c>
      <c r="U701" s="567">
        <f t="shared" si="78"/>
        <v>0</v>
      </c>
      <c r="V701" s="567">
        <f t="shared" si="82"/>
        <v>0</v>
      </c>
    </row>
    <row r="702" spans="1:22" x14ac:dyDescent="0.25">
      <c r="A702" s="567" t="str">
        <f t="shared" si="79"/>
        <v/>
      </c>
      <c r="B702" s="567" t="str">
        <f t="shared" si="81"/>
        <v/>
      </c>
      <c r="C702" s="567" t="str">
        <f t="shared" si="83"/>
        <v/>
      </c>
      <c r="D702" s="567" t="str">
        <f t="shared" si="85"/>
        <v/>
      </c>
      <c r="U702" s="567">
        <f t="shared" si="78"/>
        <v>0</v>
      </c>
      <c r="V702" s="567">
        <f t="shared" si="82"/>
        <v>0</v>
      </c>
    </row>
    <row r="703" spans="1:22" x14ac:dyDescent="0.25">
      <c r="A703" s="567" t="str">
        <f t="shared" si="79"/>
        <v/>
      </c>
      <c r="B703" s="567" t="str">
        <f t="shared" si="81"/>
        <v/>
      </c>
      <c r="C703" s="567" t="str">
        <f t="shared" si="83"/>
        <v/>
      </c>
      <c r="D703" s="567" t="str">
        <f t="shared" si="85"/>
        <v/>
      </c>
      <c r="U703" s="567">
        <f t="shared" si="78"/>
        <v>0</v>
      </c>
      <c r="V703" s="567">
        <f t="shared" si="82"/>
        <v>0</v>
      </c>
    </row>
    <row r="704" spans="1:22" x14ac:dyDescent="0.25">
      <c r="A704" s="567" t="str">
        <f t="shared" si="79"/>
        <v/>
      </c>
      <c r="B704" s="567" t="str">
        <f t="shared" si="81"/>
        <v/>
      </c>
      <c r="C704" s="567" t="str">
        <f t="shared" si="83"/>
        <v/>
      </c>
      <c r="D704" s="567" t="str">
        <f t="shared" si="85"/>
        <v/>
      </c>
      <c r="U704" s="567">
        <f t="shared" si="78"/>
        <v>0</v>
      </c>
      <c r="V704" s="567">
        <f t="shared" si="82"/>
        <v>0</v>
      </c>
    </row>
    <row r="705" spans="1:22" x14ac:dyDescent="0.25">
      <c r="A705" s="567" t="str">
        <f t="shared" si="79"/>
        <v/>
      </c>
      <c r="B705" s="567" t="str">
        <f t="shared" si="81"/>
        <v/>
      </c>
      <c r="C705" s="567" t="str">
        <f t="shared" si="83"/>
        <v/>
      </c>
      <c r="D705" s="567" t="str">
        <f t="shared" si="85"/>
        <v/>
      </c>
      <c r="U705" s="567">
        <f t="shared" si="78"/>
        <v>0</v>
      </c>
      <c r="V705" s="567">
        <f t="shared" si="82"/>
        <v>0</v>
      </c>
    </row>
    <row r="706" spans="1:22" x14ac:dyDescent="0.25">
      <c r="A706" s="567" t="str">
        <f t="shared" si="79"/>
        <v/>
      </c>
      <c r="B706" s="567" t="str">
        <f t="shared" si="81"/>
        <v/>
      </c>
      <c r="C706" s="567" t="str">
        <f t="shared" si="83"/>
        <v/>
      </c>
      <c r="D706" s="567" t="str">
        <f t="shared" si="85"/>
        <v/>
      </c>
      <c r="U706" s="567">
        <f t="shared" si="78"/>
        <v>0</v>
      </c>
      <c r="V706" s="567">
        <f t="shared" si="82"/>
        <v>0</v>
      </c>
    </row>
    <row r="707" spans="1:22" x14ac:dyDescent="0.25">
      <c r="A707" s="567" t="str">
        <f t="shared" si="79"/>
        <v/>
      </c>
      <c r="B707" s="567" t="str">
        <f t="shared" si="81"/>
        <v/>
      </c>
      <c r="C707" s="567" t="str">
        <f t="shared" si="83"/>
        <v/>
      </c>
      <c r="D707" s="567" t="str">
        <f t="shared" si="85"/>
        <v/>
      </c>
      <c r="U707" s="567">
        <f t="shared" si="78"/>
        <v>0</v>
      </c>
    </row>
    <row r="708" spans="1:22" x14ac:dyDescent="0.25">
      <c r="A708" s="567" t="str">
        <f t="shared" si="79"/>
        <v/>
      </c>
      <c r="B708" s="567" t="str">
        <f t="shared" si="81"/>
        <v/>
      </c>
      <c r="C708" s="567" t="str">
        <f t="shared" si="83"/>
        <v/>
      </c>
      <c r="D708" s="567" t="str">
        <f t="shared" si="85"/>
        <v/>
      </c>
      <c r="U708" s="567">
        <f t="shared" si="78"/>
        <v>0</v>
      </c>
    </row>
    <row r="709" spans="1:22" x14ac:dyDescent="0.25">
      <c r="A709" s="567" t="str">
        <f t="shared" si="79"/>
        <v/>
      </c>
      <c r="B709" s="567" t="str">
        <f t="shared" si="81"/>
        <v/>
      </c>
      <c r="C709" s="567" t="str">
        <f t="shared" si="83"/>
        <v/>
      </c>
      <c r="D709" s="567" t="str">
        <f t="shared" si="85"/>
        <v/>
      </c>
      <c r="U709" s="567">
        <f t="shared" si="78"/>
        <v>0</v>
      </c>
    </row>
    <row r="710" spans="1:22" x14ac:dyDescent="0.25">
      <c r="A710" s="567" t="str">
        <f t="shared" si="79"/>
        <v/>
      </c>
      <c r="B710" s="567" t="str">
        <f t="shared" si="81"/>
        <v/>
      </c>
      <c r="C710" s="567" t="str">
        <f t="shared" si="83"/>
        <v/>
      </c>
      <c r="D710" s="567" t="str">
        <f t="shared" si="85"/>
        <v/>
      </c>
      <c r="U710" s="567">
        <f t="shared" si="78"/>
        <v>0</v>
      </c>
    </row>
    <row r="711" spans="1:22" x14ac:dyDescent="0.25">
      <c r="A711" s="567" t="str">
        <f t="shared" si="79"/>
        <v/>
      </c>
      <c r="B711" s="567" t="str">
        <f t="shared" si="81"/>
        <v/>
      </c>
      <c r="C711" s="567" t="str">
        <f t="shared" si="83"/>
        <v/>
      </c>
      <c r="D711" s="567" t="str">
        <f t="shared" si="85"/>
        <v/>
      </c>
      <c r="U711" s="567">
        <f t="shared" si="78"/>
        <v>0</v>
      </c>
    </row>
    <row r="712" spans="1:22" x14ac:dyDescent="0.25">
      <c r="A712" s="567" t="str">
        <f t="shared" si="79"/>
        <v/>
      </c>
      <c r="B712" s="567" t="str">
        <f t="shared" si="81"/>
        <v/>
      </c>
      <c r="C712" s="567" t="str">
        <f t="shared" si="83"/>
        <v/>
      </c>
      <c r="D712" s="567" t="str">
        <f t="shared" si="85"/>
        <v/>
      </c>
      <c r="U712" s="567">
        <f t="shared" si="78"/>
        <v>0</v>
      </c>
    </row>
    <row r="713" spans="1:22" x14ac:dyDescent="0.25">
      <c r="A713" s="567" t="str">
        <f t="shared" si="79"/>
        <v/>
      </c>
      <c r="B713" s="567" t="str">
        <f t="shared" si="81"/>
        <v/>
      </c>
      <c r="C713" s="567" t="str">
        <f t="shared" si="83"/>
        <v/>
      </c>
      <c r="D713" s="567" t="str">
        <f t="shared" si="85"/>
        <v/>
      </c>
      <c r="U713" s="567">
        <f t="shared" si="78"/>
        <v>0</v>
      </c>
    </row>
    <row r="714" spans="1:22" x14ac:dyDescent="0.25">
      <c r="A714" s="567" t="str">
        <f t="shared" si="79"/>
        <v/>
      </c>
      <c r="B714" s="567" t="str">
        <f t="shared" si="81"/>
        <v/>
      </c>
      <c r="C714" s="567" t="str">
        <f t="shared" si="85"/>
        <v/>
      </c>
      <c r="D714" s="567" t="str">
        <f t="shared" si="85"/>
        <v/>
      </c>
      <c r="U714" s="567">
        <f t="shared" si="78"/>
        <v>0</v>
      </c>
    </row>
    <row r="715" spans="1:22" x14ac:dyDescent="0.25">
      <c r="A715" s="567" t="str">
        <f t="shared" si="79"/>
        <v/>
      </c>
      <c r="B715" s="567" t="str">
        <f t="shared" si="81"/>
        <v/>
      </c>
      <c r="C715" s="567" t="str">
        <f t="shared" si="85"/>
        <v/>
      </c>
      <c r="D715" s="567" t="str">
        <f t="shared" si="85"/>
        <v/>
      </c>
      <c r="U715" s="567">
        <f t="shared" si="78"/>
        <v>0</v>
      </c>
    </row>
    <row r="716" spans="1:22" x14ac:dyDescent="0.25">
      <c r="A716" s="567" t="str">
        <f t="shared" si="79"/>
        <v/>
      </c>
      <c r="B716" s="567" t="str">
        <f t="shared" si="81"/>
        <v/>
      </c>
      <c r="C716" s="567" t="str">
        <f t="shared" si="85"/>
        <v/>
      </c>
      <c r="D716" s="567" t="str">
        <f t="shared" si="85"/>
        <v/>
      </c>
      <c r="U716" s="567">
        <f t="shared" si="78"/>
        <v>0</v>
      </c>
    </row>
    <row r="717" spans="1:22" x14ac:dyDescent="0.25">
      <c r="A717" s="567" t="str">
        <f t="shared" si="79"/>
        <v/>
      </c>
      <c r="B717" s="567" t="str">
        <f t="shared" si="81"/>
        <v/>
      </c>
      <c r="C717" s="567" t="str">
        <f t="shared" si="85"/>
        <v/>
      </c>
      <c r="D717" s="567" t="str">
        <f t="shared" si="85"/>
        <v/>
      </c>
    </row>
    <row r="718" spans="1:22" x14ac:dyDescent="0.25">
      <c r="A718" s="567" t="str">
        <f t="shared" si="79"/>
        <v/>
      </c>
      <c r="B718" s="567" t="str">
        <f t="shared" si="81"/>
        <v/>
      </c>
      <c r="C718" s="567" t="str">
        <f t="shared" si="85"/>
        <v/>
      </c>
      <c r="D718" s="567" t="str">
        <f t="shared" si="85"/>
        <v/>
      </c>
    </row>
    <row r="719" spans="1:22" x14ac:dyDescent="0.25">
      <c r="A719" s="567" t="str">
        <f t="shared" si="79"/>
        <v/>
      </c>
      <c r="B719" s="567" t="str">
        <f t="shared" si="81"/>
        <v/>
      </c>
      <c r="C719" s="567" t="str">
        <f t="shared" si="85"/>
        <v/>
      </c>
      <c r="D719" s="567" t="str">
        <f t="shared" si="85"/>
        <v/>
      </c>
    </row>
    <row r="720" spans="1:22" x14ac:dyDescent="0.25">
      <c r="A720" s="567" t="str">
        <f t="shared" si="79"/>
        <v/>
      </c>
      <c r="B720" s="567" t="str">
        <f t="shared" si="81"/>
        <v/>
      </c>
      <c r="C720" s="567" t="str">
        <f t="shared" si="85"/>
        <v/>
      </c>
      <c r="D720" s="567" t="str">
        <f t="shared" si="85"/>
        <v/>
      </c>
    </row>
    <row r="721" spans="1:4" x14ac:dyDescent="0.25">
      <c r="A721" s="567" t="str">
        <f t="shared" si="79"/>
        <v/>
      </c>
      <c r="B721" s="567" t="str">
        <f t="shared" si="81"/>
        <v/>
      </c>
      <c r="C721" s="567" t="str">
        <f t="shared" si="85"/>
        <v/>
      </c>
      <c r="D721" s="567" t="str">
        <f t="shared" si="85"/>
        <v/>
      </c>
    </row>
    <row r="722" spans="1:4" x14ac:dyDescent="0.25">
      <c r="A722" s="567" t="str">
        <f t="shared" si="79"/>
        <v/>
      </c>
      <c r="B722" s="567" t="str">
        <f t="shared" si="81"/>
        <v/>
      </c>
      <c r="C722" s="567" t="str">
        <f t="shared" si="85"/>
        <v/>
      </c>
      <c r="D722" s="567" t="str">
        <f t="shared" si="85"/>
        <v/>
      </c>
    </row>
    <row r="723" spans="1:4" x14ac:dyDescent="0.25">
      <c r="A723" s="567" t="str">
        <f t="shared" si="79"/>
        <v/>
      </c>
      <c r="B723" s="567" t="str">
        <f t="shared" si="81"/>
        <v/>
      </c>
      <c r="C723" s="567" t="str">
        <f t="shared" si="85"/>
        <v/>
      </c>
      <c r="D723" s="567" t="str">
        <f t="shared" si="85"/>
        <v/>
      </c>
    </row>
    <row r="724" spans="1:4" x14ac:dyDescent="0.25">
      <c r="A724" s="567" t="str">
        <f t="shared" si="79"/>
        <v/>
      </c>
      <c r="B724" s="567" t="str">
        <f t="shared" si="81"/>
        <v/>
      </c>
      <c r="C724" s="567" t="str">
        <f t="shared" si="85"/>
        <v/>
      </c>
      <c r="D724" s="567" t="str">
        <f t="shared" si="85"/>
        <v/>
      </c>
    </row>
    <row r="725" spans="1:4" x14ac:dyDescent="0.25">
      <c r="A725" s="567" t="str">
        <f t="shared" si="79"/>
        <v/>
      </c>
      <c r="B725" s="567" t="str">
        <f t="shared" si="81"/>
        <v/>
      </c>
      <c r="C725" s="567" t="str">
        <f t="shared" si="85"/>
        <v/>
      </c>
      <c r="D725" s="567" t="str">
        <f t="shared" si="85"/>
        <v/>
      </c>
    </row>
    <row r="726" spans="1:4" x14ac:dyDescent="0.25">
      <c r="A726" s="567" t="str">
        <f t="shared" si="79"/>
        <v/>
      </c>
      <c r="B726" s="567" t="str">
        <f t="shared" si="81"/>
        <v/>
      </c>
      <c r="C726" s="567" t="str">
        <f t="shared" si="85"/>
        <v/>
      </c>
      <c r="D726" s="567" t="str">
        <f t="shared" si="85"/>
        <v/>
      </c>
    </row>
    <row r="727" spans="1:4" x14ac:dyDescent="0.25">
      <c r="A727" s="567" t="str">
        <f t="shared" si="79"/>
        <v/>
      </c>
      <c r="B727" s="567" t="str">
        <f t="shared" si="81"/>
        <v/>
      </c>
      <c r="C727" s="567" t="str">
        <f t="shared" si="85"/>
        <v/>
      </c>
      <c r="D727" s="567" t="str">
        <f t="shared" si="85"/>
        <v/>
      </c>
    </row>
    <row r="728" spans="1:4" x14ac:dyDescent="0.25">
      <c r="A728" s="567" t="str">
        <f t="shared" si="79"/>
        <v/>
      </c>
      <c r="B728" s="567" t="str">
        <f t="shared" si="81"/>
        <v/>
      </c>
      <c r="C728" s="567" t="str">
        <f t="shared" si="85"/>
        <v/>
      </c>
      <c r="D728" s="567" t="str">
        <f t="shared" si="85"/>
        <v/>
      </c>
    </row>
    <row r="729" spans="1:4" x14ac:dyDescent="0.25">
      <c r="A729" s="567" t="str">
        <f t="shared" ref="A729:A792" si="86">MID($F729,4,2)</f>
        <v/>
      </c>
      <c r="B729" s="567" t="str">
        <f t="shared" si="81"/>
        <v/>
      </c>
      <c r="C729" s="567" t="str">
        <f t="shared" si="85"/>
        <v/>
      </c>
      <c r="D729" s="567" t="str">
        <f t="shared" si="85"/>
        <v/>
      </c>
    </row>
    <row r="730" spans="1:4" x14ac:dyDescent="0.25">
      <c r="A730" s="567" t="str">
        <f t="shared" si="86"/>
        <v/>
      </c>
      <c r="B730" s="567" t="str">
        <f t="shared" si="81"/>
        <v/>
      </c>
      <c r="C730" s="567" t="str">
        <f t="shared" si="85"/>
        <v/>
      </c>
      <c r="D730" s="567" t="str">
        <f t="shared" si="85"/>
        <v/>
      </c>
    </row>
    <row r="731" spans="1:4" x14ac:dyDescent="0.25">
      <c r="A731" s="567" t="str">
        <f t="shared" si="86"/>
        <v/>
      </c>
      <c r="B731" s="567" t="str">
        <f t="shared" si="81"/>
        <v/>
      </c>
      <c r="C731" s="567" t="str">
        <f t="shared" si="85"/>
        <v/>
      </c>
      <c r="D731" s="567" t="str">
        <f t="shared" si="85"/>
        <v/>
      </c>
    </row>
    <row r="732" spans="1:4" x14ac:dyDescent="0.25">
      <c r="A732" s="567" t="str">
        <f t="shared" si="86"/>
        <v/>
      </c>
      <c r="B732" s="567" t="str">
        <f t="shared" si="81"/>
        <v/>
      </c>
      <c r="C732" s="567" t="str">
        <f t="shared" si="85"/>
        <v/>
      </c>
      <c r="D732" s="567" t="str">
        <f t="shared" si="85"/>
        <v/>
      </c>
    </row>
    <row r="733" spans="1:4" x14ac:dyDescent="0.25">
      <c r="A733" s="567" t="str">
        <f t="shared" si="86"/>
        <v/>
      </c>
      <c r="B733" s="567" t="str">
        <f t="shared" si="81"/>
        <v/>
      </c>
      <c r="C733" s="567" t="str">
        <f t="shared" si="85"/>
        <v/>
      </c>
      <c r="D733" s="567" t="str">
        <f t="shared" si="85"/>
        <v/>
      </c>
    </row>
    <row r="734" spans="1:4" x14ac:dyDescent="0.25">
      <c r="A734" s="567" t="str">
        <f t="shared" si="86"/>
        <v/>
      </c>
      <c r="B734" s="567" t="str">
        <f t="shared" si="81"/>
        <v/>
      </c>
      <c r="C734" s="567" t="str">
        <f t="shared" si="85"/>
        <v/>
      </c>
      <c r="D734" s="567" t="str">
        <f t="shared" si="85"/>
        <v/>
      </c>
    </row>
    <row r="735" spans="1:4" x14ac:dyDescent="0.25">
      <c r="A735" s="567" t="str">
        <f t="shared" si="86"/>
        <v/>
      </c>
      <c r="B735" s="567" t="str">
        <f t="shared" si="81"/>
        <v/>
      </c>
      <c r="C735" s="567" t="str">
        <f t="shared" si="85"/>
        <v/>
      </c>
      <c r="D735" s="567" t="str">
        <f t="shared" si="85"/>
        <v/>
      </c>
    </row>
    <row r="736" spans="1:4" x14ac:dyDescent="0.25">
      <c r="A736" s="567" t="str">
        <f t="shared" si="86"/>
        <v/>
      </c>
      <c r="B736" s="567" t="str">
        <f t="shared" si="81"/>
        <v/>
      </c>
      <c r="C736" s="567" t="str">
        <f t="shared" si="85"/>
        <v/>
      </c>
      <c r="D736" s="567" t="str">
        <f t="shared" si="85"/>
        <v/>
      </c>
    </row>
    <row r="737" spans="1:4" x14ac:dyDescent="0.25">
      <c r="A737" s="567" t="str">
        <f t="shared" si="86"/>
        <v/>
      </c>
      <c r="B737" s="567" t="str">
        <f t="shared" si="81"/>
        <v/>
      </c>
      <c r="C737" s="567" t="str">
        <f t="shared" si="85"/>
        <v/>
      </c>
      <c r="D737" s="567" t="str">
        <f t="shared" si="85"/>
        <v/>
      </c>
    </row>
    <row r="738" spans="1:4" x14ac:dyDescent="0.25">
      <c r="A738" s="567" t="str">
        <f t="shared" si="86"/>
        <v/>
      </c>
      <c r="B738" s="567" t="str">
        <f t="shared" si="81"/>
        <v/>
      </c>
      <c r="C738" s="567" t="str">
        <f t="shared" si="85"/>
        <v/>
      </c>
      <c r="D738" s="567" t="str">
        <f t="shared" si="85"/>
        <v/>
      </c>
    </row>
    <row r="739" spans="1:4" x14ac:dyDescent="0.25">
      <c r="A739" s="567" t="str">
        <f t="shared" si="86"/>
        <v/>
      </c>
      <c r="B739" s="567" t="str">
        <f t="shared" si="81"/>
        <v/>
      </c>
    </row>
    <row r="740" spans="1:4" x14ac:dyDescent="0.25">
      <c r="A740" s="567" t="str">
        <f t="shared" si="86"/>
        <v/>
      </c>
      <c r="B740" s="567" t="str">
        <f t="shared" si="81"/>
        <v/>
      </c>
    </row>
    <row r="741" spans="1:4" x14ac:dyDescent="0.25">
      <c r="A741" s="567" t="str">
        <f t="shared" si="86"/>
        <v/>
      </c>
      <c r="B741" s="567" t="str">
        <f t="shared" si="81"/>
        <v/>
      </c>
    </row>
    <row r="742" spans="1:4" x14ac:dyDescent="0.25">
      <c r="A742" s="567" t="str">
        <f t="shared" si="86"/>
        <v/>
      </c>
      <c r="B742" s="567" t="str">
        <f t="shared" ref="B742:B805" si="87">IF(MID($F742,12,2)="- ","KY",IF(MID($F742,12,2)="SY","KY",MID($F742,12,2)))</f>
        <v/>
      </c>
    </row>
    <row r="743" spans="1:4" x14ac:dyDescent="0.25">
      <c r="A743" s="567" t="str">
        <f t="shared" si="86"/>
        <v/>
      </c>
      <c r="B743" s="567" t="str">
        <f t="shared" si="87"/>
        <v/>
      </c>
    </row>
    <row r="744" spans="1:4" x14ac:dyDescent="0.25">
      <c r="A744" s="567" t="str">
        <f t="shared" si="86"/>
        <v/>
      </c>
      <c r="B744" s="567" t="str">
        <f t="shared" si="87"/>
        <v/>
      </c>
    </row>
    <row r="745" spans="1:4" x14ac:dyDescent="0.25">
      <c r="A745" s="567" t="str">
        <f t="shared" si="86"/>
        <v/>
      </c>
      <c r="B745" s="567" t="str">
        <f t="shared" si="87"/>
        <v/>
      </c>
    </row>
    <row r="746" spans="1:4" x14ac:dyDescent="0.25">
      <c r="A746" s="567" t="str">
        <f t="shared" si="86"/>
        <v/>
      </c>
      <c r="B746" s="567" t="str">
        <f t="shared" si="87"/>
        <v/>
      </c>
    </row>
    <row r="747" spans="1:4" x14ac:dyDescent="0.25">
      <c r="A747" s="567" t="str">
        <f t="shared" si="86"/>
        <v/>
      </c>
      <c r="B747" s="567" t="str">
        <f t="shared" si="87"/>
        <v/>
      </c>
    </row>
    <row r="748" spans="1:4" x14ac:dyDescent="0.25">
      <c r="A748" s="567" t="str">
        <f t="shared" si="86"/>
        <v/>
      </c>
      <c r="B748" s="567" t="str">
        <f t="shared" si="87"/>
        <v/>
      </c>
    </row>
    <row r="749" spans="1:4" x14ac:dyDescent="0.25">
      <c r="A749" s="567" t="str">
        <f t="shared" si="86"/>
        <v/>
      </c>
      <c r="B749" s="567" t="str">
        <f t="shared" si="87"/>
        <v/>
      </c>
    </row>
    <row r="750" spans="1:4" x14ac:dyDescent="0.25">
      <c r="A750" s="567" t="str">
        <f t="shared" si="86"/>
        <v/>
      </c>
      <c r="B750" s="567" t="str">
        <f t="shared" si="87"/>
        <v/>
      </c>
    </row>
    <row r="751" spans="1:4" x14ac:dyDescent="0.25">
      <c r="A751" s="567" t="str">
        <f t="shared" si="86"/>
        <v/>
      </c>
      <c r="B751" s="567" t="str">
        <f t="shared" si="87"/>
        <v/>
      </c>
    </row>
    <row r="752" spans="1:4" x14ac:dyDescent="0.25">
      <c r="A752" s="567" t="str">
        <f t="shared" si="86"/>
        <v/>
      </c>
      <c r="B752" s="567" t="str">
        <f t="shared" si="87"/>
        <v/>
      </c>
    </row>
    <row r="753" spans="1:2" x14ac:dyDescent="0.25">
      <c r="A753" s="567" t="str">
        <f t="shared" si="86"/>
        <v/>
      </c>
      <c r="B753" s="567" t="str">
        <f t="shared" si="87"/>
        <v/>
      </c>
    </row>
    <row r="754" spans="1:2" x14ac:dyDescent="0.25">
      <c r="A754" s="567" t="str">
        <f t="shared" si="86"/>
        <v/>
      </c>
      <c r="B754" s="567" t="str">
        <f t="shared" si="87"/>
        <v/>
      </c>
    </row>
    <row r="755" spans="1:2" x14ac:dyDescent="0.25">
      <c r="A755" s="567" t="str">
        <f t="shared" si="86"/>
        <v/>
      </c>
      <c r="B755" s="567" t="str">
        <f t="shared" si="87"/>
        <v/>
      </c>
    </row>
    <row r="756" spans="1:2" x14ac:dyDescent="0.25">
      <c r="A756" s="567" t="str">
        <f t="shared" si="86"/>
        <v/>
      </c>
      <c r="B756" s="567" t="str">
        <f t="shared" si="87"/>
        <v/>
      </c>
    </row>
    <row r="757" spans="1:2" x14ac:dyDescent="0.25">
      <c r="A757" s="567" t="str">
        <f t="shared" si="86"/>
        <v/>
      </c>
      <c r="B757" s="567" t="str">
        <f t="shared" si="87"/>
        <v/>
      </c>
    </row>
    <row r="758" spans="1:2" x14ac:dyDescent="0.25">
      <c r="A758" s="567" t="str">
        <f t="shared" si="86"/>
        <v/>
      </c>
      <c r="B758" s="567" t="str">
        <f t="shared" si="87"/>
        <v/>
      </c>
    </row>
    <row r="759" spans="1:2" x14ac:dyDescent="0.25">
      <c r="A759" s="567" t="str">
        <f t="shared" si="86"/>
        <v/>
      </c>
      <c r="B759" s="567" t="str">
        <f t="shared" si="87"/>
        <v/>
      </c>
    </row>
    <row r="760" spans="1:2" x14ac:dyDescent="0.25">
      <c r="A760" s="567" t="str">
        <f t="shared" si="86"/>
        <v/>
      </c>
      <c r="B760" s="567" t="str">
        <f t="shared" si="87"/>
        <v/>
      </c>
    </row>
    <row r="761" spans="1:2" x14ac:dyDescent="0.25">
      <c r="A761" s="567" t="str">
        <f t="shared" si="86"/>
        <v/>
      </c>
      <c r="B761" s="567" t="str">
        <f t="shared" si="87"/>
        <v/>
      </c>
    </row>
    <row r="762" spans="1:2" x14ac:dyDescent="0.25">
      <c r="A762" s="567" t="str">
        <f t="shared" si="86"/>
        <v/>
      </c>
      <c r="B762" s="567" t="str">
        <f t="shared" si="87"/>
        <v/>
      </c>
    </row>
    <row r="763" spans="1:2" x14ac:dyDescent="0.25">
      <c r="A763" s="567" t="str">
        <f t="shared" si="86"/>
        <v/>
      </c>
      <c r="B763" s="567" t="str">
        <f t="shared" si="87"/>
        <v/>
      </c>
    </row>
    <row r="764" spans="1:2" x14ac:dyDescent="0.25">
      <c r="A764" s="567" t="str">
        <f t="shared" si="86"/>
        <v/>
      </c>
      <c r="B764" s="567" t="str">
        <f t="shared" si="87"/>
        <v/>
      </c>
    </row>
    <row r="765" spans="1:2" x14ac:dyDescent="0.25">
      <c r="A765" s="567" t="str">
        <f t="shared" si="86"/>
        <v/>
      </c>
      <c r="B765" s="567" t="str">
        <f t="shared" si="87"/>
        <v/>
      </c>
    </row>
    <row r="766" spans="1:2" x14ac:dyDescent="0.25">
      <c r="A766" s="567" t="str">
        <f t="shared" si="86"/>
        <v/>
      </c>
      <c r="B766" s="567" t="str">
        <f t="shared" si="87"/>
        <v/>
      </c>
    </row>
    <row r="767" spans="1:2" x14ac:dyDescent="0.25">
      <c r="A767" s="567" t="str">
        <f t="shared" si="86"/>
        <v/>
      </c>
      <c r="B767" s="567" t="str">
        <f t="shared" si="87"/>
        <v/>
      </c>
    </row>
    <row r="768" spans="1:2" x14ac:dyDescent="0.25">
      <c r="A768" s="567" t="str">
        <f t="shared" si="86"/>
        <v/>
      </c>
      <c r="B768" s="567" t="str">
        <f t="shared" si="87"/>
        <v/>
      </c>
    </row>
    <row r="769" spans="1:2" x14ac:dyDescent="0.25">
      <c r="A769" s="567" t="str">
        <f t="shared" si="86"/>
        <v/>
      </c>
      <c r="B769" s="567" t="str">
        <f t="shared" si="87"/>
        <v/>
      </c>
    </row>
    <row r="770" spans="1:2" x14ac:dyDescent="0.25">
      <c r="A770" s="567" t="str">
        <f t="shared" si="86"/>
        <v/>
      </c>
      <c r="B770" s="567" t="str">
        <f t="shared" si="87"/>
        <v/>
      </c>
    </row>
    <row r="771" spans="1:2" x14ac:dyDescent="0.25">
      <c r="A771" s="567" t="str">
        <f t="shared" si="86"/>
        <v/>
      </c>
      <c r="B771" s="567" t="str">
        <f t="shared" si="87"/>
        <v/>
      </c>
    </row>
    <row r="772" spans="1:2" x14ac:dyDescent="0.25">
      <c r="A772" s="567" t="str">
        <f t="shared" si="86"/>
        <v/>
      </c>
      <c r="B772" s="567" t="str">
        <f t="shared" si="87"/>
        <v/>
      </c>
    </row>
    <row r="773" spans="1:2" x14ac:dyDescent="0.25">
      <c r="A773" s="567" t="str">
        <f t="shared" si="86"/>
        <v/>
      </c>
      <c r="B773" s="567" t="str">
        <f t="shared" si="87"/>
        <v/>
      </c>
    </row>
    <row r="774" spans="1:2" x14ac:dyDescent="0.25">
      <c r="A774" s="567" t="str">
        <f t="shared" si="86"/>
        <v/>
      </c>
      <c r="B774" s="567" t="str">
        <f t="shared" si="87"/>
        <v/>
      </c>
    </row>
    <row r="775" spans="1:2" x14ac:dyDescent="0.25">
      <c r="A775" s="567" t="str">
        <f t="shared" si="86"/>
        <v/>
      </c>
      <c r="B775" s="567" t="str">
        <f t="shared" si="87"/>
        <v/>
      </c>
    </row>
    <row r="776" spans="1:2" x14ac:dyDescent="0.25">
      <c r="A776" s="567" t="str">
        <f t="shared" si="86"/>
        <v/>
      </c>
      <c r="B776" s="567" t="str">
        <f t="shared" si="87"/>
        <v/>
      </c>
    </row>
    <row r="777" spans="1:2" x14ac:dyDescent="0.25">
      <c r="A777" s="567" t="str">
        <f t="shared" si="86"/>
        <v/>
      </c>
      <c r="B777" s="567" t="str">
        <f t="shared" si="87"/>
        <v/>
      </c>
    </row>
    <row r="778" spans="1:2" x14ac:dyDescent="0.25">
      <c r="A778" s="567" t="str">
        <f t="shared" si="86"/>
        <v/>
      </c>
      <c r="B778" s="567" t="str">
        <f t="shared" si="87"/>
        <v/>
      </c>
    </row>
    <row r="779" spans="1:2" x14ac:dyDescent="0.25">
      <c r="A779" s="567" t="str">
        <f t="shared" si="86"/>
        <v/>
      </c>
      <c r="B779" s="567" t="str">
        <f t="shared" si="87"/>
        <v/>
      </c>
    </row>
    <row r="780" spans="1:2" x14ac:dyDescent="0.25">
      <c r="A780" s="567" t="str">
        <f t="shared" si="86"/>
        <v/>
      </c>
      <c r="B780" s="567" t="str">
        <f t="shared" si="87"/>
        <v/>
      </c>
    </row>
    <row r="781" spans="1:2" x14ac:dyDescent="0.25">
      <c r="A781" s="567" t="str">
        <f t="shared" si="86"/>
        <v/>
      </c>
      <c r="B781" s="567" t="str">
        <f t="shared" si="87"/>
        <v/>
      </c>
    </row>
    <row r="782" spans="1:2" x14ac:dyDescent="0.25">
      <c r="A782" s="567" t="str">
        <f t="shared" si="86"/>
        <v/>
      </c>
      <c r="B782" s="567" t="str">
        <f t="shared" si="87"/>
        <v/>
      </c>
    </row>
    <row r="783" spans="1:2" x14ac:dyDescent="0.25">
      <c r="A783" s="567" t="str">
        <f t="shared" si="86"/>
        <v/>
      </c>
      <c r="B783" s="567" t="str">
        <f t="shared" si="87"/>
        <v/>
      </c>
    </row>
    <row r="784" spans="1:2" x14ac:dyDescent="0.25">
      <c r="A784" s="567" t="str">
        <f t="shared" si="86"/>
        <v/>
      </c>
      <c r="B784" s="567" t="str">
        <f t="shared" si="87"/>
        <v/>
      </c>
    </row>
    <row r="785" spans="1:2" x14ac:dyDescent="0.25">
      <c r="A785" s="567" t="str">
        <f t="shared" si="86"/>
        <v/>
      </c>
      <c r="B785" s="567" t="str">
        <f t="shared" si="87"/>
        <v/>
      </c>
    </row>
    <row r="786" spans="1:2" x14ac:dyDescent="0.25">
      <c r="A786" s="567" t="str">
        <f t="shared" si="86"/>
        <v/>
      </c>
      <c r="B786" s="567" t="str">
        <f t="shared" si="87"/>
        <v/>
      </c>
    </row>
    <row r="787" spans="1:2" x14ac:dyDescent="0.25">
      <c r="A787" s="567" t="str">
        <f t="shared" si="86"/>
        <v/>
      </c>
      <c r="B787" s="567" t="str">
        <f t="shared" si="87"/>
        <v/>
      </c>
    </row>
    <row r="788" spans="1:2" x14ac:dyDescent="0.25">
      <c r="A788" s="567" t="str">
        <f t="shared" si="86"/>
        <v/>
      </c>
      <c r="B788" s="567" t="str">
        <f t="shared" si="87"/>
        <v/>
      </c>
    </row>
    <row r="789" spans="1:2" x14ac:dyDescent="0.25">
      <c r="A789" s="567" t="str">
        <f t="shared" si="86"/>
        <v/>
      </c>
      <c r="B789" s="567" t="str">
        <f t="shared" si="87"/>
        <v/>
      </c>
    </row>
    <row r="790" spans="1:2" x14ac:dyDescent="0.25">
      <c r="A790" s="567" t="str">
        <f t="shared" si="86"/>
        <v/>
      </c>
      <c r="B790" s="567" t="str">
        <f t="shared" si="87"/>
        <v/>
      </c>
    </row>
    <row r="791" spans="1:2" x14ac:dyDescent="0.25">
      <c r="A791" s="567" t="str">
        <f t="shared" si="86"/>
        <v/>
      </c>
      <c r="B791" s="567" t="str">
        <f t="shared" si="87"/>
        <v/>
      </c>
    </row>
    <row r="792" spans="1:2" x14ac:dyDescent="0.25">
      <c r="A792" s="567" t="str">
        <f t="shared" si="86"/>
        <v/>
      </c>
      <c r="B792" s="567" t="str">
        <f t="shared" si="87"/>
        <v/>
      </c>
    </row>
    <row r="793" spans="1:2" x14ac:dyDescent="0.25">
      <c r="A793" s="567" t="str">
        <f t="shared" ref="A793:A845" si="88">MID($F793,4,2)</f>
        <v/>
      </c>
      <c r="B793" s="567" t="str">
        <f t="shared" si="87"/>
        <v/>
      </c>
    </row>
    <row r="794" spans="1:2" x14ac:dyDescent="0.25">
      <c r="A794" s="567" t="str">
        <f t="shared" si="88"/>
        <v/>
      </c>
      <c r="B794" s="567" t="str">
        <f t="shared" si="87"/>
        <v/>
      </c>
    </row>
    <row r="795" spans="1:2" x14ac:dyDescent="0.25">
      <c r="A795" s="567" t="str">
        <f t="shared" si="88"/>
        <v/>
      </c>
      <c r="B795" s="567" t="str">
        <f t="shared" si="87"/>
        <v/>
      </c>
    </row>
    <row r="796" spans="1:2" x14ac:dyDescent="0.25">
      <c r="A796" s="567" t="str">
        <f t="shared" si="88"/>
        <v/>
      </c>
      <c r="B796" s="567" t="str">
        <f t="shared" si="87"/>
        <v/>
      </c>
    </row>
    <row r="797" spans="1:2" x14ac:dyDescent="0.25">
      <c r="A797" s="567" t="str">
        <f t="shared" si="88"/>
        <v/>
      </c>
      <c r="B797" s="567" t="str">
        <f t="shared" si="87"/>
        <v/>
      </c>
    </row>
    <row r="798" spans="1:2" x14ac:dyDescent="0.25">
      <c r="A798" s="567" t="str">
        <f t="shared" si="88"/>
        <v/>
      </c>
      <c r="B798" s="567" t="str">
        <f t="shared" si="87"/>
        <v/>
      </c>
    </row>
    <row r="799" spans="1:2" x14ac:dyDescent="0.25">
      <c r="A799" s="567" t="str">
        <f t="shared" si="88"/>
        <v/>
      </c>
      <c r="B799" s="567" t="str">
        <f t="shared" si="87"/>
        <v/>
      </c>
    </row>
    <row r="800" spans="1:2" x14ac:dyDescent="0.25">
      <c r="A800" s="567" t="str">
        <f t="shared" si="88"/>
        <v/>
      </c>
      <c r="B800" s="567" t="str">
        <f t="shared" si="87"/>
        <v/>
      </c>
    </row>
    <row r="801" spans="1:2" x14ac:dyDescent="0.25">
      <c r="A801" s="567" t="str">
        <f t="shared" si="88"/>
        <v/>
      </c>
      <c r="B801" s="567" t="str">
        <f t="shared" si="87"/>
        <v/>
      </c>
    </row>
    <row r="802" spans="1:2" x14ac:dyDescent="0.25">
      <c r="A802" s="567" t="str">
        <f t="shared" si="88"/>
        <v/>
      </c>
      <c r="B802" s="567" t="str">
        <f t="shared" si="87"/>
        <v/>
      </c>
    </row>
    <row r="803" spans="1:2" x14ac:dyDescent="0.25">
      <c r="A803" s="567" t="str">
        <f t="shared" si="88"/>
        <v/>
      </c>
      <c r="B803" s="567" t="str">
        <f t="shared" si="87"/>
        <v/>
      </c>
    </row>
    <row r="804" spans="1:2" x14ac:dyDescent="0.25">
      <c r="A804" s="567" t="str">
        <f t="shared" si="88"/>
        <v/>
      </c>
      <c r="B804" s="567" t="str">
        <f t="shared" si="87"/>
        <v/>
      </c>
    </row>
    <row r="805" spans="1:2" x14ac:dyDescent="0.25">
      <c r="A805" s="567" t="str">
        <f t="shared" si="88"/>
        <v/>
      </c>
      <c r="B805" s="567" t="str">
        <f t="shared" si="87"/>
        <v/>
      </c>
    </row>
    <row r="806" spans="1:2" x14ac:dyDescent="0.25">
      <c r="A806" s="567" t="str">
        <f t="shared" si="88"/>
        <v/>
      </c>
      <c r="B806" s="567" t="str">
        <f t="shared" ref="B806:B869" si="89">IF(MID($F806,12,2)="- ","KY",IF(MID($F806,12,2)="SY","KY",MID($F806,12,2)))</f>
        <v/>
      </c>
    </row>
    <row r="807" spans="1:2" x14ac:dyDescent="0.25">
      <c r="A807" s="567" t="str">
        <f t="shared" si="88"/>
        <v/>
      </c>
      <c r="B807" s="567" t="str">
        <f t="shared" si="89"/>
        <v/>
      </c>
    </row>
    <row r="808" spans="1:2" x14ac:dyDescent="0.25">
      <c r="A808" s="567" t="str">
        <f t="shared" si="88"/>
        <v/>
      </c>
      <c r="B808" s="567" t="str">
        <f t="shared" si="89"/>
        <v/>
      </c>
    </row>
    <row r="809" spans="1:2" x14ac:dyDescent="0.25">
      <c r="A809" s="567" t="str">
        <f t="shared" si="88"/>
        <v/>
      </c>
      <c r="B809" s="567" t="str">
        <f t="shared" si="89"/>
        <v/>
      </c>
    </row>
    <row r="810" spans="1:2" x14ac:dyDescent="0.25">
      <c r="A810" s="567" t="str">
        <f t="shared" si="88"/>
        <v/>
      </c>
      <c r="B810" s="567" t="str">
        <f t="shared" si="89"/>
        <v/>
      </c>
    </row>
    <row r="811" spans="1:2" x14ac:dyDescent="0.25">
      <c r="A811" s="567" t="str">
        <f t="shared" si="88"/>
        <v/>
      </c>
      <c r="B811" s="567" t="str">
        <f t="shared" si="89"/>
        <v/>
      </c>
    </row>
    <row r="812" spans="1:2" x14ac:dyDescent="0.25">
      <c r="A812" s="567" t="str">
        <f t="shared" si="88"/>
        <v/>
      </c>
      <c r="B812" s="567" t="str">
        <f t="shared" si="89"/>
        <v/>
      </c>
    </row>
    <row r="813" spans="1:2" x14ac:dyDescent="0.25">
      <c r="A813" s="567" t="str">
        <f t="shared" si="88"/>
        <v/>
      </c>
      <c r="B813" s="567" t="str">
        <f t="shared" si="89"/>
        <v/>
      </c>
    </row>
    <row r="814" spans="1:2" x14ac:dyDescent="0.25">
      <c r="A814" s="567" t="str">
        <f t="shared" si="88"/>
        <v/>
      </c>
      <c r="B814" s="567" t="str">
        <f t="shared" si="89"/>
        <v/>
      </c>
    </row>
    <row r="815" spans="1:2" x14ac:dyDescent="0.25">
      <c r="A815" s="567" t="str">
        <f t="shared" si="88"/>
        <v/>
      </c>
      <c r="B815" s="567" t="str">
        <f t="shared" si="89"/>
        <v/>
      </c>
    </row>
    <row r="816" spans="1:2" x14ac:dyDescent="0.25">
      <c r="A816" s="567" t="str">
        <f t="shared" si="88"/>
        <v/>
      </c>
      <c r="B816" s="567" t="str">
        <f t="shared" si="89"/>
        <v/>
      </c>
    </row>
    <row r="817" spans="1:2" x14ac:dyDescent="0.25">
      <c r="A817" s="567" t="str">
        <f t="shared" si="88"/>
        <v/>
      </c>
      <c r="B817" s="567" t="str">
        <f t="shared" si="89"/>
        <v/>
      </c>
    </row>
    <row r="818" spans="1:2" x14ac:dyDescent="0.25">
      <c r="A818" s="567" t="str">
        <f t="shared" si="88"/>
        <v/>
      </c>
      <c r="B818" s="567" t="str">
        <f t="shared" si="89"/>
        <v/>
      </c>
    </row>
    <row r="819" spans="1:2" x14ac:dyDescent="0.25">
      <c r="A819" s="567" t="str">
        <f t="shared" si="88"/>
        <v/>
      </c>
      <c r="B819" s="567" t="str">
        <f t="shared" si="89"/>
        <v/>
      </c>
    </row>
    <row r="820" spans="1:2" x14ac:dyDescent="0.25">
      <c r="A820" s="567" t="str">
        <f t="shared" si="88"/>
        <v/>
      </c>
      <c r="B820" s="567" t="str">
        <f t="shared" si="89"/>
        <v/>
      </c>
    </row>
    <row r="821" spans="1:2" x14ac:dyDescent="0.25">
      <c r="A821" s="567" t="str">
        <f t="shared" si="88"/>
        <v/>
      </c>
      <c r="B821" s="567" t="str">
        <f t="shared" si="89"/>
        <v/>
      </c>
    </row>
    <row r="822" spans="1:2" x14ac:dyDescent="0.25">
      <c r="A822" s="567" t="str">
        <f t="shared" si="88"/>
        <v/>
      </c>
      <c r="B822" s="567" t="str">
        <f t="shared" si="89"/>
        <v/>
      </c>
    </row>
    <row r="823" spans="1:2" x14ac:dyDescent="0.25">
      <c r="A823" s="567" t="str">
        <f t="shared" si="88"/>
        <v/>
      </c>
      <c r="B823" s="567" t="str">
        <f t="shared" si="89"/>
        <v/>
      </c>
    </row>
    <row r="824" spans="1:2" x14ac:dyDescent="0.25">
      <c r="A824" s="567" t="str">
        <f t="shared" si="88"/>
        <v/>
      </c>
      <c r="B824" s="567" t="str">
        <f t="shared" si="89"/>
        <v/>
      </c>
    </row>
    <row r="825" spans="1:2" x14ac:dyDescent="0.25">
      <c r="A825" s="567" t="str">
        <f t="shared" si="88"/>
        <v/>
      </c>
      <c r="B825" s="567" t="str">
        <f t="shared" si="89"/>
        <v/>
      </c>
    </row>
    <row r="826" spans="1:2" x14ac:dyDescent="0.25">
      <c r="A826" s="567" t="str">
        <f t="shared" si="88"/>
        <v/>
      </c>
      <c r="B826" s="567" t="str">
        <f t="shared" si="89"/>
        <v/>
      </c>
    </row>
    <row r="827" spans="1:2" x14ac:dyDescent="0.25">
      <c r="A827" s="567" t="str">
        <f t="shared" si="88"/>
        <v/>
      </c>
      <c r="B827" s="567" t="str">
        <f t="shared" si="89"/>
        <v/>
      </c>
    </row>
    <row r="828" spans="1:2" x14ac:dyDescent="0.25">
      <c r="A828" s="567" t="str">
        <f t="shared" si="88"/>
        <v/>
      </c>
      <c r="B828" s="567" t="str">
        <f t="shared" si="89"/>
        <v/>
      </c>
    </row>
    <row r="829" spans="1:2" x14ac:dyDescent="0.25">
      <c r="A829" s="567" t="str">
        <f t="shared" si="88"/>
        <v/>
      </c>
      <c r="B829" s="567" t="str">
        <f t="shared" si="89"/>
        <v/>
      </c>
    </row>
    <row r="830" spans="1:2" x14ac:dyDescent="0.25">
      <c r="A830" s="567" t="str">
        <f t="shared" si="88"/>
        <v/>
      </c>
      <c r="B830" s="567" t="str">
        <f t="shared" si="89"/>
        <v/>
      </c>
    </row>
    <row r="831" spans="1:2" x14ac:dyDescent="0.25">
      <c r="A831" s="567" t="str">
        <f t="shared" si="88"/>
        <v/>
      </c>
      <c r="B831" s="567" t="str">
        <f t="shared" si="89"/>
        <v/>
      </c>
    </row>
    <row r="832" spans="1:2" x14ac:dyDescent="0.25">
      <c r="A832" s="567" t="str">
        <f t="shared" si="88"/>
        <v/>
      </c>
      <c r="B832" s="567" t="str">
        <f t="shared" si="89"/>
        <v/>
      </c>
    </row>
    <row r="833" spans="1:2" x14ac:dyDescent="0.25">
      <c r="A833" s="567" t="str">
        <f t="shared" si="88"/>
        <v/>
      </c>
      <c r="B833" s="567" t="str">
        <f t="shared" si="89"/>
        <v/>
      </c>
    </row>
    <row r="834" spans="1:2" x14ac:dyDescent="0.25">
      <c r="A834" s="567" t="str">
        <f t="shared" si="88"/>
        <v/>
      </c>
      <c r="B834" s="567" t="str">
        <f t="shared" si="89"/>
        <v/>
      </c>
    </row>
    <row r="835" spans="1:2" x14ac:dyDescent="0.25">
      <c r="A835" s="567" t="str">
        <f t="shared" si="88"/>
        <v/>
      </c>
      <c r="B835" s="567" t="str">
        <f t="shared" si="89"/>
        <v/>
      </c>
    </row>
    <row r="836" spans="1:2" x14ac:dyDescent="0.25">
      <c r="A836" s="567" t="str">
        <f t="shared" si="88"/>
        <v/>
      </c>
      <c r="B836" s="567" t="str">
        <f t="shared" si="89"/>
        <v/>
      </c>
    </row>
    <row r="837" spans="1:2" x14ac:dyDescent="0.25">
      <c r="A837" s="567" t="str">
        <f t="shared" si="88"/>
        <v/>
      </c>
      <c r="B837" s="567" t="str">
        <f t="shared" si="89"/>
        <v/>
      </c>
    </row>
    <row r="838" spans="1:2" x14ac:dyDescent="0.25">
      <c r="A838" s="567" t="str">
        <f t="shared" si="88"/>
        <v/>
      </c>
      <c r="B838" s="567" t="str">
        <f t="shared" si="89"/>
        <v/>
      </c>
    </row>
    <row r="839" spans="1:2" x14ac:dyDescent="0.25">
      <c r="A839" s="567" t="str">
        <f t="shared" si="88"/>
        <v/>
      </c>
      <c r="B839" s="567" t="str">
        <f t="shared" si="89"/>
        <v/>
      </c>
    </row>
    <row r="840" spans="1:2" x14ac:dyDescent="0.25">
      <c r="A840" s="567" t="str">
        <f t="shared" si="88"/>
        <v/>
      </c>
      <c r="B840" s="567" t="str">
        <f t="shared" si="89"/>
        <v/>
      </c>
    </row>
    <row r="841" spans="1:2" x14ac:dyDescent="0.25">
      <c r="A841" s="567" t="str">
        <f t="shared" si="88"/>
        <v/>
      </c>
      <c r="B841" s="567" t="str">
        <f t="shared" si="89"/>
        <v/>
      </c>
    </row>
    <row r="842" spans="1:2" x14ac:dyDescent="0.25">
      <c r="A842" s="567" t="str">
        <f t="shared" si="88"/>
        <v/>
      </c>
      <c r="B842" s="567" t="str">
        <f t="shared" si="89"/>
        <v/>
      </c>
    </row>
    <row r="843" spans="1:2" x14ac:dyDescent="0.25">
      <c r="A843" s="567" t="str">
        <f t="shared" si="88"/>
        <v/>
      </c>
      <c r="B843" s="567" t="str">
        <f t="shared" si="89"/>
        <v/>
      </c>
    </row>
    <row r="844" spans="1:2" x14ac:dyDescent="0.25">
      <c r="A844" s="567" t="str">
        <f t="shared" si="88"/>
        <v/>
      </c>
      <c r="B844" s="567" t="str">
        <f t="shared" si="89"/>
        <v/>
      </c>
    </row>
    <row r="845" spans="1:2" x14ac:dyDescent="0.25">
      <c r="A845" s="567" t="str">
        <f t="shared" si="88"/>
        <v/>
      </c>
      <c r="B845" s="567" t="str">
        <f t="shared" si="89"/>
        <v/>
      </c>
    </row>
    <row r="846" spans="1:2" x14ac:dyDescent="0.25">
      <c r="B846" s="567" t="str">
        <f t="shared" si="89"/>
        <v/>
      </c>
    </row>
    <row r="847" spans="1:2" x14ac:dyDescent="0.25">
      <c r="B847" s="567" t="str">
        <f t="shared" si="89"/>
        <v/>
      </c>
    </row>
    <row r="848" spans="1:2" x14ac:dyDescent="0.25">
      <c r="B848" s="567" t="str">
        <f t="shared" si="89"/>
        <v/>
      </c>
    </row>
    <row r="849" spans="2:2" x14ac:dyDescent="0.25">
      <c r="B849" s="567" t="str">
        <f t="shared" si="89"/>
        <v/>
      </c>
    </row>
    <row r="850" spans="2:2" x14ac:dyDescent="0.25">
      <c r="B850" s="567" t="str">
        <f t="shared" si="89"/>
        <v/>
      </c>
    </row>
    <row r="851" spans="2:2" x14ac:dyDescent="0.25">
      <c r="B851" s="567" t="str">
        <f t="shared" si="89"/>
        <v/>
      </c>
    </row>
    <row r="852" spans="2:2" x14ac:dyDescent="0.25">
      <c r="B852" s="567" t="str">
        <f t="shared" si="89"/>
        <v/>
      </c>
    </row>
    <row r="853" spans="2:2" x14ac:dyDescent="0.25">
      <c r="B853" s="567" t="str">
        <f t="shared" si="89"/>
        <v/>
      </c>
    </row>
    <row r="854" spans="2:2" x14ac:dyDescent="0.25">
      <c r="B854" s="567" t="str">
        <f t="shared" si="89"/>
        <v/>
      </c>
    </row>
    <row r="855" spans="2:2" x14ac:dyDescent="0.25">
      <c r="B855" s="567" t="str">
        <f t="shared" si="89"/>
        <v/>
      </c>
    </row>
    <row r="856" spans="2:2" x14ac:dyDescent="0.25">
      <c r="B856" s="567" t="str">
        <f t="shared" si="89"/>
        <v/>
      </c>
    </row>
    <row r="857" spans="2:2" x14ac:dyDescent="0.25">
      <c r="B857" s="567" t="str">
        <f t="shared" si="89"/>
        <v/>
      </c>
    </row>
    <row r="858" spans="2:2" x14ac:dyDescent="0.25">
      <c r="B858" s="567" t="str">
        <f t="shared" si="89"/>
        <v/>
      </c>
    </row>
    <row r="859" spans="2:2" x14ac:dyDescent="0.25">
      <c r="B859" s="567" t="str">
        <f t="shared" si="89"/>
        <v/>
      </c>
    </row>
    <row r="860" spans="2:2" x14ac:dyDescent="0.25">
      <c r="B860" s="567" t="str">
        <f t="shared" si="89"/>
        <v/>
      </c>
    </row>
    <row r="861" spans="2:2" x14ac:dyDescent="0.25">
      <c r="B861" s="567" t="str">
        <f t="shared" si="89"/>
        <v/>
      </c>
    </row>
    <row r="862" spans="2:2" x14ac:dyDescent="0.25">
      <c r="B862" s="567" t="str">
        <f t="shared" si="89"/>
        <v/>
      </c>
    </row>
    <row r="863" spans="2:2" x14ac:dyDescent="0.25">
      <c r="B863" s="567" t="str">
        <f t="shared" si="89"/>
        <v/>
      </c>
    </row>
    <row r="864" spans="2:2" x14ac:dyDescent="0.25">
      <c r="B864" s="567" t="str">
        <f t="shared" si="89"/>
        <v/>
      </c>
    </row>
    <row r="865" spans="2:2" x14ac:dyDescent="0.25">
      <c r="B865" s="567" t="str">
        <f t="shared" si="89"/>
        <v/>
      </c>
    </row>
    <row r="866" spans="2:2" x14ac:dyDescent="0.25">
      <c r="B866" s="567" t="str">
        <f t="shared" si="89"/>
        <v/>
      </c>
    </row>
    <row r="867" spans="2:2" x14ac:dyDescent="0.25">
      <c r="B867" s="567" t="str">
        <f t="shared" si="89"/>
        <v/>
      </c>
    </row>
    <row r="868" spans="2:2" x14ac:dyDescent="0.25">
      <c r="B868" s="567" t="str">
        <f t="shared" si="89"/>
        <v/>
      </c>
    </row>
    <row r="869" spans="2:2" x14ac:dyDescent="0.25">
      <c r="B869" s="567" t="str">
        <f t="shared" si="89"/>
        <v/>
      </c>
    </row>
    <row r="870" spans="2:2" x14ac:dyDescent="0.25">
      <c r="B870" s="567" t="str">
        <f t="shared" ref="B870:B933" si="90">IF(MID($F870,12,2)="- ","KY",IF(MID($F870,12,2)="SY","KY",MID($F870,12,2)))</f>
        <v/>
      </c>
    </row>
    <row r="871" spans="2:2" x14ac:dyDescent="0.25">
      <c r="B871" s="567" t="str">
        <f t="shared" si="90"/>
        <v/>
      </c>
    </row>
    <row r="872" spans="2:2" x14ac:dyDescent="0.25">
      <c r="B872" s="567" t="str">
        <f t="shared" si="90"/>
        <v/>
      </c>
    </row>
    <row r="873" spans="2:2" x14ac:dyDescent="0.25">
      <c r="B873" s="567" t="str">
        <f t="shared" si="90"/>
        <v/>
      </c>
    </row>
    <row r="874" spans="2:2" x14ac:dyDescent="0.25">
      <c r="B874" s="567" t="str">
        <f t="shared" si="90"/>
        <v/>
      </c>
    </row>
    <row r="875" spans="2:2" x14ac:dyDescent="0.25">
      <c r="B875" s="567" t="str">
        <f t="shared" si="90"/>
        <v/>
      </c>
    </row>
    <row r="876" spans="2:2" x14ac:dyDescent="0.25">
      <c r="B876" s="567" t="str">
        <f t="shared" si="90"/>
        <v/>
      </c>
    </row>
    <row r="877" spans="2:2" x14ac:dyDescent="0.25">
      <c r="B877" s="567" t="str">
        <f t="shared" si="90"/>
        <v/>
      </c>
    </row>
    <row r="878" spans="2:2" x14ac:dyDescent="0.25">
      <c r="B878" s="567" t="str">
        <f t="shared" si="90"/>
        <v/>
      </c>
    </row>
    <row r="879" spans="2:2" x14ac:dyDescent="0.25">
      <c r="B879" s="567" t="str">
        <f t="shared" si="90"/>
        <v/>
      </c>
    </row>
    <row r="880" spans="2:2" x14ac:dyDescent="0.25">
      <c r="B880" s="567" t="str">
        <f t="shared" si="90"/>
        <v/>
      </c>
    </row>
    <row r="881" spans="2:2" x14ac:dyDescent="0.25">
      <c r="B881" s="567" t="str">
        <f t="shared" si="90"/>
        <v/>
      </c>
    </row>
    <row r="882" spans="2:2" x14ac:dyDescent="0.25">
      <c r="B882" s="567" t="str">
        <f t="shared" si="90"/>
        <v/>
      </c>
    </row>
    <row r="883" spans="2:2" x14ac:dyDescent="0.25">
      <c r="B883" s="567" t="str">
        <f t="shared" si="90"/>
        <v/>
      </c>
    </row>
    <row r="884" spans="2:2" x14ac:dyDescent="0.25">
      <c r="B884" s="567" t="str">
        <f t="shared" si="90"/>
        <v/>
      </c>
    </row>
    <row r="885" spans="2:2" x14ac:dyDescent="0.25">
      <c r="B885" s="567" t="str">
        <f t="shared" si="90"/>
        <v/>
      </c>
    </row>
    <row r="886" spans="2:2" x14ac:dyDescent="0.25">
      <c r="B886" s="567" t="str">
        <f t="shared" si="90"/>
        <v/>
      </c>
    </row>
    <row r="887" spans="2:2" x14ac:dyDescent="0.25">
      <c r="B887" s="567" t="str">
        <f t="shared" si="90"/>
        <v/>
      </c>
    </row>
    <row r="888" spans="2:2" x14ac:dyDescent="0.25">
      <c r="B888" s="567" t="str">
        <f t="shared" si="90"/>
        <v/>
      </c>
    </row>
    <row r="889" spans="2:2" x14ac:dyDescent="0.25">
      <c r="B889" s="567" t="str">
        <f t="shared" si="90"/>
        <v/>
      </c>
    </row>
    <row r="890" spans="2:2" x14ac:dyDescent="0.25">
      <c r="B890" s="567" t="str">
        <f t="shared" si="90"/>
        <v/>
      </c>
    </row>
    <row r="891" spans="2:2" x14ac:dyDescent="0.25">
      <c r="B891" s="567" t="str">
        <f t="shared" si="90"/>
        <v/>
      </c>
    </row>
    <row r="892" spans="2:2" x14ac:dyDescent="0.25">
      <c r="B892" s="567" t="str">
        <f t="shared" si="90"/>
        <v/>
      </c>
    </row>
    <row r="893" spans="2:2" x14ac:dyDescent="0.25">
      <c r="B893" s="567" t="str">
        <f t="shared" si="90"/>
        <v/>
      </c>
    </row>
    <row r="894" spans="2:2" x14ac:dyDescent="0.25">
      <c r="B894" s="567" t="str">
        <f t="shared" si="90"/>
        <v/>
      </c>
    </row>
    <row r="895" spans="2:2" x14ac:dyDescent="0.25">
      <c r="B895" s="567" t="str">
        <f t="shared" si="90"/>
        <v/>
      </c>
    </row>
    <row r="896" spans="2:2" x14ac:dyDescent="0.25">
      <c r="B896" s="567" t="str">
        <f t="shared" si="90"/>
        <v/>
      </c>
    </row>
    <row r="897" spans="2:2" x14ac:dyDescent="0.25">
      <c r="B897" s="567" t="str">
        <f t="shared" si="90"/>
        <v/>
      </c>
    </row>
    <row r="898" spans="2:2" x14ac:dyDescent="0.25">
      <c r="B898" s="567" t="str">
        <f t="shared" si="90"/>
        <v/>
      </c>
    </row>
    <row r="899" spans="2:2" x14ac:dyDescent="0.25">
      <c r="B899" s="567" t="str">
        <f t="shared" si="90"/>
        <v/>
      </c>
    </row>
    <row r="900" spans="2:2" x14ac:dyDescent="0.25">
      <c r="B900" s="567" t="str">
        <f t="shared" si="90"/>
        <v/>
      </c>
    </row>
    <row r="901" spans="2:2" x14ac:dyDescent="0.25">
      <c r="B901" s="567" t="str">
        <f t="shared" si="90"/>
        <v/>
      </c>
    </row>
    <row r="902" spans="2:2" x14ac:dyDescent="0.25">
      <c r="B902" s="567" t="str">
        <f t="shared" si="90"/>
        <v/>
      </c>
    </row>
    <row r="903" spans="2:2" x14ac:dyDescent="0.25">
      <c r="B903" s="567" t="str">
        <f t="shared" si="90"/>
        <v/>
      </c>
    </row>
    <row r="904" spans="2:2" x14ac:dyDescent="0.25">
      <c r="B904" s="567" t="str">
        <f t="shared" si="90"/>
        <v/>
      </c>
    </row>
    <row r="905" spans="2:2" x14ac:dyDescent="0.25">
      <c r="B905" s="567" t="str">
        <f t="shared" si="90"/>
        <v/>
      </c>
    </row>
    <row r="906" spans="2:2" x14ac:dyDescent="0.25">
      <c r="B906" s="567" t="str">
        <f t="shared" si="90"/>
        <v/>
      </c>
    </row>
    <row r="907" spans="2:2" x14ac:dyDescent="0.25">
      <c r="B907" s="567" t="str">
        <f t="shared" si="90"/>
        <v/>
      </c>
    </row>
    <row r="908" spans="2:2" x14ac:dyDescent="0.25">
      <c r="B908" s="567" t="str">
        <f t="shared" si="90"/>
        <v/>
      </c>
    </row>
    <row r="909" spans="2:2" x14ac:dyDescent="0.25">
      <c r="B909" s="567" t="str">
        <f t="shared" si="90"/>
        <v/>
      </c>
    </row>
    <row r="910" spans="2:2" x14ac:dyDescent="0.25">
      <c r="B910" s="567" t="str">
        <f t="shared" si="90"/>
        <v/>
      </c>
    </row>
    <row r="911" spans="2:2" x14ac:dyDescent="0.25">
      <c r="B911" s="567" t="str">
        <f t="shared" si="90"/>
        <v/>
      </c>
    </row>
    <row r="912" spans="2:2" x14ac:dyDescent="0.25">
      <c r="B912" s="567" t="str">
        <f t="shared" si="90"/>
        <v/>
      </c>
    </row>
    <row r="913" spans="2:2" x14ac:dyDescent="0.25">
      <c r="B913" s="567" t="str">
        <f t="shared" si="90"/>
        <v/>
      </c>
    </row>
    <row r="914" spans="2:2" x14ac:dyDescent="0.25">
      <c r="B914" s="567" t="str">
        <f t="shared" si="90"/>
        <v/>
      </c>
    </row>
    <row r="915" spans="2:2" x14ac:dyDescent="0.25">
      <c r="B915" s="567" t="str">
        <f t="shared" si="90"/>
        <v/>
      </c>
    </row>
    <row r="916" spans="2:2" x14ac:dyDescent="0.25">
      <c r="B916" s="567" t="str">
        <f t="shared" si="90"/>
        <v/>
      </c>
    </row>
    <row r="917" spans="2:2" x14ac:dyDescent="0.25">
      <c r="B917" s="567" t="str">
        <f t="shared" si="90"/>
        <v/>
      </c>
    </row>
    <row r="918" spans="2:2" x14ac:dyDescent="0.25">
      <c r="B918" s="567" t="str">
        <f t="shared" si="90"/>
        <v/>
      </c>
    </row>
    <row r="919" spans="2:2" x14ac:dyDescent="0.25">
      <c r="B919" s="567" t="str">
        <f t="shared" si="90"/>
        <v/>
      </c>
    </row>
    <row r="920" spans="2:2" x14ac:dyDescent="0.25">
      <c r="B920" s="567" t="str">
        <f t="shared" si="90"/>
        <v/>
      </c>
    </row>
    <row r="921" spans="2:2" x14ac:dyDescent="0.25">
      <c r="B921" s="567" t="str">
        <f t="shared" si="90"/>
        <v/>
      </c>
    </row>
    <row r="922" spans="2:2" x14ac:dyDescent="0.25">
      <c r="B922" s="567" t="str">
        <f t="shared" si="90"/>
        <v/>
      </c>
    </row>
    <row r="923" spans="2:2" x14ac:dyDescent="0.25">
      <c r="B923" s="567" t="str">
        <f t="shared" si="90"/>
        <v/>
      </c>
    </row>
    <row r="924" spans="2:2" x14ac:dyDescent="0.25">
      <c r="B924" s="567" t="str">
        <f t="shared" si="90"/>
        <v/>
      </c>
    </row>
    <row r="925" spans="2:2" x14ac:dyDescent="0.25">
      <c r="B925" s="567" t="str">
        <f t="shared" si="90"/>
        <v/>
      </c>
    </row>
    <row r="926" spans="2:2" x14ac:dyDescent="0.25">
      <c r="B926" s="567" t="str">
        <f t="shared" si="90"/>
        <v/>
      </c>
    </row>
    <row r="927" spans="2:2" x14ac:dyDescent="0.25">
      <c r="B927" s="567" t="str">
        <f t="shared" si="90"/>
        <v/>
      </c>
    </row>
    <row r="928" spans="2:2" x14ac:dyDescent="0.25">
      <c r="B928" s="567" t="str">
        <f t="shared" si="90"/>
        <v/>
      </c>
    </row>
    <row r="929" spans="2:2" x14ac:dyDescent="0.25">
      <c r="B929" s="567" t="str">
        <f t="shared" si="90"/>
        <v/>
      </c>
    </row>
    <row r="930" spans="2:2" x14ac:dyDescent="0.25">
      <c r="B930" s="567" t="str">
        <f t="shared" si="90"/>
        <v/>
      </c>
    </row>
    <row r="931" spans="2:2" x14ac:dyDescent="0.25">
      <c r="B931" s="567" t="str">
        <f t="shared" si="90"/>
        <v/>
      </c>
    </row>
    <row r="932" spans="2:2" x14ac:dyDescent="0.25">
      <c r="B932" s="567" t="str">
        <f t="shared" si="90"/>
        <v/>
      </c>
    </row>
    <row r="933" spans="2:2" x14ac:dyDescent="0.25">
      <c r="B933" s="567" t="str">
        <f t="shared" si="90"/>
        <v/>
      </c>
    </row>
    <row r="934" spans="2:2" x14ac:dyDescent="0.25">
      <c r="B934" s="567" t="str">
        <f t="shared" ref="B934:B956" si="91">IF(MID($F934,12,2)="- ","KY",IF(MID($F934,12,2)="SY","KY",MID($F934,12,2)))</f>
        <v/>
      </c>
    </row>
    <row r="935" spans="2:2" x14ac:dyDescent="0.25">
      <c r="B935" s="567" t="str">
        <f t="shared" si="91"/>
        <v/>
      </c>
    </row>
    <row r="936" spans="2:2" x14ac:dyDescent="0.25">
      <c r="B936" s="567" t="str">
        <f t="shared" si="91"/>
        <v/>
      </c>
    </row>
    <row r="937" spans="2:2" x14ac:dyDescent="0.25">
      <c r="B937" s="567" t="str">
        <f t="shared" si="91"/>
        <v/>
      </c>
    </row>
    <row r="938" spans="2:2" x14ac:dyDescent="0.25">
      <c r="B938" s="567" t="str">
        <f t="shared" si="91"/>
        <v/>
      </c>
    </row>
    <row r="939" spans="2:2" x14ac:dyDescent="0.25">
      <c r="B939" s="567" t="str">
        <f t="shared" si="91"/>
        <v/>
      </c>
    </row>
    <row r="940" spans="2:2" x14ac:dyDescent="0.25">
      <c r="B940" s="567" t="str">
        <f t="shared" si="91"/>
        <v/>
      </c>
    </row>
    <row r="941" spans="2:2" x14ac:dyDescent="0.25">
      <c r="B941" s="567" t="str">
        <f t="shared" si="91"/>
        <v/>
      </c>
    </row>
    <row r="942" spans="2:2" x14ac:dyDescent="0.25">
      <c r="B942" s="567" t="str">
        <f t="shared" si="91"/>
        <v/>
      </c>
    </row>
    <row r="943" spans="2:2" x14ac:dyDescent="0.25">
      <c r="B943" s="567" t="str">
        <f t="shared" si="91"/>
        <v/>
      </c>
    </row>
    <row r="944" spans="2:2" x14ac:dyDescent="0.25">
      <c r="B944" s="567" t="str">
        <f t="shared" si="91"/>
        <v/>
      </c>
    </row>
    <row r="945" spans="2:2" x14ac:dyDescent="0.25">
      <c r="B945" s="567" t="str">
        <f t="shared" si="91"/>
        <v/>
      </c>
    </row>
    <row r="946" spans="2:2" x14ac:dyDescent="0.25">
      <c r="B946" s="567" t="str">
        <f t="shared" si="91"/>
        <v/>
      </c>
    </row>
    <row r="947" spans="2:2" x14ac:dyDescent="0.25">
      <c r="B947" s="567" t="str">
        <f t="shared" si="91"/>
        <v/>
      </c>
    </row>
    <row r="948" spans="2:2" x14ac:dyDescent="0.25">
      <c r="B948" s="567" t="str">
        <f t="shared" si="91"/>
        <v/>
      </c>
    </row>
    <row r="949" spans="2:2" x14ac:dyDescent="0.25">
      <c r="B949" s="567" t="str">
        <f t="shared" si="91"/>
        <v/>
      </c>
    </row>
    <row r="950" spans="2:2" x14ac:dyDescent="0.25">
      <c r="B950" s="567" t="str">
        <f t="shared" si="91"/>
        <v/>
      </c>
    </row>
    <row r="951" spans="2:2" x14ac:dyDescent="0.25">
      <c r="B951" s="567" t="str">
        <f t="shared" si="91"/>
        <v/>
      </c>
    </row>
    <row r="952" spans="2:2" x14ac:dyDescent="0.25">
      <c r="B952" s="567" t="str">
        <f t="shared" si="91"/>
        <v/>
      </c>
    </row>
    <row r="953" spans="2:2" x14ac:dyDescent="0.25">
      <c r="B953" s="567" t="str">
        <f t="shared" si="91"/>
        <v/>
      </c>
    </row>
    <row r="954" spans="2:2" x14ac:dyDescent="0.25">
      <c r="B954" s="567" t="str">
        <f t="shared" si="91"/>
        <v/>
      </c>
    </row>
    <row r="955" spans="2:2" x14ac:dyDescent="0.25">
      <c r="B955" s="567" t="str">
        <f t="shared" si="91"/>
        <v/>
      </c>
    </row>
    <row r="956" spans="2:2" x14ac:dyDescent="0.25">
      <c r="B956" s="567" t="str">
        <f t="shared" si="91"/>
        <v/>
      </c>
    </row>
  </sheetData>
  <pageMargins left="0.75" right="0.75" top="1" bottom="1" header="0.5" footer="0.5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39"/>
  <sheetViews>
    <sheetView workbookViewId="0">
      <pane xSplit="1" ySplit="3" topLeftCell="B343" activePane="bottomRight" state="frozen"/>
      <selection activeCell="I39" sqref="I39"/>
      <selection pane="topRight" activeCell="I39" sqref="I39"/>
      <selection pane="bottomLeft" activeCell="I39" sqref="I39"/>
      <selection pane="bottomRight" activeCell="K356" sqref="K356"/>
    </sheetView>
  </sheetViews>
  <sheetFormatPr defaultColWidth="9" defaultRowHeight="15" outlineLevelRow="1" x14ac:dyDescent="0.25"/>
  <cols>
    <col min="1" max="1" width="40.21875" style="791" customWidth="1"/>
    <col min="2" max="13" width="9.33203125" style="787" customWidth="1"/>
    <col min="14" max="14" width="11.33203125" style="787" customWidth="1"/>
    <col min="15" max="27" width="9.33203125" style="788" customWidth="1"/>
    <col min="28" max="16384" width="9" style="787"/>
  </cols>
  <sheetData>
    <row r="1" spans="1:27" s="780" customFormat="1" x14ac:dyDescent="0.25">
      <c r="A1" s="779" t="s">
        <v>2448</v>
      </c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</row>
    <row r="2" spans="1:27" s="780" customFormat="1" x14ac:dyDescent="0.25">
      <c r="A2" s="782"/>
      <c r="B2" s="780" t="s">
        <v>2454</v>
      </c>
      <c r="C2" s="780" t="s">
        <v>2455</v>
      </c>
      <c r="D2" s="780" t="s">
        <v>2456</v>
      </c>
      <c r="E2" s="780" t="s">
        <v>2457</v>
      </c>
      <c r="F2" s="780" t="s">
        <v>2458</v>
      </c>
      <c r="G2" s="780" t="s">
        <v>2459</v>
      </c>
      <c r="H2" s="780" t="s">
        <v>2460</v>
      </c>
      <c r="I2" s="780" t="s">
        <v>2461</v>
      </c>
      <c r="J2" s="780" t="s">
        <v>2462</v>
      </c>
      <c r="K2" s="780" t="s">
        <v>2463</v>
      </c>
      <c r="L2" s="780" t="s">
        <v>2464</v>
      </c>
      <c r="M2" s="780" t="s">
        <v>2465</v>
      </c>
      <c r="N2" s="783" t="s">
        <v>2473</v>
      </c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</row>
    <row r="3" spans="1:27" s="780" customFormat="1" x14ac:dyDescent="0.25">
      <c r="A3" s="782" t="s">
        <v>1505</v>
      </c>
      <c r="O3" s="781"/>
      <c r="P3" s="781"/>
      <c r="Q3" s="781"/>
      <c r="R3" s="781"/>
      <c r="S3" s="781"/>
      <c r="T3" s="781"/>
      <c r="U3" s="781"/>
      <c r="V3" s="781"/>
      <c r="W3" s="781"/>
      <c r="X3" s="781"/>
      <c r="Y3" s="781"/>
      <c r="Z3" s="781"/>
      <c r="AA3" s="781"/>
    </row>
    <row r="4" spans="1:27" x14ac:dyDescent="0.25">
      <c r="A4" s="784" t="s">
        <v>1506</v>
      </c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6"/>
    </row>
    <row r="5" spans="1:27" x14ac:dyDescent="0.25">
      <c r="A5" s="784" t="s">
        <v>1019</v>
      </c>
    </row>
    <row r="6" spans="1:27" ht="15.75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</row>
    <row r="7" spans="1:27" outlineLevel="1" x14ac:dyDescent="0.25">
      <c r="A7" s="784" t="s">
        <v>1751</v>
      </c>
      <c r="B7" s="789"/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90"/>
      <c r="P7" s="790"/>
      <c r="Q7" s="790"/>
      <c r="R7" s="790"/>
      <c r="S7" s="790"/>
      <c r="T7" s="790"/>
      <c r="U7" s="790"/>
      <c r="V7" s="790"/>
      <c r="W7" s="790"/>
      <c r="X7" s="790"/>
      <c r="Y7" s="790"/>
      <c r="Z7" s="790"/>
      <c r="AA7" s="790"/>
    </row>
    <row r="8" spans="1:27" outlineLevel="1" x14ac:dyDescent="0.25">
      <c r="A8" s="791" t="s">
        <v>1752</v>
      </c>
      <c r="B8" s="787">
        <v>38885.784697258699</v>
      </c>
      <c r="C8" s="787">
        <v>42003.8619640619</v>
      </c>
      <c r="D8" s="787">
        <v>50514.808461584202</v>
      </c>
      <c r="E8" s="787">
        <v>51459.038369075999</v>
      </c>
      <c r="F8" s="787">
        <v>41172.785797171702</v>
      </c>
      <c r="G8" s="787">
        <v>35118.981812191101</v>
      </c>
      <c r="H8" s="787">
        <v>42717.592926999503</v>
      </c>
      <c r="I8" s="787">
        <v>56618.814468307799</v>
      </c>
      <c r="J8" s="787">
        <v>71670.335833956997</v>
      </c>
      <c r="K8" s="787">
        <v>57399.519737609698</v>
      </c>
      <c r="L8" s="787">
        <v>53381.006461762801</v>
      </c>
      <c r="M8" s="787">
        <v>39310.315314531697</v>
      </c>
      <c r="N8" s="787">
        <v>569046.72271966003</v>
      </c>
    </row>
    <row r="9" spans="1:27" ht="15.75" outlineLevel="1" thickBot="1" x14ac:dyDescent="0.3">
      <c r="A9" s="791" t="s">
        <v>1753</v>
      </c>
      <c r="B9" s="792">
        <v>0</v>
      </c>
      <c r="C9" s="792">
        <v>0</v>
      </c>
      <c r="D9" s="792">
        <v>0</v>
      </c>
      <c r="E9" s="792">
        <v>0</v>
      </c>
      <c r="F9" s="792">
        <v>0</v>
      </c>
      <c r="G9" s="792">
        <v>0</v>
      </c>
      <c r="H9" s="792">
        <v>0</v>
      </c>
      <c r="I9" s="792">
        <v>0</v>
      </c>
      <c r="J9" s="792">
        <v>0</v>
      </c>
      <c r="K9" s="792">
        <v>0</v>
      </c>
      <c r="L9" s="792">
        <v>0</v>
      </c>
      <c r="M9" s="792">
        <v>0</v>
      </c>
      <c r="N9" s="792">
        <v>0</v>
      </c>
    </row>
    <row r="10" spans="1:27" ht="15.75" outlineLevel="1" x14ac:dyDescent="0.25">
      <c r="A10" s="103"/>
      <c r="B10" s="793">
        <v>38885.784697258699</v>
      </c>
      <c r="C10" s="793">
        <v>42003.8619640619</v>
      </c>
      <c r="D10" s="793">
        <v>50514.808461584202</v>
      </c>
      <c r="E10" s="793">
        <v>51459.038369075999</v>
      </c>
      <c r="F10" s="793">
        <v>41172.785797171702</v>
      </c>
      <c r="G10" s="793">
        <v>35118.981812191101</v>
      </c>
      <c r="H10" s="793">
        <v>42717.592926999503</v>
      </c>
      <c r="I10" s="793">
        <v>56618.814468307799</v>
      </c>
      <c r="J10" s="793">
        <v>71670.335833956997</v>
      </c>
      <c r="K10" s="793">
        <v>57399.519737609698</v>
      </c>
      <c r="L10" s="793">
        <v>53381.006461762801</v>
      </c>
      <c r="M10" s="793">
        <v>39310.315314531697</v>
      </c>
      <c r="N10" s="793">
        <v>569046.72271966003</v>
      </c>
      <c r="O10" s="794"/>
      <c r="P10" s="794"/>
      <c r="Q10" s="794"/>
      <c r="R10" s="794"/>
      <c r="S10" s="794"/>
      <c r="T10" s="794"/>
      <c r="U10" s="794"/>
      <c r="V10" s="794"/>
      <c r="W10" s="794"/>
      <c r="X10" s="794"/>
      <c r="Y10" s="794"/>
      <c r="Z10" s="794"/>
      <c r="AA10" s="794"/>
    </row>
    <row r="11" spans="1:27" outlineLevel="1" x14ac:dyDescent="0.25">
      <c r="B11" s="789"/>
      <c r="C11" s="789"/>
      <c r="D11" s="789"/>
      <c r="E11" s="789"/>
      <c r="F11" s="789"/>
      <c r="G11" s="789"/>
      <c r="H11" s="789"/>
      <c r="I11" s="789"/>
      <c r="J11" s="789"/>
      <c r="K11" s="789"/>
      <c r="L11" s="789"/>
      <c r="M11" s="789"/>
      <c r="N11" s="789"/>
      <c r="O11" s="790"/>
      <c r="P11" s="790"/>
      <c r="Q11" s="790"/>
      <c r="R11" s="790"/>
      <c r="S11" s="790"/>
      <c r="T11" s="790"/>
      <c r="U11" s="790"/>
      <c r="V11" s="790"/>
      <c r="W11" s="790"/>
      <c r="X11" s="790"/>
      <c r="Y11" s="790"/>
      <c r="Z11" s="790"/>
      <c r="AA11" s="790"/>
    </row>
    <row r="12" spans="1:27" outlineLevel="1" x14ac:dyDescent="0.25">
      <c r="A12" s="791" t="s">
        <v>1754</v>
      </c>
      <c r="B12" s="787">
        <v>29678.629465331898</v>
      </c>
      <c r="C12" s="787">
        <v>30493.351281228701</v>
      </c>
      <c r="D12" s="787">
        <v>32731.849637604199</v>
      </c>
      <c r="E12" s="787">
        <v>33241.360695681004</v>
      </c>
      <c r="F12" s="787">
        <v>29653.314274238299</v>
      </c>
      <c r="G12" s="787">
        <v>28189.537860066001</v>
      </c>
      <c r="H12" s="787">
        <v>29076.654882911698</v>
      </c>
      <c r="I12" s="787">
        <v>30403.626050490799</v>
      </c>
      <c r="J12" s="787">
        <v>32575.203579294001</v>
      </c>
      <c r="K12" s="787">
        <v>28049.6026723951</v>
      </c>
      <c r="L12" s="787">
        <v>27913.508802713499</v>
      </c>
      <c r="M12" s="787">
        <v>26340.211411365599</v>
      </c>
      <c r="N12" s="787">
        <v>355578.59214145498</v>
      </c>
    </row>
    <row r="13" spans="1:27" ht="15.75" outlineLevel="1" thickBot="1" x14ac:dyDescent="0.3">
      <c r="A13" s="791" t="s">
        <v>1755</v>
      </c>
      <c r="B13" s="792">
        <v>0</v>
      </c>
      <c r="C13" s="792">
        <v>0</v>
      </c>
      <c r="D13" s="792">
        <v>0</v>
      </c>
      <c r="E13" s="792">
        <v>0</v>
      </c>
      <c r="F13" s="792">
        <v>0</v>
      </c>
      <c r="G13" s="792">
        <v>0</v>
      </c>
      <c r="H13" s="792">
        <v>0</v>
      </c>
      <c r="I13" s="792">
        <v>0</v>
      </c>
      <c r="J13" s="792">
        <v>0</v>
      </c>
      <c r="K13" s="792">
        <v>0</v>
      </c>
      <c r="L13" s="792">
        <v>0</v>
      </c>
      <c r="M13" s="792">
        <v>0</v>
      </c>
      <c r="N13" s="792">
        <v>0</v>
      </c>
    </row>
    <row r="14" spans="1:27" outlineLevel="1" x14ac:dyDescent="0.25">
      <c r="A14" s="795" t="s">
        <v>1756</v>
      </c>
      <c r="B14" s="787">
        <v>29678.629465331898</v>
      </c>
      <c r="C14" s="787">
        <v>30493.351281228701</v>
      </c>
      <c r="D14" s="787">
        <v>32731.849637604199</v>
      </c>
      <c r="E14" s="787">
        <v>33241.360695681004</v>
      </c>
      <c r="F14" s="787">
        <v>29653.314274238299</v>
      </c>
      <c r="G14" s="787">
        <v>28189.537860066001</v>
      </c>
      <c r="H14" s="787">
        <v>29076.654882911698</v>
      </c>
      <c r="I14" s="787">
        <v>30403.626050490799</v>
      </c>
      <c r="J14" s="787">
        <v>32575.203579294001</v>
      </c>
      <c r="K14" s="787">
        <v>28049.6026723951</v>
      </c>
      <c r="L14" s="787">
        <v>27913.508802713499</v>
      </c>
      <c r="M14" s="787">
        <v>26340.211411365599</v>
      </c>
      <c r="N14" s="787">
        <v>355578.59214145498</v>
      </c>
    </row>
    <row r="15" spans="1:27" outlineLevel="1" x14ac:dyDescent="0.25">
      <c r="B15" s="789"/>
      <c r="C15" s="789"/>
      <c r="D15" s="789"/>
      <c r="E15" s="789"/>
      <c r="F15" s="789"/>
      <c r="G15" s="789"/>
      <c r="H15" s="789"/>
      <c r="I15" s="789"/>
      <c r="J15" s="789"/>
      <c r="K15" s="789"/>
      <c r="L15" s="789"/>
      <c r="M15" s="789"/>
      <c r="N15" s="789"/>
      <c r="O15" s="790"/>
      <c r="P15" s="790"/>
      <c r="Q15" s="790"/>
      <c r="R15" s="790"/>
      <c r="S15" s="790"/>
      <c r="T15" s="790"/>
      <c r="U15" s="790"/>
      <c r="V15" s="790"/>
      <c r="W15" s="790"/>
      <c r="X15" s="790"/>
      <c r="Y15" s="790"/>
      <c r="Z15" s="790"/>
      <c r="AA15" s="790"/>
    </row>
    <row r="16" spans="1:27" outlineLevel="1" x14ac:dyDescent="0.25">
      <c r="A16" s="791" t="s">
        <v>1757</v>
      </c>
      <c r="B16" s="787">
        <v>33189.620623005998</v>
      </c>
      <c r="C16" s="787">
        <v>32405.860176007402</v>
      </c>
      <c r="D16" s="787">
        <v>32378.3173231818</v>
      </c>
      <c r="E16" s="787">
        <v>33590.298356200998</v>
      </c>
      <c r="F16" s="787">
        <v>30467.0692032351</v>
      </c>
      <c r="G16" s="787">
        <v>31039.1841943695</v>
      </c>
      <c r="H16" s="787">
        <v>32678.225608987999</v>
      </c>
      <c r="I16" s="787">
        <v>31660.010180654299</v>
      </c>
      <c r="J16" s="787">
        <v>32292.148069025701</v>
      </c>
      <c r="K16" s="787">
        <v>28998.186874819301</v>
      </c>
      <c r="L16" s="787">
        <v>29912.356872049801</v>
      </c>
      <c r="M16" s="787">
        <v>28738.8764229968</v>
      </c>
      <c r="N16" s="787">
        <v>387170.98943401501</v>
      </c>
    </row>
    <row r="17" spans="1:27" ht="15.75" outlineLevel="1" thickBot="1" x14ac:dyDescent="0.3">
      <c r="A17" s="791" t="s">
        <v>1758</v>
      </c>
      <c r="B17" s="792">
        <v>0</v>
      </c>
      <c r="C17" s="792">
        <v>0</v>
      </c>
      <c r="D17" s="792">
        <v>0</v>
      </c>
      <c r="E17" s="792">
        <v>0</v>
      </c>
      <c r="F17" s="792">
        <v>0</v>
      </c>
      <c r="G17" s="792">
        <v>0</v>
      </c>
      <c r="H17" s="792">
        <v>0</v>
      </c>
      <c r="I17" s="792">
        <v>0</v>
      </c>
      <c r="J17" s="792">
        <v>0</v>
      </c>
      <c r="K17" s="792">
        <v>0</v>
      </c>
      <c r="L17" s="792">
        <v>0</v>
      </c>
      <c r="M17" s="792">
        <v>0</v>
      </c>
      <c r="N17" s="792">
        <v>0</v>
      </c>
    </row>
    <row r="18" spans="1:27" outlineLevel="1" x14ac:dyDescent="0.25">
      <c r="A18" s="795" t="s">
        <v>1759</v>
      </c>
      <c r="B18" s="787">
        <v>33189.620623005998</v>
      </c>
      <c r="C18" s="787">
        <v>32405.860176007402</v>
      </c>
      <c r="D18" s="787">
        <v>32378.3173231818</v>
      </c>
      <c r="E18" s="787">
        <v>33590.298356200998</v>
      </c>
      <c r="F18" s="787">
        <v>30467.0692032351</v>
      </c>
      <c r="G18" s="787">
        <v>31039.1841943695</v>
      </c>
      <c r="H18" s="787">
        <v>32678.225608987999</v>
      </c>
      <c r="I18" s="787">
        <v>31660.010180654299</v>
      </c>
      <c r="J18" s="787">
        <v>32292.148069025701</v>
      </c>
      <c r="K18" s="787">
        <v>28998.186874819301</v>
      </c>
      <c r="L18" s="787">
        <v>29912.356872049801</v>
      </c>
      <c r="M18" s="787">
        <v>28738.8764229968</v>
      </c>
      <c r="N18" s="787">
        <v>387170.98943401501</v>
      </c>
    </row>
    <row r="19" spans="1:27" outlineLevel="1" x14ac:dyDescent="0.25">
      <c r="B19" s="789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89"/>
      <c r="N19" s="789"/>
      <c r="O19" s="790"/>
      <c r="P19" s="790"/>
      <c r="Q19" s="790"/>
      <c r="R19" s="790"/>
      <c r="S19" s="790"/>
      <c r="T19" s="790"/>
      <c r="U19" s="790"/>
      <c r="V19" s="790"/>
      <c r="W19" s="790"/>
      <c r="X19" s="790"/>
      <c r="Y19" s="790"/>
      <c r="Z19" s="790"/>
      <c r="AA19" s="790"/>
    </row>
    <row r="20" spans="1:27" ht="15.75" outlineLevel="1" thickBot="1" x14ac:dyDescent="0.3">
      <c r="A20" s="791" t="s">
        <v>1760</v>
      </c>
      <c r="B20" s="792">
        <v>994.877797536088</v>
      </c>
      <c r="C20" s="792">
        <v>992.61118739369294</v>
      </c>
      <c r="D20" s="792">
        <v>993.45081149556802</v>
      </c>
      <c r="E20" s="792">
        <v>996.85382329399897</v>
      </c>
      <c r="F20" s="792">
        <v>991.95697211547395</v>
      </c>
      <c r="G20" s="792">
        <v>991.75011868086006</v>
      </c>
      <c r="H20" s="792">
        <v>997.24735373659701</v>
      </c>
      <c r="I20" s="792">
        <v>999.38111251808698</v>
      </c>
      <c r="J20" s="792">
        <v>1001.80058525249</v>
      </c>
      <c r="K20" s="792">
        <v>996.96523471482999</v>
      </c>
      <c r="L20" s="792">
        <v>1000.0972490578999</v>
      </c>
      <c r="M20" s="792">
        <v>988.84747878474502</v>
      </c>
      <c r="N20" s="792">
        <v>11777.067707869201</v>
      </c>
    </row>
    <row r="21" spans="1:27" outlineLevel="1" x14ac:dyDescent="0.25">
      <c r="A21" s="795" t="s">
        <v>1761</v>
      </c>
      <c r="B21" s="787">
        <v>994.877797536088</v>
      </c>
      <c r="C21" s="787">
        <v>992.61118739369294</v>
      </c>
      <c r="D21" s="787">
        <v>993.45081149556802</v>
      </c>
      <c r="E21" s="787">
        <v>996.85382329399897</v>
      </c>
      <c r="F21" s="787">
        <v>991.95697211547395</v>
      </c>
      <c r="G21" s="787">
        <v>991.75011868086006</v>
      </c>
      <c r="H21" s="787">
        <v>997.24735373659701</v>
      </c>
      <c r="I21" s="787">
        <v>999.38111251808698</v>
      </c>
      <c r="J21" s="787">
        <v>1001.80058525249</v>
      </c>
      <c r="K21" s="787">
        <v>996.96523471482999</v>
      </c>
      <c r="L21" s="787">
        <v>1000.0972490578999</v>
      </c>
      <c r="M21" s="787">
        <v>988.84747878474502</v>
      </c>
      <c r="N21" s="787">
        <v>11777.067707869201</v>
      </c>
    </row>
    <row r="22" spans="1:27" outlineLevel="1" x14ac:dyDescent="0.25"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790"/>
      <c r="P22" s="790"/>
      <c r="Q22" s="790"/>
      <c r="R22" s="790"/>
      <c r="S22" s="790"/>
      <c r="T22" s="790"/>
      <c r="U22" s="790"/>
      <c r="V22" s="790"/>
      <c r="W22" s="790"/>
      <c r="X22" s="790"/>
      <c r="Y22" s="790"/>
      <c r="Z22" s="790"/>
      <c r="AA22" s="790"/>
    </row>
    <row r="23" spans="1:27" outlineLevel="1" x14ac:dyDescent="0.25">
      <c r="A23" s="791" t="s">
        <v>1762</v>
      </c>
      <c r="B23" s="787">
        <v>9761.7653777712203</v>
      </c>
      <c r="C23" s="787">
        <v>9658.0009535264398</v>
      </c>
      <c r="D23" s="787">
        <v>10119.3934757151</v>
      </c>
      <c r="E23" s="787">
        <v>10339.3388364529</v>
      </c>
      <c r="F23" s="787">
        <v>9355.5378753929399</v>
      </c>
      <c r="G23" s="787">
        <v>8896.3628656789097</v>
      </c>
      <c r="H23" s="787">
        <v>9208.7131357514299</v>
      </c>
      <c r="I23" s="787">
        <v>9644.7139944395094</v>
      </c>
      <c r="J23" s="787">
        <v>10122.5824534086</v>
      </c>
      <c r="K23" s="787">
        <v>8877.2564258426391</v>
      </c>
      <c r="L23" s="787">
        <v>8749.8630656320092</v>
      </c>
      <c r="M23" s="787">
        <v>8376.8452356993894</v>
      </c>
      <c r="N23" s="787">
        <v>119220.43931007601</v>
      </c>
    </row>
    <row r="24" spans="1:27" ht="15.75" outlineLevel="1" thickBot="1" x14ac:dyDescent="0.3">
      <c r="A24" s="791" t="s">
        <v>1763</v>
      </c>
      <c r="B24" s="792">
        <v>0</v>
      </c>
      <c r="C24" s="792">
        <v>0</v>
      </c>
      <c r="D24" s="792">
        <v>0</v>
      </c>
      <c r="E24" s="792">
        <v>0</v>
      </c>
      <c r="F24" s="792">
        <v>0</v>
      </c>
      <c r="G24" s="792">
        <v>0</v>
      </c>
      <c r="H24" s="792">
        <v>0</v>
      </c>
      <c r="I24" s="792">
        <v>0</v>
      </c>
      <c r="J24" s="792">
        <v>0</v>
      </c>
      <c r="K24" s="792">
        <v>0</v>
      </c>
      <c r="L24" s="792">
        <v>0</v>
      </c>
      <c r="M24" s="792">
        <v>0</v>
      </c>
      <c r="N24" s="792">
        <v>0</v>
      </c>
    </row>
    <row r="25" spans="1:27" outlineLevel="1" x14ac:dyDescent="0.25">
      <c r="A25" s="795" t="s">
        <v>1764</v>
      </c>
      <c r="B25" s="787">
        <v>9761.7653777712203</v>
      </c>
      <c r="C25" s="787">
        <v>9658.0009535264398</v>
      </c>
      <c r="D25" s="787">
        <v>10119.3934757151</v>
      </c>
      <c r="E25" s="787">
        <v>10339.3388364529</v>
      </c>
      <c r="F25" s="787">
        <v>9355.5378753929399</v>
      </c>
      <c r="G25" s="787">
        <v>8896.3628656789097</v>
      </c>
      <c r="H25" s="787">
        <v>9208.7131357514299</v>
      </c>
      <c r="I25" s="787">
        <v>9644.7139944395094</v>
      </c>
      <c r="J25" s="787">
        <v>10122.5824534086</v>
      </c>
      <c r="K25" s="787">
        <v>8877.2564258426391</v>
      </c>
      <c r="L25" s="787">
        <v>8749.8630656320092</v>
      </c>
      <c r="M25" s="787">
        <v>8376.8452356993894</v>
      </c>
      <c r="N25" s="787">
        <v>119220.43931007601</v>
      </c>
    </row>
    <row r="26" spans="1:27" outlineLevel="1" x14ac:dyDescent="0.25"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N26" s="789"/>
      <c r="O26" s="790"/>
      <c r="P26" s="790"/>
      <c r="Q26" s="790"/>
      <c r="R26" s="790"/>
      <c r="S26" s="790"/>
      <c r="T26" s="790"/>
      <c r="U26" s="790"/>
      <c r="V26" s="790"/>
      <c r="W26" s="790"/>
      <c r="X26" s="790"/>
      <c r="Y26" s="790"/>
      <c r="Z26" s="790"/>
      <c r="AA26" s="790"/>
    </row>
    <row r="27" spans="1:27" ht="15.75" outlineLevel="1" thickBot="1" x14ac:dyDescent="0.3">
      <c r="A27" s="791" t="s">
        <v>1765</v>
      </c>
      <c r="B27" s="792">
        <v>0</v>
      </c>
      <c r="C27" s="792">
        <v>0</v>
      </c>
      <c r="D27" s="792">
        <v>0</v>
      </c>
      <c r="E27" s="792">
        <v>0</v>
      </c>
      <c r="F27" s="792">
        <v>0</v>
      </c>
      <c r="G27" s="792">
        <v>0</v>
      </c>
      <c r="H27" s="792">
        <v>0</v>
      </c>
      <c r="I27" s="792">
        <v>0</v>
      </c>
      <c r="J27" s="792">
        <v>0</v>
      </c>
      <c r="K27" s="792">
        <v>0</v>
      </c>
      <c r="L27" s="792">
        <v>0</v>
      </c>
      <c r="M27" s="792">
        <v>0</v>
      </c>
      <c r="N27" s="792">
        <v>0</v>
      </c>
    </row>
    <row r="28" spans="1:27" outlineLevel="1" x14ac:dyDescent="0.25">
      <c r="A28" s="795" t="s">
        <v>1766</v>
      </c>
      <c r="B28" s="787">
        <v>0</v>
      </c>
      <c r="C28" s="787">
        <v>0</v>
      </c>
      <c r="D28" s="787">
        <v>0</v>
      </c>
      <c r="E28" s="787">
        <v>0</v>
      </c>
      <c r="F28" s="787">
        <v>0</v>
      </c>
      <c r="G28" s="787">
        <v>0</v>
      </c>
      <c r="H28" s="787">
        <v>0</v>
      </c>
      <c r="I28" s="787">
        <v>0</v>
      </c>
      <c r="J28" s="787">
        <v>0</v>
      </c>
      <c r="K28" s="787">
        <v>0</v>
      </c>
      <c r="L28" s="787">
        <v>0</v>
      </c>
      <c r="M28" s="787">
        <v>0</v>
      </c>
      <c r="N28" s="787">
        <v>0</v>
      </c>
    </row>
    <row r="29" spans="1:27" outlineLevel="1" x14ac:dyDescent="0.25">
      <c r="B29" s="789"/>
      <c r="C29" s="789"/>
      <c r="D29" s="789"/>
      <c r="E29" s="789"/>
      <c r="F29" s="789"/>
      <c r="G29" s="789"/>
      <c r="H29" s="789"/>
      <c r="I29" s="789"/>
      <c r="J29" s="789"/>
      <c r="K29" s="789"/>
      <c r="L29" s="789"/>
      <c r="M29" s="789"/>
      <c r="N29" s="789"/>
      <c r="O29" s="790"/>
      <c r="P29" s="790"/>
      <c r="Q29" s="790"/>
      <c r="R29" s="790"/>
      <c r="S29" s="790"/>
      <c r="T29" s="790"/>
      <c r="U29" s="790"/>
      <c r="V29" s="790"/>
      <c r="W29" s="790"/>
      <c r="X29" s="790"/>
      <c r="Y29" s="790"/>
      <c r="Z29" s="790"/>
      <c r="AA29" s="790"/>
    </row>
    <row r="30" spans="1:27" outlineLevel="1" x14ac:dyDescent="0.25">
      <c r="A30" s="791" t="s">
        <v>1767</v>
      </c>
      <c r="B30" s="787">
        <v>16676.947390756399</v>
      </c>
      <c r="C30" s="787">
        <v>17117.802119872598</v>
      </c>
      <c r="D30" s="787">
        <v>17288.090644860498</v>
      </c>
      <c r="E30" s="787">
        <v>17431.253015811901</v>
      </c>
      <c r="F30" s="787">
        <v>17235.0239451001</v>
      </c>
      <c r="G30" s="787">
        <v>17392.670909529901</v>
      </c>
      <c r="H30" s="787">
        <v>17069.277850947299</v>
      </c>
      <c r="I30" s="787">
        <v>17490.658888091799</v>
      </c>
      <c r="J30" s="787">
        <v>17767.765509635501</v>
      </c>
      <c r="K30" s="787">
        <v>17833.156861524902</v>
      </c>
      <c r="L30" s="787">
        <v>17552.3078382561</v>
      </c>
      <c r="M30" s="787">
        <v>17597.485426975501</v>
      </c>
      <c r="N30" s="787">
        <v>146485.563376904</v>
      </c>
    </row>
    <row r="31" spans="1:27" outlineLevel="1" x14ac:dyDescent="0.25">
      <c r="A31" s="791" t="s">
        <v>1768</v>
      </c>
      <c r="B31" s="787">
        <v>788.02831078815302</v>
      </c>
      <c r="C31" s="787">
        <v>891.07665232110605</v>
      </c>
      <c r="D31" s="787">
        <v>1267.2515786337599</v>
      </c>
      <c r="E31" s="787">
        <v>952.78008971617396</v>
      </c>
      <c r="F31" s="787">
        <v>985.89218558828998</v>
      </c>
      <c r="G31" s="787">
        <v>836.27486623016705</v>
      </c>
      <c r="H31" s="787">
        <v>884.10413166174601</v>
      </c>
      <c r="I31" s="787">
        <v>938.98798186308704</v>
      </c>
      <c r="J31" s="787">
        <v>771.04843163687701</v>
      </c>
      <c r="K31" s="787">
        <v>686.71919322583597</v>
      </c>
      <c r="L31" s="787">
        <v>696.55577951190696</v>
      </c>
      <c r="M31" s="787">
        <v>690.86119043508904</v>
      </c>
      <c r="N31" s="787">
        <v>23535.973310947</v>
      </c>
    </row>
    <row r="32" spans="1:27" outlineLevel="1" x14ac:dyDescent="0.25">
      <c r="A32" s="791" t="s">
        <v>1769</v>
      </c>
      <c r="B32" s="787">
        <v>0</v>
      </c>
      <c r="C32" s="787">
        <v>0</v>
      </c>
      <c r="D32" s="787">
        <v>0</v>
      </c>
      <c r="E32" s="787">
        <v>0</v>
      </c>
      <c r="F32" s="787">
        <v>0</v>
      </c>
      <c r="G32" s="787">
        <v>0</v>
      </c>
      <c r="H32" s="787">
        <v>0</v>
      </c>
      <c r="I32" s="787">
        <v>0</v>
      </c>
      <c r="J32" s="787">
        <v>0</v>
      </c>
      <c r="K32" s="787">
        <v>0</v>
      </c>
      <c r="L32" s="787">
        <v>0</v>
      </c>
      <c r="M32" s="787">
        <v>0</v>
      </c>
      <c r="N32" s="787">
        <v>0</v>
      </c>
    </row>
    <row r="33" spans="1:14" ht="15.75" outlineLevel="1" thickBot="1" x14ac:dyDescent="0.3">
      <c r="A33" s="791" t="s">
        <v>1770</v>
      </c>
      <c r="B33" s="792">
        <v>0</v>
      </c>
      <c r="C33" s="792">
        <v>0</v>
      </c>
      <c r="D33" s="792">
        <v>0</v>
      </c>
      <c r="E33" s="792">
        <v>0</v>
      </c>
      <c r="F33" s="792">
        <v>0</v>
      </c>
      <c r="G33" s="792">
        <v>0</v>
      </c>
      <c r="H33" s="792">
        <v>0</v>
      </c>
      <c r="I33" s="792">
        <v>0</v>
      </c>
      <c r="J33" s="792">
        <v>0</v>
      </c>
      <c r="K33" s="792">
        <v>0</v>
      </c>
      <c r="L33" s="792">
        <v>0</v>
      </c>
      <c r="M33" s="792">
        <v>0</v>
      </c>
      <c r="N33" s="792">
        <v>0</v>
      </c>
    </row>
    <row r="34" spans="1:14" outlineLevel="1" x14ac:dyDescent="0.25">
      <c r="A34" s="795" t="s">
        <v>1771</v>
      </c>
      <c r="B34" s="787">
        <v>17464.975701544601</v>
      </c>
      <c r="C34" s="787">
        <v>18008.878772193701</v>
      </c>
      <c r="D34" s="787">
        <v>18555.342223494299</v>
      </c>
      <c r="E34" s="787">
        <v>18384.033105528099</v>
      </c>
      <c r="F34" s="787">
        <v>18220.916130688402</v>
      </c>
      <c r="G34" s="787">
        <v>18228.945775760101</v>
      </c>
      <c r="H34" s="787">
        <v>17953.381982609</v>
      </c>
      <c r="I34" s="787">
        <v>18429.6468699549</v>
      </c>
      <c r="J34" s="787">
        <v>18538.813941272401</v>
      </c>
      <c r="K34" s="787">
        <v>18519.876054750701</v>
      </c>
      <c r="L34" s="787">
        <v>18248.863617767998</v>
      </c>
      <c r="M34" s="787">
        <v>18288.3466174106</v>
      </c>
      <c r="N34" s="787">
        <v>170021.53668785101</v>
      </c>
    </row>
    <row r="35" spans="1:14" outlineLevel="1" x14ac:dyDescent="0.25"/>
    <row r="36" spans="1:14" outlineLevel="1" x14ac:dyDescent="0.25"/>
    <row r="37" spans="1:14" ht="15.75" x14ac:dyDescent="0.25">
      <c r="A37" s="103"/>
      <c r="B37" s="787">
        <v>129975.65366244801</v>
      </c>
      <c r="C37" s="787">
        <v>133562.56433441199</v>
      </c>
      <c r="D37" s="787">
        <v>145293.161933075</v>
      </c>
      <c r="E37" s="787">
        <v>148010.92318623301</v>
      </c>
      <c r="F37" s="787">
        <v>129861.580252842</v>
      </c>
      <c r="G37" s="787">
        <v>122464.762626746</v>
      </c>
      <c r="H37" s="787">
        <v>132631.81589099599</v>
      </c>
      <c r="I37" s="787">
        <v>147756.192676365</v>
      </c>
      <c r="J37" s="787">
        <v>166200.88446221</v>
      </c>
      <c r="K37" s="787">
        <v>142841.40700013199</v>
      </c>
      <c r="L37" s="787">
        <v>139205.69606898399</v>
      </c>
      <c r="M37" s="787">
        <v>122043.442480789</v>
      </c>
      <c r="N37" s="787">
        <f>SUM(B37:M37)</f>
        <v>1659848.0845752321</v>
      </c>
    </row>
    <row r="38" spans="1:14" x14ac:dyDescent="0.25">
      <c r="N38" s="787">
        <f t="shared" ref="N38:N101" si="0">SUM(B38:M38)</f>
        <v>0</v>
      </c>
    </row>
    <row r="39" spans="1:14" x14ac:dyDescent="0.25">
      <c r="A39" s="791" t="s">
        <v>1772</v>
      </c>
      <c r="B39" s="787">
        <v>1956.1818932334299</v>
      </c>
      <c r="C39" s="787">
        <v>2115.7387492487701</v>
      </c>
      <c r="D39" s="787">
        <v>2382.8239288414402</v>
      </c>
      <c r="E39" s="787">
        <v>2400.09626495988</v>
      </c>
      <c r="F39" s="787">
        <v>2082.6498738974801</v>
      </c>
      <c r="G39" s="787">
        <v>1841.2290226346799</v>
      </c>
      <c r="H39" s="787">
        <v>1769.8588700441501</v>
      </c>
      <c r="I39" s="787">
        <v>2091.5845453983002</v>
      </c>
      <c r="J39" s="787">
        <v>2299.9224453996399</v>
      </c>
      <c r="K39" s="787">
        <v>2042.12544263934</v>
      </c>
      <c r="L39" s="787">
        <v>2096.9791830726199</v>
      </c>
      <c r="M39" s="787">
        <v>1780.9970334653201</v>
      </c>
      <c r="N39" s="787">
        <f t="shared" si="0"/>
        <v>24860.187252835047</v>
      </c>
    </row>
    <row r="40" spans="1:14" x14ac:dyDescent="0.25">
      <c r="A40" s="791" t="s">
        <v>1773</v>
      </c>
      <c r="B40" s="787">
        <v>289.40236372608001</v>
      </c>
      <c r="C40" s="787">
        <v>232.596345416573</v>
      </c>
      <c r="D40" s="787">
        <v>365.21683846943699</v>
      </c>
      <c r="E40" s="787">
        <v>197.48936734276299</v>
      </c>
      <c r="F40" s="787">
        <v>436.65293764442902</v>
      </c>
      <c r="G40" s="787">
        <v>115.68643383399299</v>
      </c>
      <c r="H40" s="787">
        <v>5.2056601079784004</v>
      </c>
      <c r="I40" s="787">
        <v>25.169211448364599</v>
      </c>
      <c r="J40" s="787">
        <v>72.868110050938697</v>
      </c>
      <c r="K40" s="787">
        <v>38.4516008822633</v>
      </c>
      <c r="L40" s="787">
        <v>-3.9128412999775803E-3</v>
      </c>
      <c r="M40" s="787">
        <v>254.92049839981999</v>
      </c>
      <c r="N40" s="787">
        <f t="shared" si="0"/>
        <v>2033.6554544813403</v>
      </c>
    </row>
    <row r="41" spans="1:14" x14ac:dyDescent="0.25">
      <c r="A41" s="791" t="s">
        <v>1774</v>
      </c>
      <c r="B41" s="787">
        <v>0</v>
      </c>
      <c r="C41" s="787">
        <v>0</v>
      </c>
      <c r="D41" s="787">
        <v>0</v>
      </c>
      <c r="E41" s="787">
        <v>0</v>
      </c>
      <c r="F41" s="787">
        <v>0</v>
      </c>
      <c r="G41" s="787">
        <v>0</v>
      </c>
      <c r="H41" s="787">
        <v>0</v>
      </c>
      <c r="I41" s="787">
        <v>0</v>
      </c>
      <c r="J41" s="787">
        <v>0</v>
      </c>
      <c r="K41" s="787">
        <v>0</v>
      </c>
      <c r="L41" s="787">
        <v>0</v>
      </c>
      <c r="M41" s="787">
        <v>0</v>
      </c>
      <c r="N41" s="787">
        <f t="shared" si="0"/>
        <v>0</v>
      </c>
    </row>
    <row r="42" spans="1:14" x14ac:dyDescent="0.25">
      <c r="A42" s="791" t="s">
        <v>1775</v>
      </c>
      <c r="B42" s="787">
        <v>1016.3488</v>
      </c>
      <c r="C42" s="787">
        <v>1010.1902</v>
      </c>
      <c r="D42" s="787">
        <v>1191.6892</v>
      </c>
      <c r="E42" s="787">
        <v>1573.8065999999999</v>
      </c>
      <c r="F42" s="787">
        <v>1308.1210000000001</v>
      </c>
      <c r="G42" s="787">
        <v>499.99509999999998</v>
      </c>
      <c r="H42" s="787">
        <v>169.6489</v>
      </c>
      <c r="I42" s="787">
        <v>395.79549999999898</v>
      </c>
      <c r="J42" s="787">
        <v>213.88460000000001</v>
      </c>
      <c r="K42" s="787">
        <v>157.24799999999999</v>
      </c>
      <c r="L42" s="787">
        <v>56.942300000000003</v>
      </c>
      <c r="M42" s="787">
        <v>508.62169999999998</v>
      </c>
      <c r="N42" s="787">
        <f t="shared" si="0"/>
        <v>8102.2918999999983</v>
      </c>
    </row>
    <row r="43" spans="1:14" x14ac:dyDescent="0.25">
      <c r="A43" s="791" t="s">
        <v>1776</v>
      </c>
      <c r="B43" s="787">
        <v>0</v>
      </c>
      <c r="C43" s="787">
        <v>0</v>
      </c>
      <c r="D43" s="787">
        <v>0</v>
      </c>
      <c r="E43" s="787">
        <v>0</v>
      </c>
      <c r="F43" s="787">
        <v>0</v>
      </c>
      <c r="G43" s="787">
        <v>0</v>
      </c>
      <c r="H43" s="787">
        <v>0</v>
      </c>
      <c r="I43" s="787">
        <v>0</v>
      </c>
      <c r="J43" s="787">
        <v>0</v>
      </c>
      <c r="K43" s="787">
        <v>0</v>
      </c>
      <c r="L43" s="787">
        <v>0</v>
      </c>
      <c r="M43" s="787">
        <v>0</v>
      </c>
      <c r="N43" s="787">
        <f t="shared" si="0"/>
        <v>0</v>
      </c>
    </row>
    <row r="44" spans="1:14" ht="15.75" thickBot="1" x14ac:dyDescent="0.3">
      <c r="A44" s="791" t="s">
        <v>1777</v>
      </c>
      <c r="B44" s="792">
        <v>0</v>
      </c>
      <c r="C44" s="792">
        <v>0</v>
      </c>
      <c r="D44" s="792">
        <v>0</v>
      </c>
      <c r="E44" s="792">
        <v>0</v>
      </c>
      <c r="F44" s="792">
        <v>0</v>
      </c>
      <c r="G44" s="792">
        <v>0</v>
      </c>
      <c r="H44" s="792">
        <v>0</v>
      </c>
      <c r="I44" s="792">
        <v>0</v>
      </c>
      <c r="J44" s="792">
        <v>0</v>
      </c>
      <c r="K44" s="792">
        <v>0</v>
      </c>
      <c r="L44" s="792">
        <v>0</v>
      </c>
      <c r="M44" s="792">
        <v>0</v>
      </c>
      <c r="N44" s="792">
        <f t="shared" si="0"/>
        <v>0</v>
      </c>
    </row>
    <row r="45" spans="1:14" x14ac:dyDescent="0.25">
      <c r="A45" s="795" t="s">
        <v>1778</v>
      </c>
      <c r="B45" s="787">
        <v>3261.9330569595099</v>
      </c>
      <c r="C45" s="787">
        <v>3358.52529466534</v>
      </c>
      <c r="D45" s="787">
        <v>3939.7299673108801</v>
      </c>
      <c r="E45" s="787">
        <v>4171.39223230264</v>
      </c>
      <c r="F45" s="787">
        <v>3827.4238115419098</v>
      </c>
      <c r="G45" s="787">
        <v>2456.9105564686702</v>
      </c>
      <c r="H45" s="787">
        <v>1944.7134301521201</v>
      </c>
      <c r="I45" s="787">
        <v>2512.5492568466698</v>
      </c>
      <c r="J45" s="787">
        <v>2586.67515545058</v>
      </c>
      <c r="K45" s="787">
        <v>2237.82504352161</v>
      </c>
      <c r="L45" s="787">
        <v>2153.91757023132</v>
      </c>
      <c r="M45" s="787">
        <v>2544.5392318651402</v>
      </c>
      <c r="N45" s="787">
        <f t="shared" si="0"/>
        <v>34996.13460731638</v>
      </c>
    </row>
    <row r="46" spans="1:14" x14ac:dyDescent="0.25">
      <c r="N46" s="787">
        <f t="shared" si="0"/>
        <v>0</v>
      </c>
    </row>
    <row r="47" spans="1:14" x14ac:dyDescent="0.25">
      <c r="A47" s="791" t="s">
        <v>1779</v>
      </c>
      <c r="B47" s="787">
        <v>207.684271666667</v>
      </c>
      <c r="C47" s="787">
        <v>242.34820166666699</v>
      </c>
      <c r="D47" s="787">
        <v>352.73312833333301</v>
      </c>
      <c r="E47" s="787">
        <v>464.395148333333</v>
      </c>
      <c r="F47" s="787">
        <v>357.63233166666703</v>
      </c>
      <c r="G47" s="787">
        <v>287.647091666667</v>
      </c>
      <c r="H47" s="787">
        <v>195.61853500000001</v>
      </c>
      <c r="I47" s="787">
        <v>247.78050833333299</v>
      </c>
      <c r="J47" s="787">
        <v>410.29706499999998</v>
      </c>
      <c r="K47" s="787">
        <v>532.02820833333305</v>
      </c>
      <c r="L47" s="787">
        <v>352.98793166666701</v>
      </c>
      <c r="M47" s="787">
        <v>311.667511666667</v>
      </c>
      <c r="N47" s="787">
        <f t="shared" si="0"/>
        <v>3962.8199333333341</v>
      </c>
    </row>
    <row r="48" spans="1:14" x14ac:dyDescent="0.25">
      <c r="A48" s="791" t="s">
        <v>1780</v>
      </c>
      <c r="B48" s="787">
        <v>191.23888277777701</v>
      </c>
      <c r="C48" s="787">
        <v>194.71554944444401</v>
      </c>
      <c r="D48" s="787">
        <v>171.81154944444401</v>
      </c>
      <c r="E48" s="787">
        <v>243.444882777777</v>
      </c>
      <c r="F48" s="787">
        <v>238.02221611111</v>
      </c>
      <c r="G48" s="787">
        <v>213.04621611111</v>
      </c>
      <c r="H48" s="787">
        <v>178.064882777777</v>
      </c>
      <c r="I48" s="787">
        <v>125.23821611111001</v>
      </c>
      <c r="J48" s="787">
        <v>126.101549444444</v>
      </c>
      <c r="K48" s="787">
        <v>178.85354944444401</v>
      </c>
      <c r="L48" s="787">
        <v>218.56221611110999</v>
      </c>
      <c r="M48" s="787">
        <v>233.75688277777701</v>
      </c>
      <c r="N48" s="787">
        <f t="shared" si="0"/>
        <v>2312.8565933333239</v>
      </c>
    </row>
    <row r="49" spans="1:14" x14ac:dyDescent="0.25">
      <c r="A49" s="791" t="s">
        <v>1781</v>
      </c>
      <c r="B49" s="787">
        <v>895.14659749999896</v>
      </c>
      <c r="C49" s="787">
        <v>895.14659749999896</v>
      </c>
      <c r="D49" s="787">
        <v>895.14659749999896</v>
      </c>
      <c r="E49" s="787">
        <v>895.14659749999896</v>
      </c>
      <c r="F49" s="787">
        <v>895.14659749999896</v>
      </c>
      <c r="G49" s="787">
        <v>895.14659749999896</v>
      </c>
      <c r="H49" s="787">
        <v>895.14659749999896</v>
      </c>
      <c r="I49" s="787">
        <v>895.14659749999896</v>
      </c>
      <c r="J49" s="787">
        <v>895.14659749999896</v>
      </c>
      <c r="K49" s="787">
        <v>925.88160749999895</v>
      </c>
      <c r="L49" s="787">
        <v>895.14659749999896</v>
      </c>
      <c r="M49" s="787">
        <v>895.14659749999896</v>
      </c>
      <c r="N49" s="787">
        <f t="shared" si="0"/>
        <v>10772.494179999989</v>
      </c>
    </row>
    <row r="50" spans="1:14" x14ac:dyDescent="0.25">
      <c r="A50" s="791" t="s">
        <v>1782</v>
      </c>
      <c r="B50" s="787">
        <v>11.888999999999999</v>
      </c>
      <c r="C50" s="787">
        <v>11.888999999999999</v>
      </c>
      <c r="D50" s="787">
        <v>11.888999999999999</v>
      </c>
      <c r="E50" s="787">
        <v>11.888999999999999</v>
      </c>
      <c r="F50" s="787">
        <v>11.888999999999999</v>
      </c>
      <c r="G50" s="787">
        <v>11.888999999999999</v>
      </c>
      <c r="H50" s="787">
        <v>11.888999999999999</v>
      </c>
      <c r="I50" s="787">
        <v>11.888999999999999</v>
      </c>
      <c r="J50" s="787">
        <v>11.888999999999999</v>
      </c>
      <c r="K50" s="787">
        <v>11.888999999999999</v>
      </c>
      <c r="L50" s="787">
        <v>11.888999999999999</v>
      </c>
      <c r="M50" s="787">
        <v>11.888999999999999</v>
      </c>
      <c r="N50" s="787">
        <f t="shared" si="0"/>
        <v>142.66799999999998</v>
      </c>
    </row>
    <row r="51" spans="1:14" x14ac:dyDescent="0.25">
      <c r="A51" s="791" t="s">
        <v>1783</v>
      </c>
      <c r="B51" s="787">
        <v>13.199</v>
      </c>
      <c r="C51" s="787">
        <v>13.199</v>
      </c>
      <c r="D51" s="787">
        <v>13.199</v>
      </c>
      <c r="E51" s="787">
        <v>13.199</v>
      </c>
      <c r="F51" s="787">
        <v>13.199</v>
      </c>
      <c r="G51" s="787">
        <v>13.199</v>
      </c>
      <c r="H51" s="787">
        <v>13.199</v>
      </c>
      <c r="I51" s="787">
        <v>13.199</v>
      </c>
      <c r="J51" s="787">
        <v>13.529</v>
      </c>
      <c r="K51" s="787">
        <v>13.529</v>
      </c>
      <c r="L51" s="787">
        <v>13.529</v>
      </c>
      <c r="M51" s="787">
        <v>13.529</v>
      </c>
      <c r="N51" s="787">
        <f t="shared" si="0"/>
        <v>159.708</v>
      </c>
    </row>
    <row r="52" spans="1:14" x14ac:dyDescent="0.25">
      <c r="A52" s="791" t="s">
        <v>1784</v>
      </c>
      <c r="B52" s="787">
        <v>1881.35230403428</v>
      </c>
      <c r="C52" s="787">
        <v>2031.81259099002</v>
      </c>
      <c r="D52" s="787">
        <v>2157.1035084343498</v>
      </c>
      <c r="E52" s="787">
        <v>2162.5341995200902</v>
      </c>
      <c r="F52" s="787">
        <v>2078.20663148125</v>
      </c>
      <c r="G52" s="787">
        <v>1728.95476813708</v>
      </c>
      <c r="H52" s="787">
        <v>1721.85673285187</v>
      </c>
      <c r="I52" s="787">
        <v>1966.4123291313999</v>
      </c>
      <c r="J52" s="787">
        <v>2089.5276835101499</v>
      </c>
      <c r="K52" s="787">
        <v>2116.86597246872</v>
      </c>
      <c r="L52" s="787">
        <v>1855.2875996299899</v>
      </c>
      <c r="M52" s="787">
        <v>1679.9945709538499</v>
      </c>
      <c r="N52" s="787">
        <f t="shared" si="0"/>
        <v>23469.908891143052</v>
      </c>
    </row>
    <row r="53" spans="1:14" ht="15.75" thickBot="1" x14ac:dyDescent="0.3">
      <c r="A53" s="791" t="s">
        <v>1785</v>
      </c>
      <c r="B53" s="792">
        <v>37.917709165938</v>
      </c>
      <c r="C53" s="792">
        <v>37.917739165938002</v>
      </c>
      <c r="D53" s="792">
        <v>37.917709165938</v>
      </c>
      <c r="E53" s="792">
        <v>37.917709165938</v>
      </c>
      <c r="F53" s="792">
        <v>37.917709165938</v>
      </c>
      <c r="G53" s="792">
        <v>37.917709165938</v>
      </c>
      <c r="H53" s="792">
        <v>37.917709165938</v>
      </c>
      <c r="I53" s="792">
        <v>37.917709165938</v>
      </c>
      <c r="J53" s="792">
        <v>38.122019165937999</v>
      </c>
      <c r="K53" s="792">
        <v>38.122019165937999</v>
      </c>
      <c r="L53" s="792">
        <v>38.122019165937999</v>
      </c>
      <c r="M53" s="792">
        <v>38.122019165937999</v>
      </c>
      <c r="N53" s="792">
        <f t="shared" si="0"/>
        <v>455.82977999125603</v>
      </c>
    </row>
    <row r="54" spans="1:14" x14ac:dyDescent="0.25">
      <c r="A54" s="795" t="s">
        <v>1786</v>
      </c>
      <c r="B54" s="787">
        <v>3238.42776514466</v>
      </c>
      <c r="C54" s="787">
        <v>3427.0286787670698</v>
      </c>
      <c r="D54" s="787">
        <v>3639.8004928780601</v>
      </c>
      <c r="E54" s="787">
        <v>3828.5265372971398</v>
      </c>
      <c r="F54" s="787">
        <v>3632.0134859249602</v>
      </c>
      <c r="G54" s="787">
        <v>3187.8003825808</v>
      </c>
      <c r="H54" s="787">
        <v>3053.69245729559</v>
      </c>
      <c r="I54" s="787">
        <v>3297.5833602417802</v>
      </c>
      <c r="J54" s="787">
        <v>3584.6129146205299</v>
      </c>
      <c r="K54" s="787">
        <v>3817.16935691244</v>
      </c>
      <c r="L54" s="787">
        <v>3385.5243640737099</v>
      </c>
      <c r="M54" s="787">
        <v>3184.10558206423</v>
      </c>
      <c r="N54" s="787">
        <f t="shared" si="0"/>
        <v>41276.285377800974</v>
      </c>
    </row>
    <row r="55" spans="1:14" x14ac:dyDescent="0.25">
      <c r="N55" s="787">
        <f t="shared" si="0"/>
        <v>0</v>
      </c>
    </row>
    <row r="56" spans="1:14" x14ac:dyDescent="0.25">
      <c r="A56" s="791" t="s">
        <v>1787</v>
      </c>
      <c r="B56" s="787">
        <v>0</v>
      </c>
      <c r="C56" s="787">
        <v>0</v>
      </c>
      <c r="D56" s="787">
        <v>0</v>
      </c>
      <c r="E56" s="787">
        <v>0</v>
      </c>
      <c r="F56" s="787">
        <v>0</v>
      </c>
      <c r="G56" s="787">
        <v>0</v>
      </c>
      <c r="H56" s="787">
        <v>0</v>
      </c>
      <c r="I56" s="787">
        <v>0</v>
      </c>
      <c r="J56" s="787">
        <v>0</v>
      </c>
      <c r="K56" s="787">
        <v>0</v>
      </c>
      <c r="L56" s="787">
        <v>0</v>
      </c>
      <c r="M56" s="787">
        <v>0</v>
      </c>
      <c r="N56" s="787">
        <f t="shared" si="0"/>
        <v>0</v>
      </c>
    </row>
    <row r="57" spans="1:14" x14ac:dyDescent="0.25">
      <c r="A57" s="791" t="s">
        <v>1788</v>
      </c>
      <c r="B57" s="787">
        <v>0</v>
      </c>
      <c r="C57" s="787">
        <v>0</v>
      </c>
      <c r="D57" s="787">
        <v>0</v>
      </c>
      <c r="E57" s="787">
        <v>0</v>
      </c>
      <c r="F57" s="787">
        <v>0</v>
      </c>
      <c r="G57" s="787">
        <v>0</v>
      </c>
      <c r="H57" s="787">
        <v>0</v>
      </c>
      <c r="I57" s="787">
        <v>0</v>
      </c>
      <c r="J57" s="787">
        <v>0</v>
      </c>
      <c r="K57" s="787">
        <v>0</v>
      </c>
      <c r="L57" s="787">
        <v>0</v>
      </c>
      <c r="M57" s="787">
        <v>0</v>
      </c>
      <c r="N57" s="787">
        <f t="shared" si="0"/>
        <v>0</v>
      </c>
    </row>
    <row r="58" spans="1:14" x14ac:dyDescent="0.25">
      <c r="A58" s="791" t="s">
        <v>1789</v>
      </c>
      <c r="B58" s="787">
        <v>0</v>
      </c>
      <c r="C58" s="787">
        <v>0</v>
      </c>
      <c r="D58" s="787">
        <v>0</v>
      </c>
      <c r="E58" s="787">
        <v>0</v>
      </c>
      <c r="F58" s="787">
        <v>0</v>
      </c>
      <c r="G58" s="787">
        <v>0</v>
      </c>
      <c r="H58" s="787">
        <v>0</v>
      </c>
      <c r="I58" s="787">
        <v>0</v>
      </c>
      <c r="J58" s="787">
        <v>0</v>
      </c>
      <c r="K58" s="787">
        <v>0</v>
      </c>
      <c r="L58" s="787">
        <v>0</v>
      </c>
      <c r="M58" s="787">
        <v>0</v>
      </c>
      <c r="N58" s="787">
        <f t="shared" si="0"/>
        <v>0</v>
      </c>
    </row>
    <row r="59" spans="1:14" x14ac:dyDescent="0.25">
      <c r="A59" s="791" t="s">
        <v>1790</v>
      </c>
      <c r="B59" s="787">
        <v>0</v>
      </c>
      <c r="C59" s="787">
        <v>0</v>
      </c>
      <c r="D59" s="787">
        <v>0</v>
      </c>
      <c r="E59" s="787">
        <v>0</v>
      </c>
      <c r="F59" s="787">
        <v>0</v>
      </c>
      <c r="G59" s="787">
        <v>0</v>
      </c>
      <c r="H59" s="787">
        <v>0</v>
      </c>
      <c r="I59" s="787">
        <v>0</v>
      </c>
      <c r="J59" s="787">
        <v>0</v>
      </c>
      <c r="K59" s="787">
        <v>0</v>
      </c>
      <c r="L59" s="787">
        <v>0</v>
      </c>
      <c r="M59" s="787">
        <v>0</v>
      </c>
      <c r="N59" s="787">
        <f t="shared" si="0"/>
        <v>0</v>
      </c>
    </row>
    <row r="60" spans="1:14" x14ac:dyDescent="0.25">
      <c r="A60" s="791" t="s">
        <v>1791</v>
      </c>
      <c r="B60" s="787">
        <v>0</v>
      </c>
      <c r="C60" s="787">
        <v>0</v>
      </c>
      <c r="D60" s="787">
        <v>0</v>
      </c>
      <c r="E60" s="787">
        <v>0</v>
      </c>
      <c r="F60" s="787">
        <v>0</v>
      </c>
      <c r="G60" s="787">
        <v>0</v>
      </c>
      <c r="H60" s="787">
        <v>0</v>
      </c>
      <c r="I60" s="787">
        <v>0</v>
      </c>
      <c r="J60" s="787">
        <v>0</v>
      </c>
      <c r="K60" s="787">
        <v>0</v>
      </c>
      <c r="L60" s="787">
        <v>0</v>
      </c>
      <c r="M60" s="787">
        <v>0</v>
      </c>
      <c r="N60" s="787">
        <f t="shared" si="0"/>
        <v>0</v>
      </c>
    </row>
    <row r="61" spans="1:14" x14ac:dyDescent="0.25">
      <c r="A61" s="791" t="s">
        <v>1792</v>
      </c>
      <c r="B61" s="787">
        <v>0</v>
      </c>
      <c r="C61" s="787">
        <v>0</v>
      </c>
      <c r="D61" s="787">
        <v>0</v>
      </c>
      <c r="E61" s="787">
        <v>0</v>
      </c>
      <c r="F61" s="787">
        <v>0</v>
      </c>
      <c r="G61" s="787">
        <v>0</v>
      </c>
      <c r="H61" s="787">
        <v>0</v>
      </c>
      <c r="I61" s="787">
        <v>0</v>
      </c>
      <c r="J61" s="787">
        <v>0</v>
      </c>
      <c r="K61" s="787">
        <v>0</v>
      </c>
      <c r="L61" s="787">
        <v>0</v>
      </c>
      <c r="M61" s="787">
        <v>0</v>
      </c>
      <c r="N61" s="787">
        <f t="shared" si="0"/>
        <v>0</v>
      </c>
    </row>
    <row r="62" spans="1:14" x14ac:dyDescent="0.25">
      <c r="A62" s="791" t="s">
        <v>1793</v>
      </c>
      <c r="B62" s="787">
        <v>0</v>
      </c>
      <c r="C62" s="787">
        <v>0</v>
      </c>
      <c r="D62" s="787">
        <v>0</v>
      </c>
      <c r="E62" s="787">
        <v>0</v>
      </c>
      <c r="F62" s="787">
        <v>0</v>
      </c>
      <c r="G62" s="787">
        <v>0</v>
      </c>
      <c r="H62" s="787">
        <v>0</v>
      </c>
      <c r="I62" s="787">
        <v>0</v>
      </c>
      <c r="J62" s="787">
        <v>0</v>
      </c>
      <c r="K62" s="787">
        <v>0</v>
      </c>
      <c r="L62" s="787">
        <v>0</v>
      </c>
      <c r="M62" s="787">
        <v>0</v>
      </c>
      <c r="N62" s="787">
        <f t="shared" si="0"/>
        <v>0</v>
      </c>
    </row>
    <row r="63" spans="1:14" ht="15.75" thickBot="1" x14ac:dyDescent="0.3">
      <c r="A63" s="791" t="s">
        <v>1794</v>
      </c>
      <c r="B63" s="792">
        <v>0</v>
      </c>
      <c r="C63" s="792">
        <v>0</v>
      </c>
      <c r="D63" s="792">
        <v>0</v>
      </c>
      <c r="E63" s="792">
        <v>0</v>
      </c>
      <c r="F63" s="792">
        <v>0</v>
      </c>
      <c r="G63" s="792">
        <v>0</v>
      </c>
      <c r="H63" s="792">
        <v>0</v>
      </c>
      <c r="I63" s="792">
        <v>0</v>
      </c>
      <c r="J63" s="792">
        <v>0</v>
      </c>
      <c r="K63" s="792">
        <v>0</v>
      </c>
      <c r="L63" s="792">
        <v>0</v>
      </c>
      <c r="M63" s="792">
        <v>0</v>
      </c>
      <c r="N63" s="792">
        <f t="shared" si="0"/>
        <v>0</v>
      </c>
    </row>
    <row r="64" spans="1:14" x14ac:dyDescent="0.25">
      <c r="A64" s="795" t="s">
        <v>1795</v>
      </c>
      <c r="B64" s="787">
        <v>0</v>
      </c>
      <c r="C64" s="787">
        <v>0</v>
      </c>
      <c r="D64" s="787">
        <v>0</v>
      </c>
      <c r="E64" s="787">
        <v>0</v>
      </c>
      <c r="F64" s="787">
        <v>0</v>
      </c>
      <c r="G64" s="787">
        <v>0</v>
      </c>
      <c r="H64" s="787">
        <v>0</v>
      </c>
      <c r="I64" s="787">
        <v>0</v>
      </c>
      <c r="J64" s="787">
        <v>0</v>
      </c>
      <c r="K64" s="787">
        <v>0</v>
      </c>
      <c r="L64" s="787">
        <v>0</v>
      </c>
      <c r="M64" s="787">
        <v>0</v>
      </c>
      <c r="N64" s="787">
        <f t="shared" si="0"/>
        <v>0</v>
      </c>
    </row>
    <row r="65" spans="1:14" x14ac:dyDescent="0.25">
      <c r="A65" s="791" t="s">
        <v>1796</v>
      </c>
      <c r="N65" s="787">
        <f t="shared" si="0"/>
        <v>0</v>
      </c>
    </row>
    <row r="66" spans="1:14" x14ac:dyDescent="0.25">
      <c r="A66" s="791" t="s">
        <v>1797</v>
      </c>
      <c r="B66" s="787">
        <v>0</v>
      </c>
      <c r="C66" s="787">
        <v>0</v>
      </c>
      <c r="D66" s="787">
        <v>0</v>
      </c>
      <c r="E66" s="787">
        <v>0</v>
      </c>
      <c r="F66" s="787">
        <v>0</v>
      </c>
      <c r="G66" s="787">
        <v>0</v>
      </c>
      <c r="H66" s="787">
        <v>0</v>
      </c>
      <c r="I66" s="787">
        <v>0</v>
      </c>
      <c r="J66" s="787">
        <v>0</v>
      </c>
      <c r="K66" s="787">
        <v>0</v>
      </c>
      <c r="L66" s="787">
        <v>0</v>
      </c>
      <c r="M66" s="787">
        <v>0</v>
      </c>
      <c r="N66" s="787">
        <f t="shared" si="0"/>
        <v>0</v>
      </c>
    </row>
    <row r="67" spans="1:14" x14ac:dyDescent="0.25">
      <c r="N67" s="787">
        <f t="shared" si="0"/>
        <v>0</v>
      </c>
    </row>
    <row r="68" spans="1:14" x14ac:dyDescent="0.25">
      <c r="A68" s="784" t="s">
        <v>1798</v>
      </c>
      <c r="B68" s="787">
        <v>136476.014484552</v>
      </c>
      <c r="C68" s="787">
        <v>140348.11830784401</v>
      </c>
      <c r="D68" s="787">
        <v>152872.69239326401</v>
      </c>
      <c r="E68" s="787">
        <v>156010.84195583299</v>
      </c>
      <c r="F68" s="787">
        <v>137321.01755030901</v>
      </c>
      <c r="G68" s="787">
        <v>128109.473565796</v>
      </c>
      <c r="H68" s="787">
        <v>137630.22177844401</v>
      </c>
      <c r="I68" s="787">
        <v>153566.32529345399</v>
      </c>
      <c r="J68" s="787">
        <v>172372.17253228099</v>
      </c>
      <c r="K68" s="787">
        <v>148896.40140056601</v>
      </c>
      <c r="L68" s="787">
        <v>144745.138003289</v>
      </c>
      <c r="M68" s="787">
        <v>127772.087294718</v>
      </c>
      <c r="N68" s="787">
        <f t="shared" si="0"/>
        <v>1736120.5045603502</v>
      </c>
    </row>
    <row r="69" spans="1:14" x14ac:dyDescent="0.25">
      <c r="N69" s="787">
        <f t="shared" si="0"/>
        <v>0</v>
      </c>
    </row>
    <row r="70" spans="1:14" x14ac:dyDescent="0.25">
      <c r="A70" s="784" t="s">
        <v>1799</v>
      </c>
      <c r="N70" s="787">
        <f t="shared" si="0"/>
        <v>0</v>
      </c>
    </row>
    <row r="71" spans="1:14" x14ac:dyDescent="0.25">
      <c r="N71" s="787">
        <f t="shared" si="0"/>
        <v>0</v>
      </c>
    </row>
    <row r="72" spans="1:14" x14ac:dyDescent="0.25">
      <c r="A72" s="791" t="s">
        <v>1800</v>
      </c>
      <c r="B72" s="787">
        <v>25115.609000170301</v>
      </c>
      <c r="C72" s="787">
        <v>27210.197401134901</v>
      </c>
      <c r="D72" s="787">
        <v>29619.875136872801</v>
      </c>
      <c r="E72" s="787">
        <v>30841.960042872801</v>
      </c>
      <c r="F72" s="787">
        <v>25353.296560134899</v>
      </c>
      <c r="G72" s="787">
        <v>21529.132885872801</v>
      </c>
      <c r="H72" s="787">
        <v>17982.095498285598</v>
      </c>
      <c r="I72" s="787">
        <v>25847.562635058301</v>
      </c>
      <c r="J72" s="787">
        <v>29678.443829058298</v>
      </c>
      <c r="K72" s="787">
        <v>26261.993760667501</v>
      </c>
      <c r="L72" s="787">
        <v>22446.975346261799</v>
      </c>
      <c r="M72" s="787">
        <v>19532.9380373575</v>
      </c>
      <c r="N72" s="787">
        <f t="shared" si="0"/>
        <v>301420.08013374754</v>
      </c>
    </row>
    <row r="73" spans="1:14" x14ac:dyDescent="0.25">
      <c r="A73" s="791" t="s">
        <v>1801</v>
      </c>
      <c r="B73" s="787">
        <v>37.079690916660198</v>
      </c>
      <c r="C73" s="787">
        <v>-0.39381821477123802</v>
      </c>
      <c r="D73" s="787">
        <v>39.136320526235501</v>
      </c>
      <c r="E73" s="787">
        <v>16.9084347996099</v>
      </c>
      <c r="F73" s="787">
        <v>41.757941251184398</v>
      </c>
      <c r="G73" s="787">
        <v>40.100329216309802</v>
      </c>
      <c r="H73" s="787">
        <v>9.92940440201385E-2</v>
      </c>
      <c r="I73" s="787">
        <v>4.2981158329514004</v>
      </c>
      <c r="J73" s="787">
        <v>39.598858810151199</v>
      </c>
      <c r="K73" s="787">
        <v>8.4531189129344906</v>
      </c>
      <c r="L73" s="787">
        <v>-2.2236902073319801E-3</v>
      </c>
      <c r="M73" s="787">
        <v>66.101193990040201</v>
      </c>
      <c r="N73" s="787">
        <f t="shared" si="0"/>
        <v>293.13725639511864</v>
      </c>
    </row>
    <row r="74" spans="1:14" ht="15.75" thickBot="1" x14ac:dyDescent="0.3">
      <c r="A74" s="791" t="s">
        <v>1802</v>
      </c>
      <c r="B74" s="792">
        <v>38.527177676647703</v>
      </c>
      <c r="C74" s="792">
        <v>10.000570278345601</v>
      </c>
      <c r="D74" s="792">
        <v>7.8110182217051696</v>
      </c>
      <c r="E74" s="792">
        <v>36.313688269384997</v>
      </c>
      <c r="F74" s="792">
        <v>38.788968027666698</v>
      </c>
      <c r="G74" s="792">
        <v>22.715364752461799</v>
      </c>
      <c r="H74" s="792">
        <v>2.9665744070110399E-3</v>
      </c>
      <c r="I74" s="792">
        <v>270.45458666438202</v>
      </c>
      <c r="J74" s="792">
        <v>136.02499766078401</v>
      </c>
      <c r="K74" s="792">
        <v>71.685599631571904</v>
      </c>
      <c r="L74" s="792">
        <v>52.816529988560298</v>
      </c>
      <c r="M74" s="792">
        <v>25.349377984521901</v>
      </c>
      <c r="N74" s="792">
        <f t="shared" si="0"/>
        <v>710.4908457304391</v>
      </c>
    </row>
    <row r="75" spans="1:14" x14ac:dyDescent="0.25">
      <c r="A75" s="796" t="s">
        <v>1803</v>
      </c>
      <c r="B75" s="787">
        <v>25191.2158687636</v>
      </c>
      <c r="C75" s="787">
        <v>27219.8041531985</v>
      </c>
      <c r="D75" s="787">
        <v>29666.822475620698</v>
      </c>
      <c r="E75" s="787">
        <v>30895.182165941798</v>
      </c>
      <c r="F75" s="787">
        <v>25433.843469413801</v>
      </c>
      <c r="G75" s="787">
        <v>21591.948579841501</v>
      </c>
      <c r="H75" s="787">
        <v>17982.197758904</v>
      </c>
      <c r="I75" s="787">
        <v>26122.315337555701</v>
      </c>
      <c r="J75" s="787">
        <v>29854.067685529299</v>
      </c>
      <c r="K75" s="787">
        <v>26342.132479211999</v>
      </c>
      <c r="L75" s="787">
        <v>22499.789652560201</v>
      </c>
      <c r="M75" s="787">
        <v>19624.388609332</v>
      </c>
      <c r="N75" s="787">
        <f t="shared" si="0"/>
        <v>302423.70823587308</v>
      </c>
    </row>
    <row r="76" spans="1:14" x14ac:dyDescent="0.25">
      <c r="A76" s="791" t="s">
        <v>1804</v>
      </c>
      <c r="B76" s="787">
        <v>0</v>
      </c>
      <c r="C76" s="787">
        <v>0</v>
      </c>
      <c r="D76" s="787">
        <v>0</v>
      </c>
      <c r="E76" s="787">
        <v>0</v>
      </c>
      <c r="F76" s="787">
        <v>0</v>
      </c>
      <c r="G76" s="787">
        <v>0</v>
      </c>
      <c r="H76" s="787">
        <v>0</v>
      </c>
      <c r="I76" s="787">
        <v>0</v>
      </c>
      <c r="J76" s="787">
        <v>0</v>
      </c>
      <c r="K76" s="787">
        <v>0</v>
      </c>
      <c r="L76" s="787">
        <v>0</v>
      </c>
      <c r="M76" s="787">
        <v>0</v>
      </c>
      <c r="N76" s="787">
        <f t="shared" si="0"/>
        <v>0</v>
      </c>
    </row>
    <row r="77" spans="1:14" x14ac:dyDescent="0.25">
      <c r="A77" s="791" t="s">
        <v>1805</v>
      </c>
      <c r="B77" s="787">
        <v>788.50699999999995</v>
      </c>
      <c r="C77" s="787">
        <v>732.09299999999996</v>
      </c>
      <c r="D77" s="787">
        <v>791.91399999999999</v>
      </c>
      <c r="E77" s="787">
        <v>799.54700000000003</v>
      </c>
      <c r="F77" s="787">
        <v>768.64099999999996</v>
      </c>
      <c r="G77" s="787">
        <v>819.596</v>
      </c>
      <c r="H77" s="787">
        <v>763.88799999999901</v>
      </c>
      <c r="I77" s="787">
        <v>683.07500000000005</v>
      </c>
      <c r="J77" s="787">
        <v>838.93</v>
      </c>
      <c r="K77" s="787">
        <v>736.24099999999999</v>
      </c>
      <c r="L77" s="787">
        <v>836.39099999999996</v>
      </c>
      <c r="M77" s="787">
        <v>783.56500000000005</v>
      </c>
      <c r="N77" s="787">
        <f t="shared" si="0"/>
        <v>9342.3880000000008</v>
      </c>
    </row>
    <row r="78" spans="1:14" x14ac:dyDescent="0.25">
      <c r="A78" s="791" t="s">
        <v>1806</v>
      </c>
      <c r="B78" s="787">
        <v>797.62199999999996</v>
      </c>
      <c r="C78" s="787">
        <v>718.98199999999997</v>
      </c>
      <c r="D78" s="787">
        <v>1013.811</v>
      </c>
      <c r="E78" s="787">
        <v>939.27800000000002</v>
      </c>
      <c r="F78" s="787">
        <v>856.39099999999996</v>
      </c>
      <c r="G78" s="787">
        <v>983.49</v>
      </c>
      <c r="H78" s="787">
        <v>757.12099999999998</v>
      </c>
      <c r="I78" s="787">
        <v>1106.0650000000001</v>
      </c>
      <c r="J78" s="787">
        <v>943.12400000000002</v>
      </c>
      <c r="K78" s="787">
        <v>865.38</v>
      </c>
      <c r="L78" s="787">
        <v>785.74199999999996</v>
      </c>
      <c r="M78" s="787">
        <v>943.24699999999996</v>
      </c>
      <c r="N78" s="787">
        <f t="shared" si="0"/>
        <v>10710.252999999999</v>
      </c>
    </row>
    <row r="79" spans="1:14" x14ac:dyDescent="0.25">
      <c r="A79" s="791" t="s">
        <v>1807</v>
      </c>
      <c r="B79" s="787">
        <v>310.91509901722799</v>
      </c>
      <c r="C79" s="787">
        <v>291.10177179985499</v>
      </c>
      <c r="D79" s="787">
        <v>308.086811122813</v>
      </c>
      <c r="E79" s="787">
        <v>314.98304243686601</v>
      </c>
      <c r="F79" s="787">
        <v>299.17527700467502</v>
      </c>
      <c r="G79" s="787">
        <v>317.72159698713801</v>
      </c>
      <c r="H79" s="787">
        <v>299.91927755228301</v>
      </c>
      <c r="I79" s="787">
        <v>322.820207066992</v>
      </c>
      <c r="J79" s="787">
        <v>382.52611792073901</v>
      </c>
      <c r="K79" s="787">
        <v>372.83208173225597</v>
      </c>
      <c r="L79" s="787">
        <v>380.24208260303601</v>
      </c>
      <c r="M79" s="787">
        <v>371.84642110818902</v>
      </c>
      <c r="N79" s="787">
        <f t="shared" si="0"/>
        <v>3972.1697863520703</v>
      </c>
    </row>
    <row r="80" spans="1:14" x14ac:dyDescent="0.25">
      <c r="A80" s="791" t="s">
        <v>1808</v>
      </c>
      <c r="B80" s="787">
        <v>6.2569009827718798</v>
      </c>
      <c r="C80" s="787">
        <v>4.2222282001440599</v>
      </c>
      <c r="D80" s="787">
        <v>6.7271888771861796</v>
      </c>
      <c r="E80" s="787">
        <v>3.8109575631339698</v>
      </c>
      <c r="F80" s="787">
        <v>8.4037229953244097</v>
      </c>
      <c r="G80" s="787">
        <v>2.5044030128612298</v>
      </c>
      <c r="H80" s="787">
        <v>0.113722447716919</v>
      </c>
      <c r="I80" s="787">
        <v>0.57479293300784695</v>
      </c>
      <c r="J80" s="787">
        <v>1.69588207926059</v>
      </c>
      <c r="K80" s="787">
        <v>0.80491826774321595</v>
      </c>
      <c r="L80" s="787">
        <v>-8.2603036259241698E-5</v>
      </c>
      <c r="M80" s="787">
        <v>6.3555788918102696</v>
      </c>
      <c r="N80" s="787">
        <f t="shared" si="0"/>
        <v>41.470213647924311</v>
      </c>
    </row>
    <row r="81" spans="1:14" x14ac:dyDescent="0.25">
      <c r="A81" s="791" t="s">
        <v>1809</v>
      </c>
      <c r="B81" s="787">
        <v>590.11157669387603</v>
      </c>
      <c r="C81" s="787">
        <v>649.56634207820105</v>
      </c>
      <c r="D81" s="787">
        <v>819.41302934451903</v>
      </c>
      <c r="E81" s="787">
        <v>846.11733070625098</v>
      </c>
      <c r="F81" s="787">
        <v>689.85834503234196</v>
      </c>
      <c r="G81" s="787">
        <v>592.85936173959999</v>
      </c>
      <c r="H81" s="787">
        <v>496.20004412668999</v>
      </c>
      <c r="I81" s="787">
        <v>699.39339373137398</v>
      </c>
      <c r="J81" s="787">
        <v>841.737015581523</v>
      </c>
      <c r="K81" s="787">
        <v>756.17158136382795</v>
      </c>
      <c r="L81" s="787">
        <v>651.75131259159605</v>
      </c>
      <c r="M81" s="787">
        <v>581.982999092711</v>
      </c>
      <c r="N81" s="787">
        <f t="shared" si="0"/>
        <v>8215.1623320825129</v>
      </c>
    </row>
    <row r="82" spans="1:14" x14ac:dyDescent="0.25">
      <c r="A82" s="791" t="s">
        <v>1810</v>
      </c>
      <c r="B82" s="787">
        <v>6.2569009827718798</v>
      </c>
      <c r="C82" s="787">
        <v>4.2222282001440599</v>
      </c>
      <c r="D82" s="787">
        <v>6.7271888771861796</v>
      </c>
      <c r="E82" s="787">
        <v>3.8109575631339698</v>
      </c>
      <c r="F82" s="787">
        <v>8.4037229953244097</v>
      </c>
      <c r="G82" s="787">
        <v>2.5044030128612298</v>
      </c>
      <c r="H82" s="787">
        <v>0.113722447716919</v>
      </c>
      <c r="I82" s="787">
        <v>0.57479293300784695</v>
      </c>
      <c r="J82" s="787">
        <v>1.69588207926059</v>
      </c>
      <c r="K82" s="787">
        <v>0.80491826774321595</v>
      </c>
      <c r="L82" s="787">
        <v>-8.2603036259241698E-5</v>
      </c>
      <c r="M82" s="787">
        <v>6.3555788918102696</v>
      </c>
      <c r="N82" s="787">
        <f t="shared" si="0"/>
        <v>41.470213647924311</v>
      </c>
    </row>
    <row r="83" spans="1:14" x14ac:dyDescent="0.25">
      <c r="A83" s="791" t="s">
        <v>1811</v>
      </c>
      <c r="B83" s="787">
        <v>2.71052232335221</v>
      </c>
      <c r="C83" s="787">
        <v>0.60642972165436604</v>
      </c>
      <c r="D83" s="787">
        <v>0.50378177829482795</v>
      </c>
      <c r="E83" s="787">
        <v>2.3407117306149399</v>
      </c>
      <c r="F83" s="787">
        <v>2.69193197233326</v>
      </c>
      <c r="G83" s="787">
        <v>1.6222352475381501</v>
      </c>
      <c r="H83" s="787">
        <v>2.3342559298895199E-4</v>
      </c>
      <c r="I83" s="787">
        <v>21.032813335617501</v>
      </c>
      <c r="J83" s="787">
        <v>11.234102339215699</v>
      </c>
      <c r="K83" s="787">
        <v>5.3735003684280702</v>
      </c>
      <c r="L83" s="787">
        <v>4.1257700114396902</v>
      </c>
      <c r="M83" s="787">
        <v>2.07642201547801</v>
      </c>
      <c r="N83" s="787">
        <f t="shared" si="0"/>
        <v>54.318454269559709</v>
      </c>
    </row>
    <row r="84" spans="1:14" x14ac:dyDescent="0.25">
      <c r="A84" s="791" t="s">
        <v>1812</v>
      </c>
      <c r="B84" s="787">
        <v>0</v>
      </c>
      <c r="C84" s="787">
        <v>0</v>
      </c>
      <c r="D84" s="787">
        <v>0</v>
      </c>
      <c r="E84" s="787">
        <v>0</v>
      </c>
      <c r="F84" s="787">
        <v>0</v>
      </c>
      <c r="G84" s="787">
        <v>0</v>
      </c>
      <c r="H84" s="787">
        <v>0</v>
      </c>
      <c r="I84" s="787">
        <v>0</v>
      </c>
      <c r="J84" s="787">
        <v>0</v>
      </c>
      <c r="K84" s="787">
        <v>0</v>
      </c>
      <c r="L84" s="787">
        <v>0</v>
      </c>
      <c r="M84" s="787">
        <v>0</v>
      </c>
      <c r="N84" s="787">
        <f t="shared" si="0"/>
        <v>0</v>
      </c>
    </row>
    <row r="85" spans="1:14" x14ac:dyDescent="0.25">
      <c r="A85" s="791" t="s">
        <v>1813</v>
      </c>
      <c r="B85" s="787">
        <v>748.07600000000002</v>
      </c>
      <c r="C85" s="787">
        <v>681.44200000000001</v>
      </c>
      <c r="D85" s="787">
        <v>747.96199999999999</v>
      </c>
      <c r="E85" s="787">
        <v>805.41700000000003</v>
      </c>
      <c r="F85" s="787">
        <v>710.13400000000001</v>
      </c>
      <c r="G85" s="787">
        <v>803.755</v>
      </c>
      <c r="H85" s="787">
        <v>714.57100000000003</v>
      </c>
      <c r="I85" s="787">
        <v>662.66300000000001</v>
      </c>
      <c r="J85" s="787">
        <v>767.65099999999995</v>
      </c>
      <c r="K85" s="787">
        <v>664.87099999999998</v>
      </c>
      <c r="L85" s="787">
        <v>734.91300000000001</v>
      </c>
      <c r="M85" s="787">
        <v>724.79499999999996</v>
      </c>
      <c r="N85" s="787">
        <f t="shared" si="0"/>
        <v>8766.25</v>
      </c>
    </row>
    <row r="86" spans="1:14" x14ac:dyDescent="0.25">
      <c r="A86" s="791" t="s">
        <v>1814</v>
      </c>
      <c r="B86" s="787">
        <v>896.14</v>
      </c>
      <c r="C86" s="787">
        <v>852.79300000000001</v>
      </c>
      <c r="D86" s="787">
        <v>867.50900000000001</v>
      </c>
      <c r="E86" s="787">
        <v>890.17399999999998</v>
      </c>
      <c r="F86" s="787">
        <v>883.17600000000004</v>
      </c>
      <c r="G86" s="787">
        <v>901.50099999999998</v>
      </c>
      <c r="H86" s="787">
        <v>882.51099999999997</v>
      </c>
      <c r="I86" s="787">
        <v>866.67200000000003</v>
      </c>
      <c r="J86" s="787">
        <v>879.21799999999996</v>
      </c>
      <c r="K86" s="787">
        <v>860.84199999999998</v>
      </c>
      <c r="L86" s="787">
        <v>892.66800000000001</v>
      </c>
      <c r="M86" s="787">
        <v>984.39099999999996</v>
      </c>
      <c r="N86" s="787">
        <f t="shared" si="0"/>
        <v>10657.594999999999</v>
      </c>
    </row>
    <row r="87" spans="1:14" x14ac:dyDescent="0.25">
      <c r="A87" s="791" t="s">
        <v>1815</v>
      </c>
      <c r="B87" s="787">
        <v>865.36400000000003</v>
      </c>
      <c r="C87" s="787">
        <v>976.07600000000002</v>
      </c>
      <c r="D87" s="787">
        <v>1062.9079999999999</v>
      </c>
      <c r="E87" s="787">
        <v>1099.3689999999999</v>
      </c>
      <c r="F87" s="787">
        <v>900.76700000000005</v>
      </c>
      <c r="G87" s="787">
        <v>822.50800000000004</v>
      </c>
      <c r="H87" s="787">
        <v>608.46399999999903</v>
      </c>
      <c r="I87" s="787">
        <v>920.16200000000003</v>
      </c>
      <c r="J87" s="787">
        <v>1075.8409999999999</v>
      </c>
      <c r="K87" s="787">
        <v>959.32799999999997</v>
      </c>
      <c r="L87" s="787">
        <v>798.78</v>
      </c>
      <c r="M87" s="787">
        <v>839.99299999999903</v>
      </c>
      <c r="N87" s="787">
        <f t="shared" si="0"/>
        <v>10929.559999999998</v>
      </c>
    </row>
    <row r="88" spans="1:14" x14ac:dyDescent="0.25">
      <c r="A88" s="791" t="s">
        <v>1816</v>
      </c>
      <c r="B88" s="787">
        <v>0</v>
      </c>
      <c r="C88" s="787">
        <v>0</v>
      </c>
      <c r="D88" s="787">
        <v>0</v>
      </c>
      <c r="E88" s="787">
        <v>0</v>
      </c>
      <c r="F88" s="787">
        <v>0</v>
      </c>
      <c r="G88" s="787">
        <v>0</v>
      </c>
      <c r="H88" s="787">
        <v>0</v>
      </c>
      <c r="I88" s="787">
        <v>0</v>
      </c>
      <c r="J88" s="787">
        <v>0</v>
      </c>
      <c r="K88" s="787">
        <v>0</v>
      </c>
      <c r="L88" s="787">
        <v>0</v>
      </c>
      <c r="M88" s="787">
        <v>0</v>
      </c>
      <c r="N88" s="787">
        <f t="shared" si="0"/>
        <v>0</v>
      </c>
    </row>
    <row r="89" spans="1:14" x14ac:dyDescent="0.25">
      <c r="A89" s="791" t="s">
        <v>1817</v>
      </c>
      <c r="B89" s="787">
        <v>384.31299999999999</v>
      </c>
      <c r="C89" s="787">
        <v>390.017</v>
      </c>
      <c r="D89" s="787">
        <v>427.14299999999997</v>
      </c>
      <c r="E89" s="787">
        <v>429.48399999999998</v>
      </c>
      <c r="F89" s="787">
        <v>397.97500000000002</v>
      </c>
      <c r="G89" s="787">
        <v>428.82600000000002</v>
      </c>
      <c r="H89" s="787">
        <v>377.65199999999999</v>
      </c>
      <c r="I89" s="787">
        <v>354.37900000000002</v>
      </c>
      <c r="J89" s="787">
        <v>481.315</v>
      </c>
      <c r="K89" s="787">
        <v>424.28699999999998</v>
      </c>
      <c r="L89" s="787">
        <v>281.90300000000002</v>
      </c>
      <c r="M89" s="787">
        <v>213.43600000000001</v>
      </c>
      <c r="N89" s="787">
        <f t="shared" si="0"/>
        <v>4590.7299999999996</v>
      </c>
    </row>
    <row r="90" spans="1:14" x14ac:dyDescent="0.25">
      <c r="A90" s="791" t="s">
        <v>1818</v>
      </c>
      <c r="B90" s="787">
        <v>0</v>
      </c>
      <c r="C90" s="787">
        <v>0</v>
      </c>
      <c r="D90" s="787">
        <v>0</v>
      </c>
      <c r="E90" s="787">
        <v>0</v>
      </c>
      <c r="F90" s="787">
        <v>0</v>
      </c>
      <c r="G90" s="787">
        <v>0</v>
      </c>
      <c r="H90" s="787">
        <v>0</v>
      </c>
      <c r="I90" s="787">
        <v>0</v>
      </c>
      <c r="J90" s="787">
        <v>0</v>
      </c>
      <c r="K90" s="787">
        <v>0</v>
      </c>
      <c r="L90" s="787">
        <v>0</v>
      </c>
      <c r="M90" s="787">
        <v>0</v>
      </c>
      <c r="N90" s="787">
        <f t="shared" si="0"/>
        <v>0</v>
      </c>
    </row>
    <row r="91" spans="1:14" x14ac:dyDescent="0.25">
      <c r="A91" s="791" t="s">
        <v>1819</v>
      </c>
      <c r="B91" s="787">
        <v>0</v>
      </c>
      <c r="C91" s="787">
        <v>0</v>
      </c>
      <c r="D91" s="787">
        <v>0</v>
      </c>
      <c r="E91" s="787">
        <v>0</v>
      </c>
      <c r="F91" s="787">
        <v>0</v>
      </c>
      <c r="G91" s="787">
        <v>0</v>
      </c>
      <c r="H91" s="787">
        <v>0</v>
      </c>
      <c r="I91" s="787">
        <v>0</v>
      </c>
      <c r="J91" s="787">
        <v>0</v>
      </c>
      <c r="K91" s="787">
        <v>0</v>
      </c>
      <c r="L91" s="787">
        <v>0</v>
      </c>
      <c r="M91" s="787">
        <v>0</v>
      </c>
      <c r="N91" s="787">
        <f t="shared" si="0"/>
        <v>0</v>
      </c>
    </row>
    <row r="92" spans="1:14" x14ac:dyDescent="0.25">
      <c r="A92" s="791" t="s">
        <v>1820</v>
      </c>
      <c r="B92" s="787">
        <v>0</v>
      </c>
      <c r="C92" s="787">
        <v>0</v>
      </c>
      <c r="D92" s="787">
        <v>0</v>
      </c>
      <c r="E92" s="787">
        <v>0</v>
      </c>
      <c r="F92" s="787">
        <v>0</v>
      </c>
      <c r="G92" s="787">
        <v>0</v>
      </c>
      <c r="H92" s="787">
        <v>0</v>
      </c>
      <c r="I92" s="787">
        <v>0</v>
      </c>
      <c r="J92" s="787">
        <v>0</v>
      </c>
      <c r="K92" s="787">
        <v>0</v>
      </c>
      <c r="L92" s="787">
        <v>0</v>
      </c>
      <c r="M92" s="787">
        <v>0</v>
      </c>
      <c r="N92" s="787">
        <f t="shared" si="0"/>
        <v>0</v>
      </c>
    </row>
    <row r="93" spans="1:14" x14ac:dyDescent="0.25">
      <c r="A93" s="791" t="s">
        <v>1821</v>
      </c>
      <c r="B93" s="787">
        <v>0</v>
      </c>
      <c r="C93" s="787">
        <v>0</v>
      </c>
      <c r="D93" s="787">
        <v>0</v>
      </c>
      <c r="E93" s="787">
        <v>2.5</v>
      </c>
      <c r="F93" s="787">
        <v>0</v>
      </c>
      <c r="G93" s="787">
        <v>0</v>
      </c>
      <c r="H93" s="787">
        <v>0</v>
      </c>
      <c r="I93" s="787">
        <v>0</v>
      </c>
      <c r="J93" s="787">
        <v>0</v>
      </c>
      <c r="K93" s="787">
        <v>0</v>
      </c>
      <c r="L93" s="787">
        <v>0</v>
      </c>
      <c r="M93" s="787">
        <v>2.5</v>
      </c>
      <c r="N93" s="787">
        <f t="shared" si="0"/>
        <v>5</v>
      </c>
    </row>
    <row r="94" spans="1:14" x14ac:dyDescent="0.25">
      <c r="A94" s="791" t="s">
        <v>1822</v>
      </c>
      <c r="B94" s="787">
        <v>0</v>
      </c>
      <c r="C94" s="787">
        <v>0</v>
      </c>
      <c r="D94" s="787">
        <v>0</v>
      </c>
      <c r="E94" s="787">
        <v>0</v>
      </c>
      <c r="F94" s="787">
        <v>0</v>
      </c>
      <c r="G94" s="787">
        <v>0</v>
      </c>
      <c r="H94" s="787">
        <v>0</v>
      </c>
      <c r="I94" s="787">
        <v>0</v>
      </c>
      <c r="J94" s="787">
        <v>0</v>
      </c>
      <c r="K94" s="787">
        <v>0</v>
      </c>
      <c r="L94" s="787">
        <v>0</v>
      </c>
      <c r="M94" s="787">
        <v>0</v>
      </c>
      <c r="N94" s="787">
        <f t="shared" si="0"/>
        <v>0</v>
      </c>
    </row>
    <row r="95" spans="1:14" ht="15.75" thickBot="1" x14ac:dyDescent="0.3">
      <c r="A95" s="791" t="s">
        <v>1823</v>
      </c>
      <c r="B95" s="792">
        <v>0</v>
      </c>
      <c r="C95" s="792">
        <v>0</v>
      </c>
      <c r="D95" s="792">
        <v>0</v>
      </c>
      <c r="E95" s="792">
        <v>0</v>
      </c>
      <c r="F95" s="792">
        <v>0</v>
      </c>
      <c r="G95" s="792">
        <v>0</v>
      </c>
      <c r="H95" s="792">
        <v>0</v>
      </c>
      <c r="I95" s="792">
        <v>0</v>
      </c>
      <c r="J95" s="792">
        <v>0</v>
      </c>
      <c r="K95" s="792">
        <v>0</v>
      </c>
      <c r="L95" s="792">
        <v>0</v>
      </c>
      <c r="M95" s="792">
        <v>0</v>
      </c>
      <c r="N95" s="792">
        <f t="shared" si="0"/>
        <v>0</v>
      </c>
    </row>
    <row r="96" spans="1:14" x14ac:dyDescent="0.25">
      <c r="A96" s="796" t="s">
        <v>1824</v>
      </c>
      <c r="B96" s="787">
        <v>5396.2730000000001</v>
      </c>
      <c r="C96" s="787">
        <v>5301.1219999999903</v>
      </c>
      <c r="D96" s="787">
        <v>6052.7049999999999</v>
      </c>
      <c r="E96" s="787">
        <v>6136.8319999999903</v>
      </c>
      <c r="F96" s="787">
        <v>5525.6170000000002</v>
      </c>
      <c r="G96" s="787">
        <v>5676.8879999999999</v>
      </c>
      <c r="H96" s="787">
        <v>4900.5540000000001</v>
      </c>
      <c r="I96" s="787">
        <v>5637.4120000000003</v>
      </c>
      <c r="J96" s="787">
        <v>6224.9679999999998</v>
      </c>
      <c r="K96" s="787">
        <v>5646.9359999999997</v>
      </c>
      <c r="L96" s="787">
        <v>5366.5159999999996</v>
      </c>
      <c r="M96" s="787">
        <v>5460.5439999999999</v>
      </c>
      <c r="N96" s="787">
        <f t="shared" si="0"/>
        <v>67326.366999999969</v>
      </c>
    </row>
    <row r="97" spans="1:27" x14ac:dyDescent="0.25">
      <c r="A97" s="791" t="s">
        <v>1825</v>
      </c>
      <c r="B97" s="787">
        <v>889.00199999999995</v>
      </c>
      <c r="C97" s="787">
        <v>691.11800000000005</v>
      </c>
      <c r="D97" s="787">
        <v>774.48</v>
      </c>
      <c r="E97" s="787">
        <v>834.90899999999999</v>
      </c>
      <c r="F97" s="787">
        <v>789.01099999999997</v>
      </c>
      <c r="G97" s="787">
        <v>1108.441</v>
      </c>
      <c r="H97" s="787">
        <v>892.00199999999995</v>
      </c>
      <c r="I97" s="787">
        <v>683.25099999999998</v>
      </c>
      <c r="J97" s="787">
        <v>811.61400000000003</v>
      </c>
      <c r="K97" s="787">
        <v>692.11099999999999</v>
      </c>
      <c r="L97" s="787">
        <v>974.80799999999999</v>
      </c>
      <c r="M97" s="787">
        <v>1107.48</v>
      </c>
      <c r="N97" s="787">
        <f t="shared" si="0"/>
        <v>10248.226999999999</v>
      </c>
    </row>
    <row r="98" spans="1:27" x14ac:dyDescent="0.25">
      <c r="A98" s="791" t="s">
        <v>1826</v>
      </c>
      <c r="B98" s="787">
        <v>593.44500000000005</v>
      </c>
      <c r="C98" s="787">
        <v>586.78599999999994</v>
      </c>
      <c r="D98" s="787">
        <v>652.37</v>
      </c>
      <c r="E98" s="787">
        <v>587.49300000000005</v>
      </c>
      <c r="F98" s="787">
        <v>628.45799999999997</v>
      </c>
      <c r="G98" s="787">
        <v>718.63</v>
      </c>
      <c r="H98" s="787">
        <v>666.50099999999998</v>
      </c>
      <c r="I98" s="787">
        <v>570.07799999999997</v>
      </c>
      <c r="J98" s="787">
        <v>520.00199999999995</v>
      </c>
      <c r="K98" s="787">
        <v>507.96300000000002</v>
      </c>
      <c r="L98" s="787">
        <v>572.64700000000005</v>
      </c>
      <c r="M98" s="787">
        <v>650.072</v>
      </c>
      <c r="N98" s="787">
        <f t="shared" si="0"/>
        <v>7254.4450000000006</v>
      </c>
    </row>
    <row r="99" spans="1:27" x14ac:dyDescent="0.25">
      <c r="A99" s="791" t="s">
        <v>1827</v>
      </c>
      <c r="B99" s="787">
        <v>3452.9969999999998</v>
      </c>
      <c r="C99" s="787">
        <v>2096.6959999999999</v>
      </c>
      <c r="D99" s="787">
        <v>2284.9920000000002</v>
      </c>
      <c r="E99" s="787">
        <v>2210.6860000000001</v>
      </c>
      <c r="F99" s="787">
        <v>3096.2060000000001</v>
      </c>
      <c r="G99" s="787">
        <v>5853.8559999999998</v>
      </c>
      <c r="H99" s="787">
        <v>4389.0879999999997</v>
      </c>
      <c r="I99" s="787">
        <v>2126.2620000000002</v>
      </c>
      <c r="J99" s="787">
        <v>2451.0450000000001</v>
      </c>
      <c r="K99" s="787">
        <v>2693.7939999999999</v>
      </c>
      <c r="L99" s="787">
        <v>6190.95</v>
      </c>
      <c r="M99" s="787">
        <v>7659.0309999999999</v>
      </c>
      <c r="N99" s="787">
        <f t="shared" si="0"/>
        <v>44505.602999999996</v>
      </c>
    </row>
    <row r="100" spans="1:27" x14ac:dyDescent="0.25">
      <c r="A100" s="791" t="s">
        <v>1828</v>
      </c>
      <c r="B100" s="787">
        <v>419.04300000000001</v>
      </c>
      <c r="C100" s="787">
        <v>406.49799999999999</v>
      </c>
      <c r="D100" s="787">
        <v>390.774</v>
      </c>
      <c r="E100" s="787">
        <v>428.01499999999999</v>
      </c>
      <c r="F100" s="787">
        <v>440.43799999999999</v>
      </c>
      <c r="G100" s="787">
        <v>508.70600000000002</v>
      </c>
      <c r="H100" s="787">
        <v>404.93400000000003</v>
      </c>
      <c r="I100" s="787">
        <v>496.93900000000002</v>
      </c>
      <c r="J100" s="787">
        <v>435.363</v>
      </c>
      <c r="K100" s="787">
        <v>545.74900000000002</v>
      </c>
      <c r="L100" s="787">
        <v>513.93899999999996</v>
      </c>
      <c r="M100" s="787">
        <v>583.70799999999997</v>
      </c>
      <c r="N100" s="787">
        <f t="shared" si="0"/>
        <v>5574.1059999999998</v>
      </c>
    </row>
    <row r="101" spans="1:27" x14ac:dyDescent="0.25">
      <c r="A101" s="791" t="s">
        <v>1829</v>
      </c>
      <c r="B101" s="787">
        <v>643.02099999999996</v>
      </c>
      <c r="C101" s="787">
        <v>386.46699999999998</v>
      </c>
      <c r="D101" s="787">
        <v>329.80099999999999</v>
      </c>
      <c r="E101" s="787">
        <v>368.52300000000002</v>
      </c>
      <c r="F101" s="787">
        <v>604.70699999999999</v>
      </c>
      <c r="G101" s="787">
        <v>1964.9</v>
      </c>
      <c r="H101" s="787">
        <v>1527.1410000000001</v>
      </c>
      <c r="I101" s="787">
        <v>363.28</v>
      </c>
      <c r="J101" s="787">
        <v>404.01400000000001</v>
      </c>
      <c r="K101" s="787">
        <v>355.92</v>
      </c>
      <c r="L101" s="787">
        <v>1546.24</v>
      </c>
      <c r="M101" s="787">
        <v>1730.28</v>
      </c>
      <c r="N101" s="787">
        <f t="shared" si="0"/>
        <v>10224.294</v>
      </c>
    </row>
    <row r="102" spans="1:27" ht="15.75" thickBot="1" x14ac:dyDescent="0.3">
      <c r="A102" s="791" t="s">
        <v>1830</v>
      </c>
      <c r="B102" s="792">
        <v>193.67400000000001</v>
      </c>
      <c r="C102" s="792">
        <v>328.36700000000002</v>
      </c>
      <c r="D102" s="792">
        <v>192.61699999999999</v>
      </c>
      <c r="E102" s="792">
        <v>194.285</v>
      </c>
      <c r="F102" s="792">
        <v>272.55700000000002</v>
      </c>
      <c r="G102" s="792">
        <v>191.26300000000001</v>
      </c>
      <c r="H102" s="792">
        <v>192.245</v>
      </c>
      <c r="I102" s="792">
        <v>245.11199999999999</v>
      </c>
      <c r="J102" s="792">
        <v>195.47800000000001</v>
      </c>
      <c r="K102" s="792">
        <v>192.24</v>
      </c>
      <c r="L102" s="792">
        <v>249.773</v>
      </c>
      <c r="M102" s="792">
        <v>222.72900000000001</v>
      </c>
      <c r="N102" s="792">
        <f t="shared" ref="N102:N165" si="1">SUM(B102:M102)</f>
        <v>2670.3399999999997</v>
      </c>
    </row>
    <row r="103" spans="1:27" x14ac:dyDescent="0.25">
      <c r="A103" s="796" t="s">
        <v>1831</v>
      </c>
      <c r="B103" s="787">
        <v>6191.1819999999998</v>
      </c>
      <c r="C103" s="787">
        <v>4495.9319999999998</v>
      </c>
      <c r="D103" s="787">
        <v>4625.0339999999997</v>
      </c>
      <c r="E103" s="787">
        <v>4623.9110000000001</v>
      </c>
      <c r="F103" s="787">
        <v>5831.3770000000004</v>
      </c>
      <c r="G103" s="787">
        <v>10345.796</v>
      </c>
      <c r="H103" s="787">
        <v>8071.9110000000001</v>
      </c>
      <c r="I103" s="787">
        <v>4484.9219999999996</v>
      </c>
      <c r="J103" s="787">
        <v>4817.5159999999996</v>
      </c>
      <c r="K103" s="787">
        <v>4987.777</v>
      </c>
      <c r="L103" s="787">
        <v>10048.3569999999</v>
      </c>
      <c r="M103" s="787">
        <v>11953.3</v>
      </c>
      <c r="N103" s="787">
        <f t="shared" si="1"/>
        <v>80477.014999999912</v>
      </c>
    </row>
    <row r="104" spans="1:27" ht="15.75" thickBot="1" x14ac:dyDescent="0.3">
      <c r="A104" s="791" t="s">
        <v>1832</v>
      </c>
      <c r="B104" s="792">
        <v>0</v>
      </c>
      <c r="C104" s="792">
        <v>0</v>
      </c>
      <c r="D104" s="792">
        <v>0</v>
      </c>
      <c r="E104" s="792">
        <v>0</v>
      </c>
      <c r="F104" s="792">
        <v>0</v>
      </c>
      <c r="G104" s="792">
        <v>0</v>
      </c>
      <c r="H104" s="792">
        <v>0</v>
      </c>
      <c r="I104" s="792">
        <v>0</v>
      </c>
      <c r="J104" s="792">
        <v>0</v>
      </c>
      <c r="K104" s="792">
        <v>0</v>
      </c>
      <c r="L104" s="792">
        <v>0</v>
      </c>
      <c r="M104" s="792">
        <v>0</v>
      </c>
      <c r="N104" s="792">
        <f t="shared" si="1"/>
        <v>0</v>
      </c>
    </row>
    <row r="105" spans="1:27" ht="15.75" thickBot="1" x14ac:dyDescent="0.3">
      <c r="A105" s="791" t="s">
        <v>1833</v>
      </c>
      <c r="B105" s="792">
        <v>0</v>
      </c>
      <c r="C105" s="792">
        <v>0</v>
      </c>
      <c r="D105" s="792">
        <v>0</v>
      </c>
      <c r="E105" s="792">
        <v>0</v>
      </c>
      <c r="F105" s="792">
        <v>0</v>
      </c>
      <c r="G105" s="792">
        <v>0</v>
      </c>
      <c r="H105" s="792">
        <v>0</v>
      </c>
      <c r="I105" s="792">
        <v>0</v>
      </c>
      <c r="J105" s="792">
        <v>0</v>
      </c>
      <c r="K105" s="792">
        <v>0</v>
      </c>
      <c r="L105" s="792">
        <v>0</v>
      </c>
      <c r="M105" s="792">
        <v>0</v>
      </c>
      <c r="N105" s="792">
        <f t="shared" si="1"/>
        <v>0</v>
      </c>
    </row>
    <row r="106" spans="1:27" x14ac:dyDescent="0.25">
      <c r="A106" s="795" t="s">
        <v>1834</v>
      </c>
      <c r="B106" s="785">
        <v>36778.670868763598</v>
      </c>
      <c r="C106" s="785">
        <v>37016.858153198496</v>
      </c>
      <c r="D106" s="785">
        <v>40344.5614756207</v>
      </c>
      <c r="E106" s="785">
        <v>41655.925165941801</v>
      </c>
      <c r="F106" s="785">
        <v>36790.837469413796</v>
      </c>
      <c r="G106" s="785">
        <v>37614.632579841498</v>
      </c>
      <c r="H106" s="785">
        <v>30954.662758904</v>
      </c>
      <c r="I106" s="785">
        <v>36244.649337555697</v>
      </c>
      <c r="J106" s="785">
        <v>40896.551685529303</v>
      </c>
      <c r="K106" s="785">
        <v>36976.845479212003</v>
      </c>
      <c r="L106" s="785">
        <v>37914.662652560197</v>
      </c>
      <c r="M106" s="785">
        <v>37038.232609332001</v>
      </c>
      <c r="N106" s="785">
        <f t="shared" si="1"/>
        <v>450227.09023587313</v>
      </c>
      <c r="O106" s="786"/>
      <c r="P106" s="786"/>
      <c r="Q106" s="786"/>
      <c r="R106" s="786"/>
      <c r="S106" s="786"/>
      <c r="T106" s="786"/>
      <c r="U106" s="786"/>
      <c r="V106" s="786"/>
      <c r="W106" s="786"/>
      <c r="X106" s="786"/>
      <c r="Y106" s="786"/>
      <c r="Z106" s="786"/>
      <c r="AA106" s="786"/>
    </row>
    <row r="107" spans="1:27" x14ac:dyDescent="0.25">
      <c r="A107" s="791" t="s">
        <v>1796</v>
      </c>
      <c r="N107" s="787">
        <f t="shared" si="1"/>
        <v>0</v>
      </c>
    </row>
    <row r="108" spans="1:27" x14ac:dyDescent="0.25">
      <c r="A108" s="791" t="s">
        <v>1835</v>
      </c>
      <c r="B108" s="787">
        <v>0</v>
      </c>
      <c r="C108" s="787">
        <v>0</v>
      </c>
      <c r="D108" s="787">
        <v>0</v>
      </c>
      <c r="E108" s="787">
        <v>0</v>
      </c>
      <c r="F108" s="787">
        <v>0</v>
      </c>
      <c r="G108" s="787">
        <v>0</v>
      </c>
      <c r="H108" s="787">
        <v>0</v>
      </c>
      <c r="I108" s="787">
        <v>0</v>
      </c>
      <c r="J108" s="787">
        <v>0</v>
      </c>
      <c r="K108" s="787">
        <v>0</v>
      </c>
      <c r="L108" s="787">
        <v>0</v>
      </c>
      <c r="M108" s="787">
        <v>0</v>
      </c>
      <c r="N108" s="787">
        <f t="shared" si="1"/>
        <v>0</v>
      </c>
    </row>
    <row r="109" spans="1:27" x14ac:dyDescent="0.25">
      <c r="A109" s="791" t="s">
        <v>1836</v>
      </c>
      <c r="B109" s="787">
        <v>0</v>
      </c>
      <c r="C109" s="787">
        <v>0</v>
      </c>
      <c r="D109" s="787">
        <v>0</v>
      </c>
      <c r="E109" s="787">
        <v>0</v>
      </c>
      <c r="F109" s="787">
        <v>0</v>
      </c>
      <c r="G109" s="787">
        <v>0</v>
      </c>
      <c r="H109" s="787">
        <v>0</v>
      </c>
      <c r="I109" s="787">
        <v>0</v>
      </c>
      <c r="J109" s="787">
        <v>0</v>
      </c>
      <c r="K109" s="787">
        <v>0</v>
      </c>
      <c r="L109" s="787">
        <v>0</v>
      </c>
      <c r="M109" s="787">
        <v>0</v>
      </c>
      <c r="N109" s="787">
        <f t="shared" si="1"/>
        <v>0</v>
      </c>
    </row>
    <row r="110" spans="1:27" x14ac:dyDescent="0.25">
      <c r="A110" s="791" t="s">
        <v>1837</v>
      </c>
      <c r="B110" s="787">
        <v>0</v>
      </c>
      <c r="C110" s="787">
        <v>0</v>
      </c>
      <c r="D110" s="787">
        <v>0</v>
      </c>
      <c r="E110" s="787">
        <v>0</v>
      </c>
      <c r="F110" s="787">
        <v>0</v>
      </c>
      <c r="G110" s="787">
        <v>0</v>
      </c>
      <c r="H110" s="787">
        <v>0</v>
      </c>
      <c r="I110" s="787">
        <v>0</v>
      </c>
      <c r="J110" s="787">
        <v>0</v>
      </c>
      <c r="K110" s="787">
        <v>0</v>
      </c>
      <c r="L110" s="787">
        <v>0</v>
      </c>
      <c r="M110" s="787">
        <v>0</v>
      </c>
      <c r="N110" s="787">
        <f t="shared" si="1"/>
        <v>0</v>
      </c>
    </row>
    <row r="111" spans="1:27" ht="15.75" thickBot="1" x14ac:dyDescent="0.3">
      <c r="A111" s="791" t="s">
        <v>1838</v>
      </c>
      <c r="B111" s="792">
        <v>0.83699999999999997</v>
      </c>
      <c r="C111" s="792">
        <v>0.83699999999999997</v>
      </c>
      <c r="D111" s="792">
        <v>0.83699999999999997</v>
      </c>
      <c r="E111" s="792">
        <v>0.83699999999999997</v>
      </c>
      <c r="F111" s="792">
        <v>0.83699999999999997</v>
      </c>
      <c r="G111" s="792">
        <v>0.83699999999999997</v>
      </c>
      <c r="H111" s="792">
        <v>0.83699999999999997</v>
      </c>
      <c r="I111" s="792">
        <v>0.83699999999999997</v>
      </c>
      <c r="J111" s="792">
        <v>0.85399999999999998</v>
      </c>
      <c r="K111" s="792">
        <v>0.85399999999999998</v>
      </c>
      <c r="L111" s="792">
        <v>0.85399999999999998</v>
      </c>
      <c r="M111" s="792">
        <v>0.85399999999999998</v>
      </c>
      <c r="N111" s="792">
        <f t="shared" si="1"/>
        <v>10.111999999999997</v>
      </c>
    </row>
    <row r="112" spans="1:27" x14ac:dyDescent="0.25">
      <c r="A112" s="796" t="s">
        <v>1824</v>
      </c>
      <c r="B112" s="787">
        <v>0.83699999999999997</v>
      </c>
      <c r="C112" s="787">
        <v>0.83699999999999997</v>
      </c>
      <c r="D112" s="787">
        <v>0.83699999999999997</v>
      </c>
      <c r="E112" s="787">
        <v>0.83699999999999997</v>
      </c>
      <c r="F112" s="787">
        <v>0.83699999999999997</v>
      </c>
      <c r="G112" s="787">
        <v>0.83699999999999997</v>
      </c>
      <c r="H112" s="787">
        <v>0.83699999999999997</v>
      </c>
      <c r="I112" s="787">
        <v>0.83699999999999997</v>
      </c>
      <c r="J112" s="787">
        <v>0.85399999999999998</v>
      </c>
      <c r="K112" s="787">
        <v>0.85399999999999998</v>
      </c>
      <c r="L112" s="787">
        <v>0.85399999999999998</v>
      </c>
      <c r="M112" s="787">
        <v>0.85399999999999998</v>
      </c>
      <c r="N112" s="787">
        <f t="shared" si="1"/>
        <v>10.111999999999997</v>
      </c>
    </row>
    <row r="113" spans="1:27" x14ac:dyDescent="0.25">
      <c r="A113" s="791" t="s">
        <v>1839</v>
      </c>
      <c r="B113" s="787">
        <v>20.981999999999999</v>
      </c>
      <c r="C113" s="787">
        <v>12.272</v>
      </c>
      <c r="D113" s="787">
        <v>21.181999999999999</v>
      </c>
      <c r="E113" s="787">
        <v>20.652000000000001</v>
      </c>
      <c r="F113" s="787">
        <v>16.664999999999999</v>
      </c>
      <c r="G113" s="787">
        <v>20.059000000000001</v>
      </c>
      <c r="H113" s="787">
        <v>17.09</v>
      </c>
      <c r="I113" s="787">
        <v>17.905999999999999</v>
      </c>
      <c r="J113" s="787">
        <v>23.356999999999999</v>
      </c>
      <c r="K113" s="787">
        <v>17.393000000000001</v>
      </c>
      <c r="L113" s="787">
        <v>19.818999999999999</v>
      </c>
      <c r="M113" s="787">
        <v>19.363</v>
      </c>
      <c r="N113" s="787">
        <f t="shared" si="1"/>
        <v>226.73999999999998</v>
      </c>
    </row>
    <row r="114" spans="1:27" x14ac:dyDescent="0.25">
      <c r="A114" s="791" t="s">
        <v>1840</v>
      </c>
      <c r="B114" s="787">
        <v>20.786999999999999</v>
      </c>
      <c r="C114" s="787">
        <v>18.224</v>
      </c>
      <c r="D114" s="787">
        <v>20.85</v>
      </c>
      <c r="E114" s="787">
        <v>20.666</v>
      </c>
      <c r="F114" s="787">
        <v>19.48</v>
      </c>
      <c r="G114" s="787">
        <v>20.484999999999999</v>
      </c>
      <c r="H114" s="787">
        <v>19.645</v>
      </c>
      <c r="I114" s="787">
        <v>19.89</v>
      </c>
      <c r="J114" s="787">
        <v>17.295999999999999</v>
      </c>
      <c r="K114" s="787">
        <v>15.548</v>
      </c>
      <c r="L114" s="787">
        <v>16.224</v>
      </c>
      <c r="M114" s="787">
        <v>16.088000000000001</v>
      </c>
      <c r="N114" s="787">
        <f t="shared" si="1"/>
        <v>225.18299999999996</v>
      </c>
    </row>
    <row r="115" spans="1:27" x14ac:dyDescent="0.25">
      <c r="A115" s="791" t="s">
        <v>1841</v>
      </c>
      <c r="B115" s="787">
        <v>2.1890000000000001</v>
      </c>
      <c r="C115" s="787">
        <v>2.1890000000000001</v>
      </c>
      <c r="D115" s="787">
        <v>2.1890000000000001</v>
      </c>
      <c r="E115" s="787">
        <v>2.1890000000000001</v>
      </c>
      <c r="F115" s="787">
        <v>2.1890000000000001</v>
      </c>
      <c r="G115" s="787">
        <v>2.1890000000000001</v>
      </c>
      <c r="H115" s="787">
        <v>2.1890000000000001</v>
      </c>
      <c r="I115" s="787">
        <v>2.1890000000000001</v>
      </c>
      <c r="J115" s="787">
        <v>4.101</v>
      </c>
      <c r="K115" s="787">
        <v>4.101</v>
      </c>
      <c r="L115" s="787">
        <v>4.101</v>
      </c>
      <c r="M115" s="787">
        <v>4.101</v>
      </c>
      <c r="N115" s="787">
        <f t="shared" si="1"/>
        <v>33.915999999999997</v>
      </c>
    </row>
    <row r="116" spans="1:27" x14ac:dyDescent="0.25">
      <c r="A116" s="791" t="s">
        <v>1842</v>
      </c>
      <c r="B116" s="787">
        <v>3.6579999999999999</v>
      </c>
      <c r="C116" s="787">
        <v>3.6579999999999999</v>
      </c>
      <c r="D116" s="787">
        <v>3.6579999999999999</v>
      </c>
      <c r="E116" s="787">
        <v>3.6579999999999999</v>
      </c>
      <c r="F116" s="787">
        <v>3.6579999999999999</v>
      </c>
      <c r="G116" s="787">
        <v>3.6579999999999999</v>
      </c>
      <c r="H116" s="787">
        <v>3.6579999999999999</v>
      </c>
      <c r="I116" s="787">
        <v>3.6579999999999999</v>
      </c>
      <c r="J116" s="787">
        <v>3.7149999999999999</v>
      </c>
      <c r="K116" s="787">
        <v>3.7149999999999999</v>
      </c>
      <c r="L116" s="787">
        <v>3.7149999999999999</v>
      </c>
      <c r="M116" s="787">
        <v>3.7149999999999999</v>
      </c>
      <c r="N116" s="787">
        <f t="shared" si="1"/>
        <v>44.124000000000009</v>
      </c>
    </row>
    <row r="117" spans="1:27" ht="15.75" thickBot="1" x14ac:dyDescent="0.3">
      <c r="A117" s="791" t="s">
        <v>1843</v>
      </c>
      <c r="B117" s="792">
        <v>0.92600000000000005</v>
      </c>
      <c r="C117" s="792">
        <v>0.92600000000000005</v>
      </c>
      <c r="D117" s="792">
        <v>0.92600000000000005</v>
      </c>
      <c r="E117" s="792">
        <v>0.92600000000000005</v>
      </c>
      <c r="F117" s="792">
        <v>0.92600000000000005</v>
      </c>
      <c r="G117" s="792">
        <v>0.92600000000000005</v>
      </c>
      <c r="H117" s="792">
        <v>0.92600000000000005</v>
      </c>
      <c r="I117" s="792">
        <v>0.92600000000000005</v>
      </c>
      <c r="J117" s="792">
        <v>0.93400000000000005</v>
      </c>
      <c r="K117" s="792">
        <v>0.93400000000000005</v>
      </c>
      <c r="L117" s="792">
        <v>0.93400000000000005</v>
      </c>
      <c r="M117" s="792">
        <v>0.93400000000000005</v>
      </c>
      <c r="N117" s="792">
        <f t="shared" si="1"/>
        <v>11.143999999999998</v>
      </c>
    </row>
    <row r="118" spans="1:27" x14ac:dyDescent="0.25">
      <c r="A118" s="796" t="s">
        <v>1831</v>
      </c>
      <c r="B118" s="787">
        <v>48.542000000000002</v>
      </c>
      <c r="C118" s="787">
        <v>37.268999999999998</v>
      </c>
      <c r="D118" s="787">
        <v>48.805</v>
      </c>
      <c r="E118" s="787">
        <v>48.091000000000001</v>
      </c>
      <c r="F118" s="787">
        <v>42.917999999999999</v>
      </c>
      <c r="G118" s="787">
        <v>47.317</v>
      </c>
      <c r="H118" s="787">
        <v>43.508000000000003</v>
      </c>
      <c r="I118" s="787">
        <v>44.569000000000003</v>
      </c>
      <c r="J118" s="787">
        <v>49.402999999999899</v>
      </c>
      <c r="K118" s="787">
        <v>41.691000000000003</v>
      </c>
      <c r="L118" s="787">
        <v>44.7929999999999</v>
      </c>
      <c r="M118" s="787">
        <v>44.200999999999901</v>
      </c>
      <c r="N118" s="787">
        <f t="shared" si="1"/>
        <v>541.10699999999974</v>
      </c>
    </row>
    <row r="119" spans="1:27" ht="15.75" thickBot="1" x14ac:dyDescent="0.3">
      <c r="A119" s="791" t="s">
        <v>1844</v>
      </c>
      <c r="B119" s="792">
        <v>0</v>
      </c>
      <c r="C119" s="792">
        <v>0</v>
      </c>
      <c r="D119" s="792">
        <v>0</v>
      </c>
      <c r="E119" s="792">
        <v>0</v>
      </c>
      <c r="F119" s="792">
        <v>0</v>
      </c>
      <c r="G119" s="792">
        <v>0</v>
      </c>
      <c r="H119" s="792">
        <v>0</v>
      </c>
      <c r="I119" s="792">
        <v>0</v>
      </c>
      <c r="J119" s="792">
        <v>0</v>
      </c>
      <c r="K119" s="792">
        <v>0</v>
      </c>
      <c r="L119" s="792">
        <v>0</v>
      </c>
      <c r="M119" s="792">
        <v>0</v>
      </c>
      <c r="N119" s="792">
        <f t="shared" si="1"/>
        <v>0</v>
      </c>
    </row>
    <row r="120" spans="1:27" ht="15.75" thickBot="1" x14ac:dyDescent="0.3">
      <c r="A120" s="796" t="s">
        <v>1833</v>
      </c>
      <c r="B120" s="792">
        <v>0</v>
      </c>
      <c r="C120" s="792">
        <v>0</v>
      </c>
      <c r="D120" s="792">
        <v>0</v>
      </c>
      <c r="E120" s="792">
        <v>0</v>
      </c>
      <c r="F120" s="792">
        <v>0</v>
      </c>
      <c r="G120" s="792">
        <v>0</v>
      </c>
      <c r="H120" s="792">
        <v>0</v>
      </c>
      <c r="I120" s="792">
        <v>0</v>
      </c>
      <c r="J120" s="792">
        <v>0</v>
      </c>
      <c r="K120" s="792">
        <v>0</v>
      </c>
      <c r="L120" s="792">
        <v>0</v>
      </c>
      <c r="M120" s="792">
        <v>0</v>
      </c>
      <c r="N120" s="792">
        <f t="shared" si="1"/>
        <v>0</v>
      </c>
    </row>
    <row r="121" spans="1:27" x14ac:dyDescent="0.25">
      <c r="A121" s="795" t="s">
        <v>1845</v>
      </c>
      <c r="B121" s="785">
        <v>49.378999999999998</v>
      </c>
      <c r="C121" s="785">
        <v>38.106000000000002</v>
      </c>
      <c r="D121" s="785">
        <v>49.642000000000003</v>
      </c>
      <c r="E121" s="785">
        <v>48.927999999999997</v>
      </c>
      <c r="F121" s="785">
        <v>43.755000000000003</v>
      </c>
      <c r="G121" s="785">
        <v>48.154000000000003</v>
      </c>
      <c r="H121" s="785">
        <v>44.344999999999999</v>
      </c>
      <c r="I121" s="785">
        <v>45.405999999999999</v>
      </c>
      <c r="J121" s="785">
        <v>50.256999999999898</v>
      </c>
      <c r="K121" s="785">
        <v>42.545000000000002</v>
      </c>
      <c r="L121" s="785">
        <v>45.646999999999899</v>
      </c>
      <c r="M121" s="785">
        <v>45.0549999999999</v>
      </c>
      <c r="N121" s="785">
        <f t="shared" si="1"/>
        <v>551.21899999999971</v>
      </c>
      <c r="O121" s="786"/>
      <c r="P121" s="786"/>
      <c r="Q121" s="786"/>
      <c r="R121" s="786"/>
      <c r="S121" s="786"/>
      <c r="T121" s="786"/>
      <c r="U121" s="786"/>
      <c r="V121" s="786"/>
      <c r="W121" s="786"/>
      <c r="X121" s="786"/>
      <c r="Y121" s="786"/>
      <c r="Z121" s="786"/>
      <c r="AA121" s="786"/>
    </row>
    <row r="122" spans="1:27" x14ac:dyDescent="0.25">
      <c r="A122" s="791" t="s">
        <v>1796</v>
      </c>
      <c r="N122" s="787">
        <f t="shared" si="1"/>
        <v>0</v>
      </c>
    </row>
    <row r="123" spans="1:27" x14ac:dyDescent="0.25">
      <c r="A123" s="791" t="s">
        <v>1846</v>
      </c>
      <c r="B123" s="787">
        <v>10846.7543181561</v>
      </c>
      <c r="C123" s="787">
        <v>9581.5477499708995</v>
      </c>
      <c r="D123" s="787">
        <v>10949.0606585366</v>
      </c>
      <c r="E123" s="787">
        <v>11538.611064536601</v>
      </c>
      <c r="F123" s="787">
        <v>8618.2386539709005</v>
      </c>
      <c r="G123" s="787">
        <v>9627.5452005366005</v>
      </c>
      <c r="H123" s="787">
        <v>14387.260068109001</v>
      </c>
      <c r="I123" s="787">
        <v>10655.3171579018</v>
      </c>
      <c r="J123" s="787">
        <v>13196.6469389018</v>
      </c>
      <c r="K123" s="787">
        <v>8331.4081786823499</v>
      </c>
      <c r="L123" s="787">
        <v>7413.6648817126597</v>
      </c>
      <c r="M123" s="787">
        <v>10397.9702790472</v>
      </c>
      <c r="N123" s="787">
        <f t="shared" si="1"/>
        <v>125544.02515006252</v>
      </c>
    </row>
    <row r="124" spans="1:27" x14ac:dyDescent="0.25">
      <c r="A124" s="791" t="s">
        <v>1847</v>
      </c>
      <c r="B124" s="787">
        <v>0</v>
      </c>
      <c r="C124" s="787">
        <v>0</v>
      </c>
      <c r="D124" s="787">
        <v>0</v>
      </c>
      <c r="E124" s="787">
        <v>0</v>
      </c>
      <c r="F124" s="787">
        <v>0</v>
      </c>
      <c r="G124" s="787">
        <v>0</v>
      </c>
      <c r="H124" s="787">
        <v>0</v>
      </c>
      <c r="I124" s="787">
        <v>0</v>
      </c>
      <c r="J124" s="787">
        <v>0</v>
      </c>
      <c r="K124" s="787">
        <v>0</v>
      </c>
      <c r="L124" s="787">
        <v>0</v>
      </c>
      <c r="M124" s="787">
        <v>0</v>
      </c>
      <c r="N124" s="787">
        <f t="shared" si="1"/>
        <v>0</v>
      </c>
    </row>
    <row r="125" spans="1:27" ht="15.75" thickBot="1" x14ac:dyDescent="0.3">
      <c r="A125" s="791" t="s">
        <v>1848</v>
      </c>
      <c r="B125" s="792">
        <v>0</v>
      </c>
      <c r="C125" s="792">
        <v>0</v>
      </c>
      <c r="D125" s="792">
        <v>0</v>
      </c>
      <c r="E125" s="792">
        <v>0</v>
      </c>
      <c r="F125" s="792">
        <v>0</v>
      </c>
      <c r="G125" s="792">
        <v>0</v>
      </c>
      <c r="H125" s="792">
        <v>0</v>
      </c>
      <c r="I125" s="792">
        <v>0</v>
      </c>
      <c r="J125" s="792">
        <v>0</v>
      </c>
      <c r="K125" s="792">
        <v>0</v>
      </c>
      <c r="L125" s="792">
        <v>0</v>
      </c>
      <c r="M125" s="792">
        <v>0</v>
      </c>
      <c r="N125" s="792">
        <f t="shared" si="1"/>
        <v>0</v>
      </c>
    </row>
    <row r="126" spans="1:27" x14ac:dyDescent="0.25">
      <c r="A126" s="796" t="s">
        <v>1849</v>
      </c>
      <c r="B126" s="787">
        <v>10846.7543181561</v>
      </c>
      <c r="C126" s="787">
        <v>9581.5477499708995</v>
      </c>
      <c r="D126" s="787">
        <v>10949.0606585366</v>
      </c>
      <c r="E126" s="787">
        <v>11538.611064536601</v>
      </c>
      <c r="F126" s="787">
        <v>8618.2386539709005</v>
      </c>
      <c r="G126" s="787">
        <v>9627.5452005366005</v>
      </c>
      <c r="H126" s="787">
        <v>14387.260068109001</v>
      </c>
      <c r="I126" s="787">
        <v>10655.3171579018</v>
      </c>
      <c r="J126" s="787">
        <v>13196.6469389018</v>
      </c>
      <c r="K126" s="787">
        <v>8331.4081786823499</v>
      </c>
      <c r="L126" s="787">
        <v>7413.6648817126597</v>
      </c>
      <c r="M126" s="787">
        <v>10397.9702790472</v>
      </c>
      <c r="N126" s="787">
        <f t="shared" si="1"/>
        <v>125544.02515006252</v>
      </c>
    </row>
    <row r="127" spans="1:27" x14ac:dyDescent="0.25">
      <c r="A127" s="791" t="s">
        <v>1850</v>
      </c>
      <c r="B127" s="787">
        <v>111.054</v>
      </c>
      <c r="C127" s="787">
        <v>105.608</v>
      </c>
      <c r="D127" s="787">
        <v>108.50700000000001</v>
      </c>
      <c r="E127" s="787">
        <v>109.685</v>
      </c>
      <c r="F127" s="787">
        <v>106.833</v>
      </c>
      <c r="G127" s="787">
        <v>118.172</v>
      </c>
      <c r="H127" s="787">
        <v>110.908999999999</v>
      </c>
      <c r="I127" s="787">
        <v>94.356999999999999</v>
      </c>
      <c r="J127" s="787">
        <v>114.367</v>
      </c>
      <c r="K127" s="787">
        <v>99.784999999999997</v>
      </c>
      <c r="L127" s="787">
        <v>120.697</v>
      </c>
      <c r="M127" s="787">
        <v>106.851</v>
      </c>
      <c r="N127" s="787">
        <f t="shared" si="1"/>
        <v>1306.8249999999989</v>
      </c>
    </row>
    <row r="128" spans="1:27" x14ac:dyDescent="0.25">
      <c r="A128" s="791" t="s">
        <v>1851</v>
      </c>
      <c r="B128" s="787">
        <v>53.637</v>
      </c>
      <c r="C128" s="787">
        <v>50.731000000000002</v>
      </c>
      <c r="D128" s="787">
        <v>52.42</v>
      </c>
      <c r="E128" s="787">
        <v>53.2</v>
      </c>
      <c r="F128" s="787">
        <v>56.1</v>
      </c>
      <c r="G128" s="787">
        <v>53.515999999999998</v>
      </c>
      <c r="H128" s="787">
        <v>50.185000000000002</v>
      </c>
      <c r="I128" s="787">
        <v>51.828000000000003</v>
      </c>
      <c r="J128" s="787">
        <v>53.316000000000003</v>
      </c>
      <c r="K128" s="787">
        <v>49.981999999999999</v>
      </c>
      <c r="L128" s="787">
        <v>55.502000000000002</v>
      </c>
      <c r="M128" s="787">
        <v>50.701000000000001</v>
      </c>
      <c r="N128" s="787">
        <f t="shared" si="1"/>
        <v>631.11800000000005</v>
      </c>
    </row>
    <row r="129" spans="1:27" x14ac:dyDescent="0.25">
      <c r="A129" s="791" t="s">
        <v>1852</v>
      </c>
      <c r="B129" s="787">
        <v>419.11700000000002</v>
      </c>
      <c r="C129" s="787">
        <v>382.897999999999</v>
      </c>
      <c r="D129" s="787">
        <v>396.34800000000001</v>
      </c>
      <c r="E129" s="787">
        <v>405.75200000000001</v>
      </c>
      <c r="F129" s="787">
        <v>396.125</v>
      </c>
      <c r="G129" s="787">
        <v>398.28899999999999</v>
      </c>
      <c r="H129" s="787">
        <v>407.46899999999999</v>
      </c>
      <c r="I129" s="787">
        <v>392.67700000000002</v>
      </c>
      <c r="J129" s="787">
        <v>402.760999999999</v>
      </c>
      <c r="K129" s="787">
        <v>359.86599999999999</v>
      </c>
      <c r="L129" s="787">
        <v>245.80199999999999</v>
      </c>
      <c r="M129" s="787">
        <v>403.22199999999998</v>
      </c>
      <c r="N129" s="787">
        <f t="shared" si="1"/>
        <v>4610.3259999999973</v>
      </c>
    </row>
    <row r="130" spans="1:27" x14ac:dyDescent="0.25">
      <c r="A130" s="791" t="s">
        <v>1853</v>
      </c>
      <c r="B130" s="787">
        <v>0</v>
      </c>
      <c r="C130" s="787">
        <v>0</v>
      </c>
      <c r="D130" s="787">
        <v>0</v>
      </c>
      <c r="E130" s="787">
        <v>0</v>
      </c>
      <c r="F130" s="787">
        <v>0</v>
      </c>
      <c r="G130" s="787">
        <v>0</v>
      </c>
      <c r="H130" s="787">
        <v>0</v>
      </c>
      <c r="I130" s="787">
        <v>0</v>
      </c>
      <c r="J130" s="787">
        <v>0</v>
      </c>
      <c r="K130" s="787">
        <v>0</v>
      </c>
      <c r="L130" s="787">
        <v>0</v>
      </c>
      <c r="M130" s="787">
        <v>0</v>
      </c>
      <c r="N130" s="787">
        <f t="shared" si="1"/>
        <v>0</v>
      </c>
    </row>
    <row r="131" spans="1:27" ht="15.75" thickBot="1" x14ac:dyDescent="0.3">
      <c r="A131" s="791" t="s">
        <v>1854</v>
      </c>
      <c r="B131" s="792">
        <v>0</v>
      </c>
      <c r="C131" s="792">
        <v>0</v>
      </c>
      <c r="D131" s="792">
        <v>0</v>
      </c>
      <c r="E131" s="792">
        <v>0</v>
      </c>
      <c r="F131" s="792">
        <v>0</v>
      </c>
      <c r="G131" s="792">
        <v>0</v>
      </c>
      <c r="H131" s="792">
        <v>0</v>
      </c>
      <c r="I131" s="792">
        <v>0</v>
      </c>
      <c r="J131" s="792">
        <v>0</v>
      </c>
      <c r="K131" s="792">
        <v>0</v>
      </c>
      <c r="L131" s="792">
        <v>0</v>
      </c>
      <c r="M131" s="792">
        <v>0</v>
      </c>
      <c r="N131" s="792">
        <f t="shared" si="1"/>
        <v>0</v>
      </c>
    </row>
    <row r="132" spans="1:27" x14ac:dyDescent="0.25">
      <c r="A132" s="796" t="s">
        <v>1824</v>
      </c>
      <c r="B132" s="787">
        <v>583.80799999999999</v>
      </c>
      <c r="C132" s="787">
        <v>539.23699999999997</v>
      </c>
      <c r="D132" s="787">
        <v>557.27499999999998</v>
      </c>
      <c r="E132" s="787">
        <v>568.63699999999994</v>
      </c>
      <c r="F132" s="787">
        <v>559.05799999999999</v>
      </c>
      <c r="G132" s="787">
        <v>569.97699999999998</v>
      </c>
      <c r="H132" s="787">
        <v>568.56299999999999</v>
      </c>
      <c r="I132" s="787">
        <v>538.86199999999997</v>
      </c>
      <c r="J132" s="787">
        <v>570.44399999999996</v>
      </c>
      <c r="K132" s="787">
        <v>509.63299999999998</v>
      </c>
      <c r="L132" s="787">
        <v>422.00099999999998</v>
      </c>
      <c r="M132" s="787">
        <v>560.774</v>
      </c>
      <c r="N132" s="787">
        <f t="shared" si="1"/>
        <v>6548.2690000000011</v>
      </c>
    </row>
    <row r="133" spans="1:27" x14ac:dyDescent="0.25">
      <c r="A133" s="791" t="s">
        <v>1855</v>
      </c>
      <c r="B133" s="787">
        <v>32.527999999999999</v>
      </c>
      <c r="C133" s="787">
        <v>29.777999999999999</v>
      </c>
      <c r="D133" s="787">
        <v>27.821999999999999</v>
      </c>
      <c r="E133" s="787">
        <v>30.765000000000001</v>
      </c>
      <c r="F133" s="787">
        <v>31.428999999999998</v>
      </c>
      <c r="G133" s="787">
        <v>31.751000000000001</v>
      </c>
      <c r="H133" s="787">
        <v>30.945</v>
      </c>
      <c r="I133" s="787">
        <v>23.661000000000001</v>
      </c>
      <c r="J133" s="787">
        <v>30.878</v>
      </c>
      <c r="K133" s="787">
        <v>28.093</v>
      </c>
      <c r="L133" s="787">
        <v>123.38500000000001</v>
      </c>
      <c r="M133" s="787">
        <v>30.238</v>
      </c>
      <c r="N133" s="787">
        <f t="shared" si="1"/>
        <v>451.27300000000002</v>
      </c>
    </row>
    <row r="134" spans="1:27" x14ac:dyDescent="0.25">
      <c r="A134" s="791" t="s">
        <v>1856</v>
      </c>
      <c r="B134" s="787">
        <v>61.771999999999998</v>
      </c>
      <c r="C134" s="787">
        <v>58.970999999999997</v>
      </c>
      <c r="D134" s="787">
        <v>61.881</v>
      </c>
      <c r="E134" s="787">
        <v>61.432000000000002</v>
      </c>
      <c r="F134" s="787">
        <v>64.736000000000004</v>
      </c>
      <c r="G134" s="787">
        <v>69.992999999999995</v>
      </c>
      <c r="H134" s="787">
        <v>80.099999999999994</v>
      </c>
      <c r="I134" s="787">
        <v>64.156000000000006</v>
      </c>
      <c r="J134" s="787">
        <v>57.615000000000002</v>
      </c>
      <c r="K134" s="787">
        <v>57.744</v>
      </c>
      <c r="L134" s="787">
        <v>59.194000000000003</v>
      </c>
      <c r="M134" s="787">
        <v>59.158000000000001</v>
      </c>
      <c r="N134" s="787">
        <f t="shared" si="1"/>
        <v>756.75199999999995</v>
      </c>
    </row>
    <row r="135" spans="1:27" x14ac:dyDescent="0.25">
      <c r="A135" s="791" t="s">
        <v>1857</v>
      </c>
      <c r="B135" s="787">
        <v>406.1</v>
      </c>
      <c r="C135" s="787">
        <v>498.546999999999</v>
      </c>
      <c r="D135" s="787">
        <v>358.183999999999</v>
      </c>
      <c r="E135" s="787">
        <v>330.57900000000001</v>
      </c>
      <c r="F135" s="787">
        <v>348.94900000000001</v>
      </c>
      <c r="G135" s="787">
        <v>681.22199999999998</v>
      </c>
      <c r="H135" s="787">
        <v>455.38600000000002</v>
      </c>
      <c r="I135" s="787">
        <v>359.35899999999998</v>
      </c>
      <c r="J135" s="787">
        <v>334.15199999999999</v>
      </c>
      <c r="K135" s="787">
        <v>393.611999999999</v>
      </c>
      <c r="L135" s="787">
        <v>1162.7329999999999</v>
      </c>
      <c r="M135" s="787">
        <v>520.69100000000003</v>
      </c>
      <c r="N135" s="787">
        <f t="shared" si="1"/>
        <v>5849.5139999999974</v>
      </c>
    </row>
    <row r="136" spans="1:27" ht="15.75" thickBot="1" x14ac:dyDescent="0.3">
      <c r="A136" s="791" t="s">
        <v>1858</v>
      </c>
      <c r="B136" s="792">
        <v>432.28800000000001</v>
      </c>
      <c r="C136" s="792">
        <v>344.71800000000002</v>
      </c>
      <c r="D136" s="792">
        <v>355.779</v>
      </c>
      <c r="E136" s="792">
        <v>324.71800000000002</v>
      </c>
      <c r="F136" s="792">
        <v>603.35900000000004</v>
      </c>
      <c r="G136" s="792">
        <v>656.48</v>
      </c>
      <c r="H136" s="792">
        <v>401.88900000000001</v>
      </c>
      <c r="I136" s="792">
        <v>348.577</v>
      </c>
      <c r="J136" s="792">
        <v>305.87599999999998</v>
      </c>
      <c r="K136" s="792">
        <v>418.00599999999997</v>
      </c>
      <c r="L136" s="792">
        <v>1171.434</v>
      </c>
      <c r="M136" s="792">
        <v>748.84299999999996</v>
      </c>
      <c r="N136" s="792">
        <f t="shared" si="1"/>
        <v>6111.9670000000006</v>
      </c>
    </row>
    <row r="137" spans="1:27" x14ac:dyDescent="0.25">
      <c r="A137" s="796" t="s">
        <v>1831</v>
      </c>
      <c r="B137" s="787">
        <v>932.68799999999999</v>
      </c>
      <c r="C137" s="787">
        <v>932.01399999999899</v>
      </c>
      <c r="D137" s="787">
        <v>803.66599999999903</v>
      </c>
      <c r="E137" s="787">
        <v>747.49400000000003</v>
      </c>
      <c r="F137" s="787">
        <v>1048.473</v>
      </c>
      <c r="G137" s="787">
        <v>1439.4459999999999</v>
      </c>
      <c r="H137" s="787">
        <v>968.32</v>
      </c>
      <c r="I137" s="787">
        <v>795.75300000000004</v>
      </c>
      <c r="J137" s="787">
        <v>728.52099999999996</v>
      </c>
      <c r="K137" s="787">
        <v>897.45499999999902</v>
      </c>
      <c r="L137" s="787">
        <v>2516.7460000000001</v>
      </c>
      <c r="M137" s="787">
        <v>1358.9299999999901</v>
      </c>
      <c r="N137" s="787">
        <f t="shared" si="1"/>
        <v>13169.505999999983</v>
      </c>
    </row>
    <row r="138" spans="1:27" ht="15.75" thickBot="1" x14ac:dyDescent="0.3">
      <c r="A138" s="791" t="s">
        <v>1859</v>
      </c>
      <c r="B138" s="792">
        <v>0.82899999999999996</v>
      </c>
      <c r="C138" s="792">
        <v>0.82899999999999996</v>
      </c>
      <c r="D138" s="792">
        <v>0.82899999999999996</v>
      </c>
      <c r="E138" s="792">
        <v>0.82899999999999996</v>
      </c>
      <c r="F138" s="792">
        <v>0.82899999999999996</v>
      </c>
      <c r="G138" s="792">
        <v>0.82899999999999996</v>
      </c>
      <c r="H138" s="792">
        <v>0.82899999999999996</v>
      </c>
      <c r="I138" s="792">
        <v>0.82899999999999996</v>
      </c>
      <c r="J138" s="792">
        <v>0.84199999999999997</v>
      </c>
      <c r="K138" s="792">
        <v>0.84199999999999997</v>
      </c>
      <c r="L138" s="792">
        <v>0.84199999999999997</v>
      </c>
      <c r="M138" s="792">
        <v>0.84199999999999997</v>
      </c>
      <c r="N138" s="792">
        <f t="shared" si="1"/>
        <v>10</v>
      </c>
    </row>
    <row r="139" spans="1:27" ht="15.75" thickBot="1" x14ac:dyDescent="0.3">
      <c r="A139" s="796" t="s">
        <v>1833</v>
      </c>
      <c r="B139" s="792">
        <v>0.82899999999999996</v>
      </c>
      <c r="C139" s="792">
        <v>0.82899999999999996</v>
      </c>
      <c r="D139" s="792">
        <v>0.82899999999999996</v>
      </c>
      <c r="E139" s="792">
        <v>0.82899999999999996</v>
      </c>
      <c r="F139" s="792">
        <v>0.82899999999999996</v>
      </c>
      <c r="G139" s="792">
        <v>0.82899999999999996</v>
      </c>
      <c r="H139" s="792">
        <v>0.82899999999999996</v>
      </c>
      <c r="I139" s="792">
        <v>0.82899999999999996</v>
      </c>
      <c r="J139" s="792">
        <v>0.84199999999999997</v>
      </c>
      <c r="K139" s="792">
        <v>0.84199999999999997</v>
      </c>
      <c r="L139" s="792">
        <v>0.84199999999999997</v>
      </c>
      <c r="M139" s="792">
        <v>0.84199999999999997</v>
      </c>
      <c r="N139" s="792">
        <f t="shared" si="1"/>
        <v>10</v>
      </c>
    </row>
    <row r="140" spans="1:27" x14ac:dyDescent="0.25">
      <c r="A140" s="795" t="s">
        <v>1860</v>
      </c>
      <c r="B140" s="785">
        <v>12364.0793181561</v>
      </c>
      <c r="C140" s="785">
        <v>11053.627749970899</v>
      </c>
      <c r="D140" s="785">
        <v>12310.830658536601</v>
      </c>
      <c r="E140" s="785">
        <v>12855.5710645366</v>
      </c>
      <c r="F140" s="785">
        <v>10226.598653970899</v>
      </c>
      <c r="G140" s="785">
        <v>11637.797200536599</v>
      </c>
      <c r="H140" s="785">
        <v>15924.972068109</v>
      </c>
      <c r="I140" s="785">
        <v>11990.761157901799</v>
      </c>
      <c r="J140" s="785">
        <v>14496.453938901799</v>
      </c>
      <c r="K140" s="785">
        <v>9739.3381786823502</v>
      </c>
      <c r="L140" s="785">
        <v>10353.253881712601</v>
      </c>
      <c r="M140" s="785">
        <v>12318.5162790472</v>
      </c>
      <c r="N140" s="785">
        <f t="shared" si="1"/>
        <v>145271.80015006245</v>
      </c>
      <c r="O140" s="786"/>
      <c r="P140" s="786"/>
      <c r="Q140" s="786"/>
      <c r="R140" s="786"/>
      <c r="S140" s="786"/>
      <c r="T140" s="786"/>
      <c r="U140" s="786"/>
      <c r="V140" s="786"/>
      <c r="W140" s="786"/>
      <c r="X140" s="786"/>
      <c r="Y140" s="786"/>
      <c r="Z140" s="786"/>
      <c r="AA140" s="786"/>
    </row>
    <row r="141" spans="1:27" x14ac:dyDescent="0.25">
      <c r="A141" s="791" t="s">
        <v>1796</v>
      </c>
      <c r="N141" s="787">
        <f t="shared" si="1"/>
        <v>0</v>
      </c>
    </row>
    <row r="142" spans="1:27" x14ac:dyDescent="0.25">
      <c r="A142" s="791" t="s">
        <v>1861</v>
      </c>
      <c r="B142" s="787">
        <v>345.04559999999901</v>
      </c>
      <c r="C142" s="787">
        <v>406.55840000000001</v>
      </c>
      <c r="D142" s="787">
        <v>681.20579999999995</v>
      </c>
      <c r="E142" s="787">
        <v>911.25109999999995</v>
      </c>
      <c r="F142" s="787">
        <v>372.83960000000002</v>
      </c>
      <c r="G142" s="787">
        <v>433.65679999999998</v>
      </c>
      <c r="H142" s="787">
        <v>1226.2229</v>
      </c>
      <c r="I142" s="787">
        <v>585.65980000000002</v>
      </c>
      <c r="J142" s="787">
        <v>618.83190000000002</v>
      </c>
      <c r="K142" s="787">
        <v>438.08659999999998</v>
      </c>
      <c r="L142" s="787">
        <v>990.07039999999995</v>
      </c>
      <c r="M142" s="787">
        <v>457.63479999999902</v>
      </c>
      <c r="N142" s="787">
        <f t="shared" si="1"/>
        <v>7467.063699999997</v>
      </c>
    </row>
    <row r="143" spans="1:27" x14ac:dyDescent="0.25">
      <c r="A143" s="791" t="s">
        <v>1862</v>
      </c>
      <c r="B143" s="787">
        <v>2154.4666999999999</v>
      </c>
      <c r="C143" s="787">
        <v>1257.126</v>
      </c>
      <c r="D143" s="787">
        <v>919.8605</v>
      </c>
      <c r="E143" s="787">
        <v>875.35709999999995</v>
      </c>
      <c r="F143" s="787">
        <v>1365.8607</v>
      </c>
      <c r="G143" s="787">
        <v>1825.0903000000001</v>
      </c>
      <c r="H143" s="787">
        <v>4253.5744000000004</v>
      </c>
      <c r="I143" s="787">
        <v>5435.4445999999998</v>
      </c>
      <c r="J143" s="787">
        <v>5688.0685999999996</v>
      </c>
      <c r="K143" s="787">
        <v>3925.2278999999999</v>
      </c>
      <c r="L143" s="787">
        <v>8039.3729999999996</v>
      </c>
      <c r="M143" s="787">
        <v>1822.9421</v>
      </c>
      <c r="N143" s="787">
        <f t="shared" si="1"/>
        <v>37562.391899999995</v>
      </c>
    </row>
    <row r="144" spans="1:27" x14ac:dyDescent="0.25">
      <c r="A144" s="791" t="s">
        <v>1863</v>
      </c>
      <c r="B144" s="787">
        <v>0</v>
      </c>
      <c r="C144" s="787">
        <v>0</v>
      </c>
      <c r="D144" s="787">
        <v>0</v>
      </c>
      <c r="E144" s="787">
        <v>0</v>
      </c>
      <c r="F144" s="787">
        <v>0</v>
      </c>
      <c r="G144" s="787">
        <v>9.2562474079254404E-3</v>
      </c>
      <c r="H144" s="787">
        <v>0</v>
      </c>
      <c r="I144" s="787">
        <v>0</v>
      </c>
      <c r="J144" s="787">
        <v>0</v>
      </c>
      <c r="K144" s="787">
        <v>0</v>
      </c>
      <c r="L144" s="787">
        <v>0</v>
      </c>
      <c r="M144" s="787">
        <v>0</v>
      </c>
      <c r="N144" s="787">
        <f t="shared" si="1"/>
        <v>9.2562474079254404E-3</v>
      </c>
    </row>
    <row r="145" spans="1:27" x14ac:dyDescent="0.25">
      <c r="A145" s="791" t="s">
        <v>1864</v>
      </c>
      <c r="B145" s="787">
        <v>140.47059999999999</v>
      </c>
      <c r="C145" s="787">
        <v>139.40430000000001</v>
      </c>
      <c r="D145" s="787">
        <v>169.643</v>
      </c>
      <c r="E145" s="787">
        <v>100.9255</v>
      </c>
      <c r="F145" s="787">
        <v>200.30260000000001</v>
      </c>
      <c r="G145" s="787">
        <v>29.760200000000001</v>
      </c>
      <c r="H145" s="787">
        <v>2.7698</v>
      </c>
      <c r="I145" s="787">
        <v>10.3873</v>
      </c>
      <c r="J145" s="787">
        <v>1.5918000000000001</v>
      </c>
      <c r="K145" s="787">
        <v>12.848100000000001</v>
      </c>
      <c r="L145" s="787">
        <v>0</v>
      </c>
      <c r="M145" s="787">
        <v>88.345200000000006</v>
      </c>
      <c r="N145" s="787">
        <f t="shared" si="1"/>
        <v>896.44840000000022</v>
      </c>
    </row>
    <row r="146" spans="1:27" x14ac:dyDescent="0.25">
      <c r="A146" s="791" t="s">
        <v>1865</v>
      </c>
      <c r="B146" s="787">
        <v>1021.66777889932</v>
      </c>
      <c r="C146" s="787">
        <v>1021.66777889932</v>
      </c>
      <c r="D146" s="787">
        <v>1021.66777889932</v>
      </c>
      <c r="E146" s="787">
        <v>1183.1830566771</v>
      </c>
      <c r="F146" s="787">
        <v>1183.1830566771</v>
      </c>
      <c r="G146" s="787">
        <v>1183.1830566771</v>
      </c>
      <c r="H146" s="787">
        <v>965.084098343763</v>
      </c>
      <c r="I146" s="787">
        <v>912.04208445487404</v>
      </c>
      <c r="J146" s="787">
        <v>904.65105950393797</v>
      </c>
      <c r="K146" s="787">
        <v>904.65105950393797</v>
      </c>
      <c r="L146" s="787">
        <v>904.65105950393797</v>
      </c>
      <c r="M146" s="787">
        <v>904.65105950393797</v>
      </c>
      <c r="N146" s="787">
        <f t="shared" si="1"/>
        <v>12110.282927543649</v>
      </c>
    </row>
    <row r="147" spans="1:27" x14ac:dyDescent="0.25">
      <c r="A147" s="791" t="s">
        <v>1866</v>
      </c>
      <c r="B147" s="787">
        <v>173.41200000000001</v>
      </c>
      <c r="C147" s="787">
        <v>144.13499999999999</v>
      </c>
      <c r="D147" s="787">
        <v>157.77600000000001</v>
      </c>
      <c r="E147" s="787">
        <v>157.512</v>
      </c>
      <c r="F147" s="787">
        <v>145.37799999999999</v>
      </c>
      <c r="G147" s="787">
        <v>156.66300000000001</v>
      </c>
      <c r="H147" s="787">
        <v>138.30600000000001</v>
      </c>
      <c r="I147" s="787">
        <v>134.249</v>
      </c>
      <c r="J147" s="787">
        <v>168.65700000000001</v>
      </c>
      <c r="K147" s="787">
        <v>139.74700000000001</v>
      </c>
      <c r="L147" s="787">
        <v>159.64099999999999</v>
      </c>
      <c r="M147" s="787">
        <v>156.78200000000001</v>
      </c>
      <c r="N147" s="787">
        <f t="shared" si="1"/>
        <v>1832.258</v>
      </c>
    </row>
    <row r="148" spans="1:27" x14ac:dyDescent="0.25">
      <c r="A148" s="791" t="s">
        <v>1867</v>
      </c>
      <c r="B148" s="787">
        <v>11.7</v>
      </c>
      <c r="C148" s="787">
        <v>11.7</v>
      </c>
      <c r="D148" s="787">
        <v>11.7</v>
      </c>
      <c r="E148" s="787">
        <v>11.7</v>
      </c>
      <c r="F148" s="787">
        <v>11.7</v>
      </c>
      <c r="G148" s="787">
        <v>11.7</v>
      </c>
      <c r="H148" s="787">
        <v>11.7</v>
      </c>
      <c r="I148" s="787">
        <v>11.7</v>
      </c>
      <c r="J148" s="787">
        <v>12</v>
      </c>
      <c r="K148" s="787">
        <v>12</v>
      </c>
      <c r="L148" s="787">
        <v>12</v>
      </c>
      <c r="M148" s="787">
        <v>12</v>
      </c>
      <c r="N148" s="787">
        <f t="shared" si="1"/>
        <v>141.60000000000002</v>
      </c>
    </row>
    <row r="149" spans="1:27" x14ac:dyDescent="0.25">
      <c r="A149" s="791" t="s">
        <v>1868</v>
      </c>
      <c r="B149" s="787">
        <v>4.8339999999999996</v>
      </c>
      <c r="C149" s="787">
        <v>2.3980000000000001</v>
      </c>
      <c r="D149" s="787">
        <v>4.484</v>
      </c>
      <c r="E149" s="787">
        <v>2.1280000000000001</v>
      </c>
      <c r="F149" s="787">
        <v>6.4340000000000002</v>
      </c>
      <c r="G149" s="787">
        <v>1.694</v>
      </c>
      <c r="H149" s="787">
        <v>4.9000000000000002E-2</v>
      </c>
      <c r="I149" s="787">
        <v>0.27800000000000002</v>
      </c>
      <c r="J149" s="787">
        <v>2.1880000000000002</v>
      </c>
      <c r="K149" s="787">
        <v>1.4359999999999999</v>
      </c>
      <c r="L149" s="787">
        <v>0</v>
      </c>
      <c r="M149" s="787">
        <v>3.4239999999999999</v>
      </c>
      <c r="N149" s="787">
        <f t="shared" si="1"/>
        <v>29.346999999999994</v>
      </c>
    </row>
    <row r="150" spans="1:27" ht="15.75" thickBot="1" x14ac:dyDescent="0.3">
      <c r="A150" s="791" t="s">
        <v>1869</v>
      </c>
      <c r="B150" s="792">
        <v>0.254</v>
      </c>
      <c r="C150" s="792">
        <v>0</v>
      </c>
      <c r="D150" s="792">
        <v>0.64700000000000002</v>
      </c>
      <c r="E150" s="792">
        <v>1.2809999999999999</v>
      </c>
      <c r="F150" s="792">
        <v>0</v>
      </c>
      <c r="G150" s="792">
        <v>0.10299999999999999</v>
      </c>
      <c r="H150" s="792">
        <v>2.395</v>
      </c>
      <c r="I150" s="792">
        <v>0.10100000000000001</v>
      </c>
      <c r="J150" s="792">
        <v>0.63300000000000001</v>
      </c>
      <c r="K150" s="792">
        <v>0.48199999999999998</v>
      </c>
      <c r="L150" s="792">
        <v>2.3250000000000002</v>
      </c>
      <c r="M150" s="792">
        <v>6.9000000000000006E-2</v>
      </c>
      <c r="N150" s="792">
        <f t="shared" si="1"/>
        <v>8.2900000000000009</v>
      </c>
    </row>
    <row r="151" spans="1:27" x14ac:dyDescent="0.25">
      <c r="A151" s="795" t="s">
        <v>1870</v>
      </c>
      <c r="B151" s="787">
        <v>3851.85067889931</v>
      </c>
      <c r="C151" s="787">
        <v>2982.9894788993101</v>
      </c>
      <c r="D151" s="787">
        <v>2966.9840788993201</v>
      </c>
      <c r="E151" s="787">
        <v>3243.3377566771001</v>
      </c>
      <c r="F151" s="787">
        <v>3285.6979566771001</v>
      </c>
      <c r="G151" s="787">
        <v>3641.8596129245002</v>
      </c>
      <c r="H151" s="787">
        <v>6600.1011983437602</v>
      </c>
      <c r="I151" s="787">
        <v>7089.8617844548698</v>
      </c>
      <c r="J151" s="787">
        <v>7396.6213595039299</v>
      </c>
      <c r="K151" s="787">
        <v>5434.4786595039304</v>
      </c>
      <c r="L151" s="787">
        <v>10108.0604595039</v>
      </c>
      <c r="M151" s="787">
        <v>3445.8481595039302</v>
      </c>
      <c r="N151" s="787">
        <f t="shared" si="1"/>
        <v>60047.691183790972</v>
      </c>
    </row>
    <row r="152" spans="1:27" x14ac:dyDescent="0.25">
      <c r="B152" s="789"/>
      <c r="C152" s="789"/>
      <c r="D152" s="789"/>
      <c r="E152" s="789"/>
      <c r="F152" s="789"/>
      <c r="G152" s="789"/>
      <c r="H152" s="789"/>
      <c r="I152" s="789"/>
      <c r="J152" s="789"/>
      <c r="K152" s="789"/>
      <c r="L152" s="789"/>
      <c r="M152" s="789"/>
      <c r="N152" s="789">
        <f t="shared" si="1"/>
        <v>0</v>
      </c>
      <c r="O152" s="790"/>
      <c r="P152" s="790"/>
      <c r="Q152" s="790"/>
      <c r="R152" s="790"/>
      <c r="S152" s="790"/>
      <c r="T152" s="790"/>
      <c r="U152" s="790"/>
      <c r="V152" s="790"/>
      <c r="W152" s="790"/>
      <c r="X152" s="790"/>
      <c r="Y152" s="790"/>
      <c r="Z152" s="790"/>
      <c r="AA152" s="790"/>
    </row>
    <row r="153" spans="1:27" x14ac:dyDescent="0.25">
      <c r="A153" s="784" t="s">
        <v>1871</v>
      </c>
      <c r="B153" s="785">
        <v>53043.979865819099</v>
      </c>
      <c r="C153" s="785">
        <v>51091.581382068798</v>
      </c>
      <c r="D153" s="785">
        <v>55672.018213056603</v>
      </c>
      <c r="E153" s="785">
        <v>57803.7619871555</v>
      </c>
      <c r="F153" s="785">
        <v>50346.889080061803</v>
      </c>
      <c r="G153" s="785">
        <v>52942.443393302703</v>
      </c>
      <c r="H153" s="785">
        <v>53524.081025356798</v>
      </c>
      <c r="I153" s="785">
        <v>55370.678279912398</v>
      </c>
      <c r="J153" s="785">
        <v>62839.883983934997</v>
      </c>
      <c r="K153" s="785">
        <v>52193.207317398301</v>
      </c>
      <c r="L153" s="785">
        <v>58421.623993776797</v>
      </c>
      <c r="M153" s="785">
        <v>52847.652047883203</v>
      </c>
      <c r="N153" s="785">
        <f t="shared" si="1"/>
        <v>656097.80056972709</v>
      </c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6"/>
    </row>
    <row r="154" spans="1:27" x14ac:dyDescent="0.25">
      <c r="A154" s="791" t="s">
        <v>1796</v>
      </c>
      <c r="B154" s="789"/>
      <c r="C154" s="789"/>
      <c r="D154" s="789"/>
      <c r="E154" s="789"/>
      <c r="F154" s="789"/>
      <c r="G154" s="789"/>
      <c r="H154" s="789"/>
      <c r="I154" s="789"/>
      <c r="J154" s="789"/>
      <c r="K154" s="789"/>
      <c r="L154" s="789"/>
      <c r="M154" s="789"/>
      <c r="N154" s="789">
        <f t="shared" si="1"/>
        <v>0</v>
      </c>
      <c r="O154" s="790"/>
      <c r="P154" s="790"/>
      <c r="Q154" s="790"/>
      <c r="R154" s="790"/>
      <c r="S154" s="790"/>
      <c r="T154" s="790"/>
      <c r="U154" s="790"/>
      <c r="V154" s="790"/>
      <c r="W154" s="790"/>
      <c r="X154" s="790"/>
      <c r="Y154" s="790"/>
      <c r="Z154" s="790"/>
      <c r="AA154" s="790"/>
    </row>
    <row r="155" spans="1:27" x14ac:dyDescent="0.25">
      <c r="A155" s="791" t="s">
        <v>1872</v>
      </c>
      <c r="B155" s="787">
        <v>175.69399999999999</v>
      </c>
      <c r="C155" s="787">
        <v>134.97499999999999</v>
      </c>
      <c r="D155" s="787">
        <v>162.767</v>
      </c>
      <c r="E155" s="787">
        <v>173.65199999999999</v>
      </c>
      <c r="F155" s="787">
        <v>153.155</v>
      </c>
      <c r="G155" s="787">
        <v>240.298</v>
      </c>
      <c r="H155" s="787">
        <v>139.78099999999901</v>
      </c>
      <c r="I155" s="787">
        <v>126.583</v>
      </c>
      <c r="J155" s="787">
        <v>167.30599999999899</v>
      </c>
      <c r="K155" s="787">
        <v>146.93299999999999</v>
      </c>
      <c r="L155" s="787">
        <v>165.09099999999901</v>
      </c>
      <c r="M155" s="787">
        <v>150.86199999999999</v>
      </c>
      <c r="N155" s="787">
        <f t="shared" si="1"/>
        <v>1937.096999999997</v>
      </c>
    </row>
    <row r="156" spans="1:27" x14ac:dyDescent="0.25">
      <c r="A156" s="791" t="s">
        <v>1873</v>
      </c>
      <c r="B156" s="787">
        <v>282.98399999999998</v>
      </c>
      <c r="C156" s="787">
        <v>222.97300000000001</v>
      </c>
      <c r="D156" s="787">
        <v>271.66899999999998</v>
      </c>
      <c r="E156" s="787">
        <v>288.24799999999999</v>
      </c>
      <c r="F156" s="787">
        <v>263.63299999999998</v>
      </c>
      <c r="G156" s="787">
        <v>297.87700000000001</v>
      </c>
      <c r="H156" s="787">
        <v>253.142</v>
      </c>
      <c r="I156" s="787">
        <v>237.06599999999901</v>
      </c>
      <c r="J156" s="787">
        <v>292.75900000000001</v>
      </c>
      <c r="K156" s="787">
        <v>255.042</v>
      </c>
      <c r="L156" s="787">
        <v>291.37900000000002</v>
      </c>
      <c r="M156" s="787">
        <v>255.68100000000001</v>
      </c>
      <c r="N156" s="787">
        <f t="shared" si="1"/>
        <v>3212.4529999999991</v>
      </c>
    </row>
    <row r="157" spans="1:27" x14ac:dyDescent="0.25">
      <c r="A157" s="791" t="s">
        <v>1874</v>
      </c>
      <c r="B157" s="787">
        <v>0</v>
      </c>
      <c r="C157" s="787">
        <v>0</v>
      </c>
      <c r="D157" s="787">
        <v>0</v>
      </c>
      <c r="E157" s="787">
        <v>0</v>
      </c>
      <c r="F157" s="787">
        <v>0</v>
      </c>
      <c r="G157" s="787">
        <v>0</v>
      </c>
      <c r="H157" s="787">
        <v>0</v>
      </c>
      <c r="I157" s="787">
        <v>0</v>
      </c>
      <c r="J157" s="787">
        <v>0</v>
      </c>
      <c r="K157" s="787">
        <v>0</v>
      </c>
      <c r="L157" s="787">
        <v>0</v>
      </c>
      <c r="M157" s="787">
        <v>0</v>
      </c>
      <c r="N157" s="787">
        <f t="shared" si="1"/>
        <v>0</v>
      </c>
    </row>
    <row r="158" spans="1:27" x14ac:dyDescent="0.25">
      <c r="A158" s="791" t="s">
        <v>1875</v>
      </c>
      <c r="B158" s="787">
        <v>46.433</v>
      </c>
      <c r="C158" s="787">
        <v>38.479999999999997</v>
      </c>
      <c r="D158" s="787">
        <v>44.481999999999999</v>
      </c>
      <c r="E158" s="787">
        <v>45.978999999999999</v>
      </c>
      <c r="F158" s="787">
        <v>41.627000000000002</v>
      </c>
      <c r="G158" s="787">
        <v>46.521000000000001</v>
      </c>
      <c r="H158" s="787">
        <v>38.674999999999997</v>
      </c>
      <c r="I158" s="787">
        <v>36.710999999999999</v>
      </c>
      <c r="J158" s="787">
        <v>44.808999999999997</v>
      </c>
      <c r="K158" s="787">
        <v>40.280999999999999</v>
      </c>
      <c r="L158" s="787">
        <v>44.612000000000002</v>
      </c>
      <c r="M158" s="787">
        <v>41.417000000000002</v>
      </c>
      <c r="N158" s="787">
        <f t="shared" si="1"/>
        <v>510.02700000000004</v>
      </c>
    </row>
    <row r="159" spans="1:27" x14ac:dyDescent="0.25">
      <c r="A159" s="791" t="s">
        <v>1876</v>
      </c>
      <c r="B159" s="787">
        <v>0</v>
      </c>
      <c r="C159" s="787">
        <v>0</v>
      </c>
      <c r="D159" s="787">
        <v>0</v>
      </c>
      <c r="E159" s="787">
        <v>0</v>
      </c>
      <c r="F159" s="787">
        <v>0</v>
      </c>
      <c r="G159" s="787">
        <v>0</v>
      </c>
      <c r="H159" s="787">
        <v>0</v>
      </c>
      <c r="I159" s="787">
        <v>0</v>
      </c>
      <c r="J159" s="787">
        <v>0</v>
      </c>
      <c r="K159" s="787">
        <v>0</v>
      </c>
      <c r="L159" s="787">
        <v>0</v>
      </c>
      <c r="M159" s="787">
        <v>0</v>
      </c>
      <c r="N159" s="787">
        <f t="shared" si="1"/>
        <v>0</v>
      </c>
    </row>
    <row r="160" spans="1:27" x14ac:dyDescent="0.25">
      <c r="A160" s="791" t="s">
        <v>1877</v>
      </c>
      <c r="B160" s="787">
        <v>0</v>
      </c>
      <c r="C160" s="787">
        <v>0</v>
      </c>
      <c r="D160" s="787">
        <v>0</v>
      </c>
      <c r="E160" s="787">
        <v>0</v>
      </c>
      <c r="F160" s="787">
        <v>0</v>
      </c>
      <c r="G160" s="787">
        <v>0</v>
      </c>
      <c r="H160" s="787">
        <v>0</v>
      </c>
      <c r="I160" s="787">
        <v>0</v>
      </c>
      <c r="J160" s="787">
        <v>0</v>
      </c>
      <c r="K160" s="787">
        <v>0</v>
      </c>
      <c r="L160" s="787">
        <v>0</v>
      </c>
      <c r="M160" s="787">
        <v>0</v>
      </c>
      <c r="N160" s="787">
        <f t="shared" si="1"/>
        <v>0</v>
      </c>
    </row>
    <row r="161" spans="1:14" x14ac:dyDescent="0.25">
      <c r="A161" s="791" t="s">
        <v>1878</v>
      </c>
      <c r="B161" s="787">
        <v>119.76300000000001</v>
      </c>
      <c r="C161" s="787">
        <v>132.70599999999999</v>
      </c>
      <c r="D161" s="787">
        <v>114.723</v>
      </c>
      <c r="E161" s="787">
        <v>93.248999999999995</v>
      </c>
      <c r="F161" s="787">
        <v>114.099</v>
      </c>
      <c r="G161" s="787">
        <v>113.29300000000001</v>
      </c>
      <c r="H161" s="787">
        <v>93.647000000000006</v>
      </c>
      <c r="I161" s="787">
        <v>96.906999999999996</v>
      </c>
      <c r="J161" s="787">
        <v>95.725999999999999</v>
      </c>
      <c r="K161" s="787">
        <v>98.986000000000004</v>
      </c>
      <c r="L161" s="787">
        <v>105.831</v>
      </c>
      <c r="M161" s="787">
        <v>145.935</v>
      </c>
      <c r="N161" s="787">
        <f t="shared" si="1"/>
        <v>1324.865</v>
      </c>
    </row>
    <row r="162" spans="1:14" x14ac:dyDescent="0.25">
      <c r="A162" s="791" t="s">
        <v>1879</v>
      </c>
      <c r="B162" s="787">
        <v>114.83</v>
      </c>
      <c r="C162" s="787">
        <v>114.831</v>
      </c>
      <c r="D162" s="787">
        <v>82.33</v>
      </c>
      <c r="E162" s="787">
        <v>82.33</v>
      </c>
      <c r="F162" s="787">
        <v>82.331000000000003</v>
      </c>
      <c r="G162" s="787">
        <v>82.33</v>
      </c>
      <c r="H162" s="787">
        <v>64.73</v>
      </c>
      <c r="I162" s="787">
        <v>64.155000000000001</v>
      </c>
      <c r="J162" s="787">
        <v>56.042000000000002</v>
      </c>
      <c r="K162" s="787">
        <v>58.665999999999997</v>
      </c>
      <c r="L162" s="787">
        <v>89.066999999999993</v>
      </c>
      <c r="M162" s="787">
        <v>83.385999999999996</v>
      </c>
      <c r="N162" s="787">
        <f t="shared" si="1"/>
        <v>975.02800000000002</v>
      </c>
    </row>
    <row r="163" spans="1:14" x14ac:dyDescent="0.25">
      <c r="A163" s="791" t="s">
        <v>1880</v>
      </c>
      <c r="B163" s="787">
        <v>251.13800000000001</v>
      </c>
      <c r="C163" s="787">
        <v>250.19499999999999</v>
      </c>
      <c r="D163" s="787">
        <v>253.274</v>
      </c>
      <c r="E163" s="787">
        <v>256.18400000000003</v>
      </c>
      <c r="F163" s="787">
        <v>250.19499999999999</v>
      </c>
      <c r="G163" s="787">
        <v>251.03800000000001</v>
      </c>
      <c r="H163" s="787">
        <v>263.14299999999997</v>
      </c>
      <c r="I163" s="787">
        <v>250.751</v>
      </c>
      <c r="J163" s="787">
        <v>248.624</v>
      </c>
      <c r="K163" s="787">
        <v>248.27500000000001</v>
      </c>
      <c r="L163" s="787">
        <v>253.92099999999999</v>
      </c>
      <c r="M163" s="787">
        <v>248.04300000000001</v>
      </c>
      <c r="N163" s="787">
        <f t="shared" si="1"/>
        <v>3024.7809999999999</v>
      </c>
    </row>
    <row r="164" spans="1:14" x14ac:dyDescent="0.25">
      <c r="A164" s="791" t="s">
        <v>1881</v>
      </c>
      <c r="B164" s="787">
        <v>0</v>
      </c>
      <c r="C164" s="787">
        <v>0</v>
      </c>
      <c r="D164" s="787">
        <v>0</v>
      </c>
      <c r="E164" s="787">
        <v>0</v>
      </c>
      <c r="F164" s="787">
        <v>0</v>
      </c>
      <c r="G164" s="787">
        <v>0</v>
      </c>
      <c r="H164" s="787">
        <v>0</v>
      </c>
      <c r="I164" s="787">
        <v>0</v>
      </c>
      <c r="J164" s="787">
        <v>0</v>
      </c>
      <c r="K164" s="787">
        <v>0</v>
      </c>
      <c r="L164" s="787">
        <v>0</v>
      </c>
      <c r="M164" s="787">
        <v>0</v>
      </c>
      <c r="N164" s="787">
        <f t="shared" si="1"/>
        <v>0</v>
      </c>
    </row>
    <row r="165" spans="1:14" x14ac:dyDescent="0.25">
      <c r="A165" s="791" t="s">
        <v>1882</v>
      </c>
      <c r="B165" s="787">
        <v>43.075000000000003</v>
      </c>
      <c r="C165" s="787">
        <v>25.518999999999998</v>
      </c>
      <c r="D165" s="787">
        <v>43.470999999999997</v>
      </c>
      <c r="E165" s="787">
        <v>23.498000000000001</v>
      </c>
      <c r="F165" s="787">
        <v>63.872</v>
      </c>
      <c r="G165" s="787">
        <v>18.766999999999999</v>
      </c>
      <c r="H165" s="787">
        <v>0.8</v>
      </c>
      <c r="I165" s="787">
        <v>3.5</v>
      </c>
      <c r="J165" s="787">
        <v>9.3290000000000006</v>
      </c>
      <c r="K165" s="787">
        <v>5.3109999999999999</v>
      </c>
      <c r="L165" s="787">
        <v>0</v>
      </c>
      <c r="M165" s="787">
        <v>38.418999999999997</v>
      </c>
      <c r="N165" s="787">
        <f t="shared" si="1"/>
        <v>275.56100000000004</v>
      </c>
    </row>
    <row r="166" spans="1:14" x14ac:dyDescent="0.25">
      <c r="A166" s="791" t="s">
        <v>1883</v>
      </c>
      <c r="B166" s="787">
        <v>60.183</v>
      </c>
      <c r="C166" s="787">
        <v>56.128</v>
      </c>
      <c r="D166" s="787">
        <v>69.366</v>
      </c>
      <c r="E166" s="787">
        <v>81.718000000000004</v>
      </c>
      <c r="F166" s="787">
        <v>56.128</v>
      </c>
      <c r="G166" s="787">
        <v>57.893000000000001</v>
      </c>
      <c r="H166" s="787">
        <v>98.072000000000003</v>
      </c>
      <c r="I166" s="787">
        <v>57.292000000000002</v>
      </c>
      <c r="J166" s="787">
        <v>63.804000000000002</v>
      </c>
      <c r="K166" s="787">
        <v>61.698</v>
      </c>
      <c r="L166" s="787">
        <v>75.822000000000003</v>
      </c>
      <c r="M166" s="787">
        <v>61.213000000000001</v>
      </c>
      <c r="N166" s="787">
        <f t="shared" ref="N166:N229" si="2">SUM(B166:M166)</f>
        <v>799.31700000000001</v>
      </c>
    </row>
    <row r="167" spans="1:14" x14ac:dyDescent="0.25">
      <c r="A167" s="791" t="s">
        <v>1884</v>
      </c>
      <c r="B167" s="787">
        <v>204.35</v>
      </c>
      <c r="C167" s="787">
        <v>206.446</v>
      </c>
      <c r="D167" s="787">
        <v>390.04700000000003</v>
      </c>
      <c r="E167" s="787">
        <v>202.38900000000001</v>
      </c>
      <c r="F167" s="787">
        <v>203.14099999999999</v>
      </c>
      <c r="G167" s="787">
        <v>388.80599999999998</v>
      </c>
      <c r="H167" s="787">
        <v>207.77199999999999</v>
      </c>
      <c r="I167" s="787">
        <v>203.661</v>
      </c>
      <c r="J167" s="787">
        <v>401.18</v>
      </c>
      <c r="K167" s="787">
        <v>204.60400000000001</v>
      </c>
      <c r="L167" s="787">
        <v>222.303</v>
      </c>
      <c r="M167" s="787">
        <v>399.765999999999</v>
      </c>
      <c r="N167" s="787">
        <f t="shared" si="2"/>
        <v>3234.4649999999988</v>
      </c>
    </row>
    <row r="168" spans="1:14" x14ac:dyDescent="0.25">
      <c r="A168" s="791" t="s">
        <v>1885</v>
      </c>
      <c r="B168" s="787">
        <v>1636.693</v>
      </c>
      <c r="C168" s="787">
        <v>1681.722</v>
      </c>
      <c r="D168" s="787">
        <v>1681.722</v>
      </c>
      <c r="E168" s="787">
        <v>1681.722</v>
      </c>
      <c r="F168" s="787">
        <v>1686.5519999999999</v>
      </c>
      <c r="G168" s="787">
        <v>1686.5519999999999</v>
      </c>
      <c r="H168" s="787">
        <v>1686.5519999999999</v>
      </c>
      <c r="I168" s="787">
        <v>1686.5519999999999</v>
      </c>
      <c r="J168" s="787">
        <v>1654.318</v>
      </c>
      <c r="K168" s="787">
        <v>1654.318</v>
      </c>
      <c r="L168" s="787">
        <v>1654.318</v>
      </c>
      <c r="M168" s="787">
        <v>1654.318</v>
      </c>
      <c r="N168" s="787">
        <f t="shared" si="2"/>
        <v>20045.338999999996</v>
      </c>
    </row>
    <row r="169" spans="1:14" x14ac:dyDescent="0.25">
      <c r="A169" s="791" t="s">
        <v>1886</v>
      </c>
      <c r="B169" s="787">
        <v>0</v>
      </c>
      <c r="C169" s="787">
        <v>0</v>
      </c>
      <c r="D169" s="787">
        <v>0</v>
      </c>
      <c r="E169" s="787">
        <v>0</v>
      </c>
      <c r="F169" s="787">
        <v>0</v>
      </c>
      <c r="G169" s="787">
        <v>0</v>
      </c>
      <c r="H169" s="787">
        <v>0</v>
      </c>
      <c r="I169" s="787">
        <v>0</v>
      </c>
      <c r="J169" s="787">
        <v>0</v>
      </c>
      <c r="K169" s="787">
        <v>0</v>
      </c>
      <c r="L169" s="787">
        <v>0</v>
      </c>
      <c r="M169" s="787">
        <v>0</v>
      </c>
      <c r="N169" s="787">
        <f t="shared" si="2"/>
        <v>0</v>
      </c>
    </row>
    <row r="170" spans="1:14" x14ac:dyDescent="0.25">
      <c r="A170" s="796" t="s">
        <v>1824</v>
      </c>
      <c r="B170" s="787">
        <v>2935.143</v>
      </c>
      <c r="C170" s="787">
        <v>2863.9749999999999</v>
      </c>
      <c r="D170" s="787">
        <v>3113.8510000000001</v>
      </c>
      <c r="E170" s="787">
        <v>2928.9690000000001</v>
      </c>
      <c r="F170" s="787">
        <v>2914.7330000000002</v>
      </c>
      <c r="G170" s="787">
        <v>3183.375</v>
      </c>
      <c r="H170" s="787">
        <v>2846.3139999999999</v>
      </c>
      <c r="I170" s="787">
        <v>2763.1779999999999</v>
      </c>
      <c r="J170" s="787">
        <v>3033.8969999999999</v>
      </c>
      <c r="K170" s="787">
        <v>2774.114</v>
      </c>
      <c r="L170" s="787">
        <v>2902.3440000000001</v>
      </c>
      <c r="M170" s="787">
        <v>3079.04</v>
      </c>
      <c r="N170" s="787">
        <f t="shared" si="2"/>
        <v>35338.933000000005</v>
      </c>
    </row>
    <row r="171" spans="1:14" x14ac:dyDescent="0.25">
      <c r="A171" s="791" t="s">
        <v>1887</v>
      </c>
      <c r="B171" s="787">
        <v>0</v>
      </c>
      <c r="C171" s="787">
        <v>0</v>
      </c>
      <c r="D171" s="787">
        <v>0</v>
      </c>
      <c r="E171" s="787">
        <v>0</v>
      </c>
      <c r="F171" s="787">
        <v>0</v>
      </c>
      <c r="G171" s="787">
        <v>0</v>
      </c>
      <c r="H171" s="787">
        <v>0</v>
      </c>
      <c r="I171" s="787">
        <v>0</v>
      </c>
      <c r="J171" s="787">
        <v>0</v>
      </c>
      <c r="K171" s="787">
        <v>0</v>
      </c>
      <c r="L171" s="787">
        <v>0</v>
      </c>
      <c r="M171" s="787">
        <v>0</v>
      </c>
      <c r="N171" s="787">
        <f t="shared" si="2"/>
        <v>0</v>
      </c>
    </row>
    <row r="172" spans="1:14" x14ac:dyDescent="0.25">
      <c r="A172" s="791" t="s">
        <v>1888</v>
      </c>
      <c r="B172" s="787">
        <v>170.93799999999999</v>
      </c>
      <c r="C172" s="787">
        <v>156.45699999999999</v>
      </c>
      <c r="D172" s="787">
        <v>172.357</v>
      </c>
      <c r="E172" s="787">
        <v>168.33500000000001</v>
      </c>
      <c r="F172" s="787">
        <v>161.864</v>
      </c>
      <c r="G172" s="787">
        <v>172.636</v>
      </c>
      <c r="H172" s="787">
        <v>154.376</v>
      </c>
      <c r="I172" s="787">
        <v>150.761</v>
      </c>
      <c r="J172" s="787">
        <v>160.42099999999999</v>
      </c>
      <c r="K172" s="787">
        <v>151.126</v>
      </c>
      <c r="L172" s="787">
        <v>169.96299999999999</v>
      </c>
      <c r="M172" s="787">
        <v>168.959</v>
      </c>
      <c r="N172" s="787">
        <f t="shared" si="2"/>
        <v>1958.193</v>
      </c>
    </row>
    <row r="173" spans="1:14" x14ac:dyDescent="0.25">
      <c r="A173" s="791" t="s">
        <v>1889</v>
      </c>
      <c r="B173" s="787">
        <v>1000.285</v>
      </c>
      <c r="C173" s="787">
        <v>1495.529</v>
      </c>
      <c r="D173" s="787">
        <v>1520.355</v>
      </c>
      <c r="E173" s="787">
        <v>1086.752</v>
      </c>
      <c r="F173" s="787">
        <v>1240.7260000000001</v>
      </c>
      <c r="G173" s="787">
        <v>1138.5619999999999</v>
      </c>
      <c r="H173" s="787">
        <v>1058.4580000000001</v>
      </c>
      <c r="I173" s="787">
        <v>1143.931</v>
      </c>
      <c r="J173" s="787">
        <v>918.57600000000002</v>
      </c>
      <c r="K173" s="787">
        <v>915.33900000000006</v>
      </c>
      <c r="L173" s="787">
        <v>1004.096</v>
      </c>
      <c r="M173" s="787">
        <v>1101.4110000000001</v>
      </c>
      <c r="N173" s="787">
        <f t="shared" si="2"/>
        <v>13624.020000000002</v>
      </c>
    </row>
    <row r="174" spans="1:14" ht="15.75" thickBot="1" x14ac:dyDescent="0.3">
      <c r="A174" s="791" t="s">
        <v>1890</v>
      </c>
      <c r="B174" s="792">
        <v>20.887999999999899</v>
      </c>
      <c r="C174" s="792">
        <v>44.293999999999997</v>
      </c>
      <c r="D174" s="792">
        <v>18.959</v>
      </c>
      <c r="E174" s="792">
        <v>17.195999999999898</v>
      </c>
      <c r="F174" s="792">
        <v>56.945999999999998</v>
      </c>
      <c r="G174" s="792">
        <v>36.874000000000002</v>
      </c>
      <c r="H174" s="792">
        <v>22.524000000000001</v>
      </c>
      <c r="I174" s="792">
        <v>33.86</v>
      </c>
      <c r="J174" s="792">
        <v>16.831</v>
      </c>
      <c r="K174" s="792">
        <v>20.547000000000001</v>
      </c>
      <c r="L174" s="792">
        <v>19.725000000000001</v>
      </c>
      <c r="M174" s="792">
        <v>17.05</v>
      </c>
      <c r="N174" s="792">
        <f t="shared" si="2"/>
        <v>325.69399999999985</v>
      </c>
    </row>
    <row r="175" spans="1:14" x14ac:dyDescent="0.25">
      <c r="A175" s="796" t="s">
        <v>1831</v>
      </c>
      <c r="B175" s="787">
        <v>1192.1109999999901</v>
      </c>
      <c r="C175" s="787">
        <v>1696.28</v>
      </c>
      <c r="D175" s="787">
        <v>1711.671</v>
      </c>
      <c r="E175" s="787">
        <v>1272.2829999999999</v>
      </c>
      <c r="F175" s="787">
        <v>1459.5360000000001</v>
      </c>
      <c r="G175" s="787">
        <v>1348.0719999999999</v>
      </c>
      <c r="H175" s="787">
        <v>1235.3579999999999</v>
      </c>
      <c r="I175" s="787">
        <v>1328.5519999999999</v>
      </c>
      <c r="J175" s="787">
        <v>1095.828</v>
      </c>
      <c r="K175" s="787">
        <v>1087.0119999999999</v>
      </c>
      <c r="L175" s="787">
        <v>1193.7839999999901</v>
      </c>
      <c r="M175" s="787">
        <v>1287.42</v>
      </c>
      <c r="N175" s="787">
        <f t="shared" si="2"/>
        <v>15907.906999999981</v>
      </c>
    </row>
    <row r="176" spans="1:14" ht="15.75" thickBot="1" x14ac:dyDescent="0.3">
      <c r="A176" s="791" t="s">
        <v>1891</v>
      </c>
      <c r="B176" s="792">
        <v>0</v>
      </c>
      <c r="C176" s="792">
        <v>0</v>
      </c>
      <c r="D176" s="792">
        <v>0</v>
      </c>
      <c r="E176" s="792">
        <v>0</v>
      </c>
      <c r="F176" s="792">
        <v>0</v>
      </c>
      <c r="G176" s="792">
        <v>0</v>
      </c>
      <c r="H176" s="792">
        <v>0</v>
      </c>
      <c r="I176" s="792">
        <v>0</v>
      </c>
      <c r="J176" s="792">
        <v>62.118000000000002</v>
      </c>
      <c r="K176" s="792">
        <v>0</v>
      </c>
      <c r="L176" s="792">
        <v>0</v>
      </c>
      <c r="M176" s="792">
        <v>62.118000000000002</v>
      </c>
      <c r="N176" s="792">
        <f t="shared" si="2"/>
        <v>124.236</v>
      </c>
    </row>
    <row r="177" spans="1:27" x14ac:dyDescent="0.25">
      <c r="A177" s="791" t="s">
        <v>1892</v>
      </c>
      <c r="B177" s="787">
        <v>0</v>
      </c>
      <c r="C177" s="787">
        <v>0</v>
      </c>
      <c r="D177" s="787">
        <v>0</v>
      </c>
      <c r="E177" s="787">
        <v>0</v>
      </c>
      <c r="F177" s="787">
        <v>0</v>
      </c>
      <c r="G177" s="787">
        <v>0</v>
      </c>
      <c r="H177" s="787">
        <v>0</v>
      </c>
      <c r="I177" s="787">
        <v>0</v>
      </c>
      <c r="J177" s="787">
        <v>0</v>
      </c>
      <c r="K177" s="787">
        <v>0</v>
      </c>
      <c r="L177" s="787">
        <v>0</v>
      </c>
      <c r="M177" s="787">
        <v>0</v>
      </c>
      <c r="N177" s="787">
        <f t="shared" si="2"/>
        <v>0</v>
      </c>
    </row>
    <row r="178" spans="1:27" x14ac:dyDescent="0.25">
      <c r="A178" s="796" t="s">
        <v>1833</v>
      </c>
      <c r="B178" s="787">
        <v>0</v>
      </c>
      <c r="C178" s="787">
        <v>0</v>
      </c>
      <c r="D178" s="787">
        <v>0</v>
      </c>
      <c r="E178" s="787">
        <v>0</v>
      </c>
      <c r="F178" s="787">
        <v>0</v>
      </c>
      <c r="G178" s="787">
        <v>0</v>
      </c>
      <c r="H178" s="787">
        <v>0</v>
      </c>
      <c r="I178" s="787">
        <v>0</v>
      </c>
      <c r="J178" s="787">
        <v>62.118000000000002</v>
      </c>
      <c r="K178" s="787">
        <v>0</v>
      </c>
      <c r="L178" s="787">
        <v>0</v>
      </c>
      <c r="M178" s="787">
        <v>62.118000000000002</v>
      </c>
      <c r="N178" s="787">
        <f t="shared" si="2"/>
        <v>124.236</v>
      </c>
    </row>
    <row r="179" spans="1:27" x14ac:dyDescent="0.25">
      <c r="B179" s="789"/>
      <c r="C179" s="789"/>
      <c r="D179" s="789"/>
      <c r="E179" s="789"/>
      <c r="F179" s="789"/>
      <c r="G179" s="789"/>
      <c r="H179" s="789"/>
      <c r="I179" s="789"/>
      <c r="J179" s="789"/>
      <c r="K179" s="789"/>
      <c r="L179" s="789"/>
      <c r="M179" s="789"/>
      <c r="N179" s="789">
        <f t="shared" si="2"/>
        <v>0</v>
      </c>
      <c r="O179" s="790"/>
      <c r="P179" s="790"/>
      <c r="Q179" s="790"/>
      <c r="R179" s="790"/>
      <c r="S179" s="790"/>
      <c r="T179" s="790"/>
      <c r="U179" s="790"/>
      <c r="V179" s="790"/>
      <c r="W179" s="790"/>
      <c r="X179" s="790"/>
      <c r="Y179" s="790"/>
      <c r="Z179" s="790"/>
      <c r="AA179" s="790"/>
    </row>
    <row r="180" spans="1:27" x14ac:dyDescent="0.25">
      <c r="A180" s="784" t="s">
        <v>1893</v>
      </c>
      <c r="B180" s="785">
        <v>4127.2539999999999</v>
      </c>
      <c r="C180" s="785">
        <v>4560.2550000000001</v>
      </c>
      <c r="D180" s="785">
        <v>4825.5219999999999</v>
      </c>
      <c r="E180" s="785">
        <v>4201.2520000000004</v>
      </c>
      <c r="F180" s="785">
        <v>4374.2690000000002</v>
      </c>
      <c r="G180" s="785">
        <v>4531.4470000000001</v>
      </c>
      <c r="H180" s="785">
        <v>4081.672</v>
      </c>
      <c r="I180" s="785">
        <v>4091.72999999999</v>
      </c>
      <c r="J180" s="785">
        <v>4191.8429999999998</v>
      </c>
      <c r="K180" s="785">
        <v>3861.1260000000002</v>
      </c>
      <c r="L180" s="785">
        <v>4096.1279999999997</v>
      </c>
      <c r="M180" s="785">
        <v>4428.5780000000004</v>
      </c>
      <c r="N180" s="785">
        <f t="shared" si="2"/>
        <v>51371.075999999994</v>
      </c>
      <c r="O180" s="786"/>
      <c r="P180" s="786"/>
      <c r="Q180" s="786"/>
      <c r="R180" s="786"/>
      <c r="S180" s="786"/>
      <c r="T180" s="786"/>
      <c r="U180" s="786"/>
      <c r="V180" s="786"/>
      <c r="W180" s="786"/>
      <c r="X180" s="786"/>
      <c r="Y180" s="786"/>
      <c r="Z180" s="786"/>
      <c r="AA180" s="786"/>
    </row>
    <row r="181" spans="1:27" x14ac:dyDescent="0.25">
      <c r="A181" s="791" t="s">
        <v>1796</v>
      </c>
      <c r="B181" s="789"/>
      <c r="C181" s="789"/>
      <c r="D181" s="789"/>
      <c r="E181" s="789"/>
      <c r="F181" s="789"/>
      <c r="G181" s="789"/>
      <c r="H181" s="789"/>
      <c r="I181" s="789"/>
      <c r="J181" s="789"/>
      <c r="K181" s="789"/>
      <c r="L181" s="789"/>
      <c r="M181" s="789"/>
      <c r="N181" s="789">
        <f t="shared" si="2"/>
        <v>0</v>
      </c>
      <c r="O181" s="790"/>
      <c r="P181" s="790"/>
      <c r="Q181" s="790"/>
      <c r="R181" s="790"/>
      <c r="S181" s="790"/>
      <c r="T181" s="790"/>
      <c r="U181" s="790"/>
      <c r="V181" s="790"/>
      <c r="W181" s="790"/>
      <c r="X181" s="790"/>
      <c r="Y181" s="790"/>
      <c r="Z181" s="790"/>
      <c r="AA181" s="790"/>
    </row>
    <row r="182" spans="1:27" x14ac:dyDescent="0.25">
      <c r="A182" s="791" t="s">
        <v>1894</v>
      </c>
      <c r="B182" s="787">
        <v>174.85900000000001</v>
      </c>
      <c r="C182" s="787">
        <v>164.21299999999999</v>
      </c>
      <c r="D182" s="787">
        <v>218.46100000000001</v>
      </c>
      <c r="E182" s="787">
        <v>182.47499999999999</v>
      </c>
      <c r="F182" s="787">
        <v>156.79300000000001</v>
      </c>
      <c r="G182" s="787">
        <v>165.215</v>
      </c>
      <c r="H182" s="787">
        <v>142.52699999999999</v>
      </c>
      <c r="I182" s="787">
        <v>143.774</v>
      </c>
      <c r="J182" s="787">
        <v>157.03100000000001</v>
      </c>
      <c r="K182" s="787">
        <v>148.75800000000001</v>
      </c>
      <c r="L182" s="787">
        <v>173.452</v>
      </c>
      <c r="M182" s="787">
        <v>154.995</v>
      </c>
      <c r="N182" s="787">
        <f t="shared" si="2"/>
        <v>1982.5529999999999</v>
      </c>
    </row>
    <row r="183" spans="1:27" x14ac:dyDescent="0.25">
      <c r="A183" s="791" t="s">
        <v>1895</v>
      </c>
      <c r="B183" s="787">
        <v>31.158000000000001</v>
      </c>
      <c r="C183" s="787">
        <v>24.661000000000001</v>
      </c>
      <c r="D183" s="787">
        <v>32.238</v>
      </c>
      <c r="E183" s="787">
        <v>33.792000000000002</v>
      </c>
      <c r="F183" s="787">
        <v>31.041</v>
      </c>
      <c r="G183" s="787">
        <v>35.265999999999998</v>
      </c>
      <c r="H183" s="787">
        <v>28.489000000000001</v>
      </c>
      <c r="I183" s="787">
        <v>26.436</v>
      </c>
      <c r="J183" s="787">
        <v>34.432000000000002</v>
      </c>
      <c r="K183" s="787">
        <v>30.468</v>
      </c>
      <c r="L183" s="787">
        <v>34.287999999999997</v>
      </c>
      <c r="M183" s="787">
        <v>31.425000000000001</v>
      </c>
      <c r="N183" s="787">
        <f t="shared" si="2"/>
        <v>373.69400000000007</v>
      </c>
    </row>
    <row r="184" spans="1:27" x14ac:dyDescent="0.25">
      <c r="A184" s="791" t="s">
        <v>1896</v>
      </c>
      <c r="B184" s="787">
        <v>165.471</v>
      </c>
      <c r="C184" s="787">
        <v>186.262</v>
      </c>
      <c r="D184" s="787">
        <v>187.76499999999999</v>
      </c>
      <c r="E184" s="787">
        <v>194.08</v>
      </c>
      <c r="F184" s="787">
        <v>179.99299999999999</v>
      </c>
      <c r="G184" s="787">
        <v>186.64099999999999</v>
      </c>
      <c r="H184" s="787">
        <v>169.12200000000001</v>
      </c>
      <c r="I184" s="787">
        <v>163.80600000000001</v>
      </c>
      <c r="J184" s="787">
        <v>164.833</v>
      </c>
      <c r="K184" s="787">
        <v>188.05199999999999</v>
      </c>
      <c r="L184" s="787">
        <v>186.60400000000001</v>
      </c>
      <c r="M184" s="787">
        <v>188.096</v>
      </c>
      <c r="N184" s="787">
        <f t="shared" si="2"/>
        <v>2160.7250000000004</v>
      </c>
    </row>
    <row r="185" spans="1:27" x14ac:dyDescent="0.25">
      <c r="A185" s="791" t="s">
        <v>1897</v>
      </c>
      <c r="B185" s="787">
        <v>505.48500000000001</v>
      </c>
      <c r="C185" s="787">
        <v>489.447</v>
      </c>
      <c r="D185" s="787">
        <v>540.55799999999999</v>
      </c>
      <c r="E185" s="787">
        <v>505.93099999999998</v>
      </c>
      <c r="F185" s="787">
        <v>473.81200000000001</v>
      </c>
      <c r="G185" s="787">
        <v>513.44399999999996</v>
      </c>
      <c r="H185" s="787">
        <v>463.911</v>
      </c>
      <c r="I185" s="787">
        <v>460.41099999999898</v>
      </c>
      <c r="J185" s="787">
        <v>499.84199999999998</v>
      </c>
      <c r="K185" s="787">
        <v>479.55599999999998</v>
      </c>
      <c r="L185" s="787">
        <v>516.63800000000003</v>
      </c>
      <c r="M185" s="787">
        <v>491.92200000000003</v>
      </c>
      <c r="N185" s="787">
        <f t="shared" si="2"/>
        <v>5940.9569999999985</v>
      </c>
    </row>
    <row r="186" spans="1:27" x14ac:dyDescent="0.25">
      <c r="A186" s="791" t="s">
        <v>1898</v>
      </c>
      <c r="B186" s="787">
        <v>2.9000000000000001E-2</v>
      </c>
      <c r="C186" s="787">
        <v>2.5000000000000001E-2</v>
      </c>
      <c r="D186" s="787">
        <v>9.4E-2</v>
      </c>
      <c r="E186" s="787">
        <v>3.9E-2</v>
      </c>
      <c r="F186" s="787">
        <v>1.2E-2</v>
      </c>
      <c r="G186" s="787">
        <v>0.01</v>
      </c>
      <c r="H186" s="787">
        <v>8.9999999999999993E-3</v>
      </c>
      <c r="I186" s="787">
        <v>1.0999999999999999E-2</v>
      </c>
      <c r="J186" s="787">
        <v>0.01</v>
      </c>
      <c r="K186" s="787">
        <v>2.1999999999999999E-2</v>
      </c>
      <c r="L186" s="787">
        <v>3.6999999999999998E-2</v>
      </c>
      <c r="M186" s="787">
        <v>2.1000000000000001E-2</v>
      </c>
      <c r="N186" s="787">
        <f t="shared" si="2"/>
        <v>0.31900000000000006</v>
      </c>
    </row>
    <row r="187" spans="1:27" x14ac:dyDescent="0.25">
      <c r="A187" s="791" t="s">
        <v>1899</v>
      </c>
      <c r="B187" s="787">
        <v>0</v>
      </c>
      <c r="C187" s="787">
        <v>0</v>
      </c>
      <c r="D187" s="787">
        <v>0</v>
      </c>
      <c r="E187" s="787">
        <v>0</v>
      </c>
      <c r="F187" s="787">
        <v>0</v>
      </c>
      <c r="G187" s="787">
        <v>0</v>
      </c>
      <c r="H187" s="787">
        <v>0</v>
      </c>
      <c r="I187" s="787">
        <v>0</v>
      </c>
      <c r="J187" s="787">
        <v>0</v>
      </c>
      <c r="K187" s="787">
        <v>0</v>
      </c>
      <c r="L187" s="787">
        <v>0</v>
      </c>
      <c r="M187" s="787">
        <v>0</v>
      </c>
      <c r="N187" s="787">
        <f t="shared" si="2"/>
        <v>0</v>
      </c>
    </row>
    <row r="188" spans="1:27" x14ac:dyDescent="0.25">
      <c r="A188" s="791" t="s">
        <v>1900</v>
      </c>
      <c r="B188" s="787">
        <v>744.03899999999999</v>
      </c>
      <c r="C188" s="787">
        <v>689.77300000000002</v>
      </c>
      <c r="D188" s="787">
        <v>769.66</v>
      </c>
      <c r="E188" s="787">
        <v>791.755</v>
      </c>
      <c r="F188" s="787">
        <v>700.69</v>
      </c>
      <c r="G188" s="787">
        <v>799.23900000000003</v>
      </c>
      <c r="H188" s="787">
        <v>651.72699999999998</v>
      </c>
      <c r="I188" s="787">
        <v>646.41099999999994</v>
      </c>
      <c r="J188" s="787">
        <v>862.125</v>
      </c>
      <c r="K188" s="787">
        <v>759.08399999999995</v>
      </c>
      <c r="L188" s="787">
        <v>836.94600000000003</v>
      </c>
      <c r="M188" s="787">
        <v>792.17700000000002</v>
      </c>
      <c r="N188" s="787">
        <f t="shared" si="2"/>
        <v>9043.6260000000002</v>
      </c>
    </row>
    <row r="189" spans="1:27" x14ac:dyDescent="0.25">
      <c r="A189" s="791" t="s">
        <v>1901</v>
      </c>
      <c r="B189" s="787">
        <v>0</v>
      </c>
      <c r="C189" s="787">
        <v>0</v>
      </c>
      <c r="D189" s="787">
        <v>0</v>
      </c>
      <c r="E189" s="787">
        <v>0</v>
      </c>
      <c r="F189" s="787">
        <v>0</v>
      </c>
      <c r="G189" s="787">
        <v>0</v>
      </c>
      <c r="H189" s="787">
        <v>0</v>
      </c>
      <c r="I189" s="787">
        <v>0</v>
      </c>
      <c r="J189" s="787">
        <v>0</v>
      </c>
      <c r="K189" s="787">
        <v>0</v>
      </c>
      <c r="L189" s="787">
        <v>0</v>
      </c>
      <c r="M189" s="787">
        <v>0</v>
      </c>
      <c r="N189" s="787">
        <f t="shared" si="2"/>
        <v>0</v>
      </c>
    </row>
    <row r="190" spans="1:27" ht="15.75" thickBot="1" x14ac:dyDescent="0.3">
      <c r="A190" s="791" t="s">
        <v>1902</v>
      </c>
      <c r="B190" s="792">
        <v>671.11599999999999</v>
      </c>
      <c r="C190" s="792">
        <v>635.49199999999996</v>
      </c>
      <c r="D190" s="792">
        <v>748.49</v>
      </c>
      <c r="E190" s="792">
        <v>663.255</v>
      </c>
      <c r="F190" s="792">
        <v>649.55700000000002</v>
      </c>
      <c r="G190" s="792">
        <v>728.29</v>
      </c>
      <c r="H190" s="792">
        <v>636.92999999999995</v>
      </c>
      <c r="I190" s="792">
        <v>585.00900000000001</v>
      </c>
      <c r="J190" s="792">
        <v>675.89700000000005</v>
      </c>
      <c r="K190" s="792">
        <v>640.61500000000001</v>
      </c>
      <c r="L190" s="792">
        <v>642.899</v>
      </c>
      <c r="M190" s="792">
        <v>702.779</v>
      </c>
      <c r="N190" s="792">
        <f t="shared" si="2"/>
        <v>7980.3289999999997</v>
      </c>
    </row>
    <row r="191" spans="1:27" x14ac:dyDescent="0.25">
      <c r="A191" s="796" t="s">
        <v>1824</v>
      </c>
      <c r="B191" s="787">
        <v>2292.1570000000002</v>
      </c>
      <c r="C191" s="787">
        <v>2189.873</v>
      </c>
      <c r="D191" s="787">
        <v>2497.2660000000001</v>
      </c>
      <c r="E191" s="787">
        <v>2371.3270000000002</v>
      </c>
      <c r="F191" s="787">
        <v>2191.8980000000001</v>
      </c>
      <c r="G191" s="787">
        <v>2428.105</v>
      </c>
      <c r="H191" s="787">
        <v>2092.7150000000001</v>
      </c>
      <c r="I191" s="787">
        <v>2025.8579999999999</v>
      </c>
      <c r="J191" s="787">
        <v>2394.17</v>
      </c>
      <c r="K191" s="787">
        <v>2246.5549999999998</v>
      </c>
      <c r="L191" s="787">
        <v>2390.864</v>
      </c>
      <c r="M191" s="787">
        <v>2361.415</v>
      </c>
      <c r="N191" s="787">
        <f t="shared" si="2"/>
        <v>27482.203000000001</v>
      </c>
    </row>
    <row r="192" spans="1:27" x14ac:dyDescent="0.25">
      <c r="A192" s="791" t="s">
        <v>1903</v>
      </c>
      <c r="B192" s="787">
        <v>7.0540000000000003</v>
      </c>
      <c r="C192" s="787">
        <v>6.0510000000000002</v>
      </c>
      <c r="D192" s="787">
        <v>23.102</v>
      </c>
      <c r="E192" s="787">
        <v>9.5380000000000003</v>
      </c>
      <c r="F192" s="787">
        <v>2.8769999999999998</v>
      </c>
      <c r="G192" s="787">
        <v>2.387</v>
      </c>
      <c r="H192" s="787">
        <v>2.2229999999999999</v>
      </c>
      <c r="I192" s="787">
        <v>2.633</v>
      </c>
      <c r="J192" s="787">
        <v>2.4550000000000001</v>
      </c>
      <c r="K192" s="787">
        <v>5.4379999999999997</v>
      </c>
      <c r="L192" s="787">
        <v>8.9990000000000006</v>
      </c>
      <c r="M192" s="787">
        <v>5.0629999999999997</v>
      </c>
      <c r="N192" s="787">
        <f t="shared" si="2"/>
        <v>77.820000000000007</v>
      </c>
    </row>
    <row r="193" spans="1:27" x14ac:dyDescent="0.25">
      <c r="A193" s="791" t="s">
        <v>1904</v>
      </c>
      <c r="B193" s="787">
        <v>0</v>
      </c>
      <c r="C193" s="787">
        <v>0</v>
      </c>
      <c r="D193" s="787">
        <v>0</v>
      </c>
      <c r="E193" s="787">
        <v>0</v>
      </c>
      <c r="F193" s="787">
        <v>0</v>
      </c>
      <c r="G193" s="787">
        <v>0</v>
      </c>
      <c r="H193" s="787">
        <v>0</v>
      </c>
      <c r="I193" s="787">
        <v>0</v>
      </c>
      <c r="J193" s="787">
        <v>0</v>
      </c>
      <c r="K193" s="787">
        <v>0</v>
      </c>
      <c r="L193" s="787">
        <v>0</v>
      </c>
      <c r="M193" s="787">
        <v>0</v>
      </c>
      <c r="N193" s="787">
        <f t="shared" si="2"/>
        <v>0</v>
      </c>
    </row>
    <row r="194" spans="1:27" x14ac:dyDescent="0.25">
      <c r="A194" s="791" t="s">
        <v>1905</v>
      </c>
      <c r="B194" s="787">
        <v>103.069</v>
      </c>
      <c r="C194" s="787">
        <v>111.52200000000001</v>
      </c>
      <c r="D194" s="787">
        <v>109.184</v>
      </c>
      <c r="E194" s="787">
        <v>108.881</v>
      </c>
      <c r="F194" s="787">
        <v>115.681</v>
      </c>
      <c r="G194" s="787">
        <v>116.613</v>
      </c>
      <c r="H194" s="787">
        <v>105.22199999999999</v>
      </c>
      <c r="I194" s="787">
        <v>95.694999999999993</v>
      </c>
      <c r="J194" s="787">
        <v>84.41</v>
      </c>
      <c r="K194" s="787">
        <v>98.337999999999994</v>
      </c>
      <c r="L194" s="787">
        <v>101.709</v>
      </c>
      <c r="M194" s="787">
        <v>111.59399999999999</v>
      </c>
      <c r="N194" s="787">
        <f t="shared" si="2"/>
        <v>1261.9180000000001</v>
      </c>
    </row>
    <row r="195" spans="1:27" x14ac:dyDescent="0.25">
      <c r="A195" s="791" t="s">
        <v>1906</v>
      </c>
      <c r="B195" s="787">
        <v>2822.1819999999998</v>
      </c>
      <c r="C195" s="787">
        <v>2752.4580000000001</v>
      </c>
      <c r="D195" s="787">
        <v>3414.3910000000001</v>
      </c>
      <c r="E195" s="787">
        <v>2898.5459999999998</v>
      </c>
      <c r="F195" s="787">
        <v>2927.8119999999999</v>
      </c>
      <c r="G195" s="787">
        <v>3003.3589999999999</v>
      </c>
      <c r="H195" s="787">
        <v>2887.152</v>
      </c>
      <c r="I195" s="787">
        <v>2875.951</v>
      </c>
      <c r="J195" s="787">
        <v>2154.8809999999999</v>
      </c>
      <c r="K195" s="787">
        <v>2195.1469999999999</v>
      </c>
      <c r="L195" s="787">
        <v>2346.2429999999999</v>
      </c>
      <c r="M195" s="787">
        <v>2219.752</v>
      </c>
      <c r="N195" s="787">
        <f t="shared" si="2"/>
        <v>32497.874000000003</v>
      </c>
    </row>
    <row r="196" spans="1:27" x14ac:dyDescent="0.25">
      <c r="A196" s="791" t="s">
        <v>1907</v>
      </c>
      <c r="B196" s="787">
        <v>55.616999999999997</v>
      </c>
      <c r="C196" s="787">
        <v>58.381</v>
      </c>
      <c r="D196" s="787">
        <v>88.656000000000006</v>
      </c>
      <c r="E196" s="787">
        <v>58.207999999999998</v>
      </c>
      <c r="F196" s="787">
        <v>63.927999999999997</v>
      </c>
      <c r="G196" s="787">
        <v>53.277999999999999</v>
      </c>
      <c r="H196" s="787">
        <v>43.153999999999897</v>
      </c>
      <c r="I196" s="787">
        <v>42.289000000000001</v>
      </c>
      <c r="J196" s="787">
        <v>56.438000000000002</v>
      </c>
      <c r="K196" s="787">
        <v>48.244</v>
      </c>
      <c r="L196" s="787">
        <v>58.295999999999999</v>
      </c>
      <c r="M196" s="787">
        <v>50.505000000000003</v>
      </c>
      <c r="N196" s="787">
        <f t="shared" si="2"/>
        <v>676.99399999999991</v>
      </c>
    </row>
    <row r="197" spans="1:27" x14ac:dyDescent="0.25">
      <c r="A197" s="791" t="s">
        <v>1908</v>
      </c>
      <c r="B197" s="787">
        <v>9.5180000000000007</v>
      </c>
      <c r="C197" s="787">
        <v>8.9960000000000004</v>
      </c>
      <c r="D197" s="787">
        <v>17.855</v>
      </c>
      <c r="E197" s="787">
        <v>10.808</v>
      </c>
      <c r="F197" s="787">
        <v>8.3469999999999995</v>
      </c>
      <c r="G197" s="787">
        <v>8.093</v>
      </c>
      <c r="H197" s="787">
        <v>7.0069999999999997</v>
      </c>
      <c r="I197" s="787">
        <v>7.22</v>
      </c>
      <c r="J197" s="787">
        <v>6.6580000000000004</v>
      </c>
      <c r="K197" s="787">
        <v>7.2080000000000002</v>
      </c>
      <c r="L197" s="787">
        <v>10.519</v>
      </c>
      <c r="M197" s="787">
        <v>10.474</v>
      </c>
      <c r="N197" s="787">
        <f t="shared" si="2"/>
        <v>112.70300000000002</v>
      </c>
    </row>
    <row r="198" spans="1:27" x14ac:dyDescent="0.25">
      <c r="A198" s="791" t="s">
        <v>1909</v>
      </c>
      <c r="B198" s="787">
        <v>0</v>
      </c>
      <c r="C198" s="787">
        <v>0</v>
      </c>
      <c r="D198" s="787">
        <v>0</v>
      </c>
      <c r="E198" s="787">
        <v>0</v>
      </c>
      <c r="F198" s="787">
        <v>0</v>
      </c>
      <c r="G198" s="787">
        <v>0</v>
      </c>
      <c r="H198" s="787">
        <v>0</v>
      </c>
      <c r="I198" s="787">
        <v>0</v>
      </c>
      <c r="J198" s="787">
        <v>0</v>
      </c>
      <c r="K198" s="787">
        <v>0</v>
      </c>
      <c r="L198" s="787">
        <v>0</v>
      </c>
      <c r="M198" s="787">
        <v>0</v>
      </c>
      <c r="N198" s="787">
        <f t="shared" si="2"/>
        <v>0</v>
      </c>
    </row>
    <row r="199" spans="1:27" x14ac:dyDescent="0.25">
      <c r="A199" s="791" t="s">
        <v>1910</v>
      </c>
      <c r="B199" s="787">
        <v>0</v>
      </c>
      <c r="C199" s="787">
        <v>0</v>
      </c>
      <c r="D199" s="787">
        <v>0</v>
      </c>
      <c r="E199" s="787">
        <v>0</v>
      </c>
      <c r="F199" s="787">
        <v>0</v>
      </c>
      <c r="G199" s="787">
        <v>0</v>
      </c>
      <c r="H199" s="787">
        <v>0</v>
      </c>
      <c r="I199" s="787">
        <v>0</v>
      </c>
      <c r="J199" s="787">
        <v>0</v>
      </c>
      <c r="K199" s="787">
        <v>0</v>
      </c>
      <c r="L199" s="787">
        <v>0</v>
      </c>
      <c r="M199" s="787">
        <v>0</v>
      </c>
      <c r="N199" s="787">
        <f t="shared" si="2"/>
        <v>0</v>
      </c>
    </row>
    <row r="200" spans="1:27" ht="15.75" thickBot="1" x14ac:dyDescent="0.3">
      <c r="A200" s="791" t="s">
        <v>1911</v>
      </c>
      <c r="B200" s="792">
        <v>27.202999999999999</v>
      </c>
      <c r="C200" s="792">
        <v>33.402000000000001</v>
      </c>
      <c r="D200" s="792">
        <v>40.439</v>
      </c>
      <c r="E200" s="792">
        <v>33.948</v>
      </c>
      <c r="F200" s="792">
        <v>27.3</v>
      </c>
      <c r="G200" s="792">
        <v>29.625999999999902</v>
      </c>
      <c r="H200" s="792">
        <v>24.196999999999999</v>
      </c>
      <c r="I200" s="792">
        <v>29.172999999999998</v>
      </c>
      <c r="J200" s="792">
        <v>20.698</v>
      </c>
      <c r="K200" s="792">
        <v>26.465</v>
      </c>
      <c r="L200" s="792">
        <v>32.792000000000002</v>
      </c>
      <c r="M200" s="792">
        <v>27.364999999999998</v>
      </c>
      <c r="N200" s="792">
        <f t="shared" si="2"/>
        <v>352.60799999999995</v>
      </c>
    </row>
    <row r="201" spans="1:27" x14ac:dyDescent="0.25">
      <c r="A201" s="796" t="s">
        <v>1831</v>
      </c>
      <c r="B201" s="787">
        <v>3024.643</v>
      </c>
      <c r="C201" s="787">
        <v>2970.81</v>
      </c>
      <c r="D201" s="787">
        <v>3693.627</v>
      </c>
      <c r="E201" s="787">
        <v>3119.9290000000001</v>
      </c>
      <c r="F201" s="787">
        <v>3145.9450000000002</v>
      </c>
      <c r="G201" s="787">
        <v>3213.3559999999902</v>
      </c>
      <c r="H201" s="787">
        <v>3068.9549999999999</v>
      </c>
      <c r="I201" s="787">
        <v>3052.9609999999998</v>
      </c>
      <c r="J201" s="787">
        <v>2325.53999999999</v>
      </c>
      <c r="K201" s="787">
        <v>2380.84</v>
      </c>
      <c r="L201" s="787">
        <v>2558.558</v>
      </c>
      <c r="M201" s="787">
        <v>2424.7530000000002</v>
      </c>
      <c r="N201" s="787">
        <f t="shared" si="2"/>
        <v>34979.916999999979</v>
      </c>
    </row>
    <row r="202" spans="1:27" ht="15.75" thickBot="1" x14ac:dyDescent="0.3">
      <c r="A202" s="791" t="s">
        <v>1912</v>
      </c>
      <c r="B202" s="792">
        <v>0</v>
      </c>
      <c r="C202" s="792">
        <v>0</v>
      </c>
      <c r="D202" s="792">
        <v>0</v>
      </c>
      <c r="E202" s="792">
        <v>0</v>
      </c>
      <c r="F202" s="792">
        <v>0</v>
      </c>
      <c r="G202" s="792">
        <v>0</v>
      </c>
      <c r="H202" s="792">
        <v>0</v>
      </c>
      <c r="I202" s="792">
        <v>0</v>
      </c>
      <c r="J202" s="792">
        <v>0</v>
      </c>
      <c r="K202" s="792">
        <v>0</v>
      </c>
      <c r="L202" s="792">
        <v>0</v>
      </c>
      <c r="M202" s="792">
        <v>0</v>
      </c>
      <c r="N202" s="792">
        <f t="shared" si="2"/>
        <v>0</v>
      </c>
    </row>
    <row r="203" spans="1:27" x14ac:dyDescent="0.25">
      <c r="A203" s="796" t="s">
        <v>1833</v>
      </c>
      <c r="B203" s="787">
        <v>0</v>
      </c>
      <c r="C203" s="787">
        <v>0</v>
      </c>
      <c r="D203" s="787">
        <v>0</v>
      </c>
      <c r="E203" s="787">
        <v>0</v>
      </c>
      <c r="F203" s="787">
        <v>0</v>
      </c>
      <c r="G203" s="787">
        <v>0</v>
      </c>
      <c r="H203" s="787">
        <v>0</v>
      </c>
      <c r="I203" s="787">
        <v>0</v>
      </c>
      <c r="J203" s="787">
        <v>0</v>
      </c>
      <c r="K203" s="787">
        <v>0</v>
      </c>
      <c r="L203" s="787">
        <v>0</v>
      </c>
      <c r="M203" s="787">
        <v>0</v>
      </c>
      <c r="N203" s="787">
        <f t="shared" si="2"/>
        <v>0</v>
      </c>
    </row>
    <row r="204" spans="1:27" x14ac:dyDescent="0.25">
      <c r="B204" s="789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>
        <f t="shared" si="2"/>
        <v>0</v>
      </c>
      <c r="O204" s="790"/>
      <c r="P204" s="790"/>
      <c r="Q204" s="790"/>
      <c r="R204" s="790"/>
      <c r="S204" s="790"/>
      <c r="T204" s="790"/>
      <c r="U204" s="790"/>
      <c r="V204" s="790"/>
      <c r="W204" s="790"/>
      <c r="X204" s="790"/>
      <c r="Y204" s="790"/>
      <c r="Z204" s="790"/>
      <c r="AA204" s="790"/>
    </row>
    <row r="205" spans="1:27" x14ac:dyDescent="0.25">
      <c r="A205" s="784" t="s">
        <v>1913</v>
      </c>
      <c r="B205" s="785">
        <v>5316.8</v>
      </c>
      <c r="C205" s="785">
        <v>5160.683</v>
      </c>
      <c r="D205" s="785">
        <v>6190.893</v>
      </c>
      <c r="E205" s="785">
        <v>5491.2560000000003</v>
      </c>
      <c r="F205" s="785">
        <v>5337.8429999999998</v>
      </c>
      <c r="G205" s="785">
        <v>5641.4609999999902</v>
      </c>
      <c r="H205" s="785">
        <v>5161.67</v>
      </c>
      <c r="I205" s="785">
        <v>5078.8190000000004</v>
      </c>
      <c r="J205" s="785">
        <v>4719.70999999999</v>
      </c>
      <c r="K205" s="785">
        <v>4627.3950000000004</v>
      </c>
      <c r="L205" s="785">
        <v>4949.4219999999996</v>
      </c>
      <c r="M205" s="785">
        <v>4786.1679999999997</v>
      </c>
      <c r="N205" s="785">
        <f t="shared" si="2"/>
        <v>62462.119999999981</v>
      </c>
      <c r="O205" s="786"/>
      <c r="P205" s="786"/>
      <c r="Q205" s="786"/>
      <c r="R205" s="786"/>
      <c r="S205" s="786"/>
      <c r="T205" s="786"/>
      <c r="U205" s="786"/>
      <c r="V205" s="786"/>
      <c r="W205" s="786"/>
      <c r="X205" s="786"/>
      <c r="Y205" s="786"/>
      <c r="Z205" s="786"/>
      <c r="AA205" s="786"/>
    </row>
    <row r="206" spans="1:27" x14ac:dyDescent="0.25">
      <c r="N206" s="787">
        <f t="shared" si="2"/>
        <v>0</v>
      </c>
    </row>
    <row r="207" spans="1:27" x14ac:dyDescent="0.25">
      <c r="A207" s="784" t="s">
        <v>1914</v>
      </c>
      <c r="B207" s="785">
        <v>62488.033865819103</v>
      </c>
      <c r="C207" s="785">
        <v>60812.519382068698</v>
      </c>
      <c r="D207" s="785">
        <v>66688.433213056604</v>
      </c>
      <c r="E207" s="785">
        <v>67496.269987155494</v>
      </c>
      <c r="F207" s="785">
        <v>60059.001080061797</v>
      </c>
      <c r="G207" s="785">
        <v>63115.351393302699</v>
      </c>
      <c r="H207" s="785">
        <v>62767.423025356802</v>
      </c>
      <c r="I207" s="785">
        <v>64541.227279912397</v>
      </c>
      <c r="J207" s="785">
        <v>71751.436983934997</v>
      </c>
      <c r="K207" s="785">
        <v>60681.728317398301</v>
      </c>
      <c r="L207" s="785">
        <v>67467.1739937768</v>
      </c>
      <c r="M207" s="785">
        <v>62062.398047883202</v>
      </c>
      <c r="N207" s="785">
        <f t="shared" si="2"/>
        <v>769930.99656972685</v>
      </c>
      <c r="O207" s="786"/>
      <c r="P207" s="786"/>
      <c r="Q207" s="786"/>
      <c r="R207" s="786"/>
      <c r="S207" s="786"/>
      <c r="T207" s="786"/>
      <c r="U207" s="786"/>
      <c r="V207" s="786"/>
      <c r="W207" s="786"/>
      <c r="X207" s="786"/>
      <c r="Y207" s="786"/>
      <c r="Z207" s="786"/>
      <c r="AA207" s="786"/>
    </row>
    <row r="208" spans="1:27" x14ac:dyDescent="0.25">
      <c r="A208" s="791" t="s">
        <v>1796</v>
      </c>
      <c r="N208" s="787">
        <f t="shared" si="2"/>
        <v>0</v>
      </c>
    </row>
    <row r="209" spans="1:14" x14ac:dyDescent="0.25">
      <c r="A209" s="791" t="s">
        <v>1915</v>
      </c>
      <c r="B209" s="787">
        <v>0</v>
      </c>
      <c r="C209" s="787">
        <v>0</v>
      </c>
      <c r="D209" s="787">
        <v>0</v>
      </c>
      <c r="E209" s="787">
        <v>0</v>
      </c>
      <c r="F209" s="787">
        <v>0</v>
      </c>
      <c r="G209" s="787">
        <v>0</v>
      </c>
      <c r="H209" s="787">
        <v>0</v>
      </c>
      <c r="I209" s="787">
        <v>0</v>
      </c>
      <c r="J209" s="787">
        <v>0</v>
      </c>
      <c r="K209" s="787">
        <v>0</v>
      </c>
      <c r="L209" s="787">
        <v>0</v>
      </c>
      <c r="M209" s="787">
        <v>0</v>
      </c>
      <c r="N209" s="787">
        <f t="shared" si="2"/>
        <v>0</v>
      </c>
    </row>
    <row r="210" spans="1:14" x14ac:dyDescent="0.25">
      <c r="A210" s="791" t="s">
        <v>1916</v>
      </c>
      <c r="B210" s="787">
        <v>0</v>
      </c>
      <c r="C210" s="787">
        <v>0</v>
      </c>
      <c r="D210" s="787">
        <v>0</v>
      </c>
      <c r="E210" s="787">
        <v>0</v>
      </c>
      <c r="F210" s="787">
        <v>0</v>
      </c>
      <c r="G210" s="787">
        <v>0</v>
      </c>
      <c r="H210" s="787">
        <v>0</v>
      </c>
      <c r="I210" s="787">
        <v>0</v>
      </c>
      <c r="J210" s="787">
        <v>0</v>
      </c>
      <c r="K210" s="787">
        <v>0</v>
      </c>
      <c r="L210" s="787">
        <v>0</v>
      </c>
      <c r="M210" s="787">
        <v>0</v>
      </c>
      <c r="N210" s="787">
        <f t="shared" si="2"/>
        <v>0</v>
      </c>
    </row>
    <row r="211" spans="1:14" x14ac:dyDescent="0.25">
      <c r="A211" s="791" t="s">
        <v>1917</v>
      </c>
      <c r="B211" s="787">
        <v>0</v>
      </c>
      <c r="C211" s="787">
        <v>0</v>
      </c>
      <c r="D211" s="787">
        <v>0</v>
      </c>
      <c r="E211" s="787">
        <v>0</v>
      </c>
      <c r="F211" s="787">
        <v>0</v>
      </c>
      <c r="G211" s="787">
        <v>0</v>
      </c>
      <c r="H211" s="787">
        <v>0</v>
      </c>
      <c r="I211" s="787">
        <v>0</v>
      </c>
      <c r="J211" s="787">
        <v>0</v>
      </c>
      <c r="K211" s="787">
        <v>0</v>
      </c>
      <c r="L211" s="787">
        <v>0</v>
      </c>
      <c r="M211" s="787">
        <v>0</v>
      </c>
      <c r="N211" s="787">
        <f t="shared" si="2"/>
        <v>0</v>
      </c>
    </row>
    <row r="212" spans="1:14" x14ac:dyDescent="0.25">
      <c r="A212" s="791" t="s">
        <v>1918</v>
      </c>
      <c r="B212" s="787">
        <v>0</v>
      </c>
      <c r="C212" s="787">
        <v>0</v>
      </c>
      <c r="D212" s="787">
        <v>0</v>
      </c>
      <c r="E212" s="787">
        <v>0</v>
      </c>
      <c r="F212" s="787">
        <v>0</v>
      </c>
      <c r="G212" s="787">
        <v>0</v>
      </c>
      <c r="H212" s="787">
        <v>0</v>
      </c>
      <c r="I212" s="787">
        <v>0</v>
      </c>
      <c r="J212" s="787">
        <v>0</v>
      </c>
      <c r="K212" s="787">
        <v>0</v>
      </c>
      <c r="L212" s="787">
        <v>0</v>
      </c>
      <c r="M212" s="787">
        <v>0</v>
      </c>
      <c r="N212" s="787">
        <f t="shared" si="2"/>
        <v>0</v>
      </c>
    </row>
    <row r="213" spans="1:14" ht="15.75" thickBot="1" x14ac:dyDescent="0.3">
      <c r="A213" s="791" t="s">
        <v>1919</v>
      </c>
      <c r="B213" s="792">
        <v>0</v>
      </c>
      <c r="C213" s="792">
        <v>0</v>
      </c>
      <c r="D213" s="792">
        <v>0</v>
      </c>
      <c r="E213" s="792">
        <v>0</v>
      </c>
      <c r="F213" s="792">
        <v>0</v>
      </c>
      <c r="G213" s="792">
        <v>0</v>
      </c>
      <c r="H213" s="792">
        <v>0</v>
      </c>
      <c r="I213" s="792">
        <v>0</v>
      </c>
      <c r="J213" s="792">
        <v>0</v>
      </c>
      <c r="K213" s="792">
        <v>0</v>
      </c>
      <c r="L213" s="792">
        <v>0</v>
      </c>
      <c r="M213" s="792">
        <v>0</v>
      </c>
      <c r="N213" s="792">
        <f t="shared" si="2"/>
        <v>0</v>
      </c>
    </row>
    <row r="214" spans="1:14" x14ac:dyDescent="0.25">
      <c r="A214" s="796" t="s">
        <v>1920</v>
      </c>
      <c r="B214" s="787">
        <v>0</v>
      </c>
      <c r="C214" s="787">
        <v>0</v>
      </c>
      <c r="D214" s="787">
        <v>0</v>
      </c>
      <c r="E214" s="787">
        <v>0</v>
      </c>
      <c r="F214" s="787">
        <v>0</v>
      </c>
      <c r="G214" s="787">
        <v>0</v>
      </c>
      <c r="H214" s="787">
        <v>0</v>
      </c>
      <c r="I214" s="787">
        <v>0</v>
      </c>
      <c r="J214" s="787">
        <v>0</v>
      </c>
      <c r="K214" s="787">
        <v>0</v>
      </c>
      <c r="L214" s="787">
        <v>0</v>
      </c>
      <c r="M214" s="787">
        <v>0</v>
      </c>
      <c r="N214" s="787">
        <f t="shared" si="2"/>
        <v>0</v>
      </c>
    </row>
    <row r="215" spans="1:14" x14ac:dyDescent="0.25">
      <c r="A215" s="791" t="s">
        <v>1921</v>
      </c>
      <c r="B215" s="787">
        <v>0</v>
      </c>
      <c r="C215" s="787">
        <v>0</v>
      </c>
      <c r="D215" s="787">
        <v>0</v>
      </c>
      <c r="E215" s="787">
        <v>0</v>
      </c>
      <c r="F215" s="787">
        <v>0</v>
      </c>
      <c r="G215" s="787">
        <v>0</v>
      </c>
      <c r="H215" s="787">
        <v>0</v>
      </c>
      <c r="I215" s="787">
        <v>0</v>
      </c>
      <c r="J215" s="787">
        <v>0</v>
      </c>
      <c r="K215" s="787">
        <v>0</v>
      </c>
      <c r="L215" s="787">
        <v>0</v>
      </c>
      <c r="M215" s="787">
        <v>0</v>
      </c>
      <c r="N215" s="787">
        <f t="shared" si="2"/>
        <v>0</v>
      </c>
    </row>
    <row r="216" spans="1:14" ht="15.75" thickBot="1" x14ac:dyDescent="0.3">
      <c r="A216" s="791" t="s">
        <v>1922</v>
      </c>
      <c r="B216" s="792">
        <v>0</v>
      </c>
      <c r="C216" s="792">
        <v>0</v>
      </c>
      <c r="D216" s="792">
        <v>0</v>
      </c>
      <c r="E216" s="792">
        <v>0</v>
      </c>
      <c r="F216" s="792">
        <v>0</v>
      </c>
      <c r="G216" s="792">
        <v>0</v>
      </c>
      <c r="H216" s="792">
        <v>0</v>
      </c>
      <c r="I216" s="792">
        <v>0</v>
      </c>
      <c r="J216" s="792">
        <v>0</v>
      </c>
      <c r="K216" s="792">
        <v>0</v>
      </c>
      <c r="L216" s="792">
        <v>0</v>
      </c>
      <c r="M216" s="792">
        <v>0</v>
      </c>
      <c r="N216" s="792">
        <f t="shared" si="2"/>
        <v>0</v>
      </c>
    </row>
    <row r="217" spans="1:14" ht="15.75" thickBot="1" x14ac:dyDescent="0.3">
      <c r="A217" s="791" t="s">
        <v>1923</v>
      </c>
      <c r="B217" s="792">
        <v>0</v>
      </c>
      <c r="C217" s="792">
        <v>0</v>
      </c>
      <c r="D217" s="792">
        <v>0</v>
      </c>
      <c r="E217" s="792">
        <v>0</v>
      </c>
      <c r="F217" s="792">
        <v>0</v>
      </c>
      <c r="G217" s="792">
        <v>0</v>
      </c>
      <c r="H217" s="792">
        <v>0</v>
      </c>
      <c r="I217" s="792">
        <v>0</v>
      </c>
      <c r="J217" s="792">
        <v>0</v>
      </c>
      <c r="K217" s="792">
        <v>0</v>
      </c>
      <c r="L217" s="792">
        <v>0</v>
      </c>
      <c r="M217" s="792">
        <v>0</v>
      </c>
      <c r="N217" s="792">
        <f t="shared" si="2"/>
        <v>0</v>
      </c>
    </row>
    <row r="218" spans="1:14" x14ac:dyDescent="0.25">
      <c r="A218" s="796" t="s">
        <v>1924</v>
      </c>
      <c r="B218" s="787">
        <v>0</v>
      </c>
      <c r="C218" s="787">
        <v>0</v>
      </c>
      <c r="D218" s="787">
        <v>0</v>
      </c>
      <c r="E218" s="787">
        <v>0</v>
      </c>
      <c r="F218" s="787">
        <v>0</v>
      </c>
      <c r="G218" s="787">
        <v>0</v>
      </c>
      <c r="H218" s="787">
        <v>0</v>
      </c>
      <c r="I218" s="787">
        <v>0</v>
      </c>
      <c r="J218" s="787">
        <v>0</v>
      </c>
      <c r="K218" s="787">
        <v>0</v>
      </c>
      <c r="L218" s="787">
        <v>0</v>
      </c>
      <c r="M218" s="787">
        <v>0</v>
      </c>
      <c r="N218" s="787">
        <f t="shared" si="2"/>
        <v>0</v>
      </c>
    </row>
    <row r="219" spans="1:14" ht="15.75" thickBot="1" x14ac:dyDescent="0.3">
      <c r="A219" s="791" t="s">
        <v>1925</v>
      </c>
      <c r="B219" s="792">
        <v>0</v>
      </c>
      <c r="C219" s="792">
        <v>0</v>
      </c>
      <c r="D219" s="792">
        <v>0</v>
      </c>
      <c r="E219" s="792">
        <v>0</v>
      </c>
      <c r="F219" s="792">
        <v>0</v>
      </c>
      <c r="G219" s="792">
        <v>0</v>
      </c>
      <c r="H219" s="792">
        <v>0</v>
      </c>
      <c r="I219" s="792">
        <v>0</v>
      </c>
      <c r="J219" s="792">
        <v>0</v>
      </c>
      <c r="K219" s="792">
        <v>0</v>
      </c>
      <c r="L219" s="792">
        <v>0</v>
      </c>
      <c r="M219" s="792">
        <v>0</v>
      </c>
      <c r="N219" s="792">
        <f t="shared" si="2"/>
        <v>0</v>
      </c>
    </row>
    <row r="220" spans="1:14" x14ac:dyDescent="0.25">
      <c r="A220" s="796" t="s">
        <v>1926</v>
      </c>
      <c r="B220" s="787">
        <v>0</v>
      </c>
      <c r="C220" s="787">
        <v>0</v>
      </c>
      <c r="D220" s="787">
        <v>0</v>
      </c>
      <c r="E220" s="787">
        <v>0</v>
      </c>
      <c r="F220" s="787">
        <v>0</v>
      </c>
      <c r="G220" s="787">
        <v>0</v>
      </c>
      <c r="H220" s="787">
        <v>0</v>
      </c>
      <c r="I220" s="787">
        <v>0</v>
      </c>
      <c r="J220" s="787">
        <v>0</v>
      </c>
      <c r="K220" s="787">
        <v>0</v>
      </c>
      <c r="L220" s="787">
        <v>0</v>
      </c>
      <c r="M220" s="787">
        <v>0</v>
      </c>
      <c r="N220" s="787">
        <f t="shared" si="2"/>
        <v>0</v>
      </c>
    </row>
    <row r="221" spans="1:14" ht="15.75" thickBot="1" x14ac:dyDescent="0.3">
      <c r="A221" s="791" t="s">
        <v>1927</v>
      </c>
      <c r="B221" s="792">
        <v>0</v>
      </c>
      <c r="C221" s="792">
        <v>0</v>
      </c>
      <c r="D221" s="792">
        <v>0</v>
      </c>
      <c r="E221" s="792">
        <v>0</v>
      </c>
      <c r="F221" s="792">
        <v>0</v>
      </c>
      <c r="G221" s="792">
        <v>0</v>
      </c>
      <c r="H221" s="792">
        <v>0</v>
      </c>
      <c r="I221" s="792">
        <v>0</v>
      </c>
      <c r="J221" s="792">
        <v>0</v>
      </c>
      <c r="K221" s="792">
        <v>0</v>
      </c>
      <c r="L221" s="792">
        <v>0</v>
      </c>
      <c r="M221" s="792">
        <v>0</v>
      </c>
      <c r="N221" s="792">
        <f t="shared" si="2"/>
        <v>0</v>
      </c>
    </row>
    <row r="222" spans="1:14" x14ac:dyDescent="0.25">
      <c r="A222" s="796" t="s">
        <v>1928</v>
      </c>
      <c r="B222" s="787">
        <v>0</v>
      </c>
      <c r="C222" s="787">
        <v>0</v>
      </c>
      <c r="D222" s="787">
        <v>0</v>
      </c>
      <c r="E222" s="787">
        <v>0</v>
      </c>
      <c r="F222" s="787">
        <v>0</v>
      </c>
      <c r="G222" s="787">
        <v>0</v>
      </c>
      <c r="H222" s="787">
        <v>0</v>
      </c>
      <c r="I222" s="787">
        <v>0</v>
      </c>
      <c r="J222" s="787">
        <v>0</v>
      </c>
      <c r="K222" s="787">
        <v>0</v>
      </c>
      <c r="L222" s="787">
        <v>0</v>
      </c>
      <c r="M222" s="787">
        <v>0</v>
      </c>
      <c r="N222" s="787">
        <f t="shared" si="2"/>
        <v>0</v>
      </c>
    </row>
    <row r="223" spans="1:14" x14ac:dyDescent="0.25">
      <c r="A223" s="791" t="s">
        <v>1929</v>
      </c>
      <c r="B223" s="787">
        <v>0</v>
      </c>
      <c r="C223" s="787">
        <v>0</v>
      </c>
      <c r="D223" s="787">
        <v>0</v>
      </c>
      <c r="E223" s="787">
        <v>0</v>
      </c>
      <c r="F223" s="787">
        <v>0</v>
      </c>
      <c r="G223" s="787">
        <v>0</v>
      </c>
      <c r="H223" s="787">
        <v>0</v>
      </c>
      <c r="I223" s="787">
        <v>0</v>
      </c>
      <c r="J223" s="787">
        <v>0</v>
      </c>
      <c r="K223" s="787">
        <v>0</v>
      </c>
      <c r="L223" s="787">
        <v>0</v>
      </c>
      <c r="M223" s="787">
        <v>0</v>
      </c>
      <c r="N223" s="787">
        <f t="shared" si="2"/>
        <v>0</v>
      </c>
    </row>
    <row r="224" spans="1:14" x14ac:dyDescent="0.25">
      <c r="A224" s="796" t="s">
        <v>1930</v>
      </c>
      <c r="B224" s="787">
        <v>0</v>
      </c>
      <c r="C224" s="787">
        <v>0</v>
      </c>
      <c r="D224" s="787">
        <v>0</v>
      </c>
      <c r="E224" s="787">
        <v>0</v>
      </c>
      <c r="F224" s="787">
        <v>0</v>
      </c>
      <c r="G224" s="787">
        <v>0</v>
      </c>
      <c r="H224" s="787">
        <v>0</v>
      </c>
      <c r="I224" s="787">
        <v>0</v>
      </c>
      <c r="J224" s="787">
        <v>0</v>
      </c>
      <c r="K224" s="787">
        <v>0</v>
      </c>
      <c r="L224" s="787">
        <v>0</v>
      </c>
      <c r="M224" s="787">
        <v>0</v>
      </c>
      <c r="N224" s="787">
        <f t="shared" si="2"/>
        <v>0</v>
      </c>
    </row>
    <row r="225" spans="1:27" x14ac:dyDescent="0.25">
      <c r="B225" s="789"/>
      <c r="C225" s="789"/>
      <c r="D225" s="789"/>
      <c r="E225" s="789"/>
      <c r="F225" s="789"/>
      <c r="G225" s="789"/>
      <c r="H225" s="789"/>
      <c r="I225" s="789"/>
      <c r="J225" s="789"/>
      <c r="K225" s="789"/>
      <c r="L225" s="789"/>
      <c r="M225" s="789"/>
      <c r="N225" s="789">
        <f t="shared" si="2"/>
        <v>0</v>
      </c>
      <c r="O225" s="790"/>
      <c r="P225" s="790"/>
      <c r="Q225" s="790"/>
      <c r="R225" s="790"/>
      <c r="S225" s="790"/>
      <c r="T225" s="790"/>
      <c r="U225" s="790"/>
      <c r="V225" s="790"/>
      <c r="W225" s="790"/>
      <c r="X225" s="790"/>
      <c r="Y225" s="790"/>
      <c r="Z225" s="790"/>
      <c r="AA225" s="790"/>
    </row>
    <row r="226" spans="1:27" x14ac:dyDescent="0.25">
      <c r="A226" s="784" t="s">
        <v>1931</v>
      </c>
      <c r="B226" s="785">
        <v>0</v>
      </c>
      <c r="C226" s="785">
        <v>0</v>
      </c>
      <c r="D226" s="785">
        <v>0</v>
      </c>
      <c r="E226" s="785">
        <v>0</v>
      </c>
      <c r="F226" s="785">
        <v>0</v>
      </c>
      <c r="G226" s="785">
        <v>0</v>
      </c>
      <c r="H226" s="785">
        <v>0</v>
      </c>
      <c r="I226" s="785">
        <v>0</v>
      </c>
      <c r="J226" s="785">
        <v>0</v>
      </c>
      <c r="K226" s="785">
        <v>0</v>
      </c>
      <c r="L226" s="785">
        <v>0</v>
      </c>
      <c r="M226" s="785">
        <v>0</v>
      </c>
      <c r="N226" s="785">
        <f t="shared" si="2"/>
        <v>0</v>
      </c>
      <c r="O226" s="786"/>
      <c r="P226" s="786"/>
      <c r="Q226" s="786"/>
      <c r="R226" s="786"/>
      <c r="S226" s="786"/>
      <c r="T226" s="786"/>
      <c r="U226" s="786"/>
      <c r="V226" s="786"/>
      <c r="W226" s="786"/>
      <c r="X226" s="786"/>
      <c r="Y226" s="786"/>
      <c r="Z226" s="786"/>
      <c r="AA226" s="786"/>
    </row>
    <row r="227" spans="1:27" x14ac:dyDescent="0.25">
      <c r="A227" s="791" t="s">
        <v>1796</v>
      </c>
      <c r="B227" s="789"/>
      <c r="C227" s="789"/>
      <c r="D227" s="789"/>
      <c r="E227" s="789"/>
      <c r="F227" s="789"/>
      <c r="G227" s="789"/>
      <c r="H227" s="789"/>
      <c r="I227" s="789"/>
      <c r="J227" s="789"/>
      <c r="K227" s="789"/>
      <c r="L227" s="789"/>
      <c r="M227" s="789"/>
      <c r="N227" s="789">
        <f t="shared" si="2"/>
        <v>0</v>
      </c>
      <c r="O227" s="790"/>
      <c r="P227" s="790"/>
      <c r="Q227" s="790"/>
      <c r="R227" s="790"/>
      <c r="S227" s="790"/>
      <c r="T227" s="790"/>
      <c r="U227" s="790"/>
      <c r="V227" s="790"/>
      <c r="W227" s="790"/>
      <c r="X227" s="790"/>
      <c r="Y227" s="790"/>
      <c r="Z227" s="790"/>
      <c r="AA227" s="790"/>
    </row>
    <row r="228" spans="1:27" x14ac:dyDescent="0.25">
      <c r="A228" s="791" t="s">
        <v>1932</v>
      </c>
      <c r="B228" s="787">
        <v>0</v>
      </c>
      <c r="C228" s="787">
        <v>0</v>
      </c>
      <c r="D228" s="787">
        <v>0</v>
      </c>
      <c r="E228" s="787">
        <v>0</v>
      </c>
      <c r="F228" s="787">
        <v>0</v>
      </c>
      <c r="G228" s="787">
        <v>0</v>
      </c>
      <c r="H228" s="787">
        <v>0</v>
      </c>
      <c r="I228" s="787">
        <v>0</v>
      </c>
      <c r="J228" s="787">
        <v>0</v>
      </c>
      <c r="K228" s="787">
        <v>0</v>
      </c>
      <c r="L228" s="787">
        <v>0</v>
      </c>
      <c r="M228" s="787">
        <v>0</v>
      </c>
      <c r="N228" s="787">
        <f t="shared" si="2"/>
        <v>0</v>
      </c>
    </row>
    <row r="229" spans="1:27" x14ac:dyDescent="0.25">
      <c r="A229" s="791" t="s">
        <v>1933</v>
      </c>
      <c r="B229" s="787">
        <v>0</v>
      </c>
      <c r="C229" s="787">
        <v>0</v>
      </c>
      <c r="D229" s="787">
        <v>0</v>
      </c>
      <c r="E229" s="787">
        <v>0</v>
      </c>
      <c r="F229" s="787">
        <v>0</v>
      </c>
      <c r="G229" s="787">
        <v>0</v>
      </c>
      <c r="H229" s="787">
        <v>0</v>
      </c>
      <c r="I229" s="787">
        <v>0</v>
      </c>
      <c r="J229" s="787">
        <v>0</v>
      </c>
      <c r="K229" s="787">
        <v>0</v>
      </c>
      <c r="L229" s="787">
        <v>0</v>
      </c>
      <c r="M229" s="787">
        <v>0</v>
      </c>
      <c r="N229" s="787">
        <f t="shared" si="2"/>
        <v>0</v>
      </c>
    </row>
    <row r="230" spans="1:27" x14ac:dyDescent="0.25">
      <c r="A230" s="791" t="s">
        <v>1934</v>
      </c>
      <c r="B230" s="787">
        <v>0</v>
      </c>
      <c r="C230" s="787">
        <v>0</v>
      </c>
      <c r="D230" s="787">
        <v>0</v>
      </c>
      <c r="E230" s="787">
        <v>0</v>
      </c>
      <c r="F230" s="787">
        <v>0</v>
      </c>
      <c r="G230" s="787">
        <v>0</v>
      </c>
      <c r="H230" s="787">
        <v>0</v>
      </c>
      <c r="I230" s="787">
        <v>0</v>
      </c>
      <c r="J230" s="787">
        <v>0</v>
      </c>
      <c r="K230" s="787">
        <v>0</v>
      </c>
      <c r="L230" s="787">
        <v>0</v>
      </c>
      <c r="M230" s="787">
        <v>0</v>
      </c>
      <c r="N230" s="787">
        <f t="shared" ref="N230:N294" si="3">SUM(B230:M230)</f>
        <v>0</v>
      </c>
    </row>
    <row r="231" spans="1:27" x14ac:dyDescent="0.25">
      <c r="A231" s="791" t="s">
        <v>1935</v>
      </c>
      <c r="B231" s="787">
        <v>0</v>
      </c>
      <c r="C231" s="787">
        <v>0</v>
      </c>
      <c r="D231" s="787">
        <v>0</v>
      </c>
      <c r="E231" s="787">
        <v>0</v>
      </c>
      <c r="F231" s="787">
        <v>0</v>
      </c>
      <c r="G231" s="787">
        <v>0</v>
      </c>
      <c r="H231" s="787">
        <v>0</v>
      </c>
      <c r="I231" s="787">
        <v>0</v>
      </c>
      <c r="J231" s="787">
        <v>0</v>
      </c>
      <c r="K231" s="787">
        <v>0</v>
      </c>
      <c r="L231" s="787">
        <v>0</v>
      </c>
      <c r="M231" s="787">
        <v>0</v>
      </c>
      <c r="N231" s="787">
        <f t="shared" si="3"/>
        <v>0</v>
      </c>
    </row>
    <row r="232" spans="1:27" x14ac:dyDescent="0.25">
      <c r="A232" s="791" t="s">
        <v>1936</v>
      </c>
      <c r="B232" s="787">
        <v>0</v>
      </c>
      <c r="C232" s="787">
        <v>0</v>
      </c>
      <c r="D232" s="787">
        <v>0</v>
      </c>
      <c r="E232" s="787">
        <v>0</v>
      </c>
      <c r="F232" s="787">
        <v>0</v>
      </c>
      <c r="G232" s="787">
        <v>0</v>
      </c>
      <c r="H232" s="787">
        <v>0</v>
      </c>
      <c r="I232" s="787">
        <v>0</v>
      </c>
      <c r="J232" s="787">
        <v>0</v>
      </c>
      <c r="K232" s="787">
        <v>0</v>
      </c>
      <c r="L232" s="787">
        <v>0</v>
      </c>
      <c r="M232" s="787">
        <v>0</v>
      </c>
      <c r="N232" s="787">
        <f t="shared" si="3"/>
        <v>0</v>
      </c>
    </row>
    <row r="233" spans="1:27" x14ac:dyDescent="0.25">
      <c r="A233" s="791" t="s">
        <v>1937</v>
      </c>
      <c r="B233" s="787">
        <v>0</v>
      </c>
      <c r="C233" s="787">
        <v>0</v>
      </c>
      <c r="D233" s="787">
        <v>0</v>
      </c>
      <c r="E233" s="787">
        <v>0</v>
      </c>
      <c r="F233" s="787">
        <v>0</v>
      </c>
      <c r="G233" s="787">
        <v>0</v>
      </c>
      <c r="H233" s="787">
        <v>0</v>
      </c>
      <c r="I233" s="787">
        <v>0</v>
      </c>
      <c r="J233" s="787">
        <v>0</v>
      </c>
      <c r="K233" s="787">
        <v>0</v>
      </c>
      <c r="L233" s="787">
        <v>0</v>
      </c>
      <c r="M233" s="787">
        <v>0</v>
      </c>
      <c r="N233" s="787">
        <f t="shared" si="3"/>
        <v>0</v>
      </c>
    </row>
    <row r="234" spans="1:27" x14ac:dyDescent="0.25">
      <c r="A234" s="791" t="s">
        <v>1938</v>
      </c>
      <c r="B234" s="787">
        <v>0</v>
      </c>
      <c r="C234" s="787">
        <v>0</v>
      </c>
      <c r="D234" s="787">
        <v>0</v>
      </c>
      <c r="E234" s="787">
        <v>0</v>
      </c>
      <c r="F234" s="787">
        <v>0</v>
      </c>
      <c r="G234" s="787">
        <v>0</v>
      </c>
      <c r="H234" s="787">
        <v>0</v>
      </c>
      <c r="I234" s="787">
        <v>0</v>
      </c>
      <c r="J234" s="787">
        <v>0</v>
      </c>
      <c r="K234" s="787">
        <v>0</v>
      </c>
      <c r="L234" s="787">
        <v>0</v>
      </c>
      <c r="M234" s="787">
        <v>0</v>
      </c>
      <c r="N234" s="787">
        <f t="shared" si="3"/>
        <v>0</v>
      </c>
    </row>
    <row r="235" spans="1:27" ht="15.75" thickBot="1" x14ac:dyDescent="0.3">
      <c r="A235" s="791" t="s">
        <v>1939</v>
      </c>
      <c r="B235" s="792">
        <v>0</v>
      </c>
      <c r="C235" s="792">
        <v>0</v>
      </c>
      <c r="D235" s="792">
        <v>0</v>
      </c>
      <c r="E235" s="792">
        <v>0</v>
      </c>
      <c r="F235" s="792">
        <v>0</v>
      </c>
      <c r="G235" s="792">
        <v>0</v>
      </c>
      <c r="H235" s="792">
        <v>0</v>
      </c>
      <c r="I235" s="792">
        <v>0</v>
      </c>
      <c r="J235" s="792">
        <v>0</v>
      </c>
      <c r="K235" s="792">
        <v>0</v>
      </c>
      <c r="L235" s="792">
        <v>0</v>
      </c>
      <c r="M235" s="792">
        <v>0</v>
      </c>
      <c r="N235" s="792">
        <f t="shared" si="3"/>
        <v>0</v>
      </c>
    </row>
    <row r="236" spans="1:27" x14ac:dyDescent="0.25">
      <c r="A236" s="796" t="s">
        <v>1824</v>
      </c>
      <c r="B236" s="787">
        <v>0</v>
      </c>
      <c r="C236" s="787">
        <v>0</v>
      </c>
      <c r="D236" s="787">
        <v>0</v>
      </c>
      <c r="E236" s="787">
        <v>0</v>
      </c>
      <c r="F236" s="787">
        <v>0</v>
      </c>
      <c r="G236" s="787">
        <v>0</v>
      </c>
      <c r="H236" s="787">
        <v>0</v>
      </c>
      <c r="I236" s="787">
        <v>0</v>
      </c>
      <c r="J236" s="787">
        <v>0</v>
      </c>
      <c r="K236" s="787">
        <v>0</v>
      </c>
      <c r="L236" s="787">
        <v>0</v>
      </c>
      <c r="M236" s="787">
        <v>0</v>
      </c>
      <c r="N236" s="787">
        <f t="shared" si="3"/>
        <v>0</v>
      </c>
    </row>
    <row r="237" spans="1:27" x14ac:dyDescent="0.25">
      <c r="A237" s="791" t="s">
        <v>1940</v>
      </c>
      <c r="B237" s="787">
        <v>0</v>
      </c>
      <c r="C237" s="787">
        <v>0</v>
      </c>
      <c r="D237" s="787">
        <v>0</v>
      </c>
      <c r="E237" s="787">
        <v>0</v>
      </c>
      <c r="F237" s="787">
        <v>0</v>
      </c>
      <c r="G237" s="787">
        <v>0</v>
      </c>
      <c r="H237" s="787">
        <v>0</v>
      </c>
      <c r="I237" s="787">
        <v>0</v>
      </c>
      <c r="J237" s="787">
        <v>0</v>
      </c>
      <c r="K237" s="787">
        <v>0</v>
      </c>
      <c r="L237" s="787">
        <v>0</v>
      </c>
      <c r="M237" s="787">
        <v>0</v>
      </c>
      <c r="N237" s="787">
        <f t="shared" si="3"/>
        <v>0</v>
      </c>
    </row>
    <row r="238" spans="1:27" x14ac:dyDescent="0.25">
      <c r="A238" s="791" t="s">
        <v>1941</v>
      </c>
      <c r="B238" s="787">
        <v>0</v>
      </c>
      <c r="C238" s="787">
        <v>0</v>
      </c>
      <c r="D238" s="787">
        <v>0</v>
      </c>
      <c r="E238" s="787">
        <v>0</v>
      </c>
      <c r="F238" s="787">
        <v>0</v>
      </c>
      <c r="G238" s="787">
        <v>0</v>
      </c>
      <c r="H238" s="787">
        <v>0</v>
      </c>
      <c r="I238" s="787">
        <v>0</v>
      </c>
      <c r="J238" s="787">
        <v>0</v>
      </c>
      <c r="K238" s="787">
        <v>0</v>
      </c>
      <c r="L238" s="787">
        <v>0</v>
      </c>
      <c r="M238" s="787">
        <v>0</v>
      </c>
      <c r="N238" s="787">
        <f t="shared" si="3"/>
        <v>0</v>
      </c>
    </row>
    <row r="239" spans="1:27" x14ac:dyDescent="0.25">
      <c r="A239" s="791" t="s">
        <v>1942</v>
      </c>
      <c r="B239" s="787">
        <v>0</v>
      </c>
      <c r="C239" s="787">
        <v>0</v>
      </c>
      <c r="D239" s="787">
        <v>0</v>
      </c>
      <c r="E239" s="787">
        <v>0</v>
      </c>
      <c r="F239" s="787">
        <v>0</v>
      </c>
      <c r="G239" s="787">
        <v>0</v>
      </c>
      <c r="H239" s="787">
        <v>0</v>
      </c>
      <c r="I239" s="787">
        <v>0</v>
      </c>
      <c r="J239" s="787">
        <v>0</v>
      </c>
      <c r="K239" s="787">
        <v>0</v>
      </c>
      <c r="L239" s="787">
        <v>0</v>
      </c>
      <c r="M239" s="787">
        <v>0</v>
      </c>
      <c r="N239" s="787">
        <f t="shared" si="3"/>
        <v>0</v>
      </c>
    </row>
    <row r="240" spans="1:27" x14ac:dyDescent="0.25">
      <c r="A240" s="791" t="s">
        <v>1943</v>
      </c>
      <c r="B240" s="787">
        <v>0</v>
      </c>
      <c r="C240" s="787">
        <v>0</v>
      </c>
      <c r="D240" s="787">
        <v>0</v>
      </c>
      <c r="E240" s="787">
        <v>0</v>
      </c>
      <c r="F240" s="787">
        <v>0</v>
      </c>
      <c r="G240" s="787">
        <v>0</v>
      </c>
      <c r="H240" s="787">
        <v>0</v>
      </c>
      <c r="I240" s="787">
        <v>0</v>
      </c>
      <c r="J240" s="787">
        <v>0</v>
      </c>
      <c r="K240" s="787">
        <v>0</v>
      </c>
      <c r="L240" s="787">
        <v>0</v>
      </c>
      <c r="M240" s="787">
        <v>0</v>
      </c>
      <c r="N240" s="787">
        <f t="shared" si="3"/>
        <v>0</v>
      </c>
    </row>
    <row r="241" spans="1:27" x14ac:dyDescent="0.25">
      <c r="A241" s="791" t="s">
        <v>1944</v>
      </c>
      <c r="B241" s="787">
        <v>0</v>
      </c>
      <c r="C241" s="787">
        <v>0</v>
      </c>
      <c r="D241" s="787">
        <v>0</v>
      </c>
      <c r="E241" s="787">
        <v>0</v>
      </c>
      <c r="F241" s="787">
        <v>0</v>
      </c>
      <c r="G241" s="787">
        <v>0</v>
      </c>
      <c r="H241" s="787">
        <v>0</v>
      </c>
      <c r="I241" s="787">
        <v>0</v>
      </c>
      <c r="J241" s="787">
        <v>0</v>
      </c>
      <c r="K241" s="787">
        <v>0</v>
      </c>
      <c r="L241" s="787">
        <v>0</v>
      </c>
      <c r="M241" s="787">
        <v>0</v>
      </c>
      <c r="N241" s="787">
        <f t="shared" si="3"/>
        <v>0</v>
      </c>
    </row>
    <row r="242" spans="1:27" x14ac:dyDescent="0.25">
      <c r="A242" s="791" t="s">
        <v>1945</v>
      </c>
      <c r="B242" s="787">
        <v>0</v>
      </c>
      <c r="C242" s="787">
        <v>0</v>
      </c>
      <c r="D242" s="787">
        <v>0</v>
      </c>
      <c r="E242" s="787">
        <v>0</v>
      </c>
      <c r="F242" s="787">
        <v>0</v>
      </c>
      <c r="G242" s="787">
        <v>0</v>
      </c>
      <c r="H242" s="787">
        <v>0</v>
      </c>
      <c r="I242" s="787">
        <v>0</v>
      </c>
      <c r="J242" s="787">
        <v>0</v>
      </c>
      <c r="K242" s="787">
        <v>0</v>
      </c>
      <c r="L242" s="787">
        <v>0</v>
      </c>
      <c r="M242" s="787">
        <v>0</v>
      </c>
      <c r="N242" s="787">
        <f t="shared" si="3"/>
        <v>0</v>
      </c>
    </row>
    <row r="243" spans="1:27" ht="15.75" thickBot="1" x14ac:dyDescent="0.3">
      <c r="A243" s="791" t="s">
        <v>1946</v>
      </c>
      <c r="B243" s="792">
        <v>0</v>
      </c>
      <c r="C243" s="792">
        <v>0</v>
      </c>
      <c r="D243" s="792">
        <v>0</v>
      </c>
      <c r="E243" s="792">
        <v>0</v>
      </c>
      <c r="F243" s="792">
        <v>0</v>
      </c>
      <c r="G243" s="792">
        <v>0</v>
      </c>
      <c r="H243" s="792">
        <v>0</v>
      </c>
      <c r="I243" s="792">
        <v>0</v>
      </c>
      <c r="J243" s="792">
        <v>0</v>
      </c>
      <c r="K243" s="792">
        <v>0</v>
      </c>
      <c r="L243" s="792">
        <v>0</v>
      </c>
      <c r="M243" s="792">
        <v>0</v>
      </c>
      <c r="N243" s="792">
        <f t="shared" si="3"/>
        <v>0</v>
      </c>
    </row>
    <row r="244" spans="1:27" x14ac:dyDescent="0.25">
      <c r="A244" s="796" t="s">
        <v>1947</v>
      </c>
      <c r="B244" s="787">
        <v>0</v>
      </c>
      <c r="C244" s="787">
        <v>0</v>
      </c>
      <c r="D244" s="787">
        <v>0</v>
      </c>
      <c r="E244" s="787">
        <v>0</v>
      </c>
      <c r="F244" s="787">
        <v>0</v>
      </c>
      <c r="G244" s="787">
        <v>0</v>
      </c>
      <c r="H244" s="787">
        <v>0</v>
      </c>
      <c r="I244" s="787">
        <v>0</v>
      </c>
      <c r="J244" s="787">
        <v>0</v>
      </c>
      <c r="K244" s="787">
        <v>0</v>
      </c>
      <c r="L244" s="787">
        <v>0</v>
      </c>
      <c r="M244" s="787">
        <v>0</v>
      </c>
      <c r="N244" s="787">
        <f t="shared" si="3"/>
        <v>0</v>
      </c>
    </row>
    <row r="245" spans="1:27" x14ac:dyDescent="0.25">
      <c r="A245" s="791" t="s">
        <v>1948</v>
      </c>
      <c r="B245" s="787">
        <v>0</v>
      </c>
      <c r="C245" s="787">
        <v>0</v>
      </c>
      <c r="D245" s="787">
        <v>0</v>
      </c>
      <c r="E245" s="787">
        <v>0</v>
      </c>
      <c r="F245" s="787">
        <v>0</v>
      </c>
      <c r="G245" s="787">
        <v>0</v>
      </c>
      <c r="H245" s="787">
        <v>0</v>
      </c>
      <c r="I245" s="787">
        <v>0</v>
      </c>
      <c r="J245" s="787">
        <v>0</v>
      </c>
      <c r="K245" s="787">
        <v>0</v>
      </c>
      <c r="L245" s="787">
        <v>0</v>
      </c>
      <c r="M245" s="787">
        <v>0</v>
      </c>
      <c r="N245" s="787">
        <f t="shared" si="3"/>
        <v>0</v>
      </c>
    </row>
    <row r="246" spans="1:27" ht="15.75" thickBot="1" x14ac:dyDescent="0.3">
      <c r="A246" s="791" t="s">
        <v>1949</v>
      </c>
      <c r="B246" s="792">
        <v>0</v>
      </c>
      <c r="C246" s="792">
        <v>0</v>
      </c>
      <c r="D246" s="792">
        <v>0</v>
      </c>
      <c r="E246" s="792">
        <v>0</v>
      </c>
      <c r="F246" s="792">
        <v>0</v>
      </c>
      <c r="G246" s="792">
        <v>0</v>
      </c>
      <c r="H246" s="792">
        <v>0</v>
      </c>
      <c r="I246" s="792">
        <v>0</v>
      </c>
      <c r="J246" s="792">
        <v>0</v>
      </c>
      <c r="K246" s="792">
        <v>0</v>
      </c>
      <c r="L246" s="792">
        <v>0</v>
      </c>
      <c r="M246" s="792">
        <v>0</v>
      </c>
      <c r="N246" s="792">
        <f t="shared" si="3"/>
        <v>0</v>
      </c>
    </row>
    <row r="247" spans="1:27" x14ac:dyDescent="0.25">
      <c r="A247" s="796" t="s">
        <v>1833</v>
      </c>
      <c r="B247" s="787">
        <v>0</v>
      </c>
      <c r="C247" s="787">
        <v>0</v>
      </c>
      <c r="D247" s="787">
        <v>0</v>
      </c>
      <c r="E247" s="787">
        <v>0</v>
      </c>
      <c r="F247" s="787">
        <v>0</v>
      </c>
      <c r="G247" s="787">
        <v>0</v>
      </c>
      <c r="H247" s="787">
        <v>0</v>
      </c>
      <c r="I247" s="787">
        <v>0</v>
      </c>
      <c r="J247" s="787">
        <v>0</v>
      </c>
      <c r="K247" s="787">
        <v>0</v>
      </c>
      <c r="L247" s="787">
        <v>0</v>
      </c>
      <c r="M247" s="787">
        <v>0</v>
      </c>
      <c r="N247" s="787">
        <f t="shared" si="3"/>
        <v>0</v>
      </c>
    </row>
    <row r="248" spans="1:27" x14ac:dyDescent="0.25">
      <c r="B248" s="789"/>
      <c r="C248" s="789"/>
      <c r="D248" s="789"/>
      <c r="E248" s="789"/>
      <c r="F248" s="789"/>
      <c r="G248" s="789"/>
      <c r="H248" s="789"/>
      <c r="I248" s="789"/>
      <c r="J248" s="789"/>
      <c r="K248" s="789"/>
      <c r="L248" s="789"/>
      <c r="M248" s="789"/>
      <c r="N248" s="789">
        <f t="shared" si="3"/>
        <v>0</v>
      </c>
      <c r="O248" s="790"/>
      <c r="P248" s="790"/>
      <c r="Q248" s="790"/>
      <c r="R248" s="790"/>
      <c r="S248" s="790"/>
      <c r="T248" s="790"/>
      <c r="U248" s="790"/>
      <c r="V248" s="790"/>
      <c r="W248" s="790"/>
      <c r="X248" s="790"/>
      <c r="Y248" s="790"/>
      <c r="Z248" s="790"/>
      <c r="AA248" s="790"/>
    </row>
    <row r="249" spans="1:27" x14ac:dyDescent="0.25">
      <c r="A249" s="784" t="s">
        <v>1950</v>
      </c>
      <c r="B249" s="785">
        <v>0</v>
      </c>
      <c r="C249" s="785">
        <v>0</v>
      </c>
      <c r="D249" s="785">
        <v>0</v>
      </c>
      <c r="E249" s="785">
        <v>0</v>
      </c>
      <c r="F249" s="785">
        <v>0</v>
      </c>
      <c r="G249" s="785">
        <v>0</v>
      </c>
      <c r="H249" s="785">
        <v>0</v>
      </c>
      <c r="I249" s="785">
        <v>0</v>
      </c>
      <c r="J249" s="785">
        <v>0</v>
      </c>
      <c r="K249" s="785">
        <v>0</v>
      </c>
      <c r="L249" s="785">
        <v>0</v>
      </c>
      <c r="M249" s="785">
        <v>0</v>
      </c>
      <c r="N249" s="785">
        <f t="shared" si="3"/>
        <v>0</v>
      </c>
      <c r="O249" s="786"/>
      <c r="P249" s="786"/>
      <c r="Q249" s="786"/>
      <c r="R249" s="786"/>
      <c r="S249" s="786"/>
      <c r="T249" s="786"/>
      <c r="U249" s="786"/>
      <c r="V249" s="786"/>
      <c r="W249" s="786"/>
      <c r="X249" s="786"/>
      <c r="Y249" s="786"/>
      <c r="Z249" s="786"/>
      <c r="AA249" s="786"/>
    </row>
    <row r="250" spans="1:27" x14ac:dyDescent="0.25">
      <c r="A250" s="791" t="s">
        <v>1796</v>
      </c>
      <c r="B250" s="789"/>
      <c r="C250" s="789"/>
      <c r="D250" s="789"/>
      <c r="E250" s="789"/>
      <c r="F250" s="789"/>
      <c r="G250" s="789"/>
      <c r="H250" s="789"/>
      <c r="I250" s="789"/>
      <c r="J250" s="789"/>
      <c r="K250" s="789"/>
      <c r="L250" s="789"/>
      <c r="M250" s="789"/>
      <c r="N250" s="789">
        <f t="shared" si="3"/>
        <v>0</v>
      </c>
      <c r="O250" s="790"/>
      <c r="P250" s="790"/>
      <c r="Q250" s="790"/>
      <c r="R250" s="790"/>
      <c r="S250" s="790"/>
      <c r="T250" s="790"/>
      <c r="U250" s="790"/>
      <c r="V250" s="790"/>
      <c r="W250" s="790"/>
      <c r="X250" s="790"/>
      <c r="Y250" s="790"/>
      <c r="Z250" s="790"/>
      <c r="AA250" s="790"/>
    </row>
    <row r="251" spans="1:27" ht="15.75" thickBot="1" x14ac:dyDescent="0.3">
      <c r="A251" s="791" t="s">
        <v>1951</v>
      </c>
      <c r="B251" s="792">
        <v>0</v>
      </c>
      <c r="C251" s="792">
        <v>0</v>
      </c>
      <c r="D251" s="792">
        <v>0</v>
      </c>
      <c r="E251" s="792">
        <v>0</v>
      </c>
      <c r="F251" s="792">
        <v>0</v>
      </c>
      <c r="G251" s="792">
        <v>0</v>
      </c>
      <c r="H251" s="792">
        <v>0</v>
      </c>
      <c r="I251" s="792">
        <v>0</v>
      </c>
      <c r="J251" s="792">
        <v>0</v>
      </c>
      <c r="K251" s="792">
        <v>0</v>
      </c>
      <c r="L251" s="792">
        <v>0</v>
      </c>
      <c r="M251" s="792">
        <v>0</v>
      </c>
      <c r="N251" s="792">
        <f t="shared" si="3"/>
        <v>0</v>
      </c>
    </row>
    <row r="252" spans="1:27" x14ac:dyDescent="0.25">
      <c r="A252" s="791" t="s">
        <v>1952</v>
      </c>
      <c r="B252" s="787">
        <v>0</v>
      </c>
      <c r="C252" s="787">
        <v>0</v>
      </c>
      <c r="D252" s="787">
        <v>0</v>
      </c>
      <c r="E252" s="787">
        <v>0</v>
      </c>
      <c r="F252" s="787">
        <v>0</v>
      </c>
      <c r="G252" s="787">
        <v>0</v>
      </c>
      <c r="H252" s="787">
        <v>0</v>
      </c>
      <c r="I252" s="787">
        <v>0</v>
      </c>
      <c r="J252" s="787">
        <v>0</v>
      </c>
      <c r="K252" s="787">
        <v>0</v>
      </c>
      <c r="L252" s="787">
        <v>0</v>
      </c>
      <c r="M252" s="787">
        <v>0</v>
      </c>
      <c r="N252" s="787">
        <f t="shared" si="3"/>
        <v>0</v>
      </c>
    </row>
    <row r="253" spans="1:27" x14ac:dyDescent="0.25">
      <c r="A253" s="791" t="s">
        <v>1953</v>
      </c>
      <c r="B253" s="787">
        <v>0</v>
      </c>
      <c r="C253" s="787">
        <v>0</v>
      </c>
      <c r="D253" s="787">
        <v>0</v>
      </c>
      <c r="E253" s="787">
        <v>0</v>
      </c>
      <c r="F253" s="787">
        <v>0</v>
      </c>
      <c r="G253" s="787">
        <v>0</v>
      </c>
      <c r="H253" s="787">
        <v>0</v>
      </c>
      <c r="I253" s="787">
        <v>0</v>
      </c>
      <c r="J253" s="787">
        <v>0</v>
      </c>
      <c r="K253" s="787">
        <v>0</v>
      </c>
      <c r="L253" s="787">
        <v>0</v>
      </c>
      <c r="M253" s="787">
        <v>0</v>
      </c>
      <c r="N253" s="787">
        <f t="shared" si="3"/>
        <v>0</v>
      </c>
    </row>
    <row r="254" spans="1:27" ht="15.75" thickBot="1" x14ac:dyDescent="0.3">
      <c r="A254" s="791" t="s">
        <v>1954</v>
      </c>
      <c r="B254" s="792">
        <v>0</v>
      </c>
      <c r="C254" s="792">
        <v>0</v>
      </c>
      <c r="D254" s="792">
        <v>0</v>
      </c>
      <c r="E254" s="792">
        <v>0</v>
      </c>
      <c r="F254" s="792">
        <v>0</v>
      </c>
      <c r="G254" s="792">
        <v>0</v>
      </c>
      <c r="H254" s="792">
        <v>0</v>
      </c>
      <c r="I254" s="792">
        <v>0</v>
      </c>
      <c r="J254" s="792">
        <v>0</v>
      </c>
      <c r="K254" s="792">
        <v>0</v>
      </c>
      <c r="L254" s="792">
        <v>0</v>
      </c>
      <c r="M254" s="792">
        <v>0</v>
      </c>
      <c r="N254" s="792">
        <f t="shared" si="3"/>
        <v>0</v>
      </c>
    </row>
    <row r="255" spans="1:27" x14ac:dyDescent="0.25">
      <c r="B255" s="788">
        <v>0</v>
      </c>
      <c r="C255" s="788">
        <v>0</v>
      </c>
      <c r="D255" s="788">
        <v>0</v>
      </c>
      <c r="E255" s="788">
        <v>0</v>
      </c>
      <c r="F255" s="788">
        <v>0</v>
      </c>
      <c r="G255" s="788">
        <v>0</v>
      </c>
      <c r="H255" s="788">
        <v>0</v>
      </c>
      <c r="I255" s="788">
        <v>0</v>
      </c>
      <c r="J255" s="788">
        <v>0</v>
      </c>
      <c r="K255" s="788">
        <v>0</v>
      </c>
      <c r="L255" s="788">
        <v>0</v>
      </c>
      <c r="M255" s="788">
        <v>0</v>
      </c>
      <c r="N255" s="788"/>
    </row>
    <row r="256" spans="1:27" x14ac:dyDescent="0.25">
      <c r="A256" s="796" t="s">
        <v>1824</v>
      </c>
      <c r="B256" s="787">
        <v>0</v>
      </c>
      <c r="C256" s="787">
        <v>0</v>
      </c>
      <c r="D256" s="787">
        <v>0</v>
      </c>
      <c r="E256" s="787">
        <v>0</v>
      </c>
      <c r="F256" s="787">
        <v>0</v>
      </c>
      <c r="G256" s="787">
        <v>0</v>
      </c>
      <c r="H256" s="787">
        <v>0</v>
      </c>
      <c r="I256" s="787">
        <v>0</v>
      </c>
      <c r="J256" s="787">
        <v>0</v>
      </c>
      <c r="K256" s="787">
        <v>0</v>
      </c>
      <c r="L256" s="787">
        <v>0</v>
      </c>
      <c r="M256" s="787">
        <v>0</v>
      </c>
      <c r="N256" s="787">
        <f t="shared" si="3"/>
        <v>0</v>
      </c>
    </row>
    <row r="257" spans="1:27" ht="15.75" thickBot="1" x14ac:dyDescent="0.3">
      <c r="A257" s="791" t="s">
        <v>1955</v>
      </c>
      <c r="B257" s="792">
        <v>0</v>
      </c>
      <c r="C257" s="792">
        <v>0</v>
      </c>
      <c r="D257" s="792">
        <v>0</v>
      </c>
      <c r="E257" s="792">
        <v>0</v>
      </c>
      <c r="F257" s="792">
        <v>0</v>
      </c>
      <c r="G257" s="792">
        <v>0</v>
      </c>
      <c r="H257" s="792">
        <v>0</v>
      </c>
      <c r="I257" s="792">
        <v>0</v>
      </c>
      <c r="J257" s="792">
        <v>0</v>
      </c>
      <c r="K257" s="792">
        <v>0</v>
      </c>
      <c r="L257" s="792">
        <v>0</v>
      </c>
      <c r="M257" s="792">
        <v>0</v>
      </c>
      <c r="N257" s="792">
        <f t="shared" si="3"/>
        <v>0</v>
      </c>
    </row>
    <row r="258" spans="1:27" x14ac:dyDescent="0.25">
      <c r="A258" s="796" t="s">
        <v>1947</v>
      </c>
      <c r="B258" s="787">
        <v>0</v>
      </c>
      <c r="C258" s="787">
        <v>0</v>
      </c>
      <c r="D258" s="787">
        <v>0</v>
      </c>
      <c r="E258" s="787">
        <v>0</v>
      </c>
      <c r="F258" s="787">
        <v>0</v>
      </c>
      <c r="G258" s="787">
        <v>0</v>
      </c>
      <c r="H258" s="787">
        <v>0</v>
      </c>
      <c r="I258" s="787">
        <v>0</v>
      </c>
      <c r="J258" s="787">
        <v>0</v>
      </c>
      <c r="K258" s="787">
        <v>0</v>
      </c>
      <c r="L258" s="787">
        <v>0</v>
      </c>
      <c r="M258" s="787">
        <v>0</v>
      </c>
      <c r="N258" s="787">
        <f t="shared" si="3"/>
        <v>0</v>
      </c>
    </row>
    <row r="259" spans="1:27" ht="15.75" thickBot="1" x14ac:dyDescent="0.3">
      <c r="A259" s="791" t="s">
        <v>1956</v>
      </c>
      <c r="B259" s="792">
        <v>0</v>
      </c>
      <c r="C259" s="792">
        <v>0</v>
      </c>
      <c r="D259" s="792">
        <v>0</v>
      </c>
      <c r="E259" s="792">
        <v>0</v>
      </c>
      <c r="F259" s="792">
        <v>0</v>
      </c>
      <c r="G259" s="792">
        <v>0</v>
      </c>
      <c r="H259" s="792">
        <v>0</v>
      </c>
      <c r="I259" s="792">
        <v>0</v>
      </c>
      <c r="J259" s="792">
        <v>0</v>
      </c>
      <c r="K259" s="792">
        <v>0</v>
      </c>
      <c r="L259" s="792">
        <v>0</v>
      </c>
      <c r="M259" s="792">
        <v>0</v>
      </c>
      <c r="N259" s="792">
        <f t="shared" si="3"/>
        <v>0</v>
      </c>
    </row>
    <row r="260" spans="1:27" x14ac:dyDescent="0.25">
      <c r="A260" s="796" t="s">
        <v>1833</v>
      </c>
      <c r="B260" s="787">
        <v>0</v>
      </c>
      <c r="C260" s="787">
        <v>0</v>
      </c>
      <c r="D260" s="787">
        <v>0</v>
      </c>
      <c r="E260" s="787">
        <v>0</v>
      </c>
      <c r="F260" s="787">
        <v>0</v>
      </c>
      <c r="G260" s="787">
        <v>0</v>
      </c>
      <c r="H260" s="787">
        <v>0</v>
      </c>
      <c r="I260" s="787">
        <v>0</v>
      </c>
      <c r="J260" s="787">
        <v>0</v>
      </c>
      <c r="K260" s="787">
        <v>0</v>
      </c>
      <c r="L260" s="787">
        <v>0</v>
      </c>
      <c r="M260" s="787">
        <v>0</v>
      </c>
      <c r="N260" s="787">
        <f t="shared" si="3"/>
        <v>0</v>
      </c>
    </row>
    <row r="261" spans="1:27" x14ac:dyDescent="0.25">
      <c r="B261" s="789"/>
      <c r="C261" s="789"/>
      <c r="D261" s="789"/>
      <c r="E261" s="789"/>
      <c r="F261" s="789"/>
      <c r="G261" s="789"/>
      <c r="H261" s="789"/>
      <c r="I261" s="789"/>
      <c r="J261" s="789"/>
      <c r="K261" s="789"/>
      <c r="L261" s="789"/>
      <c r="M261" s="789"/>
      <c r="N261" s="789">
        <f t="shared" si="3"/>
        <v>0</v>
      </c>
      <c r="O261" s="790"/>
      <c r="P261" s="790"/>
      <c r="Q261" s="790"/>
      <c r="R261" s="790"/>
      <c r="S261" s="790"/>
      <c r="T261" s="790"/>
      <c r="U261" s="790"/>
      <c r="V261" s="790"/>
      <c r="W261" s="790"/>
      <c r="X261" s="790"/>
      <c r="Y261" s="790"/>
      <c r="Z261" s="790"/>
      <c r="AA261" s="790"/>
    </row>
    <row r="262" spans="1:27" x14ac:dyDescent="0.25">
      <c r="A262" s="784" t="s">
        <v>1957</v>
      </c>
      <c r="B262" s="785">
        <v>0</v>
      </c>
      <c r="C262" s="785">
        <v>0</v>
      </c>
      <c r="D262" s="785">
        <v>0</v>
      </c>
      <c r="E262" s="785">
        <v>0</v>
      </c>
      <c r="F262" s="785">
        <v>0</v>
      </c>
      <c r="G262" s="785">
        <v>0</v>
      </c>
      <c r="H262" s="785">
        <v>0</v>
      </c>
      <c r="I262" s="785">
        <v>0</v>
      </c>
      <c r="J262" s="785">
        <v>0</v>
      </c>
      <c r="K262" s="785">
        <v>0</v>
      </c>
      <c r="L262" s="785">
        <v>0</v>
      </c>
      <c r="M262" s="785">
        <v>0</v>
      </c>
      <c r="N262" s="785">
        <f t="shared" si="3"/>
        <v>0</v>
      </c>
      <c r="O262" s="786"/>
      <c r="P262" s="786"/>
      <c r="Q262" s="786"/>
      <c r="R262" s="786"/>
      <c r="S262" s="786"/>
      <c r="T262" s="786"/>
      <c r="U262" s="786"/>
      <c r="V262" s="786"/>
      <c r="W262" s="786"/>
      <c r="X262" s="786"/>
      <c r="Y262" s="786"/>
      <c r="Z262" s="786"/>
      <c r="AA262" s="786"/>
    </row>
    <row r="263" spans="1:27" x14ac:dyDescent="0.25">
      <c r="A263" s="791" t="s">
        <v>1796</v>
      </c>
      <c r="B263" s="789"/>
      <c r="C263" s="789"/>
      <c r="D263" s="789"/>
      <c r="E263" s="789"/>
      <c r="F263" s="789"/>
      <c r="G263" s="789"/>
      <c r="H263" s="789"/>
      <c r="I263" s="789"/>
      <c r="J263" s="789"/>
      <c r="K263" s="789"/>
      <c r="L263" s="789"/>
      <c r="M263" s="789"/>
      <c r="N263" s="789">
        <f t="shared" si="3"/>
        <v>0</v>
      </c>
      <c r="O263" s="790"/>
      <c r="P263" s="790"/>
      <c r="Q263" s="790"/>
      <c r="R263" s="790"/>
      <c r="S263" s="790"/>
      <c r="T263" s="790"/>
      <c r="U263" s="790"/>
      <c r="V263" s="790"/>
      <c r="W263" s="790"/>
      <c r="X263" s="790"/>
      <c r="Y263" s="790"/>
      <c r="Z263" s="790"/>
      <c r="AA263" s="790"/>
    </row>
    <row r="264" spans="1:27" x14ac:dyDescent="0.25">
      <c r="A264" s="791" t="s">
        <v>1958</v>
      </c>
      <c r="B264" s="787">
        <v>0</v>
      </c>
      <c r="C264" s="787">
        <v>0</v>
      </c>
      <c r="D264" s="787">
        <v>0</v>
      </c>
      <c r="E264" s="787">
        <v>0</v>
      </c>
      <c r="F264" s="787">
        <v>0</v>
      </c>
      <c r="G264" s="787">
        <v>0</v>
      </c>
      <c r="H264" s="787">
        <v>0</v>
      </c>
      <c r="I264" s="787">
        <v>0</v>
      </c>
      <c r="J264" s="787">
        <v>0</v>
      </c>
      <c r="K264" s="787">
        <v>0</v>
      </c>
      <c r="L264" s="787">
        <v>0</v>
      </c>
      <c r="M264" s="787">
        <v>0</v>
      </c>
      <c r="N264" s="787">
        <f t="shared" si="3"/>
        <v>0</v>
      </c>
    </row>
    <row r="265" spans="1:27" x14ac:dyDescent="0.25">
      <c r="A265" s="791" t="s">
        <v>1959</v>
      </c>
      <c r="B265" s="787">
        <v>0</v>
      </c>
      <c r="C265" s="787">
        <v>0</v>
      </c>
      <c r="D265" s="787">
        <v>0</v>
      </c>
      <c r="E265" s="787">
        <v>0</v>
      </c>
      <c r="F265" s="787">
        <v>0</v>
      </c>
      <c r="G265" s="787">
        <v>0</v>
      </c>
      <c r="H265" s="787">
        <v>0</v>
      </c>
      <c r="I265" s="787">
        <v>0</v>
      </c>
      <c r="J265" s="787">
        <v>0</v>
      </c>
      <c r="K265" s="787">
        <v>0</v>
      </c>
      <c r="L265" s="787">
        <v>0</v>
      </c>
      <c r="M265" s="787">
        <v>0</v>
      </c>
      <c r="N265" s="787">
        <f t="shared" si="3"/>
        <v>0</v>
      </c>
    </row>
    <row r="266" spans="1:27" x14ac:dyDescent="0.25">
      <c r="A266" s="791" t="s">
        <v>1960</v>
      </c>
      <c r="B266" s="787">
        <v>0</v>
      </c>
      <c r="C266" s="787">
        <v>0</v>
      </c>
      <c r="D266" s="787">
        <v>0</v>
      </c>
      <c r="E266" s="787">
        <v>0</v>
      </c>
      <c r="F266" s="787">
        <v>0</v>
      </c>
      <c r="G266" s="787">
        <v>0</v>
      </c>
      <c r="H266" s="787">
        <v>0</v>
      </c>
      <c r="I266" s="787">
        <v>0</v>
      </c>
      <c r="J266" s="787">
        <v>0</v>
      </c>
      <c r="K266" s="787">
        <v>0</v>
      </c>
      <c r="L266" s="787">
        <v>0</v>
      </c>
      <c r="M266" s="787">
        <v>0</v>
      </c>
      <c r="N266" s="787">
        <f t="shared" si="3"/>
        <v>0</v>
      </c>
    </row>
    <row r="267" spans="1:27" x14ac:dyDescent="0.25">
      <c r="A267" s="791" t="s">
        <v>1961</v>
      </c>
      <c r="B267" s="787">
        <v>0</v>
      </c>
      <c r="C267" s="787">
        <v>0</v>
      </c>
      <c r="D267" s="787">
        <v>0</v>
      </c>
      <c r="E267" s="787">
        <v>0</v>
      </c>
      <c r="F267" s="787">
        <v>0</v>
      </c>
      <c r="G267" s="787">
        <v>0</v>
      </c>
      <c r="H267" s="787">
        <v>0</v>
      </c>
      <c r="I267" s="787">
        <v>0</v>
      </c>
      <c r="J267" s="787">
        <v>0</v>
      </c>
      <c r="K267" s="787">
        <v>0</v>
      </c>
      <c r="L267" s="787">
        <v>0</v>
      </c>
      <c r="M267" s="787">
        <v>0</v>
      </c>
      <c r="N267" s="787">
        <f t="shared" si="3"/>
        <v>0</v>
      </c>
    </row>
    <row r="268" spans="1:27" x14ac:dyDescent="0.25">
      <c r="A268" s="791" t="s">
        <v>1962</v>
      </c>
      <c r="B268" s="787">
        <v>0</v>
      </c>
      <c r="C268" s="787">
        <v>0</v>
      </c>
      <c r="D268" s="787">
        <v>0</v>
      </c>
      <c r="E268" s="787">
        <v>0</v>
      </c>
      <c r="F268" s="787">
        <v>0</v>
      </c>
      <c r="G268" s="787">
        <v>0</v>
      </c>
      <c r="H268" s="787">
        <v>0</v>
      </c>
      <c r="I268" s="787">
        <v>0</v>
      </c>
      <c r="J268" s="787">
        <v>0</v>
      </c>
      <c r="K268" s="787">
        <v>0</v>
      </c>
      <c r="L268" s="787">
        <v>0</v>
      </c>
      <c r="M268" s="787">
        <v>0</v>
      </c>
      <c r="N268" s="787">
        <f t="shared" si="3"/>
        <v>0</v>
      </c>
    </row>
    <row r="269" spans="1:27" x14ac:dyDescent="0.25">
      <c r="A269" s="791" t="s">
        <v>1963</v>
      </c>
      <c r="B269" s="787">
        <v>0</v>
      </c>
      <c r="C269" s="787">
        <v>0</v>
      </c>
      <c r="D269" s="787">
        <v>0</v>
      </c>
      <c r="E269" s="787">
        <v>0</v>
      </c>
      <c r="F269" s="787">
        <v>0</v>
      </c>
      <c r="G269" s="787">
        <v>0</v>
      </c>
      <c r="H269" s="787">
        <v>0</v>
      </c>
      <c r="I269" s="787">
        <v>0</v>
      </c>
      <c r="J269" s="787">
        <v>0</v>
      </c>
      <c r="K269" s="787">
        <v>0</v>
      </c>
      <c r="L269" s="787">
        <v>0</v>
      </c>
      <c r="M269" s="787">
        <v>0</v>
      </c>
      <c r="N269" s="787">
        <f t="shared" si="3"/>
        <v>0</v>
      </c>
    </row>
    <row r="270" spans="1:27" x14ac:dyDescent="0.25">
      <c r="A270" s="791" t="s">
        <v>1964</v>
      </c>
      <c r="B270" s="787">
        <v>0</v>
      </c>
      <c r="C270" s="787">
        <v>0</v>
      </c>
      <c r="D270" s="787">
        <v>0</v>
      </c>
      <c r="E270" s="787">
        <v>0</v>
      </c>
      <c r="F270" s="787">
        <v>0</v>
      </c>
      <c r="G270" s="787">
        <v>0</v>
      </c>
      <c r="H270" s="787">
        <v>0</v>
      </c>
      <c r="I270" s="787">
        <v>0</v>
      </c>
      <c r="J270" s="787">
        <v>0</v>
      </c>
      <c r="K270" s="787">
        <v>0</v>
      </c>
      <c r="L270" s="787">
        <v>0</v>
      </c>
      <c r="M270" s="787">
        <v>0</v>
      </c>
      <c r="N270" s="787">
        <f t="shared" si="3"/>
        <v>0</v>
      </c>
    </row>
    <row r="271" spans="1:27" x14ac:dyDescent="0.25">
      <c r="A271" s="791" t="s">
        <v>1965</v>
      </c>
      <c r="B271" s="787">
        <v>0</v>
      </c>
      <c r="C271" s="787">
        <v>0</v>
      </c>
      <c r="D271" s="787">
        <v>0</v>
      </c>
      <c r="E271" s="787">
        <v>0</v>
      </c>
      <c r="F271" s="787">
        <v>0</v>
      </c>
      <c r="G271" s="787">
        <v>0</v>
      </c>
      <c r="H271" s="787">
        <v>0</v>
      </c>
      <c r="I271" s="787">
        <v>0</v>
      </c>
      <c r="J271" s="787">
        <v>0</v>
      </c>
      <c r="K271" s="787">
        <v>0</v>
      </c>
      <c r="L271" s="787">
        <v>0</v>
      </c>
      <c r="M271" s="787">
        <v>0</v>
      </c>
      <c r="N271" s="787">
        <f t="shared" si="3"/>
        <v>0</v>
      </c>
    </row>
    <row r="272" spans="1:27" x14ac:dyDescent="0.25">
      <c r="A272" s="791" t="s">
        <v>1966</v>
      </c>
      <c r="B272" s="787">
        <v>0</v>
      </c>
      <c r="C272" s="787">
        <v>0</v>
      </c>
      <c r="D272" s="787">
        <v>0</v>
      </c>
      <c r="E272" s="787">
        <v>0</v>
      </c>
      <c r="F272" s="787">
        <v>0</v>
      </c>
      <c r="G272" s="787">
        <v>0</v>
      </c>
      <c r="H272" s="787">
        <v>0</v>
      </c>
      <c r="I272" s="787">
        <v>0</v>
      </c>
      <c r="J272" s="787">
        <v>0</v>
      </c>
      <c r="K272" s="787">
        <v>0</v>
      </c>
      <c r="L272" s="787">
        <v>0</v>
      </c>
      <c r="M272" s="787">
        <v>0</v>
      </c>
      <c r="N272" s="787">
        <f t="shared" si="3"/>
        <v>0</v>
      </c>
    </row>
    <row r="273" spans="1:14" x14ac:dyDescent="0.25">
      <c r="A273" s="791" t="s">
        <v>1967</v>
      </c>
      <c r="B273" s="787">
        <v>0</v>
      </c>
      <c r="C273" s="787">
        <v>0</v>
      </c>
      <c r="D273" s="787">
        <v>0</v>
      </c>
      <c r="E273" s="787">
        <v>0</v>
      </c>
      <c r="F273" s="787">
        <v>0</v>
      </c>
      <c r="G273" s="787">
        <v>0</v>
      </c>
      <c r="H273" s="787">
        <v>0</v>
      </c>
      <c r="I273" s="787">
        <v>0</v>
      </c>
      <c r="J273" s="787">
        <v>0</v>
      </c>
      <c r="K273" s="787">
        <v>0</v>
      </c>
      <c r="L273" s="787">
        <v>0</v>
      </c>
      <c r="M273" s="787">
        <v>0</v>
      </c>
      <c r="N273" s="787">
        <f t="shared" si="3"/>
        <v>0</v>
      </c>
    </row>
    <row r="274" spans="1:14" ht="15.75" thickBot="1" x14ac:dyDescent="0.3">
      <c r="A274" s="791" t="s">
        <v>1968</v>
      </c>
      <c r="B274" s="792">
        <v>0</v>
      </c>
      <c r="C274" s="792">
        <v>0</v>
      </c>
      <c r="D274" s="792">
        <v>0</v>
      </c>
      <c r="E274" s="792">
        <v>0</v>
      </c>
      <c r="F274" s="792">
        <v>0</v>
      </c>
      <c r="G274" s="792">
        <v>0</v>
      </c>
      <c r="H274" s="792">
        <v>0</v>
      </c>
      <c r="I274" s="792">
        <v>0</v>
      </c>
      <c r="J274" s="792">
        <v>0</v>
      </c>
      <c r="K274" s="792">
        <v>0</v>
      </c>
      <c r="L274" s="792">
        <v>0</v>
      </c>
      <c r="M274" s="792">
        <v>0</v>
      </c>
      <c r="N274" s="792">
        <f t="shared" si="3"/>
        <v>0</v>
      </c>
    </row>
    <row r="275" spans="1:14" ht="15.75" thickBot="1" x14ac:dyDescent="0.3">
      <c r="A275" s="791" t="s">
        <v>1969</v>
      </c>
      <c r="B275" s="792">
        <v>0</v>
      </c>
      <c r="C275" s="792">
        <v>0</v>
      </c>
      <c r="D275" s="792">
        <v>0</v>
      </c>
      <c r="E275" s="792">
        <v>0</v>
      </c>
      <c r="F275" s="792">
        <v>0</v>
      </c>
      <c r="G275" s="792">
        <v>0</v>
      </c>
      <c r="H275" s="792">
        <v>0</v>
      </c>
      <c r="I275" s="792">
        <v>0</v>
      </c>
      <c r="J275" s="792">
        <v>0</v>
      </c>
      <c r="K275" s="792">
        <v>0</v>
      </c>
      <c r="L275" s="792">
        <v>0</v>
      </c>
      <c r="M275" s="792">
        <v>0</v>
      </c>
      <c r="N275" s="792">
        <f t="shared" si="3"/>
        <v>0</v>
      </c>
    </row>
    <row r="276" spans="1:14" x14ac:dyDescent="0.25">
      <c r="A276" s="791" t="s">
        <v>1824</v>
      </c>
      <c r="B276" s="787">
        <v>0</v>
      </c>
      <c r="C276" s="787">
        <v>0</v>
      </c>
      <c r="D276" s="787">
        <v>0</v>
      </c>
      <c r="E276" s="787">
        <v>0</v>
      </c>
      <c r="F276" s="787">
        <v>0</v>
      </c>
      <c r="G276" s="787">
        <v>0</v>
      </c>
      <c r="H276" s="787">
        <v>0</v>
      </c>
      <c r="I276" s="787">
        <v>0</v>
      </c>
      <c r="J276" s="787">
        <v>0</v>
      </c>
      <c r="K276" s="787">
        <v>0</v>
      </c>
      <c r="L276" s="787">
        <v>0</v>
      </c>
      <c r="M276" s="787">
        <v>0</v>
      </c>
      <c r="N276" s="787">
        <f t="shared" si="3"/>
        <v>0</v>
      </c>
    </row>
    <row r="277" spans="1:14" x14ac:dyDescent="0.25">
      <c r="A277" s="791" t="s">
        <v>1970</v>
      </c>
      <c r="B277" s="787">
        <v>0</v>
      </c>
      <c r="C277" s="787">
        <v>0</v>
      </c>
      <c r="D277" s="787">
        <v>0</v>
      </c>
      <c r="E277" s="787">
        <v>0</v>
      </c>
      <c r="F277" s="787">
        <v>0</v>
      </c>
      <c r="G277" s="787">
        <v>0</v>
      </c>
      <c r="H277" s="787">
        <v>0</v>
      </c>
      <c r="I277" s="787">
        <v>0</v>
      </c>
      <c r="J277" s="787">
        <v>0</v>
      </c>
      <c r="K277" s="787">
        <v>0</v>
      </c>
      <c r="L277" s="787">
        <v>0</v>
      </c>
      <c r="M277" s="787">
        <v>0</v>
      </c>
      <c r="N277" s="787">
        <f t="shared" si="3"/>
        <v>0</v>
      </c>
    </row>
    <row r="278" spans="1:14" x14ac:dyDescent="0.25">
      <c r="A278" s="791" t="s">
        <v>1971</v>
      </c>
      <c r="B278" s="787">
        <v>0</v>
      </c>
      <c r="C278" s="787">
        <v>0</v>
      </c>
      <c r="D278" s="787">
        <v>0</v>
      </c>
      <c r="E278" s="787">
        <v>0</v>
      </c>
      <c r="F278" s="787">
        <v>0</v>
      </c>
      <c r="G278" s="787">
        <v>0</v>
      </c>
      <c r="H278" s="787">
        <v>0</v>
      </c>
      <c r="I278" s="787">
        <v>0</v>
      </c>
      <c r="J278" s="787">
        <v>0</v>
      </c>
      <c r="K278" s="787">
        <v>0</v>
      </c>
      <c r="L278" s="787">
        <v>0</v>
      </c>
      <c r="M278" s="787">
        <v>0</v>
      </c>
      <c r="N278" s="787">
        <f t="shared" si="3"/>
        <v>0</v>
      </c>
    </row>
    <row r="279" spans="1:14" x14ac:dyDescent="0.25">
      <c r="A279" s="791" t="s">
        <v>1972</v>
      </c>
      <c r="B279" s="787">
        <v>0</v>
      </c>
      <c r="C279" s="787">
        <v>0</v>
      </c>
      <c r="D279" s="787">
        <v>0</v>
      </c>
      <c r="E279" s="787">
        <v>0</v>
      </c>
      <c r="F279" s="787">
        <v>0</v>
      </c>
      <c r="G279" s="787">
        <v>0</v>
      </c>
      <c r="H279" s="787">
        <v>0</v>
      </c>
      <c r="I279" s="787">
        <v>0</v>
      </c>
      <c r="J279" s="787">
        <v>0</v>
      </c>
      <c r="K279" s="787">
        <v>0</v>
      </c>
      <c r="L279" s="787">
        <v>0</v>
      </c>
      <c r="M279" s="787">
        <v>0</v>
      </c>
      <c r="N279" s="787">
        <f t="shared" si="3"/>
        <v>0</v>
      </c>
    </row>
    <row r="280" spans="1:14" x14ac:dyDescent="0.25">
      <c r="A280" s="791" t="s">
        <v>1973</v>
      </c>
      <c r="B280" s="787">
        <v>0</v>
      </c>
      <c r="C280" s="787">
        <v>0</v>
      </c>
      <c r="D280" s="787">
        <v>0</v>
      </c>
      <c r="E280" s="787">
        <v>0</v>
      </c>
      <c r="F280" s="787">
        <v>0</v>
      </c>
      <c r="G280" s="787">
        <v>0</v>
      </c>
      <c r="H280" s="787">
        <v>0</v>
      </c>
      <c r="I280" s="787">
        <v>0</v>
      </c>
      <c r="J280" s="787">
        <v>0</v>
      </c>
      <c r="K280" s="787">
        <v>0</v>
      </c>
      <c r="L280" s="787">
        <v>0</v>
      </c>
      <c r="M280" s="787">
        <v>0</v>
      </c>
      <c r="N280" s="787">
        <f t="shared" si="3"/>
        <v>0</v>
      </c>
    </row>
    <row r="281" spans="1:14" x14ac:dyDescent="0.25">
      <c r="A281" s="791" t="s">
        <v>1974</v>
      </c>
      <c r="B281" s="787">
        <v>0</v>
      </c>
      <c r="C281" s="787">
        <v>0</v>
      </c>
      <c r="D281" s="787">
        <v>0</v>
      </c>
      <c r="E281" s="787">
        <v>0</v>
      </c>
      <c r="F281" s="787">
        <v>0</v>
      </c>
      <c r="G281" s="787">
        <v>0</v>
      </c>
      <c r="H281" s="787">
        <v>0</v>
      </c>
      <c r="I281" s="787">
        <v>0</v>
      </c>
      <c r="J281" s="787">
        <v>0</v>
      </c>
      <c r="K281" s="787">
        <v>0</v>
      </c>
      <c r="L281" s="787">
        <v>0</v>
      </c>
      <c r="M281" s="787">
        <v>0</v>
      </c>
      <c r="N281" s="787">
        <f t="shared" si="3"/>
        <v>0</v>
      </c>
    </row>
    <row r="282" spans="1:14" x14ac:dyDescent="0.25">
      <c r="A282" s="791" t="s">
        <v>1975</v>
      </c>
      <c r="B282" s="787">
        <v>0</v>
      </c>
      <c r="C282" s="787">
        <v>0</v>
      </c>
      <c r="D282" s="787">
        <v>0</v>
      </c>
      <c r="E282" s="787">
        <v>0</v>
      </c>
      <c r="F282" s="787">
        <v>0</v>
      </c>
      <c r="G282" s="787">
        <v>0</v>
      </c>
      <c r="H282" s="787">
        <v>0</v>
      </c>
      <c r="I282" s="787">
        <v>0</v>
      </c>
      <c r="J282" s="787">
        <v>0</v>
      </c>
      <c r="K282" s="787">
        <v>0</v>
      </c>
      <c r="L282" s="787">
        <v>0</v>
      </c>
      <c r="M282" s="787">
        <v>0</v>
      </c>
      <c r="N282" s="787">
        <f t="shared" si="3"/>
        <v>0</v>
      </c>
    </row>
    <row r="283" spans="1:14" x14ac:dyDescent="0.25">
      <c r="A283" s="791" t="s">
        <v>1976</v>
      </c>
      <c r="B283" s="787">
        <v>0</v>
      </c>
      <c r="C283" s="787">
        <v>0</v>
      </c>
      <c r="D283" s="787">
        <v>0</v>
      </c>
      <c r="E283" s="787">
        <v>0</v>
      </c>
      <c r="F283" s="787">
        <v>0</v>
      </c>
      <c r="G283" s="787">
        <v>0</v>
      </c>
      <c r="H283" s="787">
        <v>0</v>
      </c>
      <c r="I283" s="787">
        <v>0</v>
      </c>
      <c r="J283" s="787">
        <v>0</v>
      </c>
      <c r="K283" s="787">
        <v>0</v>
      </c>
      <c r="L283" s="787">
        <v>0</v>
      </c>
      <c r="M283" s="787">
        <v>0</v>
      </c>
      <c r="N283" s="787">
        <f t="shared" si="3"/>
        <v>0</v>
      </c>
    </row>
    <row r="284" spans="1:14" x14ac:dyDescent="0.25">
      <c r="A284" s="791" t="s">
        <v>1977</v>
      </c>
      <c r="B284" s="787">
        <v>0</v>
      </c>
      <c r="C284" s="787">
        <v>0</v>
      </c>
      <c r="D284" s="787">
        <v>0</v>
      </c>
      <c r="E284" s="787">
        <v>0</v>
      </c>
      <c r="F284" s="787">
        <v>0</v>
      </c>
      <c r="G284" s="787">
        <v>0</v>
      </c>
      <c r="H284" s="787">
        <v>0</v>
      </c>
      <c r="I284" s="787">
        <v>0</v>
      </c>
      <c r="J284" s="787">
        <v>0</v>
      </c>
      <c r="K284" s="787">
        <v>0</v>
      </c>
      <c r="L284" s="787">
        <v>0</v>
      </c>
      <c r="M284" s="787">
        <v>0</v>
      </c>
      <c r="N284" s="787">
        <f t="shared" si="3"/>
        <v>0</v>
      </c>
    </row>
    <row r="285" spans="1:14" x14ac:dyDescent="0.25">
      <c r="A285" s="791" t="s">
        <v>1978</v>
      </c>
      <c r="B285" s="787">
        <v>0</v>
      </c>
      <c r="C285" s="787">
        <v>0</v>
      </c>
      <c r="D285" s="787">
        <v>0</v>
      </c>
      <c r="E285" s="787">
        <v>0</v>
      </c>
      <c r="F285" s="787">
        <v>0</v>
      </c>
      <c r="G285" s="787">
        <v>0</v>
      </c>
      <c r="H285" s="787">
        <v>0</v>
      </c>
      <c r="I285" s="787">
        <v>0</v>
      </c>
      <c r="J285" s="787">
        <v>0</v>
      </c>
      <c r="K285" s="787">
        <v>0</v>
      </c>
      <c r="L285" s="787">
        <v>0</v>
      </c>
      <c r="M285" s="787">
        <v>0</v>
      </c>
      <c r="N285" s="787">
        <f t="shared" si="3"/>
        <v>0</v>
      </c>
    </row>
    <row r="286" spans="1:14" ht="15.75" thickBot="1" x14ac:dyDescent="0.3">
      <c r="A286" s="791" t="s">
        <v>1979</v>
      </c>
      <c r="B286" s="792">
        <v>0</v>
      </c>
      <c r="C286" s="792">
        <v>0</v>
      </c>
      <c r="D286" s="792">
        <v>0</v>
      </c>
      <c r="E286" s="792">
        <v>0</v>
      </c>
      <c r="F286" s="792">
        <v>0</v>
      </c>
      <c r="G286" s="792">
        <v>0</v>
      </c>
      <c r="H286" s="792">
        <v>0</v>
      </c>
      <c r="I286" s="792">
        <v>0</v>
      </c>
      <c r="J286" s="792">
        <v>0</v>
      </c>
      <c r="K286" s="792">
        <v>0</v>
      </c>
      <c r="L286" s="792">
        <v>0</v>
      </c>
      <c r="M286" s="792">
        <v>0</v>
      </c>
      <c r="N286" s="792">
        <f t="shared" si="3"/>
        <v>0</v>
      </c>
    </row>
    <row r="287" spans="1:14" x14ac:dyDescent="0.25">
      <c r="A287" s="791" t="s">
        <v>1947</v>
      </c>
      <c r="B287" s="787">
        <v>0</v>
      </c>
      <c r="C287" s="787">
        <v>0</v>
      </c>
      <c r="D287" s="787">
        <v>0</v>
      </c>
      <c r="E287" s="787">
        <v>0</v>
      </c>
      <c r="F287" s="787">
        <v>0</v>
      </c>
      <c r="G287" s="787">
        <v>0</v>
      </c>
      <c r="H287" s="787">
        <v>0</v>
      </c>
      <c r="I287" s="787">
        <v>0</v>
      </c>
      <c r="J287" s="787">
        <v>0</v>
      </c>
      <c r="K287" s="787">
        <v>0</v>
      </c>
      <c r="L287" s="787">
        <v>0</v>
      </c>
      <c r="M287" s="787">
        <v>0</v>
      </c>
      <c r="N287" s="787">
        <f t="shared" si="3"/>
        <v>0</v>
      </c>
    </row>
    <row r="288" spans="1:14" ht="15.75" thickBot="1" x14ac:dyDescent="0.3">
      <c r="A288" s="791" t="s">
        <v>1980</v>
      </c>
      <c r="B288" s="792">
        <v>0</v>
      </c>
      <c r="C288" s="792">
        <v>0</v>
      </c>
      <c r="D288" s="792">
        <v>0</v>
      </c>
      <c r="E288" s="792">
        <v>0</v>
      </c>
      <c r="F288" s="792">
        <v>0</v>
      </c>
      <c r="G288" s="792">
        <v>0</v>
      </c>
      <c r="H288" s="792">
        <v>0</v>
      </c>
      <c r="I288" s="792">
        <v>0</v>
      </c>
      <c r="J288" s="792">
        <v>0</v>
      </c>
      <c r="K288" s="792">
        <v>0</v>
      </c>
      <c r="L288" s="792">
        <v>0</v>
      </c>
      <c r="M288" s="792">
        <v>0</v>
      </c>
      <c r="N288" s="792">
        <f t="shared" si="3"/>
        <v>0</v>
      </c>
    </row>
    <row r="289" spans="1:27" x14ac:dyDescent="0.25">
      <c r="A289" s="791" t="s">
        <v>1833</v>
      </c>
      <c r="B289" s="787">
        <v>0</v>
      </c>
      <c r="C289" s="787">
        <v>0</v>
      </c>
      <c r="D289" s="787">
        <v>0</v>
      </c>
      <c r="E289" s="787">
        <v>0</v>
      </c>
      <c r="F289" s="787">
        <v>0</v>
      </c>
      <c r="G289" s="787">
        <v>0</v>
      </c>
      <c r="H289" s="787">
        <v>0</v>
      </c>
      <c r="I289" s="787">
        <v>0</v>
      </c>
      <c r="J289" s="787">
        <v>0</v>
      </c>
      <c r="K289" s="787">
        <v>0</v>
      </c>
      <c r="L289" s="787">
        <v>0</v>
      </c>
      <c r="M289" s="787">
        <v>0</v>
      </c>
      <c r="N289" s="787">
        <f t="shared" si="3"/>
        <v>0</v>
      </c>
    </row>
    <row r="290" spans="1:27" x14ac:dyDescent="0.25">
      <c r="B290" s="789"/>
      <c r="C290" s="789"/>
      <c r="D290" s="789"/>
      <c r="E290" s="789"/>
      <c r="F290" s="789"/>
      <c r="G290" s="789"/>
      <c r="H290" s="789"/>
      <c r="I290" s="789"/>
      <c r="J290" s="789"/>
      <c r="K290" s="789"/>
      <c r="L290" s="789"/>
      <c r="M290" s="789"/>
      <c r="N290" s="789">
        <f t="shared" si="3"/>
        <v>0</v>
      </c>
      <c r="O290" s="790"/>
      <c r="P290" s="790"/>
      <c r="Q290" s="790"/>
      <c r="R290" s="790"/>
      <c r="S290" s="790"/>
      <c r="T290" s="790"/>
      <c r="U290" s="790"/>
      <c r="V290" s="790"/>
      <c r="W290" s="790"/>
      <c r="X290" s="790"/>
      <c r="Y290" s="790"/>
      <c r="Z290" s="790"/>
      <c r="AA290" s="790"/>
    </row>
    <row r="291" spans="1:27" x14ac:dyDescent="0.25">
      <c r="A291" s="784" t="s">
        <v>1981</v>
      </c>
      <c r="B291" s="785">
        <v>0</v>
      </c>
      <c r="C291" s="785">
        <v>0</v>
      </c>
      <c r="D291" s="785">
        <v>0</v>
      </c>
      <c r="E291" s="785">
        <v>0</v>
      </c>
      <c r="F291" s="785">
        <v>0</v>
      </c>
      <c r="G291" s="785">
        <v>0</v>
      </c>
      <c r="H291" s="785">
        <v>0</v>
      </c>
      <c r="I291" s="785">
        <v>0</v>
      </c>
      <c r="J291" s="785">
        <v>0</v>
      </c>
      <c r="K291" s="785">
        <v>0</v>
      </c>
      <c r="L291" s="785">
        <v>0</v>
      </c>
      <c r="M291" s="785">
        <v>0</v>
      </c>
      <c r="N291" s="785">
        <f t="shared" si="3"/>
        <v>0</v>
      </c>
      <c r="O291" s="786"/>
      <c r="P291" s="786"/>
      <c r="Q291" s="786"/>
      <c r="R291" s="786"/>
      <c r="S291" s="786"/>
      <c r="T291" s="786"/>
      <c r="U291" s="786"/>
      <c r="V291" s="786"/>
      <c r="W291" s="786"/>
      <c r="X291" s="786"/>
      <c r="Y291" s="786"/>
      <c r="Z291" s="786"/>
      <c r="AA291" s="786"/>
    </row>
    <row r="292" spans="1:27" x14ac:dyDescent="0.25">
      <c r="N292" s="787">
        <f t="shared" si="3"/>
        <v>0</v>
      </c>
    </row>
    <row r="293" spans="1:27" x14ac:dyDescent="0.25">
      <c r="A293" s="784" t="s">
        <v>1982</v>
      </c>
      <c r="B293" s="785">
        <v>0</v>
      </c>
      <c r="C293" s="785">
        <v>0</v>
      </c>
      <c r="D293" s="785">
        <v>0</v>
      </c>
      <c r="E293" s="785">
        <v>0</v>
      </c>
      <c r="F293" s="785">
        <v>0</v>
      </c>
      <c r="G293" s="785">
        <v>0</v>
      </c>
      <c r="H293" s="785">
        <v>0</v>
      </c>
      <c r="I293" s="785">
        <v>0</v>
      </c>
      <c r="J293" s="785">
        <v>0</v>
      </c>
      <c r="K293" s="785">
        <v>0</v>
      </c>
      <c r="L293" s="785">
        <v>0</v>
      </c>
      <c r="M293" s="785">
        <v>0</v>
      </c>
      <c r="N293" s="785">
        <f t="shared" si="3"/>
        <v>0</v>
      </c>
      <c r="O293" s="786"/>
      <c r="P293" s="786"/>
      <c r="Q293" s="786"/>
      <c r="R293" s="786"/>
      <c r="S293" s="786"/>
      <c r="T293" s="786"/>
      <c r="U293" s="786"/>
      <c r="V293" s="786"/>
      <c r="W293" s="786"/>
      <c r="X293" s="786"/>
      <c r="Y293" s="786"/>
      <c r="Z293" s="786"/>
      <c r="AA293" s="786"/>
    </row>
    <row r="294" spans="1:27" x14ac:dyDescent="0.25">
      <c r="A294" s="791" t="s">
        <v>1796</v>
      </c>
      <c r="N294" s="787">
        <f t="shared" si="3"/>
        <v>0</v>
      </c>
    </row>
    <row r="295" spans="1:27" x14ac:dyDescent="0.25">
      <c r="A295" s="791" t="s">
        <v>1983</v>
      </c>
      <c r="B295" s="787">
        <v>110.996</v>
      </c>
      <c r="C295" s="787">
        <v>284.96100000000001</v>
      </c>
      <c r="D295" s="787">
        <v>515.13900000000001</v>
      </c>
      <c r="E295" s="787">
        <v>746.89499999999998</v>
      </c>
      <c r="F295" s="787">
        <v>766.08500000000004</v>
      </c>
      <c r="G295" s="787">
        <v>401.41899999999998</v>
      </c>
      <c r="H295" s="787">
        <v>297.66199999999998</v>
      </c>
      <c r="I295" s="787">
        <v>395.32312999999999</v>
      </c>
      <c r="J295" s="787">
        <v>523.74300000000005</v>
      </c>
      <c r="K295" s="787">
        <v>462.05599999999998</v>
      </c>
      <c r="L295" s="787">
        <v>440.07</v>
      </c>
      <c r="M295" s="787">
        <v>210.76400000000001</v>
      </c>
      <c r="N295" s="787">
        <f t="shared" ref="N295:N358" si="4">SUM(B295:M295)</f>
        <v>5155.1131299999997</v>
      </c>
    </row>
    <row r="296" spans="1:27" x14ac:dyDescent="0.25">
      <c r="A296" s="791" t="s">
        <v>1984</v>
      </c>
      <c r="B296" s="787">
        <v>0</v>
      </c>
      <c r="C296" s="787">
        <v>0</v>
      </c>
      <c r="D296" s="787">
        <v>0</v>
      </c>
      <c r="E296" s="787">
        <v>0</v>
      </c>
      <c r="F296" s="787">
        <v>0</v>
      </c>
      <c r="G296" s="787">
        <v>0</v>
      </c>
      <c r="H296" s="787">
        <v>0</v>
      </c>
      <c r="I296" s="787">
        <v>0</v>
      </c>
      <c r="J296" s="787">
        <v>0</v>
      </c>
      <c r="K296" s="787">
        <v>0</v>
      </c>
      <c r="L296" s="787">
        <v>0</v>
      </c>
      <c r="M296" s="787">
        <v>0</v>
      </c>
      <c r="N296" s="787">
        <f t="shared" si="4"/>
        <v>0</v>
      </c>
    </row>
    <row r="297" spans="1:27" ht="15.75" thickBot="1" x14ac:dyDescent="0.3">
      <c r="A297" s="791" t="s">
        <v>1985</v>
      </c>
      <c r="B297" s="792">
        <v>0</v>
      </c>
      <c r="C297" s="792">
        <v>0</v>
      </c>
      <c r="D297" s="792">
        <v>0</v>
      </c>
      <c r="E297" s="792">
        <v>0</v>
      </c>
      <c r="F297" s="792">
        <v>0</v>
      </c>
      <c r="G297" s="792">
        <v>0</v>
      </c>
      <c r="H297" s="792">
        <v>0</v>
      </c>
      <c r="I297" s="792">
        <v>0</v>
      </c>
      <c r="J297" s="792">
        <v>0</v>
      </c>
      <c r="K297" s="792">
        <v>0</v>
      </c>
      <c r="L297" s="792">
        <v>0</v>
      </c>
      <c r="M297" s="792">
        <v>0</v>
      </c>
      <c r="N297" s="792">
        <f t="shared" si="4"/>
        <v>0</v>
      </c>
    </row>
    <row r="298" spans="1:27" x14ac:dyDescent="0.25">
      <c r="A298" s="796" t="s">
        <v>1986</v>
      </c>
      <c r="B298" s="787">
        <v>110.996</v>
      </c>
      <c r="C298" s="787">
        <v>284.96100000000001</v>
      </c>
      <c r="D298" s="787">
        <v>515.13900000000001</v>
      </c>
      <c r="E298" s="787">
        <v>746.89499999999998</v>
      </c>
      <c r="F298" s="787">
        <v>766.08500000000004</v>
      </c>
      <c r="G298" s="787">
        <v>401.41899999999998</v>
      </c>
      <c r="H298" s="787">
        <v>297.66199999999998</v>
      </c>
      <c r="I298" s="787">
        <v>395.32312999999999</v>
      </c>
      <c r="J298" s="787">
        <v>523.74300000000005</v>
      </c>
      <c r="K298" s="787">
        <v>462.05599999999998</v>
      </c>
      <c r="L298" s="787">
        <v>440.07</v>
      </c>
      <c r="M298" s="787">
        <v>210.76400000000001</v>
      </c>
      <c r="N298" s="787">
        <f t="shared" si="4"/>
        <v>5155.1131299999997</v>
      </c>
    </row>
    <row r="299" spans="1:27" x14ac:dyDescent="0.25">
      <c r="A299" s="791" t="s">
        <v>1987</v>
      </c>
      <c r="B299" s="787">
        <v>387.46699999999998</v>
      </c>
      <c r="C299" s="787">
        <v>326.113</v>
      </c>
      <c r="D299" s="787">
        <v>358.01400000000001</v>
      </c>
      <c r="E299" s="787">
        <v>358.995</v>
      </c>
      <c r="F299" s="787">
        <v>344.89499999999998</v>
      </c>
      <c r="G299" s="787">
        <v>368.072</v>
      </c>
      <c r="H299" s="787">
        <v>302.49299999999999</v>
      </c>
      <c r="I299" s="787">
        <v>274.91000000000003</v>
      </c>
      <c r="J299" s="787">
        <v>380.80099999999999</v>
      </c>
      <c r="K299" s="787">
        <v>316.78800000000001</v>
      </c>
      <c r="L299" s="787">
        <v>360.988</v>
      </c>
      <c r="M299" s="787">
        <v>422.452</v>
      </c>
      <c r="N299" s="787">
        <f t="shared" si="4"/>
        <v>4201.9879999999994</v>
      </c>
    </row>
    <row r="300" spans="1:27" x14ac:dyDescent="0.25">
      <c r="A300" s="791" t="s">
        <v>1988</v>
      </c>
      <c r="B300" s="787">
        <v>477.209</v>
      </c>
      <c r="C300" s="787">
        <v>766.81700000000001</v>
      </c>
      <c r="D300" s="787">
        <v>787.70799999999997</v>
      </c>
      <c r="E300" s="787">
        <v>781.96600000000001</v>
      </c>
      <c r="F300" s="787">
        <v>766.62300000000005</v>
      </c>
      <c r="G300" s="787">
        <v>796.34799999999996</v>
      </c>
      <c r="H300" s="787">
        <v>770.63599999999997</v>
      </c>
      <c r="I300" s="787">
        <v>784.54599999999903</v>
      </c>
      <c r="J300" s="787">
        <v>806.048</v>
      </c>
      <c r="K300" s="787">
        <v>795.44899999999996</v>
      </c>
      <c r="L300" s="787">
        <v>807.40800000000002</v>
      </c>
      <c r="M300" s="787">
        <v>813.26699999999903</v>
      </c>
      <c r="N300" s="787">
        <f t="shared" si="4"/>
        <v>9154.0249999999996</v>
      </c>
    </row>
    <row r="301" spans="1:27" x14ac:dyDescent="0.25">
      <c r="A301" s="791" t="s">
        <v>1989</v>
      </c>
      <c r="B301" s="787">
        <v>1931.473</v>
      </c>
      <c r="C301" s="787">
        <v>1723.0319999999999</v>
      </c>
      <c r="D301" s="787">
        <v>1805.1659999999999</v>
      </c>
      <c r="E301" s="787">
        <v>1868.9449999999999</v>
      </c>
      <c r="F301" s="787">
        <v>1733.6510000000001</v>
      </c>
      <c r="G301" s="787">
        <v>1945.4690000000001</v>
      </c>
      <c r="H301" s="787">
        <v>1672.0839999999901</v>
      </c>
      <c r="I301" s="787">
        <v>1663.0940000000001</v>
      </c>
      <c r="J301" s="787">
        <v>1765.2249999999999</v>
      </c>
      <c r="K301" s="787">
        <v>1573.09</v>
      </c>
      <c r="L301" s="787">
        <v>1758.4949999999999</v>
      </c>
      <c r="M301" s="787">
        <v>1695.6799999999901</v>
      </c>
      <c r="N301" s="787">
        <f t="shared" si="4"/>
        <v>21135.403999999977</v>
      </c>
    </row>
    <row r="302" spans="1:27" ht="15.75" thickBot="1" x14ac:dyDescent="0.3">
      <c r="A302" s="791" t="s">
        <v>1990</v>
      </c>
      <c r="B302" s="792">
        <v>0</v>
      </c>
      <c r="C302" s="792">
        <v>0</v>
      </c>
      <c r="D302" s="792">
        <v>0</v>
      </c>
      <c r="E302" s="792">
        <v>0</v>
      </c>
      <c r="F302" s="792">
        <v>0</v>
      </c>
      <c r="G302" s="792">
        <v>0</v>
      </c>
      <c r="H302" s="792">
        <v>0</v>
      </c>
      <c r="I302" s="792">
        <v>0</v>
      </c>
      <c r="J302" s="792">
        <v>0</v>
      </c>
      <c r="K302" s="792">
        <v>0</v>
      </c>
      <c r="L302" s="792">
        <v>0</v>
      </c>
      <c r="M302" s="792">
        <v>0</v>
      </c>
      <c r="N302" s="792">
        <f t="shared" si="4"/>
        <v>0</v>
      </c>
    </row>
    <row r="303" spans="1:27" x14ac:dyDescent="0.25">
      <c r="A303" s="796" t="s">
        <v>1991</v>
      </c>
      <c r="B303" s="787">
        <v>2796.1489999999999</v>
      </c>
      <c r="C303" s="787">
        <v>2815.962</v>
      </c>
      <c r="D303" s="787">
        <v>2950.8879999999999</v>
      </c>
      <c r="E303" s="787">
        <v>3009.9059999999999</v>
      </c>
      <c r="F303" s="787">
        <v>2845.1689999999999</v>
      </c>
      <c r="G303" s="787">
        <v>3109.8890000000001</v>
      </c>
      <c r="H303" s="787">
        <v>2745.2129999999902</v>
      </c>
      <c r="I303" s="787">
        <v>2722.55</v>
      </c>
      <c r="J303" s="787">
        <v>2952.0740000000001</v>
      </c>
      <c r="K303" s="787">
        <v>2685.3270000000002</v>
      </c>
      <c r="L303" s="787">
        <v>2926.8909999999901</v>
      </c>
      <c r="M303" s="787">
        <v>2931.3989999999899</v>
      </c>
      <c r="N303" s="787">
        <f t="shared" si="4"/>
        <v>34491.416999999965</v>
      </c>
    </row>
    <row r="304" spans="1:27" x14ac:dyDescent="0.25">
      <c r="A304" s="795" t="s">
        <v>1992</v>
      </c>
      <c r="B304" s="785">
        <v>2907.145</v>
      </c>
      <c r="C304" s="785">
        <v>3100.9229999999998</v>
      </c>
      <c r="D304" s="785">
        <v>3466.027</v>
      </c>
      <c r="E304" s="785">
        <v>3756.8009999999999</v>
      </c>
      <c r="F304" s="785">
        <v>3611.2539999999999</v>
      </c>
      <c r="G304" s="785">
        <v>3511.308</v>
      </c>
      <c r="H304" s="785">
        <v>3042.87499999999</v>
      </c>
      <c r="I304" s="785">
        <v>3117.8731299999999</v>
      </c>
      <c r="J304" s="785">
        <v>3475.817</v>
      </c>
      <c r="K304" s="785">
        <v>3147.3829999999998</v>
      </c>
      <c r="L304" s="785">
        <v>3366.9609999999998</v>
      </c>
      <c r="M304" s="785">
        <v>3142.16299999999</v>
      </c>
      <c r="N304" s="785">
        <f t="shared" si="4"/>
        <v>39646.530129999985</v>
      </c>
      <c r="O304" s="786"/>
      <c r="P304" s="786"/>
      <c r="Q304" s="786"/>
      <c r="R304" s="786"/>
      <c r="S304" s="786"/>
      <c r="T304" s="786"/>
      <c r="U304" s="786"/>
      <c r="V304" s="786"/>
      <c r="W304" s="786"/>
      <c r="X304" s="786"/>
      <c r="Y304" s="786"/>
      <c r="Z304" s="786"/>
      <c r="AA304" s="786"/>
    </row>
    <row r="305" spans="1:27" x14ac:dyDescent="0.25">
      <c r="A305" s="791" t="s">
        <v>1796</v>
      </c>
      <c r="N305" s="787">
        <f t="shared" si="4"/>
        <v>0</v>
      </c>
    </row>
    <row r="306" spans="1:27" x14ac:dyDescent="0.25">
      <c r="A306" s="791" t="s">
        <v>1993</v>
      </c>
      <c r="B306" s="787">
        <v>58.706000000000003</v>
      </c>
      <c r="C306" s="787">
        <v>48.46</v>
      </c>
      <c r="D306" s="787">
        <v>57.637999999999998</v>
      </c>
      <c r="E306" s="787">
        <v>58.866999999999997</v>
      </c>
      <c r="F306" s="787">
        <v>54.795999999999999</v>
      </c>
      <c r="G306" s="787">
        <v>64.844999999999999</v>
      </c>
      <c r="H306" s="787">
        <v>49.387999999999998</v>
      </c>
      <c r="I306" s="787">
        <v>43.453000000000003</v>
      </c>
      <c r="J306" s="787">
        <v>59.640999999999998</v>
      </c>
      <c r="K306" s="787">
        <v>48.064</v>
      </c>
      <c r="L306" s="787">
        <v>56</v>
      </c>
      <c r="M306" s="787">
        <v>56.515000000000001</v>
      </c>
      <c r="N306" s="787">
        <f t="shared" si="4"/>
        <v>656.37300000000005</v>
      </c>
    </row>
    <row r="307" spans="1:27" x14ac:dyDescent="0.25">
      <c r="A307" s="791" t="s">
        <v>1994</v>
      </c>
      <c r="B307" s="787">
        <v>58.665999999999997</v>
      </c>
      <c r="C307" s="787">
        <v>58.161999999999999</v>
      </c>
      <c r="D307" s="787">
        <v>62.098999999999997</v>
      </c>
      <c r="E307" s="787">
        <v>60.636000000000003</v>
      </c>
      <c r="F307" s="787">
        <v>62.116999999999997</v>
      </c>
      <c r="G307" s="787">
        <v>60.607999999999997</v>
      </c>
      <c r="H307" s="787">
        <v>55.223999999999997</v>
      </c>
      <c r="I307" s="787">
        <v>50.744999999999997</v>
      </c>
      <c r="J307" s="787">
        <v>60.991999999999997</v>
      </c>
      <c r="K307" s="787">
        <v>54.05</v>
      </c>
      <c r="L307" s="787">
        <v>62.554000000000002</v>
      </c>
      <c r="M307" s="787">
        <v>58.939</v>
      </c>
      <c r="N307" s="787">
        <f t="shared" si="4"/>
        <v>704.79199999999992</v>
      </c>
    </row>
    <row r="308" spans="1:27" x14ac:dyDescent="0.25">
      <c r="A308" s="791" t="s">
        <v>1995</v>
      </c>
      <c r="B308" s="787">
        <v>560.95399999999995</v>
      </c>
      <c r="C308" s="787">
        <v>664.25400000000002</v>
      </c>
      <c r="D308" s="787">
        <v>1040.682</v>
      </c>
      <c r="E308" s="787">
        <v>726.46500000000003</v>
      </c>
      <c r="F308" s="787">
        <v>759.83299999999997</v>
      </c>
      <c r="G308" s="787">
        <v>610.47299999999996</v>
      </c>
      <c r="H308" s="787">
        <v>658.56100000000004</v>
      </c>
      <c r="I308" s="787">
        <v>713.70500000000004</v>
      </c>
      <c r="J308" s="787">
        <v>535.47500000000002</v>
      </c>
      <c r="K308" s="787">
        <v>451.74599999999998</v>
      </c>
      <c r="L308" s="787">
        <v>462.18299999999999</v>
      </c>
      <c r="M308" s="787">
        <v>457.089</v>
      </c>
      <c r="N308" s="787">
        <f t="shared" si="4"/>
        <v>7641.42</v>
      </c>
    </row>
    <row r="309" spans="1:27" x14ac:dyDescent="0.25">
      <c r="A309" s="791" t="s">
        <v>1996</v>
      </c>
      <c r="B309" s="787">
        <v>0</v>
      </c>
      <c r="C309" s="787">
        <v>0</v>
      </c>
      <c r="D309" s="787">
        <v>0</v>
      </c>
      <c r="E309" s="787">
        <v>0</v>
      </c>
      <c r="F309" s="787">
        <v>0</v>
      </c>
      <c r="G309" s="787">
        <v>0</v>
      </c>
      <c r="H309" s="787">
        <v>0</v>
      </c>
      <c r="I309" s="787">
        <v>0</v>
      </c>
      <c r="J309" s="787">
        <v>0</v>
      </c>
      <c r="K309" s="787">
        <v>0</v>
      </c>
      <c r="L309" s="787">
        <v>0</v>
      </c>
      <c r="M309" s="787">
        <v>0</v>
      </c>
      <c r="N309" s="787">
        <f t="shared" si="4"/>
        <v>0</v>
      </c>
    </row>
    <row r="310" spans="1:27" x14ac:dyDescent="0.25">
      <c r="A310" s="791" t="s">
        <v>1997</v>
      </c>
      <c r="B310" s="787">
        <v>164.48499999999899</v>
      </c>
      <c r="C310" s="787">
        <v>161.941</v>
      </c>
      <c r="D310" s="787">
        <v>162.94799999999901</v>
      </c>
      <c r="E310" s="787">
        <v>170.518</v>
      </c>
      <c r="F310" s="787">
        <v>164.00799999999899</v>
      </c>
      <c r="G310" s="787">
        <v>145.76599999999999</v>
      </c>
      <c r="H310" s="787">
        <v>144.578</v>
      </c>
      <c r="I310" s="787">
        <v>145.63800000000001</v>
      </c>
      <c r="J310" s="787">
        <v>143.19999999999999</v>
      </c>
      <c r="K310" s="787">
        <v>142.988</v>
      </c>
      <c r="L310" s="787">
        <v>143.624</v>
      </c>
      <c r="M310" s="787">
        <v>169.458</v>
      </c>
      <c r="N310" s="787">
        <f t="shared" si="4"/>
        <v>1859.1519999999971</v>
      </c>
    </row>
    <row r="311" spans="1:27" ht="15.75" thickBot="1" x14ac:dyDescent="0.3">
      <c r="A311" s="791" t="s">
        <v>1998</v>
      </c>
      <c r="B311" s="792">
        <v>106.616</v>
      </c>
      <c r="C311" s="792">
        <v>139.93700000000001</v>
      </c>
      <c r="D311" s="792">
        <v>161.55799999999999</v>
      </c>
      <c r="E311" s="792">
        <v>127.43600000000001</v>
      </c>
      <c r="F311" s="792">
        <v>160.47399999999999</v>
      </c>
      <c r="G311" s="792">
        <v>123.548</v>
      </c>
      <c r="H311" s="792">
        <v>129.227</v>
      </c>
      <c r="I311" s="792">
        <v>137.49600000000001</v>
      </c>
      <c r="J311" s="792">
        <v>118.74299999999999</v>
      </c>
      <c r="K311" s="792">
        <v>104.07599999999999</v>
      </c>
      <c r="L311" s="792">
        <v>117.36499999999999</v>
      </c>
      <c r="M311" s="792">
        <v>93.721999999999994</v>
      </c>
      <c r="N311" s="792">
        <f t="shared" si="4"/>
        <v>1520.1979999999999</v>
      </c>
    </row>
    <row r="312" spans="1:27" x14ac:dyDescent="0.25">
      <c r="A312" s="795" t="s">
        <v>1999</v>
      </c>
      <c r="B312" s="785">
        <v>949.42700000000002</v>
      </c>
      <c r="C312" s="785">
        <v>1072.7539999999999</v>
      </c>
      <c r="D312" s="785">
        <v>1484.925</v>
      </c>
      <c r="E312" s="785">
        <v>1143.922</v>
      </c>
      <c r="F312" s="785">
        <v>1201.2279999999901</v>
      </c>
      <c r="G312" s="785">
        <v>1005.23999999999</v>
      </c>
      <c r="H312" s="785">
        <v>1036.9780000000001</v>
      </c>
      <c r="I312" s="785">
        <v>1091.037</v>
      </c>
      <c r="J312" s="785">
        <v>918.05099999999902</v>
      </c>
      <c r="K312" s="785">
        <v>800.92399999999998</v>
      </c>
      <c r="L312" s="785">
        <v>841.726</v>
      </c>
      <c r="M312" s="785">
        <v>835.72299999999996</v>
      </c>
      <c r="N312" s="785">
        <f t="shared" si="4"/>
        <v>12381.934999999979</v>
      </c>
      <c r="O312" s="786"/>
      <c r="P312" s="786"/>
      <c r="Q312" s="786"/>
      <c r="R312" s="786"/>
      <c r="S312" s="786"/>
      <c r="T312" s="786"/>
      <c r="U312" s="786"/>
      <c r="V312" s="786"/>
      <c r="W312" s="786"/>
      <c r="X312" s="786"/>
      <c r="Y312" s="786"/>
      <c r="Z312" s="786"/>
      <c r="AA312" s="786"/>
    </row>
    <row r="313" spans="1:27" x14ac:dyDescent="0.25">
      <c r="A313" s="791" t="s">
        <v>1796</v>
      </c>
      <c r="B313" s="789"/>
      <c r="C313" s="789"/>
      <c r="D313" s="789"/>
      <c r="E313" s="789"/>
      <c r="F313" s="789"/>
      <c r="G313" s="789"/>
      <c r="H313" s="789"/>
      <c r="I313" s="789"/>
      <c r="J313" s="789"/>
      <c r="K313" s="789"/>
      <c r="L313" s="789"/>
      <c r="M313" s="789"/>
      <c r="N313" s="789">
        <f t="shared" si="4"/>
        <v>0</v>
      </c>
      <c r="O313" s="790"/>
      <c r="P313" s="790"/>
      <c r="Q313" s="790"/>
      <c r="R313" s="790"/>
      <c r="S313" s="790"/>
      <c r="T313" s="790"/>
      <c r="U313" s="790"/>
      <c r="V313" s="790"/>
      <c r="W313" s="790"/>
      <c r="X313" s="790"/>
      <c r="Y313" s="790"/>
      <c r="Z313" s="790"/>
      <c r="AA313" s="790"/>
    </row>
    <row r="314" spans="1:27" ht="15.75" thickBot="1" x14ac:dyDescent="0.3">
      <c r="A314" s="791" t="s">
        <v>2000</v>
      </c>
      <c r="B314" s="792">
        <v>82.004999999999995</v>
      </c>
      <c r="C314" s="792">
        <v>56.902999999999999</v>
      </c>
      <c r="D314" s="792">
        <v>66.003</v>
      </c>
      <c r="E314" s="792">
        <v>65.442999999999998</v>
      </c>
      <c r="F314" s="792">
        <v>166.00299999999999</v>
      </c>
      <c r="G314" s="792">
        <v>65.442999999999998</v>
      </c>
      <c r="H314" s="792">
        <v>56.902999999999999</v>
      </c>
      <c r="I314" s="792">
        <v>56.902999999999999</v>
      </c>
      <c r="J314" s="792">
        <v>73.298999999999893</v>
      </c>
      <c r="K314" s="792">
        <v>173.85900000000001</v>
      </c>
      <c r="L314" s="792">
        <v>123.85899999999999</v>
      </c>
      <c r="M314" s="792">
        <v>57.859000000000002</v>
      </c>
      <c r="N314" s="792">
        <f t="shared" si="4"/>
        <v>1044.482</v>
      </c>
    </row>
    <row r="315" spans="1:27" x14ac:dyDescent="0.25">
      <c r="A315" s="795" t="s">
        <v>2001</v>
      </c>
      <c r="B315" s="785">
        <v>82.004999999999995</v>
      </c>
      <c r="C315" s="785">
        <v>56.902999999999999</v>
      </c>
      <c r="D315" s="785">
        <v>66.003</v>
      </c>
      <c r="E315" s="785">
        <v>65.442999999999998</v>
      </c>
      <c r="F315" s="785">
        <v>166.00299999999999</v>
      </c>
      <c r="G315" s="785">
        <v>65.442999999999998</v>
      </c>
      <c r="H315" s="785">
        <v>56.902999999999999</v>
      </c>
      <c r="I315" s="785">
        <v>56.902999999999999</v>
      </c>
      <c r="J315" s="785">
        <v>73.298999999999893</v>
      </c>
      <c r="K315" s="785">
        <v>173.85900000000001</v>
      </c>
      <c r="L315" s="785">
        <v>123.85899999999999</v>
      </c>
      <c r="M315" s="785">
        <v>57.859000000000002</v>
      </c>
      <c r="N315" s="785">
        <f t="shared" si="4"/>
        <v>1044.482</v>
      </c>
      <c r="O315" s="786"/>
      <c r="P315" s="786"/>
      <c r="Q315" s="786"/>
      <c r="R315" s="786"/>
      <c r="S315" s="786"/>
      <c r="T315" s="786"/>
      <c r="U315" s="786"/>
      <c r="V315" s="786"/>
      <c r="W315" s="786"/>
      <c r="X315" s="786"/>
      <c r="Y315" s="786"/>
      <c r="Z315" s="786"/>
      <c r="AA315" s="786"/>
    </row>
    <row r="316" spans="1:27" x14ac:dyDescent="0.25">
      <c r="N316" s="787">
        <f t="shared" si="4"/>
        <v>0</v>
      </c>
    </row>
    <row r="317" spans="1:27" x14ac:dyDescent="0.25">
      <c r="A317" s="784" t="s">
        <v>2002</v>
      </c>
      <c r="B317" s="785">
        <v>3938.5770000000002</v>
      </c>
      <c r="C317" s="785">
        <v>4230.58</v>
      </c>
      <c r="D317" s="785">
        <v>5016.9549999999999</v>
      </c>
      <c r="E317" s="785">
        <v>4966.1660000000002</v>
      </c>
      <c r="F317" s="785">
        <v>4978.4849999999997</v>
      </c>
      <c r="G317" s="785">
        <v>4581.991</v>
      </c>
      <c r="H317" s="785">
        <v>4136.7559999999903</v>
      </c>
      <c r="I317" s="785">
        <v>4265.8131299999995</v>
      </c>
      <c r="J317" s="785">
        <v>4467.1670000000004</v>
      </c>
      <c r="K317" s="785">
        <v>4122.1660000000002</v>
      </c>
      <c r="L317" s="785">
        <v>4332.5460000000003</v>
      </c>
      <c r="M317" s="785">
        <v>4035.7449999999899</v>
      </c>
      <c r="N317" s="785">
        <f t="shared" si="4"/>
        <v>53072.947129999979</v>
      </c>
      <c r="O317" s="786"/>
      <c r="P317" s="786"/>
      <c r="Q317" s="786"/>
      <c r="R317" s="786"/>
      <c r="S317" s="786"/>
      <c r="T317" s="786"/>
      <c r="U317" s="786"/>
      <c r="V317" s="786"/>
      <c r="W317" s="786"/>
      <c r="X317" s="786"/>
      <c r="Y317" s="786"/>
      <c r="Z317" s="786"/>
      <c r="AA317" s="786"/>
    </row>
    <row r="318" spans="1:27" x14ac:dyDescent="0.25">
      <c r="N318" s="787">
        <f t="shared" si="4"/>
        <v>0</v>
      </c>
    </row>
    <row r="319" spans="1:27" x14ac:dyDescent="0.25">
      <c r="A319" s="791" t="s">
        <v>2003</v>
      </c>
      <c r="B319" s="787">
        <v>3524.1190000000001</v>
      </c>
      <c r="C319" s="787">
        <v>2722.768</v>
      </c>
      <c r="D319" s="787">
        <v>3298.306</v>
      </c>
      <c r="E319" s="787">
        <v>3322.4540000000002</v>
      </c>
      <c r="F319" s="787">
        <v>2903.221</v>
      </c>
      <c r="G319" s="787">
        <v>3473.8069999999998</v>
      </c>
      <c r="H319" s="787">
        <v>2772.163</v>
      </c>
      <c r="I319" s="787">
        <v>2589.58</v>
      </c>
      <c r="J319" s="787">
        <v>3710.8090000000002</v>
      </c>
      <c r="K319" s="787">
        <v>3027.7620000000002</v>
      </c>
      <c r="L319" s="787">
        <v>3294.1790000000001</v>
      </c>
      <c r="M319" s="787">
        <v>3171.393</v>
      </c>
      <c r="N319" s="787">
        <f t="shared" si="4"/>
        <v>37810.561000000002</v>
      </c>
    </row>
    <row r="320" spans="1:27" x14ac:dyDescent="0.25">
      <c r="A320" s="791" t="s">
        <v>2004</v>
      </c>
      <c r="B320" s="787">
        <v>827.66199999999901</v>
      </c>
      <c r="C320" s="787">
        <v>955.54300000000001</v>
      </c>
      <c r="D320" s="787">
        <v>824.53499999999997</v>
      </c>
      <c r="E320" s="787">
        <v>810.44899999999996</v>
      </c>
      <c r="F320" s="787">
        <v>867.16499999999996</v>
      </c>
      <c r="G320" s="787">
        <v>883.995</v>
      </c>
      <c r="H320" s="787">
        <v>806.44799999999998</v>
      </c>
      <c r="I320" s="787">
        <v>827.15300000000002</v>
      </c>
      <c r="J320" s="787">
        <v>869.73500000000001</v>
      </c>
      <c r="K320" s="787">
        <v>900.40599999999995</v>
      </c>
      <c r="L320" s="787">
        <v>928.46699999999998</v>
      </c>
      <c r="M320" s="787">
        <v>853.68299999999999</v>
      </c>
      <c r="N320" s="787">
        <f t="shared" si="4"/>
        <v>10355.241000000002</v>
      </c>
    </row>
    <row r="321" spans="1:14" x14ac:dyDescent="0.25">
      <c r="A321" s="791" t="s">
        <v>2005</v>
      </c>
      <c r="B321" s="787">
        <v>-548.12</v>
      </c>
      <c r="C321" s="787">
        <v>-480.036</v>
      </c>
      <c r="D321" s="787">
        <v>-524.899</v>
      </c>
      <c r="E321" s="787">
        <v>-525.55499999999995</v>
      </c>
      <c r="F321" s="787">
        <v>-487.553</v>
      </c>
      <c r="G321" s="787">
        <v>-546.99199999999996</v>
      </c>
      <c r="H321" s="787">
        <v>-466.23899999999998</v>
      </c>
      <c r="I321" s="787">
        <v>-449.43099999999998</v>
      </c>
      <c r="J321" s="787">
        <v>-568.02499999999998</v>
      </c>
      <c r="K321" s="787">
        <v>-501.80399999999997</v>
      </c>
      <c r="L321" s="787">
        <v>-537.25699999999995</v>
      </c>
      <c r="M321" s="787">
        <v>-517.74599999999998</v>
      </c>
      <c r="N321" s="787">
        <f t="shared" si="4"/>
        <v>-6153.6569999999992</v>
      </c>
    </row>
    <row r="322" spans="1:14" x14ac:dyDescent="0.25">
      <c r="A322" s="791" t="s">
        <v>2006</v>
      </c>
      <c r="B322" s="787">
        <v>1851.5319999999999</v>
      </c>
      <c r="C322" s="787">
        <v>2051.152</v>
      </c>
      <c r="D322" s="787">
        <v>1638.059</v>
      </c>
      <c r="E322" s="787">
        <v>1830.3589999999999</v>
      </c>
      <c r="F322" s="787">
        <v>2128.3519999999999</v>
      </c>
      <c r="G322" s="787">
        <v>1709.32</v>
      </c>
      <c r="H322" s="787">
        <v>1679.115</v>
      </c>
      <c r="I322" s="787">
        <v>2045.5440000000001</v>
      </c>
      <c r="J322" s="787">
        <v>1528.6859999999999</v>
      </c>
      <c r="K322" s="787">
        <v>1700.432</v>
      </c>
      <c r="L322" s="787">
        <v>2003.663</v>
      </c>
      <c r="M322" s="787">
        <v>1904.789</v>
      </c>
      <c r="N322" s="787">
        <f t="shared" si="4"/>
        <v>22071.003000000004</v>
      </c>
    </row>
    <row r="323" spans="1:14" x14ac:dyDescent="0.25">
      <c r="A323" s="791" t="s">
        <v>2007</v>
      </c>
      <c r="B323" s="787">
        <v>487.81099999999998</v>
      </c>
      <c r="C323" s="787">
        <v>487.81099999999998</v>
      </c>
      <c r="D323" s="787">
        <v>517.21100000000001</v>
      </c>
      <c r="E323" s="787">
        <v>489.753999999999</v>
      </c>
      <c r="F323" s="787">
        <v>487.81099999999998</v>
      </c>
      <c r="G323" s="787">
        <v>517.21100000000001</v>
      </c>
      <c r="H323" s="787">
        <v>487.81099999999998</v>
      </c>
      <c r="I323" s="787">
        <v>487.81099999999998</v>
      </c>
      <c r="J323" s="787">
        <v>624.29700000000003</v>
      </c>
      <c r="K323" s="787">
        <v>487.81099999999998</v>
      </c>
      <c r="L323" s="787">
        <v>487.81099999999998</v>
      </c>
      <c r="M323" s="787">
        <v>634.52</v>
      </c>
      <c r="N323" s="787">
        <f t="shared" si="4"/>
        <v>6197.67</v>
      </c>
    </row>
    <row r="324" spans="1:14" x14ac:dyDescent="0.25">
      <c r="A324" s="791" t="s">
        <v>2008</v>
      </c>
      <c r="B324" s="787">
        <v>393.92</v>
      </c>
      <c r="C324" s="787">
        <v>400.46600000000001</v>
      </c>
      <c r="D324" s="787">
        <v>438.14100000000002</v>
      </c>
      <c r="E324" s="787">
        <v>389.596</v>
      </c>
      <c r="F324" s="787">
        <v>433.29500000000002</v>
      </c>
      <c r="G324" s="787">
        <v>436.93200000000002</v>
      </c>
      <c r="H324" s="787">
        <v>391.36899999999901</v>
      </c>
      <c r="I324" s="787">
        <v>399.77099999999899</v>
      </c>
      <c r="J324" s="787">
        <v>489.72800000000001</v>
      </c>
      <c r="K324" s="787">
        <v>391.38200000000001</v>
      </c>
      <c r="L324" s="787">
        <v>402.54300000000001</v>
      </c>
      <c r="M324" s="787">
        <v>441.28199999999998</v>
      </c>
      <c r="N324" s="787">
        <f t="shared" si="4"/>
        <v>5008.4249999999975</v>
      </c>
    </row>
    <row r="325" spans="1:14" x14ac:dyDescent="0.25">
      <c r="A325" s="791" t="s">
        <v>2009</v>
      </c>
      <c r="B325" s="787">
        <v>2539.4839999999999</v>
      </c>
      <c r="C325" s="787">
        <v>2559.4589999999998</v>
      </c>
      <c r="D325" s="787">
        <v>2522.241</v>
      </c>
      <c r="E325" s="787">
        <v>2530.4630000000002</v>
      </c>
      <c r="F325" s="787">
        <v>2563.9250000000002</v>
      </c>
      <c r="G325" s="787">
        <v>2506.779</v>
      </c>
      <c r="H325" s="787">
        <v>2490.453</v>
      </c>
      <c r="I325" s="787">
        <v>2601.54</v>
      </c>
      <c r="J325" s="787">
        <v>2555.703</v>
      </c>
      <c r="K325" s="787">
        <v>2546.8069999999998</v>
      </c>
      <c r="L325" s="787">
        <v>2572.681</v>
      </c>
      <c r="M325" s="787">
        <v>2547.6089999999999</v>
      </c>
      <c r="N325" s="787">
        <f t="shared" si="4"/>
        <v>30537.144000000004</v>
      </c>
    </row>
    <row r="326" spans="1:14" x14ac:dyDescent="0.25">
      <c r="A326" s="791" t="s">
        <v>2010</v>
      </c>
      <c r="B326" s="787">
        <v>0</v>
      </c>
      <c r="C326" s="787">
        <v>0</v>
      </c>
      <c r="D326" s="787">
        <v>0</v>
      </c>
      <c r="E326" s="787">
        <v>0</v>
      </c>
      <c r="F326" s="787">
        <v>0</v>
      </c>
      <c r="G326" s="787">
        <v>0</v>
      </c>
      <c r="H326" s="787">
        <v>0</v>
      </c>
      <c r="I326" s="787">
        <v>0</v>
      </c>
      <c r="J326" s="787">
        <v>0</v>
      </c>
      <c r="K326" s="787">
        <v>0</v>
      </c>
      <c r="L326" s="787">
        <v>0</v>
      </c>
      <c r="M326" s="787">
        <v>0</v>
      </c>
      <c r="N326" s="787">
        <f t="shared" si="4"/>
        <v>0</v>
      </c>
    </row>
    <row r="327" spans="1:14" x14ac:dyDescent="0.25">
      <c r="A327" s="791" t="s">
        <v>2011</v>
      </c>
      <c r="B327" s="787">
        <v>174.845</v>
      </c>
      <c r="C327" s="787">
        <v>174.845</v>
      </c>
      <c r="D327" s="787">
        <v>172.09399999999999</v>
      </c>
      <c r="E327" s="787">
        <v>172.09399999999999</v>
      </c>
      <c r="F327" s="787">
        <v>172.09399999999999</v>
      </c>
      <c r="G327" s="787">
        <v>175.39500000000001</v>
      </c>
      <c r="H327" s="787">
        <v>172.095</v>
      </c>
      <c r="I327" s="787">
        <v>174.845</v>
      </c>
      <c r="J327" s="787">
        <v>165.761</v>
      </c>
      <c r="K327" s="787">
        <v>165.761</v>
      </c>
      <c r="L327" s="787">
        <v>165.761</v>
      </c>
      <c r="M327" s="787">
        <v>172.36099999999999</v>
      </c>
      <c r="N327" s="787">
        <f t="shared" si="4"/>
        <v>2057.951</v>
      </c>
    </row>
    <row r="328" spans="1:14" x14ac:dyDescent="0.25">
      <c r="A328" s="791" t="s">
        <v>2012</v>
      </c>
      <c r="B328" s="787">
        <v>0</v>
      </c>
      <c r="C328" s="787">
        <v>0</v>
      </c>
      <c r="D328" s="787">
        <v>0</v>
      </c>
      <c r="E328" s="787">
        <v>0</v>
      </c>
      <c r="F328" s="787">
        <v>0</v>
      </c>
      <c r="G328" s="787">
        <v>0</v>
      </c>
      <c r="H328" s="787">
        <v>0</v>
      </c>
      <c r="I328" s="787">
        <v>0</v>
      </c>
      <c r="J328" s="787">
        <v>0</v>
      </c>
      <c r="K328" s="787">
        <v>0</v>
      </c>
      <c r="L328" s="787">
        <v>0</v>
      </c>
      <c r="M328" s="787">
        <v>0</v>
      </c>
      <c r="N328" s="787">
        <f t="shared" si="4"/>
        <v>0</v>
      </c>
    </row>
    <row r="329" spans="1:14" x14ac:dyDescent="0.25">
      <c r="A329" s="791" t="s">
        <v>2013</v>
      </c>
      <c r="B329" s="787">
        <v>0</v>
      </c>
      <c r="C329" s="787">
        <v>0</v>
      </c>
      <c r="D329" s="787">
        <v>0</v>
      </c>
      <c r="E329" s="787">
        <v>0</v>
      </c>
      <c r="F329" s="787">
        <v>0</v>
      </c>
      <c r="G329" s="787">
        <v>0</v>
      </c>
      <c r="H329" s="787">
        <v>0</v>
      </c>
      <c r="I329" s="787">
        <v>0</v>
      </c>
      <c r="J329" s="787">
        <v>0</v>
      </c>
      <c r="K329" s="787">
        <v>0</v>
      </c>
      <c r="L329" s="787">
        <v>0</v>
      </c>
      <c r="M329" s="787">
        <v>0</v>
      </c>
      <c r="N329" s="787">
        <f t="shared" si="4"/>
        <v>0</v>
      </c>
    </row>
    <row r="330" spans="1:14" x14ac:dyDescent="0.25">
      <c r="A330" s="791" t="s">
        <v>2014</v>
      </c>
      <c r="B330" s="787">
        <v>0.57399999999999995</v>
      </c>
      <c r="C330" s="787">
        <v>0.81399999999999995</v>
      </c>
      <c r="D330" s="787">
        <v>0.24299999999999999</v>
      </c>
      <c r="E330" s="787">
        <v>0.1</v>
      </c>
      <c r="F330" s="787">
        <v>0.53</v>
      </c>
      <c r="G330" s="787">
        <v>2.5000000000000001E-2</v>
      </c>
      <c r="H330" s="787">
        <v>2.3E-2</v>
      </c>
      <c r="I330" s="787">
        <v>2.8000000000000001E-2</v>
      </c>
      <c r="J330" s="787">
        <v>0.77600000000000002</v>
      </c>
      <c r="K330" s="787">
        <v>5.7000000000000002E-2</v>
      </c>
      <c r="L330" s="787">
        <v>9.4E-2</v>
      </c>
      <c r="M330" s="787">
        <v>5.2999999999999999E-2</v>
      </c>
      <c r="N330" s="787">
        <f t="shared" si="4"/>
        <v>3.3170000000000002</v>
      </c>
    </row>
    <row r="331" spans="1:14" x14ac:dyDescent="0.25">
      <c r="A331" s="791" t="s">
        <v>2015</v>
      </c>
      <c r="B331" s="787">
        <v>278.43099999999998</v>
      </c>
      <c r="C331" s="787">
        <v>297.66599999999897</v>
      </c>
      <c r="D331" s="787">
        <v>290.601</v>
      </c>
      <c r="E331" s="787">
        <v>317.06899999999899</v>
      </c>
      <c r="F331" s="787">
        <v>289.66500000000002</v>
      </c>
      <c r="G331" s="787">
        <v>307.26799999999997</v>
      </c>
      <c r="H331" s="787">
        <v>275.849999999999</v>
      </c>
      <c r="I331" s="787">
        <v>295.13299999999998</v>
      </c>
      <c r="J331" s="787">
        <v>399.63200000000001</v>
      </c>
      <c r="K331" s="787">
        <v>339.45400000000001</v>
      </c>
      <c r="L331" s="787">
        <v>333.93</v>
      </c>
      <c r="M331" s="787">
        <v>281.63099999999997</v>
      </c>
      <c r="N331" s="787">
        <f t="shared" si="4"/>
        <v>3706.3299999999967</v>
      </c>
    </row>
    <row r="332" spans="1:14" x14ac:dyDescent="0.25">
      <c r="A332" s="796" t="s">
        <v>2016</v>
      </c>
      <c r="B332" s="787">
        <v>9530.2579999999998</v>
      </c>
      <c r="C332" s="787">
        <v>9170.4879999999994</v>
      </c>
      <c r="D332" s="787">
        <v>9176.5319999999992</v>
      </c>
      <c r="E332" s="787">
        <v>9336.7829999999994</v>
      </c>
      <c r="F332" s="787">
        <v>9358.5049999999992</v>
      </c>
      <c r="G332" s="787">
        <v>9463.74</v>
      </c>
      <c r="H332" s="787">
        <v>8609.0879999999997</v>
      </c>
      <c r="I332" s="787">
        <v>8971.9740000000002</v>
      </c>
      <c r="J332" s="787">
        <v>9777.1020000000008</v>
      </c>
      <c r="K332" s="787">
        <v>9058.0679999999993</v>
      </c>
      <c r="L332" s="787">
        <v>9651.8719999999994</v>
      </c>
      <c r="M332" s="787">
        <v>9489.5749999999898</v>
      </c>
      <c r="N332" s="787">
        <f t="shared" si="4"/>
        <v>111593.98499999999</v>
      </c>
    </row>
    <row r="333" spans="1:14" x14ac:dyDescent="0.25">
      <c r="A333" s="791" t="s">
        <v>2017</v>
      </c>
      <c r="B333" s="787">
        <v>150.09</v>
      </c>
      <c r="C333" s="787">
        <v>47.433</v>
      </c>
      <c r="D333" s="787">
        <v>110.042</v>
      </c>
      <c r="E333" s="787">
        <v>112.021</v>
      </c>
      <c r="F333" s="787">
        <v>107.224</v>
      </c>
      <c r="G333" s="787">
        <v>116.962</v>
      </c>
      <c r="H333" s="787">
        <v>74.727999999999994</v>
      </c>
      <c r="I333" s="787">
        <v>100.90600000000001</v>
      </c>
      <c r="J333" s="787">
        <v>156.023</v>
      </c>
      <c r="K333" s="787">
        <v>133.74799999999999</v>
      </c>
      <c r="L333" s="787">
        <v>145.03199999999899</v>
      </c>
      <c r="M333" s="787">
        <v>144.577</v>
      </c>
      <c r="N333" s="787">
        <f t="shared" si="4"/>
        <v>1398.7859999999989</v>
      </c>
    </row>
    <row r="334" spans="1:14" x14ac:dyDescent="0.25">
      <c r="A334" s="796" t="s">
        <v>1947</v>
      </c>
      <c r="B334" s="787">
        <v>150.09</v>
      </c>
      <c r="C334" s="787">
        <v>47.433</v>
      </c>
      <c r="D334" s="787">
        <v>110.042</v>
      </c>
      <c r="E334" s="787">
        <v>112.021</v>
      </c>
      <c r="F334" s="787">
        <v>107.224</v>
      </c>
      <c r="G334" s="787">
        <v>116.962</v>
      </c>
      <c r="H334" s="787">
        <v>74.727999999999994</v>
      </c>
      <c r="I334" s="787">
        <v>100.90600000000001</v>
      </c>
      <c r="J334" s="787">
        <v>156.023</v>
      </c>
      <c r="K334" s="787">
        <v>133.74799999999999</v>
      </c>
      <c r="L334" s="787">
        <v>145.03199999999899</v>
      </c>
      <c r="M334" s="787">
        <v>144.577</v>
      </c>
      <c r="N334" s="787">
        <f t="shared" si="4"/>
        <v>1398.7859999999989</v>
      </c>
    </row>
    <row r="335" spans="1:14" x14ac:dyDescent="0.25">
      <c r="A335" s="791" t="s">
        <v>2018</v>
      </c>
      <c r="B335" s="787">
        <v>158.60300000000001</v>
      </c>
      <c r="C335" s="787">
        <v>184.602</v>
      </c>
      <c r="D335" s="787">
        <v>184.60300000000001</v>
      </c>
      <c r="E335" s="787">
        <v>158.59899999999999</v>
      </c>
      <c r="F335" s="787">
        <v>184.601</v>
      </c>
      <c r="G335" s="787">
        <v>184.6</v>
      </c>
      <c r="H335" s="787">
        <v>160.31299999999999</v>
      </c>
      <c r="I335" s="787">
        <v>184.596</v>
      </c>
      <c r="J335" s="787">
        <v>181.28100000000001</v>
      </c>
      <c r="K335" s="787">
        <v>155.28</v>
      </c>
      <c r="L335" s="787">
        <v>181.28100000000001</v>
      </c>
      <c r="M335" s="787">
        <v>181.28</v>
      </c>
      <c r="N335" s="787">
        <f t="shared" si="4"/>
        <v>2099.6389999999997</v>
      </c>
    </row>
    <row r="336" spans="1:14" x14ac:dyDescent="0.25">
      <c r="A336" s="791" t="s">
        <v>2019</v>
      </c>
      <c r="B336" s="787">
        <v>74.164000000000001</v>
      </c>
      <c r="C336" s="787">
        <v>74.164000000000001</v>
      </c>
      <c r="D336" s="787">
        <v>74.164000000000001</v>
      </c>
      <c r="E336" s="787">
        <v>74.164000000000001</v>
      </c>
      <c r="F336" s="787">
        <v>74.164000000000001</v>
      </c>
      <c r="G336" s="787">
        <v>74.164000000000001</v>
      </c>
      <c r="H336" s="787">
        <v>74.164000000000001</v>
      </c>
      <c r="I336" s="787">
        <v>74.164000000000001</v>
      </c>
      <c r="J336" s="787">
        <v>74.164000000000001</v>
      </c>
      <c r="K336" s="787">
        <v>74.164000000000001</v>
      </c>
      <c r="L336" s="787">
        <v>74.164000000000001</v>
      </c>
      <c r="M336" s="787">
        <v>74.164000000000001</v>
      </c>
      <c r="N336" s="787">
        <f t="shared" si="4"/>
        <v>889.96799999999996</v>
      </c>
    </row>
    <row r="337" spans="1:27" x14ac:dyDescent="0.25">
      <c r="A337" s="796" t="s">
        <v>1833</v>
      </c>
      <c r="B337" s="787">
        <v>232.767</v>
      </c>
      <c r="C337" s="787">
        <v>258.76600000000002</v>
      </c>
      <c r="D337" s="787">
        <v>258.767</v>
      </c>
      <c r="E337" s="787">
        <v>232.76299999999901</v>
      </c>
      <c r="F337" s="787">
        <v>258.76499999999999</v>
      </c>
      <c r="G337" s="787">
        <v>258.76400000000001</v>
      </c>
      <c r="H337" s="787">
        <v>234.477</v>
      </c>
      <c r="I337" s="787">
        <v>258.76</v>
      </c>
      <c r="J337" s="787">
        <v>255.44499999999999</v>
      </c>
      <c r="K337" s="787">
        <v>229.44399999999999</v>
      </c>
      <c r="L337" s="787">
        <v>255.44499999999999</v>
      </c>
      <c r="M337" s="787">
        <v>255.44399999999999</v>
      </c>
      <c r="N337" s="787">
        <f t="shared" si="4"/>
        <v>2989.6069999999995</v>
      </c>
    </row>
    <row r="338" spans="1:27" x14ac:dyDescent="0.25">
      <c r="N338" s="787">
        <f t="shared" si="4"/>
        <v>0</v>
      </c>
    </row>
    <row r="339" spans="1:27" x14ac:dyDescent="0.25">
      <c r="A339" s="784" t="s">
        <v>2020</v>
      </c>
      <c r="B339" s="785">
        <v>9913.1149999999998</v>
      </c>
      <c r="C339" s="785">
        <v>9476.6869999999999</v>
      </c>
      <c r="D339" s="785">
        <v>9545.3410000000003</v>
      </c>
      <c r="E339" s="785">
        <v>9681.5669999999991</v>
      </c>
      <c r="F339" s="785">
        <v>9724.4940000000006</v>
      </c>
      <c r="G339" s="785">
        <v>9839.4659999999894</v>
      </c>
      <c r="H339" s="785">
        <v>8918.2929999999997</v>
      </c>
      <c r="I339" s="785">
        <v>9331.64</v>
      </c>
      <c r="J339" s="785">
        <v>10188.57</v>
      </c>
      <c r="K339" s="785">
        <v>9421.26</v>
      </c>
      <c r="L339" s="785">
        <v>10052.3489999999</v>
      </c>
      <c r="M339" s="785">
        <v>9889.5959999999905</v>
      </c>
      <c r="N339" s="785">
        <f t="shared" si="4"/>
        <v>115982.37799999987</v>
      </c>
      <c r="O339" s="786"/>
      <c r="P339" s="786"/>
      <c r="Q339" s="786"/>
      <c r="R339" s="786"/>
      <c r="S339" s="786"/>
      <c r="T339" s="786"/>
      <c r="U339" s="786"/>
      <c r="V339" s="786"/>
      <c r="W339" s="786"/>
      <c r="X339" s="786"/>
      <c r="Y339" s="786"/>
      <c r="Z339" s="786"/>
      <c r="AA339" s="786"/>
    </row>
    <row r="340" spans="1:27" x14ac:dyDescent="0.25">
      <c r="A340" s="791" t="s">
        <v>1796</v>
      </c>
      <c r="N340" s="787">
        <f t="shared" si="4"/>
        <v>0</v>
      </c>
    </row>
    <row r="341" spans="1:27" x14ac:dyDescent="0.25">
      <c r="A341" s="791" t="s">
        <v>2021</v>
      </c>
      <c r="B341" s="787">
        <v>64566.8738658191</v>
      </c>
      <c r="C341" s="787">
        <v>64080.453382068699</v>
      </c>
      <c r="D341" s="787">
        <v>69998.288213056701</v>
      </c>
      <c r="E341" s="787">
        <v>71986.681987155505</v>
      </c>
      <c r="F341" s="787">
        <v>62866.9130800618</v>
      </c>
      <c r="G341" s="787">
        <v>60766.2663933027</v>
      </c>
      <c r="H341" s="787">
        <v>62124.386025356798</v>
      </c>
      <c r="I341" s="787">
        <v>68071.428409912405</v>
      </c>
      <c r="J341" s="787">
        <v>76915.937983935</v>
      </c>
      <c r="K341" s="787">
        <v>64466.3453173983</v>
      </c>
      <c r="L341" s="787">
        <v>65088.511993776803</v>
      </c>
      <c r="M341" s="787">
        <v>58456.154047883203</v>
      </c>
      <c r="N341" s="787">
        <f t="shared" si="4"/>
        <v>789388.24069972697</v>
      </c>
    </row>
    <row r="342" spans="1:27" x14ac:dyDescent="0.25">
      <c r="A342" s="791" t="s">
        <v>2022</v>
      </c>
      <c r="B342" s="787">
        <v>11539.255999999999</v>
      </c>
      <c r="C342" s="787">
        <v>10179.737999999999</v>
      </c>
      <c r="D342" s="787">
        <v>10992.844999999999</v>
      </c>
      <c r="E342" s="787">
        <v>9923.7289999999994</v>
      </c>
      <c r="F342" s="787">
        <v>11635.473</v>
      </c>
      <c r="G342" s="787">
        <v>16510.949000000001</v>
      </c>
      <c r="H342" s="787">
        <v>13462.78</v>
      </c>
      <c r="I342" s="787">
        <v>9807.6630000000005</v>
      </c>
      <c r="J342" s="787">
        <v>9172.8309999999892</v>
      </c>
      <c r="K342" s="787">
        <v>9528.5229999999992</v>
      </c>
      <c r="L342" s="787">
        <v>16507.269999999899</v>
      </c>
      <c r="M342" s="787">
        <v>17213.181</v>
      </c>
      <c r="N342" s="787">
        <f t="shared" si="4"/>
        <v>146474.2379999999</v>
      </c>
    </row>
    <row r="343" spans="1:27" ht="15.75" thickBot="1" x14ac:dyDescent="0.3">
      <c r="A343" s="791" t="s">
        <v>2023</v>
      </c>
      <c r="B343" s="792">
        <v>233.596</v>
      </c>
      <c r="C343" s="792">
        <v>259.59500000000003</v>
      </c>
      <c r="D343" s="792">
        <v>259.596</v>
      </c>
      <c r="E343" s="792">
        <v>233.59199999999899</v>
      </c>
      <c r="F343" s="792">
        <v>259.59399999999999</v>
      </c>
      <c r="G343" s="792">
        <v>259.59300000000002</v>
      </c>
      <c r="H343" s="792">
        <v>235.30600000000001</v>
      </c>
      <c r="I343" s="792">
        <v>259.589</v>
      </c>
      <c r="J343" s="792">
        <v>318.40499999999997</v>
      </c>
      <c r="K343" s="792">
        <v>230.286</v>
      </c>
      <c r="L343" s="792">
        <v>256.28699999999998</v>
      </c>
      <c r="M343" s="792">
        <v>318.404</v>
      </c>
      <c r="N343" s="792">
        <f t="shared" si="4"/>
        <v>3123.8429999999989</v>
      </c>
    </row>
    <row r="344" spans="1:27" x14ac:dyDescent="0.25">
      <c r="A344" s="784" t="s">
        <v>2024</v>
      </c>
      <c r="B344" s="787">
        <v>76339.725865819099</v>
      </c>
      <c r="C344" s="787">
        <v>74519.786382068705</v>
      </c>
      <c r="D344" s="787">
        <v>81250.729213056606</v>
      </c>
      <c r="E344" s="787">
        <v>82144.002987155502</v>
      </c>
      <c r="F344" s="787">
        <v>74761.980080061796</v>
      </c>
      <c r="G344" s="787">
        <v>77536.808393302694</v>
      </c>
      <c r="H344" s="787">
        <v>75822.472025356794</v>
      </c>
      <c r="I344" s="787">
        <v>78138.680409912398</v>
      </c>
      <c r="J344" s="787">
        <v>86407.173983935005</v>
      </c>
      <c r="K344" s="787">
        <v>74225.154317398294</v>
      </c>
      <c r="L344" s="787">
        <v>81852.068993776804</v>
      </c>
      <c r="M344" s="787">
        <v>75987.739047883195</v>
      </c>
      <c r="N344" s="797">
        <f t="shared" si="4"/>
        <v>938986.32169972698</v>
      </c>
    </row>
    <row r="345" spans="1:27" x14ac:dyDescent="0.25">
      <c r="A345" s="791" t="s">
        <v>1796</v>
      </c>
      <c r="N345" s="787">
        <f t="shared" si="4"/>
        <v>0</v>
      </c>
    </row>
    <row r="346" spans="1:27" ht="15.75" thickBot="1" x14ac:dyDescent="0.3">
      <c r="A346" s="791" t="s">
        <v>2025</v>
      </c>
      <c r="B346" s="792">
        <v>27556.000088503501</v>
      </c>
      <c r="C346" s="792">
        <v>27895.336844243498</v>
      </c>
      <c r="D346" s="792">
        <v>27976.169385360499</v>
      </c>
      <c r="E346" s="792">
        <v>28017.660474036398</v>
      </c>
      <c r="F346" s="792">
        <v>28060.093112500501</v>
      </c>
      <c r="G346" s="792">
        <v>28132.227692023898</v>
      </c>
      <c r="H346" s="792">
        <v>28259.8199486306</v>
      </c>
      <c r="I346" s="792">
        <v>28562.728648932902</v>
      </c>
      <c r="J346" s="792">
        <v>28787.438707790701</v>
      </c>
      <c r="K346" s="792">
        <v>28790.630059074301</v>
      </c>
      <c r="L346" s="792">
        <v>28815.950520910301</v>
      </c>
      <c r="M346" s="792">
        <v>28883.818375721799</v>
      </c>
      <c r="N346" s="792">
        <f t="shared" si="4"/>
        <v>339737.87385772896</v>
      </c>
    </row>
    <row r="347" spans="1:27" x14ac:dyDescent="0.25">
      <c r="A347" s="796" t="s">
        <v>2026</v>
      </c>
      <c r="B347" s="787">
        <v>27556.000088503501</v>
      </c>
      <c r="C347" s="787">
        <v>27895.336844243498</v>
      </c>
      <c r="D347" s="787">
        <v>27976.169385360499</v>
      </c>
      <c r="E347" s="787">
        <v>28017.660474036398</v>
      </c>
      <c r="F347" s="787">
        <v>28060.093112500501</v>
      </c>
      <c r="G347" s="787">
        <v>28132.227692023898</v>
      </c>
      <c r="H347" s="787">
        <v>28259.8199486306</v>
      </c>
      <c r="I347" s="787">
        <v>28562.728648932902</v>
      </c>
      <c r="J347" s="787">
        <v>28787.438707790701</v>
      </c>
      <c r="K347" s="787">
        <v>28790.630059074301</v>
      </c>
      <c r="L347" s="787">
        <v>28815.950520910301</v>
      </c>
      <c r="M347" s="787">
        <v>28883.818375721799</v>
      </c>
      <c r="N347" s="787">
        <f t="shared" si="4"/>
        <v>339737.87385772896</v>
      </c>
    </row>
    <row r="348" spans="1:27" ht="15.75" thickBot="1" x14ac:dyDescent="0.3">
      <c r="A348" s="791" t="s">
        <v>2027</v>
      </c>
      <c r="B348" s="792">
        <v>1438.1858936608</v>
      </c>
      <c r="C348" s="792">
        <v>1494.7726280607999</v>
      </c>
      <c r="D348" s="792">
        <v>1553.5585610608</v>
      </c>
      <c r="E348" s="792">
        <v>1553.7389570608</v>
      </c>
      <c r="F348" s="792">
        <v>1550.9704020608001</v>
      </c>
      <c r="G348" s="792">
        <v>1540.9336510608</v>
      </c>
      <c r="H348" s="792">
        <v>1508.8586850608001</v>
      </c>
      <c r="I348" s="792">
        <v>1505.3792923608</v>
      </c>
      <c r="J348" s="792">
        <v>1514.6527205607999</v>
      </c>
      <c r="K348" s="792">
        <v>1483.9735267608</v>
      </c>
      <c r="L348" s="792">
        <v>1530.7345039608001</v>
      </c>
      <c r="M348" s="792">
        <v>1609.1980790608</v>
      </c>
      <c r="N348" s="792">
        <f t="shared" si="4"/>
        <v>18284.956900729601</v>
      </c>
    </row>
    <row r="349" spans="1:27" x14ac:dyDescent="0.25">
      <c r="A349" s="796" t="s">
        <v>2028</v>
      </c>
      <c r="B349" s="787">
        <v>1438.1858936608</v>
      </c>
      <c r="C349" s="787">
        <v>1494.7726280607999</v>
      </c>
      <c r="D349" s="787">
        <v>1553.5585610608</v>
      </c>
      <c r="E349" s="787">
        <v>1553.7389570608</v>
      </c>
      <c r="F349" s="787">
        <v>1550.9704020608001</v>
      </c>
      <c r="G349" s="787">
        <v>1540.9336510608</v>
      </c>
      <c r="H349" s="787">
        <v>1508.8586850608001</v>
      </c>
      <c r="I349" s="787">
        <v>1505.3792923608</v>
      </c>
      <c r="J349" s="787">
        <v>1514.6527205607999</v>
      </c>
      <c r="K349" s="787">
        <v>1483.9735267608</v>
      </c>
      <c r="L349" s="787">
        <v>1530.7345039608001</v>
      </c>
      <c r="M349" s="787">
        <v>1609.1980790608</v>
      </c>
      <c r="N349" s="787">
        <f t="shared" si="4"/>
        <v>18284.956900729601</v>
      </c>
    </row>
    <row r="350" spans="1:27" x14ac:dyDescent="0.25">
      <c r="A350" s="791" t="s">
        <v>2029</v>
      </c>
      <c r="B350" s="787">
        <v>700.17624832324395</v>
      </c>
      <c r="C350" s="787">
        <v>727.34647711991795</v>
      </c>
      <c r="D350" s="787">
        <v>747.074534685343</v>
      </c>
      <c r="E350" s="787">
        <v>766.47838448799996</v>
      </c>
      <c r="F350" s="787">
        <v>781.23761012603495</v>
      </c>
      <c r="G350" s="787">
        <v>793.11219431531799</v>
      </c>
      <c r="H350" s="787">
        <v>803.87256812201599</v>
      </c>
      <c r="I350" s="787">
        <v>840.30115892947504</v>
      </c>
      <c r="J350" s="787">
        <v>847.78760608710695</v>
      </c>
      <c r="K350" s="787">
        <v>858.30124668315</v>
      </c>
      <c r="L350" s="787">
        <v>869.90766040839799</v>
      </c>
      <c r="M350" s="787">
        <v>891.81737514253598</v>
      </c>
      <c r="N350" s="787">
        <f t="shared" si="4"/>
        <v>9627.4130644305387</v>
      </c>
    </row>
    <row r="351" spans="1:27" x14ac:dyDescent="0.25">
      <c r="A351" s="796" t="s">
        <v>2030</v>
      </c>
      <c r="B351" s="787">
        <v>700.17624832324395</v>
      </c>
      <c r="C351" s="787">
        <v>727.34647711991795</v>
      </c>
      <c r="D351" s="787">
        <v>747.074534685343</v>
      </c>
      <c r="E351" s="787">
        <v>766.47838448799996</v>
      </c>
      <c r="F351" s="787">
        <v>781.23761012603495</v>
      </c>
      <c r="G351" s="787">
        <v>793.11219431531799</v>
      </c>
      <c r="H351" s="787">
        <v>803.87256812201599</v>
      </c>
      <c r="I351" s="787">
        <v>840.30115892947504</v>
      </c>
      <c r="J351" s="787">
        <v>847.78760608710695</v>
      </c>
      <c r="K351" s="787">
        <v>858.30124668315</v>
      </c>
      <c r="L351" s="787">
        <v>869.90766040839799</v>
      </c>
      <c r="M351" s="787">
        <v>891.81737514253598</v>
      </c>
      <c r="N351" s="787">
        <f t="shared" si="4"/>
        <v>9627.4130644305387</v>
      </c>
    </row>
    <row r="352" spans="1:27" x14ac:dyDescent="0.25">
      <c r="A352" s="791" t="s">
        <v>2031</v>
      </c>
      <c r="B352" s="787">
        <v>3347.8680920772899</v>
      </c>
      <c r="C352" s="787">
        <v>-7998.8133323265902</v>
      </c>
      <c r="D352" s="787">
        <v>5589.7750823419601</v>
      </c>
      <c r="E352" s="787">
        <v>6026.9097419387799</v>
      </c>
      <c r="F352" s="787">
        <v>-8725.1553681784499</v>
      </c>
      <c r="G352" s="787">
        <v>1320.8905552388301</v>
      </c>
      <c r="H352" s="787">
        <v>3522.6490136493198</v>
      </c>
      <c r="I352" s="787">
        <v>-6309.0940113919996</v>
      </c>
      <c r="J352" s="787">
        <v>8193.5524798829792</v>
      </c>
      <c r="K352" s="787">
        <v>5969.4367331100602</v>
      </c>
      <c r="L352" s="787">
        <v>1536.3685288289601</v>
      </c>
      <c r="M352" s="787">
        <v>1314.2164659502</v>
      </c>
      <c r="N352" s="787">
        <f t="shared" si="4"/>
        <v>13788.60398112134</v>
      </c>
    </row>
    <row r="353" spans="1:15" ht="15.75" thickBot="1" x14ac:dyDescent="0.3">
      <c r="A353" s="791" t="s">
        <v>2032</v>
      </c>
      <c r="B353" s="792">
        <v>0</v>
      </c>
      <c r="C353" s="792">
        <v>0</v>
      </c>
      <c r="D353" s="792">
        <v>0</v>
      </c>
      <c r="E353" s="792">
        <v>0</v>
      </c>
      <c r="F353" s="792">
        <v>0</v>
      </c>
      <c r="G353" s="792">
        <v>0</v>
      </c>
      <c r="H353" s="792">
        <v>0</v>
      </c>
      <c r="I353" s="792">
        <v>0</v>
      </c>
      <c r="J353" s="792">
        <v>0</v>
      </c>
      <c r="K353" s="792">
        <v>0</v>
      </c>
      <c r="L353" s="792">
        <v>0</v>
      </c>
      <c r="M353" s="792">
        <v>0</v>
      </c>
      <c r="N353" s="792">
        <f t="shared" si="4"/>
        <v>0</v>
      </c>
    </row>
    <row r="354" spans="1:15" x14ac:dyDescent="0.25">
      <c r="A354" s="796" t="s">
        <v>2033</v>
      </c>
      <c r="B354" s="787">
        <v>3347.8680920772899</v>
      </c>
      <c r="C354" s="787">
        <v>-7998.8133323265902</v>
      </c>
      <c r="D354" s="787">
        <v>5589.7750823419601</v>
      </c>
      <c r="E354" s="787">
        <v>6026.9097419387799</v>
      </c>
      <c r="F354" s="787">
        <v>-8725.1553681784499</v>
      </c>
      <c r="G354" s="787">
        <v>1320.8905552388301</v>
      </c>
      <c r="H354" s="787">
        <v>3522.6490136493198</v>
      </c>
      <c r="I354" s="787">
        <v>-6309.0940113919996</v>
      </c>
      <c r="J354" s="787">
        <v>8193.5524798829792</v>
      </c>
      <c r="K354" s="787">
        <v>5969.4367331100602</v>
      </c>
      <c r="L354" s="787">
        <v>1536.3685288289601</v>
      </c>
      <c r="M354" s="787">
        <v>1314.2164659502</v>
      </c>
      <c r="N354" s="787">
        <f t="shared" si="4"/>
        <v>13788.60398112134</v>
      </c>
    </row>
    <row r="355" spans="1:15" x14ac:dyDescent="0.25">
      <c r="A355" s="791" t="s">
        <v>2034</v>
      </c>
      <c r="B355" s="787">
        <v>696.95942157325601</v>
      </c>
      <c r="C355" s="787">
        <v>-2234.59404974879</v>
      </c>
      <c r="D355" s="787">
        <v>1258.8408727674</v>
      </c>
      <c r="E355" s="787">
        <v>1368.3984315636001</v>
      </c>
      <c r="F355" s="787">
        <v>-2416.6346602379899</v>
      </c>
      <c r="G355" s="787">
        <v>188.94500131299199</v>
      </c>
      <c r="H355" s="787">
        <v>740.76416382188597</v>
      </c>
      <c r="I355" s="787">
        <v>-1811.1054981361699</v>
      </c>
      <c r="J355" s="787">
        <v>1911.4166616248001</v>
      </c>
      <c r="K355" s="787">
        <v>1353.9941686992599</v>
      </c>
      <c r="L355" s="787">
        <v>-1403.35769516251</v>
      </c>
      <c r="M355" s="787">
        <v>187.272297230627</v>
      </c>
      <c r="N355" s="787">
        <f t="shared" si="4"/>
        <v>-159.10088469163875</v>
      </c>
    </row>
    <row r="356" spans="1:15" ht="15.75" thickBot="1" x14ac:dyDescent="0.3">
      <c r="A356" s="791" t="s">
        <v>2035</v>
      </c>
      <c r="B356" s="792">
        <v>0</v>
      </c>
      <c r="C356" s="792">
        <v>0</v>
      </c>
      <c r="D356" s="792">
        <v>0</v>
      </c>
      <c r="E356" s="792">
        <v>0</v>
      </c>
      <c r="F356" s="792">
        <v>0</v>
      </c>
      <c r="G356" s="792">
        <v>0</v>
      </c>
      <c r="H356" s="792">
        <v>0</v>
      </c>
      <c r="I356" s="792">
        <v>0</v>
      </c>
      <c r="J356" s="792">
        <v>0</v>
      </c>
      <c r="K356" s="792">
        <v>0</v>
      </c>
      <c r="L356" s="792">
        <v>0</v>
      </c>
      <c r="M356" s="792">
        <v>0</v>
      </c>
      <c r="N356" s="792">
        <f t="shared" si="4"/>
        <v>0</v>
      </c>
    </row>
    <row r="357" spans="1:15" x14ac:dyDescent="0.25">
      <c r="A357" s="796" t="s">
        <v>2036</v>
      </c>
      <c r="B357" s="787">
        <v>696.95942157325601</v>
      </c>
      <c r="C357" s="787">
        <v>-2234.59404974879</v>
      </c>
      <c r="D357" s="787">
        <v>1258.8408727674</v>
      </c>
      <c r="E357" s="787">
        <v>1368.3984315636001</v>
      </c>
      <c r="F357" s="787">
        <v>-2416.6346602379899</v>
      </c>
      <c r="G357" s="787">
        <v>188.94500131299199</v>
      </c>
      <c r="H357" s="787">
        <v>740.76416382188597</v>
      </c>
      <c r="I357" s="787">
        <v>-1811.1054981361699</v>
      </c>
      <c r="J357" s="787">
        <v>1911.4166616248001</v>
      </c>
      <c r="K357" s="787">
        <v>1353.9941686992599</v>
      </c>
      <c r="L357" s="787">
        <v>-1403.35769516251</v>
      </c>
      <c r="M357" s="787">
        <v>187.272297230627</v>
      </c>
      <c r="N357" s="787">
        <f t="shared" si="4"/>
        <v>-159.10088469163875</v>
      </c>
    </row>
    <row r="358" spans="1:15" x14ac:dyDescent="0.25">
      <c r="A358" s="791" t="s">
        <v>2037</v>
      </c>
      <c r="B358" s="787">
        <v>28.288207499999999</v>
      </c>
      <c r="C358" s="787">
        <v>11332.9098387868</v>
      </c>
      <c r="D358" s="787">
        <v>28.288207499999999</v>
      </c>
      <c r="E358" s="787">
        <v>28.288207499999999</v>
      </c>
      <c r="F358" s="787">
        <v>8282.7871264126807</v>
      </c>
      <c r="G358" s="787">
        <v>28.288207499999999</v>
      </c>
      <c r="H358" s="787">
        <v>28.288207499999999</v>
      </c>
      <c r="I358" s="787">
        <v>9810.30107755684</v>
      </c>
      <c r="J358" s="787">
        <v>28.288207499999999</v>
      </c>
      <c r="K358" s="787">
        <v>28.288207499999999</v>
      </c>
      <c r="L358" s="787">
        <v>-4909.2107215952401</v>
      </c>
      <c r="M358" s="787">
        <v>-1012.2375715880301</v>
      </c>
      <c r="N358" s="787">
        <f t="shared" si="4"/>
        <v>23702.567202073053</v>
      </c>
    </row>
    <row r="359" spans="1:15" ht="15.75" thickBot="1" x14ac:dyDescent="0.3">
      <c r="A359" s="791" t="s">
        <v>2038</v>
      </c>
      <c r="B359" s="792">
        <v>0</v>
      </c>
      <c r="C359" s="792">
        <v>0</v>
      </c>
      <c r="D359" s="792">
        <v>0</v>
      </c>
      <c r="E359" s="792">
        <v>0</v>
      </c>
      <c r="F359" s="792">
        <v>0</v>
      </c>
      <c r="G359" s="792">
        <v>0</v>
      </c>
      <c r="H359" s="792">
        <v>0</v>
      </c>
      <c r="I359" s="792">
        <v>0</v>
      </c>
      <c r="J359" s="792">
        <v>0</v>
      </c>
      <c r="K359" s="792">
        <v>0</v>
      </c>
      <c r="L359" s="792">
        <v>0</v>
      </c>
      <c r="M359" s="792">
        <v>0</v>
      </c>
      <c r="N359" s="792">
        <f t="shared" ref="N359:N422" si="5">SUM(B359:M359)</f>
        <v>0</v>
      </c>
    </row>
    <row r="360" spans="1:15" x14ac:dyDescent="0.25">
      <c r="A360" s="796" t="s">
        <v>2039</v>
      </c>
      <c r="B360" s="787">
        <v>28.288207499999999</v>
      </c>
      <c r="C360" s="787">
        <v>11332.9098387868</v>
      </c>
      <c r="D360" s="787">
        <v>28.288207499999999</v>
      </c>
      <c r="E360" s="787">
        <v>28.288207499999999</v>
      </c>
      <c r="F360" s="787">
        <v>8282.7871264126807</v>
      </c>
      <c r="G360" s="787">
        <v>28.288207499999999</v>
      </c>
      <c r="H360" s="787">
        <v>28.288207499999999</v>
      </c>
      <c r="I360" s="787">
        <v>9810.30107755684</v>
      </c>
      <c r="J360" s="787">
        <v>28.288207499999999</v>
      </c>
      <c r="K360" s="787">
        <v>28.288207499999999</v>
      </c>
      <c r="L360" s="787">
        <v>-4909.2107215952401</v>
      </c>
      <c r="M360" s="787">
        <v>-1012.2375715880301</v>
      </c>
      <c r="N360" s="787">
        <f t="shared" si="5"/>
        <v>23702.567202073053</v>
      </c>
    </row>
    <row r="361" spans="1:15" x14ac:dyDescent="0.25">
      <c r="A361" s="791" t="s">
        <v>2040</v>
      </c>
      <c r="B361" s="787">
        <v>6.7352875000000001</v>
      </c>
      <c r="C361" s="787">
        <v>2854.6192461737501</v>
      </c>
      <c r="D361" s="787">
        <v>6.7352875000000001</v>
      </c>
      <c r="E361" s="787">
        <v>6.7352875000000001</v>
      </c>
      <c r="F361" s="787">
        <v>2854.6192461737401</v>
      </c>
      <c r="G361" s="787">
        <v>6.7352875000000001</v>
      </c>
      <c r="H361" s="787">
        <v>6.7352875000000001</v>
      </c>
      <c r="I361" s="787">
        <v>2854.6192461737201</v>
      </c>
      <c r="J361" s="787">
        <v>6.7352875000000001</v>
      </c>
      <c r="K361" s="787">
        <v>6.7352875000000001</v>
      </c>
      <c r="L361" s="787">
        <v>1782.57468992908</v>
      </c>
      <c r="M361" s="787">
        <v>6.7352875000000001</v>
      </c>
      <c r="N361" s="787">
        <f t="shared" si="5"/>
        <v>10400.31472845029</v>
      </c>
    </row>
    <row r="362" spans="1:15" ht="15.75" thickBot="1" x14ac:dyDescent="0.3">
      <c r="A362" s="791" t="s">
        <v>2041</v>
      </c>
      <c r="B362" s="792">
        <v>0</v>
      </c>
      <c r="C362" s="792">
        <v>0</v>
      </c>
      <c r="D362" s="792">
        <v>0</v>
      </c>
      <c r="E362" s="792">
        <v>0</v>
      </c>
      <c r="F362" s="792">
        <v>0</v>
      </c>
      <c r="G362" s="792">
        <v>0</v>
      </c>
      <c r="H362" s="792">
        <v>0</v>
      </c>
      <c r="I362" s="792">
        <v>0</v>
      </c>
      <c r="J362" s="792">
        <v>0</v>
      </c>
      <c r="K362" s="792">
        <v>0</v>
      </c>
      <c r="L362" s="792">
        <v>0</v>
      </c>
      <c r="M362" s="792">
        <v>0</v>
      </c>
      <c r="N362" s="792">
        <f t="shared" si="5"/>
        <v>0</v>
      </c>
      <c r="O362" s="788">
        <f>SUM(N354,N357,N360,N363)</f>
        <v>47732.385026953045</v>
      </c>
    </row>
    <row r="363" spans="1:15" x14ac:dyDescent="0.25">
      <c r="A363" s="796" t="s">
        <v>2042</v>
      </c>
      <c r="B363" s="787">
        <v>6.7352875000000001</v>
      </c>
      <c r="C363" s="787">
        <v>2854.6192461737501</v>
      </c>
      <c r="D363" s="787">
        <v>6.7352875000000001</v>
      </c>
      <c r="E363" s="787">
        <v>6.7352875000000001</v>
      </c>
      <c r="F363" s="787">
        <v>2854.6192461737401</v>
      </c>
      <c r="G363" s="787">
        <v>6.7352875000000001</v>
      </c>
      <c r="H363" s="787">
        <v>6.7352875000000001</v>
      </c>
      <c r="I363" s="787">
        <v>2854.6192461737201</v>
      </c>
      <c r="J363" s="787">
        <v>6.7352875000000001</v>
      </c>
      <c r="K363" s="787">
        <v>6.7352875000000001</v>
      </c>
      <c r="L363" s="787">
        <v>1782.57468992908</v>
      </c>
      <c r="M363" s="787">
        <v>6.7352875000000001</v>
      </c>
      <c r="N363" s="787">
        <f t="shared" si="5"/>
        <v>10400.31472845029</v>
      </c>
    </row>
    <row r="364" spans="1:15" ht="15.75" thickBot="1" x14ac:dyDescent="0.3">
      <c r="A364" s="791" t="s">
        <v>2043</v>
      </c>
      <c r="B364" s="792">
        <v>3965.1822388813898</v>
      </c>
      <c r="C364" s="792">
        <v>3960.9462388813899</v>
      </c>
      <c r="D364" s="792">
        <v>3971.39723888139</v>
      </c>
      <c r="E364" s="792">
        <v>3975.06923888139</v>
      </c>
      <c r="F364" s="792">
        <v>3969.6952388813902</v>
      </c>
      <c r="G364" s="792">
        <v>3971.28823888139</v>
      </c>
      <c r="H364" s="792">
        <v>3964.3232388813899</v>
      </c>
      <c r="I364" s="792">
        <v>3967.1692388813899</v>
      </c>
      <c r="J364" s="792">
        <v>4128.5584796093199</v>
      </c>
      <c r="K364" s="792">
        <v>4123.8754796093199</v>
      </c>
      <c r="L364" s="792">
        <v>4135.6744796093199</v>
      </c>
      <c r="M364" s="792">
        <v>4126.07247960932</v>
      </c>
      <c r="N364" s="792">
        <f t="shared" si="5"/>
        <v>48259.251829488392</v>
      </c>
    </row>
    <row r="365" spans="1:15" x14ac:dyDescent="0.25">
      <c r="A365" s="796" t="s">
        <v>2044</v>
      </c>
      <c r="B365" s="787">
        <v>3965.1822388813898</v>
      </c>
      <c r="C365" s="787">
        <v>3960.9462388813899</v>
      </c>
      <c r="D365" s="787">
        <v>3971.39723888139</v>
      </c>
      <c r="E365" s="787">
        <v>3975.06923888139</v>
      </c>
      <c r="F365" s="787">
        <v>3969.6952388813902</v>
      </c>
      <c r="G365" s="787">
        <v>3971.28823888139</v>
      </c>
      <c r="H365" s="787">
        <v>3964.3232388813899</v>
      </c>
      <c r="I365" s="787">
        <v>3967.1692388813899</v>
      </c>
      <c r="J365" s="787">
        <v>4128.5584796093199</v>
      </c>
      <c r="K365" s="787">
        <v>4123.8754796093199</v>
      </c>
      <c r="L365" s="787">
        <v>4135.6744796093199</v>
      </c>
      <c r="M365" s="787">
        <v>4126.07247960932</v>
      </c>
      <c r="N365" s="787">
        <f>SUM(B365:M365)</f>
        <v>48259.251829488392</v>
      </c>
    </row>
    <row r="366" spans="1:15" ht="15.75" thickBot="1" x14ac:dyDescent="0.3">
      <c r="A366" s="791" t="s">
        <v>2045</v>
      </c>
      <c r="B366" s="792">
        <v>0</v>
      </c>
      <c r="C366" s="792">
        <v>0</v>
      </c>
      <c r="D366" s="792">
        <v>0</v>
      </c>
      <c r="E366" s="792">
        <v>0</v>
      </c>
      <c r="F366" s="792">
        <v>0</v>
      </c>
      <c r="G366" s="792">
        <v>0</v>
      </c>
      <c r="H366" s="792">
        <v>0</v>
      </c>
      <c r="I366" s="792">
        <v>0</v>
      </c>
      <c r="J366" s="792">
        <v>0</v>
      </c>
      <c r="K366" s="792">
        <v>0</v>
      </c>
      <c r="L366" s="792">
        <v>0</v>
      </c>
      <c r="M366" s="792">
        <v>0</v>
      </c>
      <c r="N366" s="792">
        <f t="shared" si="5"/>
        <v>0</v>
      </c>
    </row>
    <row r="367" spans="1:15" x14ac:dyDescent="0.25">
      <c r="A367" s="796" t="s">
        <v>2046</v>
      </c>
      <c r="B367" s="787">
        <v>0</v>
      </c>
      <c r="C367" s="787">
        <v>0</v>
      </c>
      <c r="D367" s="787">
        <v>0</v>
      </c>
      <c r="E367" s="787">
        <v>0</v>
      </c>
      <c r="F367" s="787">
        <v>0</v>
      </c>
      <c r="G367" s="787">
        <v>0</v>
      </c>
      <c r="H367" s="787">
        <v>0</v>
      </c>
      <c r="I367" s="787">
        <v>0</v>
      </c>
      <c r="J367" s="787">
        <v>0</v>
      </c>
      <c r="K367" s="787">
        <v>0</v>
      </c>
      <c r="L367" s="787">
        <v>0</v>
      </c>
      <c r="M367" s="787">
        <v>0</v>
      </c>
      <c r="N367" s="787">
        <f t="shared" si="5"/>
        <v>0</v>
      </c>
    </row>
    <row r="368" spans="1:15" ht="15.75" thickBot="1" x14ac:dyDescent="0.3">
      <c r="A368" s="791" t="s">
        <v>2047</v>
      </c>
      <c r="B368" s="792">
        <v>0</v>
      </c>
      <c r="C368" s="792">
        <v>0</v>
      </c>
      <c r="D368" s="792">
        <v>0</v>
      </c>
      <c r="E368" s="792">
        <v>0</v>
      </c>
      <c r="F368" s="792">
        <v>0</v>
      </c>
      <c r="G368" s="792">
        <v>0</v>
      </c>
      <c r="H368" s="792">
        <v>0</v>
      </c>
      <c r="I368" s="792">
        <v>0</v>
      </c>
      <c r="J368" s="792">
        <v>0</v>
      </c>
      <c r="K368" s="792">
        <v>0</v>
      </c>
      <c r="L368" s="792">
        <v>0</v>
      </c>
      <c r="M368" s="792">
        <v>0</v>
      </c>
      <c r="N368" s="792">
        <f t="shared" si="5"/>
        <v>0</v>
      </c>
    </row>
    <row r="369" spans="1:27" x14ac:dyDescent="0.25">
      <c r="A369" s="796" t="s">
        <v>2048</v>
      </c>
      <c r="B369" s="787">
        <v>0</v>
      </c>
      <c r="C369" s="787">
        <v>0</v>
      </c>
      <c r="D369" s="787">
        <v>0</v>
      </c>
      <c r="E369" s="787">
        <v>0</v>
      </c>
      <c r="F369" s="787">
        <v>0</v>
      </c>
      <c r="G369" s="787">
        <v>0</v>
      </c>
      <c r="H369" s="787">
        <v>0</v>
      </c>
      <c r="I369" s="787">
        <v>0</v>
      </c>
      <c r="J369" s="787">
        <v>0</v>
      </c>
      <c r="K369" s="787">
        <v>0</v>
      </c>
      <c r="L369" s="787">
        <v>0</v>
      </c>
      <c r="M369" s="787">
        <v>0</v>
      </c>
      <c r="N369" s="787">
        <f t="shared" si="5"/>
        <v>0</v>
      </c>
    </row>
    <row r="370" spans="1:27" ht="15.75" thickBot="1" x14ac:dyDescent="0.3">
      <c r="A370" s="791" t="s">
        <v>2049</v>
      </c>
      <c r="B370" s="792">
        <v>0</v>
      </c>
      <c r="C370" s="792">
        <v>0</v>
      </c>
      <c r="D370" s="792">
        <v>0</v>
      </c>
      <c r="E370" s="792">
        <v>0</v>
      </c>
      <c r="F370" s="792">
        <v>0</v>
      </c>
      <c r="G370" s="792">
        <v>0</v>
      </c>
      <c r="H370" s="792">
        <v>0</v>
      </c>
      <c r="I370" s="792">
        <v>0</v>
      </c>
      <c r="J370" s="792">
        <v>0</v>
      </c>
      <c r="K370" s="792">
        <v>0</v>
      </c>
      <c r="L370" s="792">
        <v>0</v>
      </c>
      <c r="M370" s="792">
        <v>0</v>
      </c>
      <c r="N370" s="792">
        <f t="shared" si="5"/>
        <v>0</v>
      </c>
    </row>
    <row r="371" spans="1:27" x14ac:dyDescent="0.25">
      <c r="A371" s="796" t="s">
        <v>2050</v>
      </c>
      <c r="B371" s="787">
        <v>0</v>
      </c>
      <c r="C371" s="787">
        <v>0</v>
      </c>
      <c r="D371" s="787">
        <v>0</v>
      </c>
      <c r="E371" s="787">
        <v>0</v>
      </c>
      <c r="F371" s="787">
        <v>0</v>
      </c>
      <c r="G371" s="787">
        <v>0</v>
      </c>
      <c r="H371" s="787">
        <v>0</v>
      </c>
      <c r="I371" s="787">
        <v>0</v>
      </c>
      <c r="J371" s="787">
        <v>0</v>
      </c>
      <c r="K371" s="787">
        <v>0</v>
      </c>
      <c r="L371" s="787">
        <v>0</v>
      </c>
      <c r="M371" s="787">
        <v>0</v>
      </c>
      <c r="N371" s="787">
        <f t="shared" si="5"/>
        <v>0</v>
      </c>
    </row>
    <row r="372" spans="1:27" x14ac:dyDescent="0.25">
      <c r="B372" s="789"/>
      <c r="C372" s="789"/>
      <c r="D372" s="789"/>
      <c r="E372" s="789"/>
      <c r="F372" s="789"/>
      <c r="G372" s="789"/>
      <c r="H372" s="789"/>
      <c r="I372" s="789"/>
      <c r="J372" s="789"/>
      <c r="K372" s="789"/>
      <c r="L372" s="789"/>
      <c r="M372" s="789"/>
      <c r="N372" s="789">
        <f t="shared" si="5"/>
        <v>0</v>
      </c>
      <c r="O372" s="790"/>
      <c r="P372" s="790"/>
      <c r="Q372" s="790"/>
      <c r="R372" s="790"/>
      <c r="S372" s="790"/>
      <c r="T372" s="790"/>
      <c r="U372" s="790"/>
      <c r="V372" s="790"/>
      <c r="W372" s="790"/>
      <c r="X372" s="790"/>
      <c r="Y372" s="790"/>
      <c r="Z372" s="790"/>
      <c r="AA372" s="790"/>
    </row>
    <row r="373" spans="1:27" x14ac:dyDescent="0.25">
      <c r="A373" s="784" t="s">
        <v>2051</v>
      </c>
      <c r="B373" s="785">
        <v>37739.395478019498</v>
      </c>
      <c r="C373" s="785">
        <v>38032.523891190896</v>
      </c>
      <c r="D373" s="785">
        <v>41131.839170097403</v>
      </c>
      <c r="E373" s="785">
        <v>41743.278722969</v>
      </c>
      <c r="F373" s="785">
        <v>34357.612707738699</v>
      </c>
      <c r="G373" s="785">
        <v>35982.420827833303</v>
      </c>
      <c r="H373" s="785">
        <v>38835.311113165997</v>
      </c>
      <c r="I373" s="785">
        <v>39420.299153307002</v>
      </c>
      <c r="J373" s="785">
        <v>45418.430150555701</v>
      </c>
      <c r="K373" s="785">
        <v>42615.2347089369</v>
      </c>
      <c r="L373" s="785">
        <v>32358.641966889099</v>
      </c>
      <c r="M373" s="785">
        <v>36006.892788627301</v>
      </c>
      <c r="N373" s="785">
        <f t="shared" si="5"/>
        <v>463641.88067933073</v>
      </c>
      <c r="O373" s="786"/>
      <c r="P373" s="786"/>
      <c r="Q373" s="786"/>
      <c r="R373" s="786"/>
      <c r="S373" s="786"/>
      <c r="T373" s="786"/>
      <c r="U373" s="786"/>
      <c r="V373" s="786"/>
      <c r="W373" s="786"/>
      <c r="X373" s="786"/>
      <c r="Y373" s="786"/>
      <c r="Z373" s="786"/>
      <c r="AA373" s="786"/>
    </row>
    <row r="374" spans="1:27" ht="15.75" thickBot="1" x14ac:dyDescent="0.3">
      <c r="A374" s="798" t="s">
        <v>1796</v>
      </c>
      <c r="B374" s="792"/>
      <c r="C374" s="792"/>
      <c r="D374" s="792"/>
      <c r="E374" s="792"/>
      <c r="F374" s="792"/>
      <c r="G374" s="792"/>
      <c r="H374" s="792"/>
      <c r="I374" s="792"/>
      <c r="J374" s="792"/>
      <c r="K374" s="792"/>
      <c r="L374" s="792"/>
      <c r="M374" s="792"/>
      <c r="N374" s="792">
        <f t="shared" si="5"/>
        <v>0</v>
      </c>
    </row>
    <row r="375" spans="1:27" ht="15.75" thickBot="1" x14ac:dyDescent="0.3">
      <c r="A375" s="799" t="s">
        <v>2052</v>
      </c>
      <c r="B375" s="800">
        <v>22396.893140714201</v>
      </c>
      <c r="C375" s="800">
        <v>27795.808034584701</v>
      </c>
      <c r="D375" s="800">
        <v>30490.124010110299</v>
      </c>
      <c r="E375" s="800">
        <v>32123.560245708399</v>
      </c>
      <c r="F375" s="800">
        <v>28201.424762508399</v>
      </c>
      <c r="G375" s="800">
        <v>14590.244344659999</v>
      </c>
      <c r="H375" s="800">
        <v>22972.438639921202</v>
      </c>
      <c r="I375" s="800">
        <v>36007.3457302346</v>
      </c>
      <c r="J375" s="800">
        <v>40546.568397790601</v>
      </c>
      <c r="K375" s="800">
        <v>32056.012374231199</v>
      </c>
      <c r="L375" s="800">
        <v>30534.427042623302</v>
      </c>
      <c r="M375" s="800">
        <v>15777.4554582078</v>
      </c>
      <c r="N375" s="800">
        <f t="shared" si="5"/>
        <v>333492.30218129471</v>
      </c>
      <c r="O375" s="786"/>
      <c r="P375" s="786"/>
      <c r="Q375" s="786"/>
      <c r="R375" s="786"/>
      <c r="S375" s="786"/>
      <c r="T375" s="786"/>
      <c r="U375" s="786"/>
      <c r="V375" s="786"/>
      <c r="W375" s="786"/>
      <c r="X375" s="786"/>
      <c r="Y375" s="786"/>
      <c r="Z375" s="786"/>
      <c r="AA375" s="786"/>
    </row>
    <row r="376" spans="1:27" s="802" customFormat="1" ht="15.75" thickBot="1" x14ac:dyDescent="0.3">
      <c r="A376" s="711" t="s">
        <v>2617</v>
      </c>
      <c r="B376" s="712"/>
      <c r="C376" s="712"/>
      <c r="D376" s="712"/>
      <c r="E376" s="712"/>
      <c r="F376" s="712"/>
      <c r="G376" s="712"/>
      <c r="H376" s="712"/>
      <c r="I376" s="712"/>
      <c r="J376" s="712"/>
      <c r="K376" s="712"/>
      <c r="L376" s="712"/>
      <c r="M376" s="712"/>
      <c r="N376" s="800">
        <f t="shared" si="5"/>
        <v>0</v>
      </c>
      <c r="O376" s="801">
        <f>N376-N375</f>
        <v>-333492.30218129471</v>
      </c>
      <c r="P376" s="801"/>
      <c r="Q376" s="801"/>
      <c r="R376" s="801"/>
      <c r="S376" s="801"/>
      <c r="T376" s="801"/>
      <c r="U376" s="801"/>
      <c r="V376" s="801"/>
      <c r="W376" s="801"/>
      <c r="X376" s="801"/>
      <c r="Y376" s="801"/>
      <c r="Z376" s="801"/>
      <c r="AA376" s="801"/>
    </row>
    <row r="377" spans="1:27" x14ac:dyDescent="0.25">
      <c r="A377" s="791" t="s">
        <v>2053</v>
      </c>
      <c r="B377" s="787">
        <v>0</v>
      </c>
      <c r="C377" s="787">
        <v>0</v>
      </c>
      <c r="D377" s="787">
        <v>0</v>
      </c>
      <c r="E377" s="787">
        <v>0</v>
      </c>
      <c r="F377" s="787">
        <v>0</v>
      </c>
      <c r="G377" s="787">
        <v>0</v>
      </c>
      <c r="H377" s="787">
        <v>0</v>
      </c>
      <c r="I377" s="787">
        <v>0</v>
      </c>
      <c r="J377" s="787">
        <v>0</v>
      </c>
      <c r="K377" s="787">
        <v>0</v>
      </c>
      <c r="L377" s="787">
        <v>0</v>
      </c>
      <c r="M377" s="787">
        <v>0</v>
      </c>
      <c r="N377" s="787">
        <f t="shared" si="5"/>
        <v>0</v>
      </c>
    </row>
    <row r="378" spans="1:27" x14ac:dyDescent="0.25">
      <c r="A378" s="791" t="s">
        <v>2054</v>
      </c>
      <c r="B378" s="787">
        <v>0</v>
      </c>
      <c r="C378" s="787">
        <v>0</v>
      </c>
      <c r="D378" s="787">
        <v>0</v>
      </c>
      <c r="E378" s="787">
        <v>0</v>
      </c>
      <c r="F378" s="787">
        <v>0</v>
      </c>
      <c r="G378" s="787">
        <v>0</v>
      </c>
      <c r="H378" s="787">
        <v>0</v>
      </c>
      <c r="I378" s="787">
        <v>0</v>
      </c>
      <c r="J378" s="787">
        <v>0</v>
      </c>
      <c r="K378" s="787">
        <v>0</v>
      </c>
      <c r="L378" s="787">
        <v>0</v>
      </c>
      <c r="M378" s="787">
        <v>0</v>
      </c>
      <c r="N378" s="787">
        <f t="shared" si="5"/>
        <v>0</v>
      </c>
    </row>
    <row r="379" spans="1:27" x14ac:dyDescent="0.25">
      <c r="A379" s="791" t="s">
        <v>2055</v>
      </c>
      <c r="B379" s="787">
        <v>0</v>
      </c>
      <c r="C379" s="787">
        <v>0</v>
      </c>
      <c r="D379" s="787">
        <v>0</v>
      </c>
      <c r="E379" s="787">
        <v>0</v>
      </c>
      <c r="F379" s="787">
        <v>0</v>
      </c>
      <c r="G379" s="787">
        <v>0</v>
      </c>
      <c r="H379" s="787">
        <v>0</v>
      </c>
      <c r="I379" s="787">
        <v>0</v>
      </c>
      <c r="J379" s="787">
        <v>0</v>
      </c>
      <c r="K379" s="787">
        <v>0</v>
      </c>
      <c r="L379" s="787">
        <v>0</v>
      </c>
      <c r="M379" s="787">
        <v>0</v>
      </c>
      <c r="N379" s="787">
        <f t="shared" si="5"/>
        <v>0</v>
      </c>
    </row>
    <row r="380" spans="1:27" x14ac:dyDescent="0.25">
      <c r="A380" s="791" t="s">
        <v>2056</v>
      </c>
      <c r="B380" s="787">
        <v>0</v>
      </c>
      <c r="C380" s="787">
        <v>0</v>
      </c>
      <c r="D380" s="787">
        <v>0</v>
      </c>
      <c r="E380" s="787">
        <v>0</v>
      </c>
      <c r="F380" s="787">
        <v>0</v>
      </c>
      <c r="G380" s="787">
        <v>0</v>
      </c>
      <c r="H380" s="787">
        <v>0</v>
      </c>
      <c r="I380" s="787">
        <v>0</v>
      </c>
      <c r="J380" s="787">
        <v>0</v>
      </c>
      <c r="K380" s="787">
        <v>0</v>
      </c>
      <c r="L380" s="787">
        <v>0</v>
      </c>
      <c r="M380" s="787">
        <v>0</v>
      </c>
      <c r="N380" s="787">
        <f t="shared" si="5"/>
        <v>0</v>
      </c>
    </row>
    <row r="381" spans="1:27" x14ac:dyDescent="0.25">
      <c r="A381" s="791" t="s">
        <v>2057</v>
      </c>
      <c r="B381" s="787">
        <v>0</v>
      </c>
      <c r="C381" s="787">
        <v>0</v>
      </c>
      <c r="D381" s="787">
        <v>0</v>
      </c>
      <c r="E381" s="787">
        <v>0</v>
      </c>
      <c r="F381" s="787">
        <v>0</v>
      </c>
      <c r="G381" s="787">
        <v>0</v>
      </c>
      <c r="H381" s="787">
        <v>0</v>
      </c>
      <c r="I381" s="787">
        <v>0</v>
      </c>
      <c r="J381" s="787">
        <v>0</v>
      </c>
      <c r="K381" s="787">
        <v>0</v>
      </c>
      <c r="L381" s="787">
        <v>0</v>
      </c>
      <c r="M381" s="787">
        <v>0</v>
      </c>
      <c r="N381" s="787">
        <f t="shared" si="5"/>
        <v>0</v>
      </c>
    </row>
    <row r="382" spans="1:27" x14ac:dyDescent="0.25">
      <c r="A382" s="791" t="s">
        <v>2058</v>
      </c>
      <c r="B382" s="787">
        <v>-32.1485256156624</v>
      </c>
      <c r="C382" s="787">
        <v>-40.284867115662401</v>
      </c>
      <c r="D382" s="787">
        <v>-32.9902576781625</v>
      </c>
      <c r="E382" s="787">
        <v>-28.275619930430199</v>
      </c>
      <c r="F382" s="787">
        <v>-33.724095114398203</v>
      </c>
      <c r="G382" s="787">
        <v>-30.645434428162599</v>
      </c>
      <c r="H382" s="787">
        <v>-30.859464678162499</v>
      </c>
      <c r="I382" s="787">
        <v>-53.9498024906624</v>
      </c>
      <c r="J382" s="787">
        <v>-131.177923303162</v>
      </c>
      <c r="K382" s="787">
        <v>-60.664407240662101</v>
      </c>
      <c r="L382" s="787">
        <v>-42.452409678161999</v>
      </c>
      <c r="M382" s="787">
        <v>-43.450915490663299</v>
      </c>
      <c r="N382" s="787">
        <f t="shared" si="5"/>
        <v>-560.62372276395263</v>
      </c>
    </row>
    <row r="383" spans="1:27" x14ac:dyDescent="0.25">
      <c r="A383" s="791" t="s">
        <v>2059</v>
      </c>
      <c r="B383" s="787">
        <v>-8.0572745903915806</v>
      </c>
      <c r="C383" s="787">
        <v>-10.0964579237249</v>
      </c>
      <c r="D383" s="787">
        <v>-8.2682350070582693</v>
      </c>
      <c r="E383" s="787">
        <v>-7.0866215364486704</v>
      </c>
      <c r="F383" s="787">
        <v>-8.4521541640095901</v>
      </c>
      <c r="G383" s="787">
        <v>-7.6805600070582898</v>
      </c>
      <c r="H383" s="787">
        <v>-7.7342016737249404</v>
      </c>
      <c r="I383" s="787">
        <v>-13.521253757058201</v>
      </c>
      <c r="J383" s="787">
        <v>-32.876672507058203</v>
      </c>
      <c r="K383" s="787">
        <v>-15.204112090391501</v>
      </c>
      <c r="L383" s="787">
        <v>-10.639701673724799</v>
      </c>
      <c r="M383" s="787">
        <v>-10.8899537570584</v>
      </c>
      <c r="N383" s="787">
        <f t="shared" si="5"/>
        <v>-140.50719868770736</v>
      </c>
    </row>
    <row r="384" spans="1:27" x14ac:dyDescent="0.25">
      <c r="A384" s="791" t="s">
        <v>2060</v>
      </c>
      <c r="B384" s="787">
        <v>0</v>
      </c>
      <c r="C384" s="787">
        <v>0</v>
      </c>
      <c r="D384" s="787">
        <v>0</v>
      </c>
      <c r="E384" s="787">
        <v>0</v>
      </c>
      <c r="F384" s="787">
        <v>0</v>
      </c>
      <c r="G384" s="787">
        <v>0</v>
      </c>
      <c r="H384" s="787">
        <v>0</v>
      </c>
      <c r="I384" s="787">
        <v>0</v>
      </c>
      <c r="J384" s="787">
        <v>0</v>
      </c>
      <c r="K384" s="787">
        <v>0</v>
      </c>
      <c r="L384" s="787">
        <v>0</v>
      </c>
      <c r="M384" s="787">
        <v>0</v>
      </c>
      <c r="N384" s="787">
        <f t="shared" si="5"/>
        <v>0</v>
      </c>
    </row>
    <row r="385" spans="1:14" x14ac:dyDescent="0.25">
      <c r="A385" s="791" t="s">
        <v>2061</v>
      </c>
      <c r="B385" s="787">
        <v>0</v>
      </c>
      <c r="C385" s="787">
        <v>0</v>
      </c>
      <c r="D385" s="787">
        <v>0</v>
      </c>
      <c r="E385" s="787">
        <v>0</v>
      </c>
      <c r="F385" s="787">
        <v>0</v>
      </c>
      <c r="G385" s="787">
        <v>0</v>
      </c>
      <c r="H385" s="787">
        <v>0</v>
      </c>
      <c r="I385" s="787">
        <v>0</v>
      </c>
      <c r="J385" s="787">
        <v>0</v>
      </c>
      <c r="K385" s="787">
        <v>0</v>
      </c>
      <c r="L385" s="787">
        <v>0</v>
      </c>
      <c r="M385" s="787">
        <v>0</v>
      </c>
      <c r="N385" s="787">
        <f t="shared" si="5"/>
        <v>0</v>
      </c>
    </row>
    <row r="386" spans="1:14" x14ac:dyDescent="0.25">
      <c r="A386" s="791" t="s">
        <v>2062</v>
      </c>
      <c r="B386" s="787">
        <v>0</v>
      </c>
      <c r="C386" s="787">
        <v>0</v>
      </c>
      <c r="D386" s="787">
        <v>0</v>
      </c>
      <c r="E386" s="787">
        <v>0</v>
      </c>
      <c r="F386" s="787">
        <v>0</v>
      </c>
      <c r="G386" s="787">
        <v>0</v>
      </c>
      <c r="H386" s="787">
        <v>0</v>
      </c>
      <c r="I386" s="787">
        <v>0</v>
      </c>
      <c r="J386" s="787">
        <v>0</v>
      </c>
      <c r="K386" s="787">
        <v>0</v>
      </c>
      <c r="L386" s="787">
        <v>0</v>
      </c>
      <c r="M386" s="787">
        <v>0</v>
      </c>
      <c r="N386" s="787">
        <f t="shared" si="5"/>
        <v>0</v>
      </c>
    </row>
    <row r="387" spans="1:14" x14ac:dyDescent="0.25">
      <c r="A387" s="791" t="s">
        <v>2063</v>
      </c>
      <c r="B387" s="787">
        <v>0</v>
      </c>
      <c r="C387" s="787">
        <v>0</v>
      </c>
      <c r="D387" s="787">
        <v>0</v>
      </c>
      <c r="E387" s="787">
        <v>0</v>
      </c>
      <c r="F387" s="787">
        <v>0</v>
      </c>
      <c r="G387" s="787">
        <v>0</v>
      </c>
      <c r="H387" s="787">
        <v>0</v>
      </c>
      <c r="I387" s="787">
        <v>0</v>
      </c>
      <c r="J387" s="787">
        <v>0</v>
      </c>
      <c r="K387" s="787">
        <v>0</v>
      </c>
      <c r="L387" s="787">
        <v>0</v>
      </c>
      <c r="M387" s="787">
        <v>0</v>
      </c>
      <c r="N387" s="787">
        <f t="shared" si="5"/>
        <v>0</v>
      </c>
    </row>
    <row r="388" spans="1:14" x14ac:dyDescent="0.25">
      <c r="A388" s="791" t="s">
        <v>2064</v>
      </c>
      <c r="B388" s="787">
        <v>0</v>
      </c>
      <c r="C388" s="787">
        <v>0</v>
      </c>
      <c r="D388" s="787">
        <v>0</v>
      </c>
      <c r="E388" s="787">
        <v>0</v>
      </c>
      <c r="F388" s="787">
        <v>0</v>
      </c>
      <c r="G388" s="787">
        <v>0</v>
      </c>
      <c r="H388" s="787">
        <v>0</v>
      </c>
      <c r="I388" s="787">
        <v>0</v>
      </c>
      <c r="J388" s="787">
        <v>0</v>
      </c>
      <c r="K388" s="787">
        <v>0</v>
      </c>
      <c r="L388" s="787">
        <v>0</v>
      </c>
      <c r="M388" s="787">
        <v>0</v>
      </c>
      <c r="N388" s="787">
        <f t="shared" si="5"/>
        <v>0</v>
      </c>
    </row>
    <row r="389" spans="1:14" x14ac:dyDescent="0.25">
      <c r="A389" s="791" t="s">
        <v>2065</v>
      </c>
      <c r="B389" s="787">
        <v>0</v>
      </c>
      <c r="C389" s="787">
        <v>0</v>
      </c>
      <c r="D389" s="787">
        <v>0</v>
      </c>
      <c r="E389" s="787">
        <v>0</v>
      </c>
      <c r="F389" s="787">
        <v>0</v>
      </c>
      <c r="G389" s="787">
        <v>0</v>
      </c>
      <c r="H389" s="787">
        <v>0</v>
      </c>
      <c r="I389" s="787">
        <v>0</v>
      </c>
      <c r="J389" s="787">
        <v>0</v>
      </c>
      <c r="K389" s="787">
        <v>0</v>
      </c>
      <c r="L389" s="787">
        <v>0</v>
      </c>
      <c r="M389" s="787">
        <v>0</v>
      </c>
      <c r="N389" s="787">
        <f t="shared" si="5"/>
        <v>0</v>
      </c>
    </row>
    <row r="390" spans="1:14" x14ac:dyDescent="0.25">
      <c r="A390" s="791" t="s">
        <v>2066</v>
      </c>
      <c r="B390" s="787">
        <v>0</v>
      </c>
      <c r="C390" s="787">
        <v>0</v>
      </c>
      <c r="D390" s="787">
        <v>0</v>
      </c>
      <c r="E390" s="787">
        <v>0</v>
      </c>
      <c r="F390" s="787">
        <v>0</v>
      </c>
      <c r="G390" s="787">
        <v>0</v>
      </c>
      <c r="H390" s="787">
        <v>0</v>
      </c>
      <c r="I390" s="787">
        <v>0</v>
      </c>
      <c r="J390" s="787">
        <v>0</v>
      </c>
      <c r="K390" s="787">
        <v>0</v>
      </c>
      <c r="L390" s="787">
        <v>0</v>
      </c>
      <c r="M390" s="787">
        <v>0</v>
      </c>
      <c r="N390" s="787">
        <f t="shared" si="5"/>
        <v>0</v>
      </c>
    </row>
    <row r="391" spans="1:14" x14ac:dyDescent="0.25">
      <c r="A391" s="791" t="s">
        <v>2067</v>
      </c>
      <c r="B391" s="787">
        <v>0</v>
      </c>
      <c r="C391" s="787">
        <v>0</v>
      </c>
      <c r="D391" s="787">
        <v>0</v>
      </c>
      <c r="E391" s="787">
        <v>0</v>
      </c>
      <c r="F391" s="787">
        <v>0</v>
      </c>
      <c r="G391" s="787">
        <v>0</v>
      </c>
      <c r="H391" s="787">
        <v>0</v>
      </c>
      <c r="I391" s="787">
        <v>0</v>
      </c>
      <c r="J391" s="787">
        <v>0</v>
      </c>
      <c r="K391" s="787">
        <v>0</v>
      </c>
      <c r="L391" s="787">
        <v>0</v>
      </c>
      <c r="M391" s="787">
        <v>0</v>
      </c>
      <c r="N391" s="787">
        <f t="shared" si="5"/>
        <v>0</v>
      </c>
    </row>
    <row r="392" spans="1:14" x14ac:dyDescent="0.25">
      <c r="A392" s="791" t="s">
        <v>2068</v>
      </c>
      <c r="B392" s="787">
        <v>0</v>
      </c>
      <c r="C392" s="787">
        <v>0</v>
      </c>
      <c r="D392" s="787">
        <v>0</v>
      </c>
      <c r="E392" s="787">
        <v>0</v>
      </c>
      <c r="F392" s="787">
        <v>0</v>
      </c>
      <c r="G392" s="787">
        <v>0</v>
      </c>
      <c r="H392" s="787">
        <v>0</v>
      </c>
      <c r="I392" s="787">
        <v>0</v>
      </c>
      <c r="J392" s="787">
        <v>0</v>
      </c>
      <c r="K392" s="787">
        <v>0</v>
      </c>
      <c r="L392" s="787">
        <v>0</v>
      </c>
      <c r="M392" s="787">
        <v>0</v>
      </c>
      <c r="N392" s="787">
        <f t="shared" si="5"/>
        <v>0</v>
      </c>
    </row>
    <row r="393" spans="1:14" x14ac:dyDescent="0.25">
      <c r="A393" s="791" t="s">
        <v>2069</v>
      </c>
      <c r="B393" s="787">
        <v>0</v>
      </c>
      <c r="C393" s="787">
        <v>0</v>
      </c>
      <c r="D393" s="787">
        <v>0</v>
      </c>
      <c r="E393" s="787">
        <v>0</v>
      </c>
      <c r="F393" s="787">
        <v>0</v>
      </c>
      <c r="G393" s="787">
        <v>0</v>
      </c>
      <c r="H393" s="787">
        <v>0</v>
      </c>
      <c r="I393" s="787">
        <v>0</v>
      </c>
      <c r="J393" s="787">
        <v>0</v>
      </c>
      <c r="K393" s="787">
        <v>0</v>
      </c>
      <c r="L393" s="787">
        <v>0</v>
      </c>
      <c r="M393" s="787">
        <v>0</v>
      </c>
      <c r="N393" s="787">
        <f t="shared" si="5"/>
        <v>0</v>
      </c>
    </row>
    <row r="394" spans="1:14" x14ac:dyDescent="0.25">
      <c r="A394" s="791" t="s">
        <v>2070</v>
      </c>
      <c r="B394" s="787">
        <v>0</v>
      </c>
      <c r="C394" s="787">
        <v>0</v>
      </c>
      <c r="D394" s="787">
        <v>0</v>
      </c>
      <c r="E394" s="787">
        <v>0</v>
      </c>
      <c r="F394" s="787">
        <v>0</v>
      </c>
      <c r="G394" s="787">
        <v>0</v>
      </c>
      <c r="H394" s="787">
        <v>0</v>
      </c>
      <c r="I394" s="787">
        <v>0</v>
      </c>
      <c r="J394" s="787">
        <v>0</v>
      </c>
      <c r="K394" s="787">
        <v>0</v>
      </c>
      <c r="L394" s="787">
        <v>0</v>
      </c>
      <c r="M394" s="787">
        <v>0</v>
      </c>
      <c r="N394" s="787">
        <f t="shared" si="5"/>
        <v>0</v>
      </c>
    </row>
    <row r="395" spans="1:14" x14ac:dyDescent="0.25">
      <c r="A395" s="791" t="s">
        <v>2071</v>
      </c>
      <c r="B395" s="787">
        <v>0</v>
      </c>
      <c r="C395" s="787">
        <v>0</v>
      </c>
      <c r="D395" s="787">
        <v>0</v>
      </c>
      <c r="E395" s="787">
        <v>0</v>
      </c>
      <c r="F395" s="787">
        <v>0</v>
      </c>
      <c r="G395" s="787">
        <v>0</v>
      </c>
      <c r="H395" s="787">
        <v>0</v>
      </c>
      <c r="I395" s="787">
        <v>0</v>
      </c>
      <c r="J395" s="787">
        <v>0</v>
      </c>
      <c r="K395" s="787">
        <v>0</v>
      </c>
      <c r="L395" s="787">
        <v>0</v>
      </c>
      <c r="M395" s="787">
        <v>0</v>
      </c>
      <c r="N395" s="787">
        <f t="shared" si="5"/>
        <v>0</v>
      </c>
    </row>
    <row r="396" spans="1:14" x14ac:dyDescent="0.25">
      <c r="A396" s="791" t="s">
        <v>2072</v>
      </c>
      <c r="B396" s="787">
        <v>0</v>
      </c>
      <c r="C396" s="787">
        <v>0</v>
      </c>
      <c r="D396" s="787">
        <v>0</v>
      </c>
      <c r="E396" s="787">
        <v>0</v>
      </c>
      <c r="F396" s="787">
        <v>0</v>
      </c>
      <c r="G396" s="787">
        <v>0</v>
      </c>
      <c r="H396" s="787">
        <v>0</v>
      </c>
      <c r="I396" s="787">
        <v>0</v>
      </c>
      <c r="J396" s="787">
        <v>0</v>
      </c>
      <c r="K396" s="787">
        <v>0</v>
      </c>
      <c r="L396" s="787">
        <v>0</v>
      </c>
      <c r="M396" s="787">
        <v>0</v>
      </c>
      <c r="N396" s="787">
        <f t="shared" si="5"/>
        <v>0</v>
      </c>
    </row>
    <row r="397" spans="1:14" x14ac:dyDescent="0.25">
      <c r="A397" s="791" t="s">
        <v>2073</v>
      </c>
      <c r="B397" s="787">
        <v>0</v>
      </c>
      <c r="C397" s="787">
        <v>0</v>
      </c>
      <c r="D397" s="787">
        <v>0</v>
      </c>
      <c r="E397" s="787">
        <v>0</v>
      </c>
      <c r="F397" s="787">
        <v>0</v>
      </c>
      <c r="G397" s="787">
        <v>0</v>
      </c>
      <c r="H397" s="787">
        <v>0</v>
      </c>
      <c r="I397" s="787">
        <v>0</v>
      </c>
      <c r="J397" s="787">
        <v>0</v>
      </c>
      <c r="K397" s="787">
        <v>0</v>
      </c>
      <c r="L397" s="787">
        <v>0</v>
      </c>
      <c r="M397" s="787">
        <v>0</v>
      </c>
      <c r="N397" s="787">
        <f t="shared" si="5"/>
        <v>0</v>
      </c>
    </row>
    <row r="398" spans="1:14" x14ac:dyDescent="0.25">
      <c r="A398" s="791" t="s">
        <v>2074</v>
      </c>
      <c r="B398" s="787">
        <v>0</v>
      </c>
      <c r="C398" s="787">
        <v>0</v>
      </c>
      <c r="D398" s="787">
        <v>0</v>
      </c>
      <c r="E398" s="787">
        <v>0</v>
      </c>
      <c r="F398" s="787">
        <v>0</v>
      </c>
      <c r="G398" s="787">
        <v>0</v>
      </c>
      <c r="H398" s="787">
        <v>0</v>
      </c>
      <c r="I398" s="787">
        <v>0</v>
      </c>
      <c r="J398" s="787">
        <v>0</v>
      </c>
      <c r="K398" s="787">
        <v>0</v>
      </c>
      <c r="L398" s="787">
        <v>0</v>
      </c>
      <c r="M398" s="787">
        <v>0</v>
      </c>
      <c r="N398" s="787">
        <f t="shared" si="5"/>
        <v>0</v>
      </c>
    </row>
    <row r="399" spans="1:14" x14ac:dyDescent="0.25">
      <c r="A399" s="791" t="s">
        <v>2075</v>
      </c>
      <c r="B399" s="787">
        <v>0</v>
      </c>
      <c r="C399" s="787">
        <v>0</v>
      </c>
      <c r="D399" s="787">
        <v>0</v>
      </c>
      <c r="E399" s="787">
        <v>0</v>
      </c>
      <c r="F399" s="787">
        <v>0</v>
      </c>
      <c r="G399" s="787">
        <v>0</v>
      </c>
      <c r="H399" s="787">
        <v>0</v>
      </c>
      <c r="I399" s="787">
        <v>0</v>
      </c>
      <c r="J399" s="787">
        <v>0</v>
      </c>
      <c r="K399" s="787">
        <v>0</v>
      </c>
      <c r="L399" s="787">
        <v>0</v>
      </c>
      <c r="M399" s="787">
        <v>0</v>
      </c>
      <c r="N399" s="787">
        <f t="shared" si="5"/>
        <v>0</v>
      </c>
    </row>
    <row r="400" spans="1:14" x14ac:dyDescent="0.25">
      <c r="A400" s="791" t="s">
        <v>2076</v>
      </c>
      <c r="B400" s="787">
        <v>0</v>
      </c>
      <c r="C400" s="787">
        <v>0</v>
      </c>
      <c r="D400" s="787">
        <v>0</v>
      </c>
      <c r="E400" s="787">
        <v>0</v>
      </c>
      <c r="F400" s="787">
        <v>0</v>
      </c>
      <c r="G400" s="787">
        <v>0</v>
      </c>
      <c r="H400" s="787">
        <v>0</v>
      </c>
      <c r="I400" s="787">
        <v>0</v>
      </c>
      <c r="J400" s="787">
        <v>0</v>
      </c>
      <c r="K400" s="787">
        <v>0</v>
      </c>
      <c r="L400" s="787">
        <v>0</v>
      </c>
      <c r="M400" s="787">
        <v>0</v>
      </c>
      <c r="N400" s="787">
        <f t="shared" si="5"/>
        <v>0</v>
      </c>
    </row>
    <row r="401" spans="1:14" x14ac:dyDescent="0.25">
      <c r="A401" s="791" t="s">
        <v>2077</v>
      </c>
      <c r="B401" s="787">
        <v>0</v>
      </c>
      <c r="C401" s="787">
        <v>0</v>
      </c>
      <c r="D401" s="787">
        <v>0</v>
      </c>
      <c r="E401" s="787">
        <v>0</v>
      </c>
      <c r="F401" s="787">
        <v>0</v>
      </c>
      <c r="G401" s="787">
        <v>0</v>
      </c>
      <c r="H401" s="787">
        <v>0</v>
      </c>
      <c r="I401" s="787">
        <v>0</v>
      </c>
      <c r="J401" s="787">
        <v>0</v>
      </c>
      <c r="K401" s="787">
        <v>0</v>
      </c>
      <c r="L401" s="787">
        <v>0</v>
      </c>
      <c r="M401" s="787">
        <v>0</v>
      </c>
      <c r="N401" s="787">
        <f t="shared" si="5"/>
        <v>0</v>
      </c>
    </row>
    <row r="402" spans="1:14" x14ac:dyDescent="0.25">
      <c r="A402" s="791" t="s">
        <v>2078</v>
      </c>
      <c r="B402" s="787">
        <v>-11.089083333333701</v>
      </c>
      <c r="C402" s="787">
        <v>-11.3554166666671</v>
      </c>
      <c r="D402" s="787">
        <v>-11.621875000000699</v>
      </c>
      <c r="E402" s="787">
        <v>-27.830144411940601</v>
      </c>
      <c r="F402" s="787">
        <v>-28.3304918610106</v>
      </c>
      <c r="G402" s="787">
        <v>-12.2853750000008</v>
      </c>
      <c r="H402" s="787">
        <v>-12.532541666667401</v>
      </c>
      <c r="I402" s="787">
        <v>-12.712500000000601</v>
      </c>
      <c r="J402" s="787">
        <v>-12.8601250000007</v>
      </c>
      <c r="K402" s="787">
        <v>-13.0563333333345</v>
      </c>
      <c r="L402" s="787">
        <v>-13.058541666668001</v>
      </c>
      <c r="M402" s="787">
        <v>-13.0925000000016</v>
      </c>
      <c r="N402" s="787">
        <f t="shared" si="5"/>
        <v>-179.82492793962626</v>
      </c>
    </row>
    <row r="403" spans="1:14" x14ac:dyDescent="0.25">
      <c r="A403" s="791" t="s">
        <v>2079</v>
      </c>
      <c r="B403" s="787">
        <v>-157.97800000000001</v>
      </c>
      <c r="C403" s="787">
        <v>-157.97800000000001</v>
      </c>
      <c r="D403" s="787">
        <v>-157.97800000000001</v>
      </c>
      <c r="E403" s="787">
        <v>-157.97800000000001</v>
      </c>
      <c r="F403" s="787">
        <v>-157.97800000000001</v>
      </c>
      <c r="G403" s="787">
        <v>-157.97800000000001</v>
      </c>
      <c r="H403" s="787">
        <v>-157.97800000000001</v>
      </c>
      <c r="I403" s="787">
        <v>-157.97800000000001</v>
      </c>
      <c r="J403" s="787">
        <v>-157.97800000000001</v>
      </c>
      <c r="K403" s="787">
        <v>-157.97800000000001</v>
      </c>
      <c r="L403" s="787">
        <v>-157.97800000000001</v>
      </c>
      <c r="M403" s="787">
        <v>-157.97800000000001</v>
      </c>
      <c r="N403" s="787">
        <f t="shared" si="5"/>
        <v>-1895.7360000000006</v>
      </c>
    </row>
    <row r="404" spans="1:14" x14ac:dyDescent="0.25">
      <c r="A404" s="791" t="s">
        <v>2080</v>
      </c>
      <c r="B404" s="787">
        <v>0</v>
      </c>
      <c r="C404" s="787">
        <v>0</v>
      </c>
      <c r="D404" s="787">
        <v>0</v>
      </c>
      <c r="E404" s="787">
        <v>0</v>
      </c>
      <c r="F404" s="787">
        <v>0</v>
      </c>
      <c r="G404" s="787">
        <v>0</v>
      </c>
      <c r="H404" s="787">
        <v>0</v>
      </c>
      <c r="I404" s="787">
        <v>0</v>
      </c>
      <c r="J404" s="787">
        <v>0</v>
      </c>
      <c r="K404" s="787">
        <v>0</v>
      </c>
      <c r="L404" s="787">
        <v>0</v>
      </c>
      <c r="M404" s="787">
        <v>0</v>
      </c>
      <c r="N404" s="787">
        <f t="shared" si="5"/>
        <v>0</v>
      </c>
    </row>
    <row r="405" spans="1:14" x14ac:dyDescent="0.25">
      <c r="A405" s="791" t="s">
        <v>2081</v>
      </c>
      <c r="B405" s="787">
        <v>0</v>
      </c>
      <c r="C405" s="787">
        <v>0</v>
      </c>
      <c r="D405" s="787">
        <v>0</v>
      </c>
      <c r="E405" s="787">
        <v>0</v>
      </c>
      <c r="F405" s="787">
        <v>0</v>
      </c>
      <c r="G405" s="787">
        <v>0</v>
      </c>
      <c r="H405" s="787">
        <v>0</v>
      </c>
      <c r="I405" s="787">
        <v>0</v>
      </c>
      <c r="J405" s="787">
        <v>0</v>
      </c>
      <c r="K405" s="787">
        <v>0</v>
      </c>
      <c r="L405" s="787">
        <v>0</v>
      </c>
      <c r="M405" s="787">
        <v>0</v>
      </c>
      <c r="N405" s="787">
        <f t="shared" si="5"/>
        <v>0</v>
      </c>
    </row>
    <row r="406" spans="1:14" x14ac:dyDescent="0.25">
      <c r="A406" s="791" t="s">
        <v>2082</v>
      </c>
      <c r="B406" s="787">
        <v>0</v>
      </c>
      <c r="C406" s="787">
        <v>0</v>
      </c>
      <c r="D406" s="787">
        <v>0</v>
      </c>
      <c r="E406" s="787">
        <v>0</v>
      </c>
      <c r="F406" s="787">
        <v>0</v>
      </c>
      <c r="G406" s="787">
        <v>0</v>
      </c>
      <c r="H406" s="787">
        <v>0</v>
      </c>
      <c r="I406" s="787">
        <v>0</v>
      </c>
      <c r="J406" s="787">
        <v>0</v>
      </c>
      <c r="K406" s="787">
        <v>0</v>
      </c>
      <c r="L406" s="787">
        <v>0</v>
      </c>
      <c r="M406" s="787">
        <v>0</v>
      </c>
      <c r="N406" s="787">
        <f t="shared" si="5"/>
        <v>0</v>
      </c>
    </row>
    <row r="407" spans="1:14" x14ac:dyDescent="0.25">
      <c r="A407" s="791" t="s">
        <v>2083</v>
      </c>
      <c r="B407" s="787">
        <v>0</v>
      </c>
      <c r="C407" s="787">
        <v>0</v>
      </c>
      <c r="D407" s="787">
        <v>0</v>
      </c>
      <c r="E407" s="787">
        <v>0</v>
      </c>
      <c r="F407" s="787">
        <v>0</v>
      </c>
      <c r="G407" s="787">
        <v>0</v>
      </c>
      <c r="H407" s="787">
        <v>0</v>
      </c>
      <c r="I407" s="787">
        <v>0</v>
      </c>
      <c r="J407" s="787">
        <v>0</v>
      </c>
      <c r="K407" s="787">
        <v>0</v>
      </c>
      <c r="L407" s="787">
        <v>0</v>
      </c>
      <c r="M407" s="787">
        <v>0</v>
      </c>
      <c r="N407" s="787">
        <f t="shared" si="5"/>
        <v>0</v>
      </c>
    </row>
    <row r="408" spans="1:14" x14ac:dyDescent="0.25">
      <c r="A408" s="791" t="s">
        <v>2084</v>
      </c>
      <c r="B408" s="787">
        <v>0</v>
      </c>
      <c r="C408" s="787">
        <v>0</v>
      </c>
      <c r="D408" s="787">
        <v>0</v>
      </c>
      <c r="E408" s="787">
        <v>0</v>
      </c>
      <c r="F408" s="787">
        <v>0</v>
      </c>
      <c r="G408" s="787">
        <v>0</v>
      </c>
      <c r="H408" s="787">
        <v>0</v>
      </c>
      <c r="I408" s="787">
        <v>0</v>
      </c>
      <c r="J408" s="787">
        <v>0</v>
      </c>
      <c r="K408" s="787">
        <v>0</v>
      </c>
      <c r="L408" s="787">
        <v>0</v>
      </c>
      <c r="M408" s="787">
        <v>0</v>
      </c>
      <c r="N408" s="787">
        <f t="shared" si="5"/>
        <v>0</v>
      </c>
    </row>
    <row r="409" spans="1:14" x14ac:dyDescent="0.25">
      <c r="A409" s="791" t="s">
        <v>2085</v>
      </c>
      <c r="B409" s="787">
        <v>75.230999999999995</v>
      </c>
      <c r="C409" s="787">
        <v>63.463000000000001</v>
      </c>
      <c r="D409" s="787">
        <v>76.825000000000003</v>
      </c>
      <c r="E409" s="787">
        <v>62.59</v>
      </c>
      <c r="F409" s="787">
        <v>72.825999999999993</v>
      </c>
      <c r="G409" s="787">
        <v>53.091999999999999</v>
      </c>
      <c r="H409" s="787">
        <v>55.192</v>
      </c>
      <c r="I409" s="787">
        <v>95.712999999999994</v>
      </c>
      <c r="J409" s="787">
        <v>548.15899999999999</v>
      </c>
      <c r="K409" s="787">
        <v>213.97300000000001</v>
      </c>
      <c r="L409" s="787">
        <v>105.161</v>
      </c>
      <c r="M409" s="787">
        <v>90.875</v>
      </c>
      <c r="N409" s="787">
        <f t="shared" si="5"/>
        <v>1513.1</v>
      </c>
    </row>
    <row r="410" spans="1:14" x14ac:dyDescent="0.25">
      <c r="A410" s="791" t="s">
        <v>2086</v>
      </c>
      <c r="B410" s="787">
        <v>-142.83799999999999</v>
      </c>
      <c r="C410" s="787">
        <v>-142.83799999999999</v>
      </c>
      <c r="D410" s="787">
        <v>-142.83799999999999</v>
      </c>
      <c r="E410" s="787">
        <v>-142.83799999999999</v>
      </c>
      <c r="F410" s="787">
        <v>-142.83799999999999</v>
      </c>
      <c r="G410" s="787">
        <v>-142.83799999999999</v>
      </c>
      <c r="H410" s="787">
        <v>-142.83799999999999</v>
      </c>
      <c r="I410" s="787">
        <v>-142.83799999999999</v>
      </c>
      <c r="J410" s="787">
        <v>-145.69399999999999</v>
      </c>
      <c r="K410" s="787">
        <v>-145.69399999999999</v>
      </c>
      <c r="L410" s="787">
        <v>-145.69399999999999</v>
      </c>
      <c r="M410" s="787">
        <v>-145.69399999999999</v>
      </c>
      <c r="N410" s="787">
        <f t="shared" si="5"/>
        <v>-1725.4799999999998</v>
      </c>
    </row>
    <row r="411" spans="1:14" x14ac:dyDescent="0.25">
      <c r="A411" s="791" t="s">
        <v>2087</v>
      </c>
      <c r="B411" s="787">
        <v>0</v>
      </c>
      <c r="C411" s="787">
        <v>0</v>
      </c>
      <c r="D411" s="787">
        <v>0</v>
      </c>
      <c r="E411" s="787">
        <v>0</v>
      </c>
      <c r="F411" s="787">
        <v>0</v>
      </c>
      <c r="G411" s="787">
        <v>0</v>
      </c>
      <c r="H411" s="787">
        <v>0</v>
      </c>
      <c r="I411" s="787">
        <v>0</v>
      </c>
      <c r="J411" s="787">
        <v>0</v>
      </c>
      <c r="K411" s="787">
        <v>0</v>
      </c>
      <c r="L411" s="787">
        <v>0</v>
      </c>
      <c r="M411" s="787">
        <v>0</v>
      </c>
      <c r="N411" s="787">
        <f t="shared" si="5"/>
        <v>0</v>
      </c>
    </row>
    <row r="412" spans="1:14" x14ac:dyDescent="0.25">
      <c r="A412" s="791" t="s">
        <v>2088</v>
      </c>
      <c r="B412" s="787">
        <v>66.995999999999995</v>
      </c>
      <c r="C412" s="787">
        <v>64.447000000000003</v>
      </c>
      <c r="D412" s="787">
        <v>70.935000000000002</v>
      </c>
      <c r="E412" s="787">
        <v>66.661000000000001</v>
      </c>
      <c r="F412" s="787">
        <v>75.066999999999993</v>
      </c>
      <c r="G412" s="787">
        <v>72.347999999999999</v>
      </c>
      <c r="H412" s="787">
        <v>60.713000000000001</v>
      </c>
      <c r="I412" s="787">
        <v>93.531999999999996</v>
      </c>
      <c r="J412" s="787">
        <v>63.86</v>
      </c>
      <c r="K412" s="787">
        <v>63.976999999999997</v>
      </c>
      <c r="L412" s="787">
        <v>69.376999999999995</v>
      </c>
      <c r="M412" s="787">
        <v>68.037000000000006</v>
      </c>
      <c r="N412" s="787">
        <f t="shared" si="5"/>
        <v>835.95</v>
      </c>
    </row>
    <row r="413" spans="1:14" ht="15.75" thickBot="1" x14ac:dyDescent="0.3">
      <c r="A413" s="791" t="s">
        <v>2089</v>
      </c>
      <c r="B413" s="792">
        <v>60.710999999999899</v>
      </c>
      <c r="C413" s="792">
        <v>113.529</v>
      </c>
      <c r="D413" s="792">
        <v>63.869</v>
      </c>
      <c r="E413" s="792">
        <v>70.680000000000007</v>
      </c>
      <c r="F413" s="792">
        <v>88.254999999999995</v>
      </c>
      <c r="G413" s="792">
        <v>76.512</v>
      </c>
      <c r="H413" s="792">
        <v>75.731999999999999</v>
      </c>
      <c r="I413" s="792">
        <v>151.13199999999901</v>
      </c>
      <c r="J413" s="792">
        <v>85.941999999999894</v>
      </c>
      <c r="K413" s="792">
        <v>66.872999999999905</v>
      </c>
      <c r="L413" s="792">
        <v>84.399000000000001</v>
      </c>
      <c r="M413" s="792">
        <v>103.724</v>
      </c>
      <c r="N413" s="792">
        <f t="shared" si="5"/>
        <v>1041.3579999999988</v>
      </c>
    </row>
    <row r="414" spans="1:14" x14ac:dyDescent="0.25">
      <c r="A414" s="796" t="s">
        <v>2090</v>
      </c>
      <c r="B414" s="787">
        <v>-149.17288353938699</v>
      </c>
      <c r="C414" s="787">
        <v>-121.113741706054</v>
      </c>
      <c r="D414" s="787">
        <v>-142.067367685221</v>
      </c>
      <c r="E414" s="787">
        <v>-164.077385878819</v>
      </c>
      <c r="F414" s="787">
        <v>-135.17474113941799</v>
      </c>
      <c r="G414" s="787">
        <v>-149.47536943522101</v>
      </c>
      <c r="H414" s="787">
        <v>-160.305208018554</v>
      </c>
      <c r="I414" s="787">
        <v>-40.622556247721398</v>
      </c>
      <c r="J414" s="787">
        <v>217.37427918977801</v>
      </c>
      <c r="K414" s="787">
        <v>-47.773852664388201</v>
      </c>
      <c r="L414" s="787">
        <v>-110.885653018554</v>
      </c>
      <c r="M414" s="787">
        <v>-108.46936924772299</v>
      </c>
      <c r="N414" s="787">
        <f t="shared" si="5"/>
        <v>-1111.7638493912827</v>
      </c>
    </row>
    <row r="415" spans="1:14" ht="15.75" thickBot="1" x14ac:dyDescent="0.3">
      <c r="A415" s="791" t="s">
        <v>2091</v>
      </c>
      <c r="B415" s="792">
        <v>-0.43286840483507</v>
      </c>
      <c r="C415" s="792">
        <v>-0.46446254866487202</v>
      </c>
      <c r="D415" s="792">
        <v>-0.61742463352872101</v>
      </c>
      <c r="E415" s="792">
        <v>-0.73659787447504699</v>
      </c>
      <c r="F415" s="792">
        <v>-0.539763848827855</v>
      </c>
      <c r="G415" s="792">
        <v>-0.45956284735539799</v>
      </c>
      <c r="H415" s="792">
        <v>-0.303859860558437</v>
      </c>
      <c r="I415" s="792">
        <v>-0.145138267007595</v>
      </c>
      <c r="J415" s="792">
        <v>-5.4527047804878E-2</v>
      </c>
      <c r="K415" s="792">
        <v>-2.3707412089077399E-2</v>
      </c>
      <c r="L415" s="792">
        <v>-2.6761351831304899E-2</v>
      </c>
      <c r="M415" s="792">
        <v>-3.73847652173913E-2</v>
      </c>
      <c r="N415" s="803">
        <f t="shared" si="5"/>
        <v>-3.8420588621956462</v>
      </c>
    </row>
    <row r="416" spans="1:14" x14ac:dyDescent="0.25">
      <c r="A416" s="796" t="s">
        <v>2092</v>
      </c>
      <c r="B416" s="787">
        <v>-0.43286840483507</v>
      </c>
      <c r="C416" s="787">
        <v>-0.46446254866487202</v>
      </c>
      <c r="D416" s="787">
        <v>-0.61742463352872101</v>
      </c>
      <c r="E416" s="787">
        <v>-0.73659787447504699</v>
      </c>
      <c r="F416" s="787">
        <v>-0.539763848827855</v>
      </c>
      <c r="G416" s="787">
        <v>-0.45956284735539799</v>
      </c>
      <c r="H416" s="787">
        <v>-0.303859860558437</v>
      </c>
      <c r="I416" s="787">
        <v>-0.145138267007595</v>
      </c>
      <c r="J416" s="787">
        <v>-5.4527047804878E-2</v>
      </c>
      <c r="K416" s="787">
        <v>-2.3707412089077399E-2</v>
      </c>
      <c r="L416" s="787">
        <v>-2.6761351831304899E-2</v>
      </c>
      <c r="M416" s="787">
        <v>-3.73847652173913E-2</v>
      </c>
      <c r="N416" s="787">
        <f t="shared" si="5"/>
        <v>-3.8420588621956462</v>
      </c>
    </row>
    <row r="417" spans="1:27" ht="15.75" thickBot="1" x14ac:dyDescent="0.3">
      <c r="B417" s="804"/>
      <c r="C417" s="804"/>
      <c r="D417" s="804"/>
      <c r="E417" s="804"/>
      <c r="F417" s="804"/>
      <c r="G417" s="804"/>
      <c r="H417" s="804"/>
      <c r="I417" s="804"/>
      <c r="J417" s="804"/>
      <c r="K417" s="804"/>
      <c r="L417" s="804"/>
      <c r="M417" s="804"/>
      <c r="N417" s="804">
        <f t="shared" si="5"/>
        <v>0</v>
      </c>
      <c r="O417" s="790"/>
      <c r="P417" s="790"/>
      <c r="Q417" s="790"/>
      <c r="R417" s="790"/>
      <c r="S417" s="790"/>
      <c r="T417" s="790"/>
      <c r="U417" s="790"/>
      <c r="V417" s="790"/>
      <c r="W417" s="790"/>
      <c r="X417" s="790"/>
      <c r="Y417" s="790"/>
      <c r="Z417" s="790"/>
      <c r="AA417" s="790"/>
    </row>
    <row r="418" spans="1:27" x14ac:dyDescent="0.25">
      <c r="A418" s="784" t="s">
        <v>2093</v>
      </c>
      <c r="B418" s="787">
        <v>-149.60575194422199</v>
      </c>
      <c r="C418" s="787">
        <v>-121.578204254719</v>
      </c>
      <c r="D418" s="787">
        <v>-142.68479231875</v>
      </c>
      <c r="E418" s="787">
        <v>-164.813983753294</v>
      </c>
      <c r="F418" s="787">
        <v>-135.71450498824601</v>
      </c>
      <c r="G418" s="787">
        <v>-149.93493228257699</v>
      </c>
      <c r="H418" s="787">
        <v>-160.60906787911301</v>
      </c>
      <c r="I418" s="787">
        <v>-40.767694514729001</v>
      </c>
      <c r="J418" s="787">
        <v>217.319752141973</v>
      </c>
      <c r="K418" s="787">
        <v>-47.797560076477197</v>
      </c>
      <c r="L418" s="787">
        <v>-110.912414370386</v>
      </c>
      <c r="M418" s="787">
        <v>-108.50675401293999</v>
      </c>
      <c r="N418" s="787">
        <f t="shared" si="5"/>
        <v>-1115.6059082534803</v>
      </c>
    </row>
    <row r="419" spans="1:27" x14ac:dyDescent="0.25">
      <c r="N419" s="787">
        <f t="shared" si="5"/>
        <v>0</v>
      </c>
    </row>
    <row r="420" spans="1:27" x14ac:dyDescent="0.25">
      <c r="A420" s="784" t="s">
        <v>2094</v>
      </c>
      <c r="B420" s="785">
        <v>22546.498892658401</v>
      </c>
      <c r="C420" s="785">
        <v>27917.386238839401</v>
      </c>
      <c r="D420" s="785">
        <v>30632.808802429001</v>
      </c>
      <c r="E420" s="785">
        <v>32288.3742294617</v>
      </c>
      <c r="F420" s="785">
        <v>28337.139267496601</v>
      </c>
      <c r="G420" s="785">
        <v>14740.179276942599</v>
      </c>
      <c r="H420" s="785">
        <v>23133.047707800299</v>
      </c>
      <c r="I420" s="785">
        <v>36048.113424749397</v>
      </c>
      <c r="J420" s="785">
        <v>40329.2486456486</v>
      </c>
      <c r="K420" s="785">
        <v>32103.809934307701</v>
      </c>
      <c r="L420" s="785">
        <v>30645.339456993701</v>
      </c>
      <c r="M420" s="785">
        <v>15885.9622122208</v>
      </c>
      <c r="N420" s="785">
        <f t="shared" si="5"/>
        <v>334607.90808954817</v>
      </c>
      <c r="O420" s="786"/>
      <c r="P420" s="786"/>
      <c r="Q420" s="786"/>
      <c r="R420" s="786"/>
      <c r="S420" s="786"/>
      <c r="T420" s="786"/>
      <c r="U420" s="786"/>
      <c r="V420" s="786"/>
      <c r="W420" s="786"/>
      <c r="X420" s="786"/>
      <c r="Y420" s="786"/>
      <c r="Z420" s="786"/>
      <c r="AA420" s="786"/>
    </row>
    <row r="421" spans="1:27" x14ac:dyDescent="0.25">
      <c r="A421" s="791" t="s">
        <v>1796</v>
      </c>
      <c r="N421" s="787">
        <f t="shared" si="5"/>
        <v>0</v>
      </c>
    </row>
    <row r="422" spans="1:27" x14ac:dyDescent="0.25">
      <c r="A422" s="791" t="s">
        <v>2095</v>
      </c>
      <c r="B422" s="787">
        <v>8985.6227041888906</v>
      </c>
      <c r="C422" s="787">
        <v>8992.1055821638001</v>
      </c>
      <c r="D422" s="787">
        <v>9003.8423734247408</v>
      </c>
      <c r="E422" s="787">
        <v>9012.9814176476702</v>
      </c>
      <c r="F422" s="787">
        <v>9120.4953718080906</v>
      </c>
      <c r="G422" s="787">
        <v>9129.3610726248007</v>
      </c>
      <c r="H422" s="787">
        <v>9135.1885155603395</v>
      </c>
      <c r="I422" s="787">
        <v>9143.9672999914001</v>
      </c>
      <c r="J422" s="787">
        <v>9149.0155746533692</v>
      </c>
      <c r="K422" s="787">
        <v>9150.4755959445993</v>
      </c>
      <c r="L422" s="787">
        <v>9155.80075216968</v>
      </c>
      <c r="M422" s="787">
        <v>9154.3371927215594</v>
      </c>
      <c r="N422" s="787">
        <f t="shared" si="5"/>
        <v>109133.19345289897</v>
      </c>
    </row>
    <row r="423" spans="1:27" x14ac:dyDescent="0.25">
      <c r="A423" s="791" t="s">
        <v>2096</v>
      </c>
      <c r="B423" s="787">
        <v>0</v>
      </c>
      <c r="C423" s="787">
        <v>0</v>
      </c>
      <c r="D423" s="787">
        <v>0</v>
      </c>
      <c r="E423" s="787">
        <v>0</v>
      </c>
      <c r="F423" s="787">
        <v>0</v>
      </c>
      <c r="G423" s="787">
        <v>0</v>
      </c>
      <c r="H423" s="787">
        <v>0</v>
      </c>
      <c r="I423" s="787">
        <v>0</v>
      </c>
      <c r="J423" s="787">
        <v>0</v>
      </c>
      <c r="K423" s="787">
        <v>0</v>
      </c>
      <c r="L423" s="787">
        <v>0</v>
      </c>
      <c r="M423" s="787">
        <v>0</v>
      </c>
      <c r="N423" s="787">
        <f t="shared" ref="N423:N439" si="6">SUM(B423:M423)</f>
        <v>0</v>
      </c>
    </row>
    <row r="424" spans="1:27" ht="15.75" thickBot="1" x14ac:dyDescent="0.3">
      <c r="A424" s="791" t="s">
        <v>2097</v>
      </c>
      <c r="B424" s="792">
        <v>0</v>
      </c>
      <c r="C424" s="792">
        <v>0</v>
      </c>
      <c r="D424" s="792">
        <v>0</v>
      </c>
      <c r="E424" s="792">
        <v>0</v>
      </c>
      <c r="F424" s="792">
        <v>0</v>
      </c>
      <c r="G424" s="792">
        <v>0</v>
      </c>
      <c r="H424" s="792">
        <v>0</v>
      </c>
      <c r="I424" s="792">
        <v>0</v>
      </c>
      <c r="J424" s="792">
        <v>0</v>
      </c>
      <c r="K424" s="792">
        <v>0</v>
      </c>
      <c r="L424" s="792">
        <v>0</v>
      </c>
      <c r="M424" s="792">
        <v>0</v>
      </c>
      <c r="N424" s="792">
        <f t="shared" si="6"/>
        <v>0</v>
      </c>
    </row>
    <row r="425" spans="1:27" x14ac:dyDescent="0.25">
      <c r="A425" s="791" t="s">
        <v>2098</v>
      </c>
      <c r="B425" s="787">
        <v>8985.6227041888906</v>
      </c>
      <c r="C425" s="787">
        <v>8992.1055821638001</v>
      </c>
      <c r="D425" s="787">
        <v>9003.8423734247408</v>
      </c>
      <c r="E425" s="787">
        <v>9012.9814176476702</v>
      </c>
      <c r="F425" s="787">
        <v>9120.4953718080906</v>
      </c>
      <c r="G425" s="787">
        <v>9129.3610726248007</v>
      </c>
      <c r="H425" s="787">
        <v>9135.1885155603395</v>
      </c>
      <c r="I425" s="787">
        <v>9143.9672999914001</v>
      </c>
      <c r="J425" s="787">
        <v>9149.0155746533692</v>
      </c>
      <c r="K425" s="787">
        <v>9150.4755959445993</v>
      </c>
      <c r="L425" s="787">
        <v>9155.80075216968</v>
      </c>
      <c r="M425" s="787">
        <v>9154.3371927215594</v>
      </c>
      <c r="N425" s="787">
        <f t="shared" si="6"/>
        <v>109133.19345289897</v>
      </c>
    </row>
    <row r="426" spans="1:27" ht="15.75" thickBot="1" x14ac:dyDescent="0.3">
      <c r="A426" s="791" t="s">
        <v>2099</v>
      </c>
      <c r="B426" s="792">
        <v>286.43896716257802</v>
      </c>
      <c r="C426" s="792">
        <v>286.72446589639401</v>
      </c>
      <c r="D426" s="792">
        <v>297.013836772606</v>
      </c>
      <c r="E426" s="792">
        <v>298.07424677260599</v>
      </c>
      <c r="F426" s="792">
        <v>275.22859397858599</v>
      </c>
      <c r="G426" s="792">
        <v>284.13089745753803</v>
      </c>
      <c r="H426" s="792">
        <v>275.25470397858601</v>
      </c>
      <c r="I426" s="792">
        <v>284.15787745753698</v>
      </c>
      <c r="J426" s="792">
        <v>278.15413345753802</v>
      </c>
      <c r="K426" s="792">
        <v>263.88173035133502</v>
      </c>
      <c r="L426" s="792">
        <v>283.01991970931601</v>
      </c>
      <c r="M426" s="792">
        <v>274.17972080288803</v>
      </c>
      <c r="N426" s="792">
        <f t="shared" si="6"/>
        <v>3386.2590937975083</v>
      </c>
    </row>
    <row r="427" spans="1:27" x14ac:dyDescent="0.25">
      <c r="A427" s="791" t="s">
        <v>2100</v>
      </c>
      <c r="B427" s="787">
        <v>286.43896716257802</v>
      </c>
      <c r="C427" s="787">
        <v>286.72446589639401</v>
      </c>
      <c r="D427" s="787">
        <v>297.013836772606</v>
      </c>
      <c r="E427" s="787">
        <v>298.07424677260599</v>
      </c>
      <c r="F427" s="787">
        <v>275.22859397858599</v>
      </c>
      <c r="G427" s="787">
        <v>284.13089745753803</v>
      </c>
      <c r="H427" s="787">
        <v>275.25470397858601</v>
      </c>
      <c r="I427" s="787">
        <v>284.15787745753698</v>
      </c>
      <c r="J427" s="787">
        <v>278.15413345753802</v>
      </c>
      <c r="K427" s="787">
        <v>263.88173035133502</v>
      </c>
      <c r="L427" s="787">
        <v>283.01991970931601</v>
      </c>
      <c r="M427" s="787">
        <v>274.17972080288803</v>
      </c>
      <c r="N427" s="787">
        <f t="shared" si="6"/>
        <v>3386.2590937975083</v>
      </c>
    </row>
    <row r="428" spans="1:27" x14ac:dyDescent="0.25">
      <c r="A428" s="791" t="s">
        <v>2101</v>
      </c>
      <c r="B428" s="787">
        <v>0</v>
      </c>
      <c r="C428" s="787">
        <v>0</v>
      </c>
      <c r="D428" s="787">
        <v>0</v>
      </c>
      <c r="E428" s="787">
        <v>0</v>
      </c>
      <c r="F428" s="787">
        <v>0</v>
      </c>
      <c r="G428" s="787">
        <v>0</v>
      </c>
      <c r="H428" s="787">
        <v>0</v>
      </c>
      <c r="I428" s="787">
        <v>0</v>
      </c>
      <c r="J428" s="787">
        <v>0</v>
      </c>
      <c r="K428" s="787">
        <v>0</v>
      </c>
      <c r="L428" s="787">
        <v>0</v>
      </c>
      <c r="M428" s="787">
        <v>0</v>
      </c>
      <c r="N428" s="787">
        <f t="shared" si="6"/>
        <v>0</v>
      </c>
    </row>
    <row r="429" spans="1:27" ht="15.75" thickBot="1" x14ac:dyDescent="0.3">
      <c r="A429" s="791" t="s">
        <v>2102</v>
      </c>
      <c r="B429" s="792">
        <v>602.05299448499295</v>
      </c>
      <c r="C429" s="792">
        <v>248.33740735141899</v>
      </c>
      <c r="D429" s="792">
        <v>232.76231236660101</v>
      </c>
      <c r="E429" s="792">
        <v>211.613471453524</v>
      </c>
      <c r="F429" s="792">
        <v>219.41340652988899</v>
      </c>
      <c r="G429" s="792">
        <v>279.28677467810701</v>
      </c>
      <c r="H429" s="792">
        <v>381.628376792908</v>
      </c>
      <c r="I429" s="792">
        <v>431.21155115149998</v>
      </c>
      <c r="J429" s="792">
        <v>367.384222960584</v>
      </c>
      <c r="K429" s="792">
        <v>256.53323465144501</v>
      </c>
      <c r="L429" s="792">
        <v>295.50720494286099</v>
      </c>
      <c r="M429" s="792">
        <v>435.79465972072899</v>
      </c>
      <c r="N429" s="792">
        <f t="shared" si="6"/>
        <v>3961.5256170845596</v>
      </c>
    </row>
    <row r="430" spans="1:27" x14ac:dyDescent="0.25">
      <c r="A430" s="791" t="s">
        <v>2103</v>
      </c>
      <c r="B430" s="787">
        <v>602.05299448499295</v>
      </c>
      <c r="C430" s="787">
        <v>248.33740735141899</v>
      </c>
      <c r="D430" s="787">
        <v>232.76231236660101</v>
      </c>
      <c r="E430" s="787">
        <v>211.613471453524</v>
      </c>
      <c r="F430" s="787">
        <v>219.41340652988899</v>
      </c>
      <c r="G430" s="787">
        <v>279.28677467810701</v>
      </c>
      <c r="H430" s="787">
        <v>381.628376792908</v>
      </c>
      <c r="I430" s="787">
        <v>431.21155115149998</v>
      </c>
      <c r="J430" s="787">
        <v>367.384222960584</v>
      </c>
      <c r="K430" s="787">
        <v>256.53323465144501</v>
      </c>
      <c r="L430" s="787">
        <v>295.50720494286099</v>
      </c>
      <c r="M430" s="787">
        <v>435.79465972072899</v>
      </c>
      <c r="N430" s="787">
        <f t="shared" si="6"/>
        <v>3961.5256170845596</v>
      </c>
    </row>
    <row r="431" spans="1:27" ht="15.75" thickBot="1" x14ac:dyDescent="0.3">
      <c r="A431" s="791" t="s">
        <v>2104</v>
      </c>
      <c r="B431" s="792">
        <v>-0.26637279635632199</v>
      </c>
      <c r="C431" s="792">
        <v>-0.28581477998558502</v>
      </c>
      <c r="D431" s="792">
        <v>-0.37994255144352002</v>
      </c>
      <c r="E431" s="792">
        <v>-0.45327779394941398</v>
      </c>
      <c r="F431" s="792">
        <v>-0.33215269162254901</v>
      </c>
      <c r="G431" s="792">
        <v>-0.28279966702160497</v>
      </c>
      <c r="H431" s="792">
        <v>-0.18698523582064799</v>
      </c>
      <c r="I431" s="792">
        <v>-8.9313254581041404E-2</v>
      </c>
      <c r="J431" s="792">
        <v>-3.3554128780487802E-2</v>
      </c>
      <c r="K431" s="792">
        <v>-1.4588751643690299E-2</v>
      </c>
      <c r="L431" s="792">
        <v>-1.6468044426333601E-2</v>
      </c>
      <c r="M431" s="792">
        <v>-2.3005339130434801E-2</v>
      </c>
      <c r="N431" s="792">
        <f t="shared" si="6"/>
        <v>-2.3642750347616301</v>
      </c>
    </row>
    <row r="432" spans="1:27" x14ac:dyDescent="0.25">
      <c r="A432" s="791" t="s">
        <v>2105</v>
      </c>
      <c r="B432" s="787">
        <v>-0.26637279635632199</v>
      </c>
      <c r="C432" s="787">
        <v>-0.28581477998558502</v>
      </c>
      <c r="D432" s="787">
        <v>-0.37994255144352002</v>
      </c>
      <c r="E432" s="787">
        <v>-0.45327779394941398</v>
      </c>
      <c r="F432" s="787">
        <v>-0.33215269162254901</v>
      </c>
      <c r="G432" s="787">
        <v>-0.28279966702160497</v>
      </c>
      <c r="H432" s="787">
        <v>-0.18698523582064799</v>
      </c>
      <c r="I432" s="787">
        <v>-8.9313254581041404E-2</v>
      </c>
      <c r="J432" s="787">
        <v>-3.3554128780487802E-2</v>
      </c>
      <c r="K432" s="787">
        <v>-1.4588751643690299E-2</v>
      </c>
      <c r="L432" s="787">
        <v>-1.6468044426333601E-2</v>
      </c>
      <c r="M432" s="787">
        <v>-2.3005339130434801E-2</v>
      </c>
      <c r="N432" s="797">
        <f t="shared" si="6"/>
        <v>-2.3642750347616301</v>
      </c>
    </row>
    <row r="433" spans="1:27" x14ac:dyDescent="0.25">
      <c r="A433" s="784" t="s">
        <v>2106</v>
      </c>
      <c r="B433" s="785">
        <v>9873.8482930401096</v>
      </c>
      <c r="C433" s="785">
        <v>9526.8816406316291</v>
      </c>
      <c r="D433" s="785">
        <v>9533.2385800124994</v>
      </c>
      <c r="E433" s="785">
        <v>9522.2158580798496</v>
      </c>
      <c r="F433" s="785">
        <v>9614.8052196249391</v>
      </c>
      <c r="G433" s="785">
        <v>9692.4959450934293</v>
      </c>
      <c r="H433" s="785">
        <v>9791.8846110960094</v>
      </c>
      <c r="I433" s="785">
        <v>9859.2474153458497</v>
      </c>
      <c r="J433" s="785">
        <v>9794.5203769427098</v>
      </c>
      <c r="K433" s="785">
        <v>9670.8759721957395</v>
      </c>
      <c r="L433" s="785">
        <v>9734.3114087774302</v>
      </c>
      <c r="M433" s="785">
        <v>9864.2885679060491</v>
      </c>
      <c r="N433" s="805">
        <f t="shared" si="6"/>
        <v>116478.61388874624</v>
      </c>
      <c r="O433" s="786"/>
      <c r="P433" s="786"/>
      <c r="Q433" s="786"/>
      <c r="R433" s="786"/>
      <c r="S433" s="786"/>
      <c r="T433" s="786"/>
      <c r="U433" s="786"/>
      <c r="V433" s="786"/>
      <c r="W433" s="786"/>
      <c r="X433" s="786"/>
      <c r="Y433" s="786"/>
      <c r="Z433" s="786"/>
      <c r="AA433" s="786"/>
    </row>
    <row r="434" spans="1:27" x14ac:dyDescent="0.25">
      <c r="A434" s="791" t="s">
        <v>1796</v>
      </c>
      <c r="B434" s="789"/>
      <c r="C434" s="789"/>
      <c r="D434" s="789"/>
      <c r="E434" s="789"/>
      <c r="F434" s="789"/>
      <c r="G434" s="789"/>
      <c r="H434" s="789"/>
      <c r="I434" s="789"/>
      <c r="J434" s="789"/>
      <c r="K434" s="789"/>
      <c r="L434" s="789"/>
      <c r="M434" s="789"/>
      <c r="N434" s="789">
        <f t="shared" si="6"/>
        <v>0</v>
      </c>
      <c r="O434" s="790"/>
      <c r="P434" s="790"/>
      <c r="Q434" s="790"/>
      <c r="R434" s="790"/>
      <c r="S434" s="790"/>
      <c r="T434" s="790"/>
      <c r="U434" s="790"/>
      <c r="V434" s="790"/>
      <c r="W434" s="790"/>
      <c r="X434" s="790"/>
      <c r="Y434" s="790"/>
      <c r="Z434" s="790"/>
      <c r="AA434" s="790"/>
    </row>
    <row r="435" spans="1:27" ht="15.75" thickBot="1" x14ac:dyDescent="0.3">
      <c r="A435" s="791" t="s">
        <v>2107</v>
      </c>
      <c r="B435" s="792">
        <v>0</v>
      </c>
      <c r="C435" s="792">
        <v>0</v>
      </c>
      <c r="D435" s="792">
        <v>0</v>
      </c>
      <c r="E435" s="792">
        <v>0</v>
      </c>
      <c r="F435" s="792">
        <v>0</v>
      </c>
      <c r="G435" s="792">
        <v>0</v>
      </c>
      <c r="H435" s="792">
        <v>0</v>
      </c>
      <c r="I435" s="792">
        <v>0</v>
      </c>
      <c r="J435" s="792">
        <v>0</v>
      </c>
      <c r="K435" s="792">
        <v>0</v>
      </c>
      <c r="L435" s="792">
        <v>0</v>
      </c>
      <c r="M435" s="792">
        <v>0</v>
      </c>
      <c r="N435" s="792">
        <f t="shared" si="6"/>
        <v>0</v>
      </c>
    </row>
    <row r="436" spans="1:27" x14ac:dyDescent="0.25">
      <c r="A436" s="796" t="s">
        <v>2108</v>
      </c>
      <c r="B436" s="787">
        <v>0</v>
      </c>
      <c r="C436" s="787">
        <v>0</v>
      </c>
      <c r="D436" s="787">
        <v>0</v>
      </c>
      <c r="E436" s="787">
        <v>0</v>
      </c>
      <c r="F436" s="787">
        <v>0</v>
      </c>
      <c r="G436" s="787">
        <v>0</v>
      </c>
      <c r="H436" s="787">
        <v>0</v>
      </c>
      <c r="I436" s="787">
        <v>0</v>
      </c>
      <c r="J436" s="787">
        <v>0</v>
      </c>
      <c r="K436" s="787">
        <v>0</v>
      </c>
      <c r="L436" s="787">
        <v>0</v>
      </c>
      <c r="M436" s="787">
        <v>0</v>
      </c>
      <c r="N436" s="787">
        <f t="shared" si="6"/>
        <v>0</v>
      </c>
    </row>
    <row r="437" spans="1:27" x14ac:dyDescent="0.25">
      <c r="N437" s="787">
        <f t="shared" si="6"/>
        <v>0</v>
      </c>
    </row>
    <row r="438" spans="1:27" ht="15.75" thickBot="1" x14ac:dyDescent="0.3">
      <c r="A438" s="798" t="s">
        <v>1796</v>
      </c>
      <c r="B438" s="792"/>
      <c r="C438" s="792"/>
      <c r="D438" s="792"/>
      <c r="E438" s="792"/>
      <c r="F438" s="792"/>
      <c r="G438" s="792"/>
      <c r="H438" s="792"/>
      <c r="I438" s="792"/>
      <c r="J438" s="792"/>
      <c r="K438" s="792"/>
      <c r="L438" s="792"/>
      <c r="M438" s="792"/>
      <c r="N438" s="792">
        <f t="shared" si="6"/>
        <v>0</v>
      </c>
    </row>
    <row r="439" spans="1:27" ht="15.75" thickBot="1" x14ac:dyDescent="0.3">
      <c r="A439" s="799" t="s">
        <v>2109</v>
      </c>
      <c r="B439" s="800">
        <v>12672.6505996183</v>
      </c>
      <c r="C439" s="800">
        <v>18390.504598207801</v>
      </c>
      <c r="D439" s="800">
        <v>21099.5702224165</v>
      </c>
      <c r="E439" s="800">
        <v>22766.158371381902</v>
      </c>
      <c r="F439" s="800">
        <v>18722.3340478717</v>
      </c>
      <c r="G439" s="800">
        <v>5047.6833318492199</v>
      </c>
      <c r="H439" s="800">
        <v>13341.1630967042</v>
      </c>
      <c r="I439" s="800">
        <v>26188.8660094035</v>
      </c>
      <c r="J439" s="800">
        <v>30534.728268705901</v>
      </c>
      <c r="K439" s="800">
        <v>22432.933962112002</v>
      </c>
      <c r="L439" s="800">
        <v>20911.0280482163</v>
      </c>
      <c r="M439" s="800">
        <v>6021.6736443147502</v>
      </c>
      <c r="N439" s="806">
        <f t="shared" si="6"/>
        <v>218129.29420080205</v>
      </c>
      <c r="O439" s="786"/>
      <c r="P439" s="786"/>
      <c r="Q439" s="786"/>
      <c r="R439" s="786"/>
      <c r="S439" s="786"/>
      <c r="T439" s="786"/>
      <c r="U439" s="786"/>
      <c r="V439" s="786"/>
      <c r="W439" s="786"/>
      <c r="X439" s="786"/>
      <c r="Y439" s="786"/>
      <c r="Z439" s="786"/>
      <c r="AA439" s="786"/>
    </row>
  </sheetData>
  <pageMargins left="0.75" right="0.75" top="1" bottom="1" header="0.5" footer="0.5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2"/>
  <sheetViews>
    <sheetView zoomScale="70" zoomScaleNormal="70" workbookViewId="0">
      <pane xSplit="2" ySplit="3" topLeftCell="C4" activePane="bottomRight" state="frozen"/>
      <selection activeCell="U552" sqref="U552"/>
      <selection pane="topRight" activeCell="U552" sqref="U552"/>
      <selection pane="bottomLeft" activeCell="U552" sqref="U552"/>
      <selection pane="bottomRight" activeCell="K32" sqref="K32"/>
    </sheetView>
  </sheetViews>
  <sheetFormatPr defaultColWidth="9" defaultRowHeight="15" x14ac:dyDescent="0.25"/>
  <cols>
    <col min="1" max="1" width="7.33203125" style="809" customWidth="1"/>
    <col min="2" max="2" width="46.33203125" style="683" customWidth="1"/>
    <col min="3" max="15" width="9.33203125" style="809" customWidth="1"/>
    <col min="16" max="16384" width="9" style="809"/>
  </cols>
  <sheetData>
    <row r="1" spans="1:16" s="807" customFormat="1" ht="15" customHeight="1" x14ac:dyDescent="0.25">
      <c r="B1" s="782" t="s">
        <v>2447</v>
      </c>
    </row>
    <row r="2" spans="1:16" s="807" customFormat="1" ht="30" x14ac:dyDescent="0.25">
      <c r="B2" s="782"/>
      <c r="C2" s="807" t="s">
        <v>1504</v>
      </c>
      <c r="D2" s="807" t="s">
        <v>2454</v>
      </c>
      <c r="E2" s="807" t="s">
        <v>2455</v>
      </c>
      <c r="F2" s="807" t="s">
        <v>2456</v>
      </c>
      <c r="G2" s="807" t="s">
        <v>2457</v>
      </c>
      <c r="H2" s="807" t="s">
        <v>2458</v>
      </c>
      <c r="I2" s="807" t="s">
        <v>2459</v>
      </c>
      <c r="J2" s="807" t="s">
        <v>2460</v>
      </c>
      <c r="K2" s="807" t="s">
        <v>2461</v>
      </c>
      <c r="L2" s="807" t="s">
        <v>2462</v>
      </c>
      <c r="M2" s="807" t="s">
        <v>2463</v>
      </c>
      <c r="N2" s="807" t="s">
        <v>2464</v>
      </c>
      <c r="O2" s="807" t="s">
        <v>2465</v>
      </c>
      <c r="P2" s="771" t="s">
        <v>1580</v>
      </c>
    </row>
    <row r="3" spans="1:16" s="807" customFormat="1" ht="30" x14ac:dyDescent="0.25">
      <c r="A3" s="808" t="s">
        <v>2602</v>
      </c>
      <c r="B3" s="782" t="s">
        <v>1505</v>
      </c>
    </row>
    <row r="4" spans="1:16" x14ac:dyDescent="0.25">
      <c r="B4" s="810" t="s">
        <v>1506</v>
      </c>
    </row>
    <row r="6" spans="1:16" x14ac:dyDescent="0.25">
      <c r="B6" s="810" t="s">
        <v>2110</v>
      </c>
    </row>
    <row r="8" spans="1:16" x14ac:dyDescent="0.25">
      <c r="B8" s="810" t="s">
        <v>2111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</row>
    <row r="9" spans="1:16" x14ac:dyDescent="0.25">
      <c r="B9" s="683" t="s">
        <v>2112</v>
      </c>
      <c r="C9" s="811"/>
      <c r="D9" s="811"/>
      <c r="E9" s="811"/>
      <c r="F9" s="811"/>
      <c r="G9" s="811"/>
      <c r="H9" s="811"/>
      <c r="I9" s="811"/>
      <c r="J9" s="811"/>
      <c r="K9" s="811"/>
      <c r="L9" s="811"/>
      <c r="M9" s="811"/>
      <c r="N9" s="811"/>
      <c r="O9" s="811"/>
    </row>
    <row r="10" spans="1:16" x14ac:dyDescent="0.25">
      <c r="B10" s="683" t="s">
        <v>2113</v>
      </c>
      <c r="C10" s="809">
        <v>8737354.5974800009</v>
      </c>
      <c r="D10" s="809">
        <v>8901689.7128899992</v>
      </c>
      <c r="E10" s="809">
        <v>8951364.3052699994</v>
      </c>
      <c r="F10" s="809">
        <v>8973564.45359</v>
      </c>
      <c r="G10" s="809">
        <v>8986786.2612800002</v>
      </c>
      <c r="H10" s="809">
        <v>9025787.5481000002</v>
      </c>
      <c r="I10" s="809">
        <v>9057623.7054099999</v>
      </c>
      <c r="J10" s="809">
        <v>9116342.8320099991</v>
      </c>
      <c r="K10" s="809">
        <v>9273567.5448100008</v>
      </c>
      <c r="L10" s="809">
        <v>9217541.9605899993</v>
      </c>
      <c r="M10" s="809">
        <v>9222427.0280399993</v>
      </c>
      <c r="N10" s="809">
        <v>9249748.56886</v>
      </c>
      <c r="O10" s="809">
        <v>9279113.5430699997</v>
      </c>
      <c r="P10" s="809">
        <f>SUM(C10:O10)/13</f>
        <v>9076377.8508769237</v>
      </c>
    </row>
    <row r="11" spans="1:16" x14ac:dyDescent="0.25">
      <c r="B11" s="683" t="s">
        <v>2114</v>
      </c>
      <c r="C11" s="809">
        <v>32786.7336</v>
      </c>
      <c r="D11" s="809">
        <v>32786.7336</v>
      </c>
      <c r="E11" s="809">
        <v>32786.7336</v>
      </c>
      <c r="F11" s="809">
        <v>32786.7336</v>
      </c>
      <c r="G11" s="809">
        <v>32786.7336</v>
      </c>
      <c r="H11" s="809">
        <v>32786.7336</v>
      </c>
      <c r="I11" s="809">
        <v>32786.7336</v>
      </c>
      <c r="J11" s="809">
        <v>32786.7336</v>
      </c>
      <c r="K11" s="809">
        <v>32786.7336</v>
      </c>
      <c r="L11" s="809">
        <v>32786.7336</v>
      </c>
      <c r="M11" s="809">
        <v>32786.7336</v>
      </c>
      <c r="N11" s="809">
        <v>32786.7336</v>
      </c>
      <c r="O11" s="809">
        <v>32786.7336</v>
      </c>
      <c r="P11" s="809">
        <f t="shared" ref="P11:P74" si="0">SUM(C11:O11)/13</f>
        <v>32786.733599999992</v>
      </c>
    </row>
    <row r="12" spans="1:16" x14ac:dyDescent="0.25">
      <c r="B12" s="683" t="s">
        <v>2439</v>
      </c>
      <c r="C12" s="809">
        <v>30322.53703</v>
      </c>
      <c r="D12" s="809">
        <v>30308.3943</v>
      </c>
      <c r="E12" s="809">
        <v>30286.77708</v>
      </c>
      <c r="F12" s="809">
        <v>30239.77087</v>
      </c>
      <c r="G12" s="809">
        <v>30094.226500000001</v>
      </c>
      <c r="H12" s="809">
        <v>30086.780449999998</v>
      </c>
      <c r="I12" s="809">
        <v>30053.8233</v>
      </c>
      <c r="J12" s="809">
        <v>29793.929400000001</v>
      </c>
      <c r="K12" s="809">
        <v>29647.1911</v>
      </c>
      <c r="L12" s="809">
        <v>29467.187279999998</v>
      </c>
      <c r="M12" s="809">
        <v>29322.740229999999</v>
      </c>
      <c r="N12" s="809">
        <v>29301.046989999999</v>
      </c>
      <c r="O12" s="809">
        <v>29242.47393</v>
      </c>
      <c r="P12" s="809">
        <f t="shared" si="0"/>
        <v>29858.990650769229</v>
      </c>
    </row>
    <row r="13" spans="1:16" x14ac:dyDescent="0.25">
      <c r="B13" s="683" t="s">
        <v>2115</v>
      </c>
      <c r="C13" s="809">
        <v>1912.91975</v>
      </c>
      <c r="D13" s="809">
        <v>1912.91975</v>
      </c>
      <c r="E13" s="809">
        <v>1912.91975</v>
      </c>
      <c r="F13" s="809">
        <v>1912.91975</v>
      </c>
      <c r="G13" s="809">
        <v>1912.91975</v>
      </c>
      <c r="H13" s="809">
        <v>1912.91975</v>
      </c>
      <c r="I13" s="809">
        <v>1912.91975</v>
      </c>
      <c r="J13" s="809">
        <v>1912.91975</v>
      </c>
      <c r="K13" s="809">
        <v>1912.91975</v>
      </c>
      <c r="L13" s="809">
        <v>1912.91975</v>
      </c>
      <c r="M13" s="809">
        <v>1912.91975</v>
      </c>
      <c r="N13" s="809">
        <v>1912.91975</v>
      </c>
      <c r="O13" s="809">
        <v>1912.91975</v>
      </c>
      <c r="P13" s="809">
        <f t="shared" si="0"/>
        <v>1912.9197500000007</v>
      </c>
    </row>
    <row r="14" spans="1:16" x14ac:dyDescent="0.25">
      <c r="B14" s="683" t="s">
        <v>2116</v>
      </c>
      <c r="C14" s="809">
        <v>951317.18938</v>
      </c>
      <c r="D14" s="809">
        <v>951317.18938</v>
      </c>
      <c r="E14" s="809">
        <v>951317.18938</v>
      </c>
      <c r="F14" s="809">
        <v>951317.18938</v>
      </c>
      <c r="G14" s="809">
        <v>951317.18938</v>
      </c>
      <c r="H14" s="809">
        <v>951317.18938</v>
      </c>
      <c r="I14" s="809">
        <v>951317.18938</v>
      </c>
      <c r="J14" s="809">
        <v>951317.18938</v>
      </c>
      <c r="K14" s="809">
        <v>951317.18938</v>
      </c>
      <c r="L14" s="809">
        <v>951317.18938</v>
      </c>
      <c r="M14" s="809">
        <v>951317.18938</v>
      </c>
      <c r="N14" s="809">
        <v>951317.18938</v>
      </c>
      <c r="O14" s="809">
        <v>951317.18938</v>
      </c>
      <c r="P14" s="809">
        <f t="shared" si="0"/>
        <v>951317.18937999988</v>
      </c>
    </row>
    <row r="15" spans="1:16" x14ac:dyDescent="0.25">
      <c r="B15" s="683" t="s">
        <v>2117</v>
      </c>
      <c r="C15" s="809">
        <v>378380.71243770601</v>
      </c>
      <c r="D15" s="809">
        <v>248550.56649263101</v>
      </c>
      <c r="E15" s="809">
        <v>239905.46606487001</v>
      </c>
      <c r="F15" s="809">
        <v>255944.07033246499</v>
      </c>
      <c r="G15" s="809">
        <v>276769.10109214898</v>
      </c>
      <c r="H15" s="809">
        <v>276823.64735517802</v>
      </c>
      <c r="I15" s="809">
        <v>291750.83952568599</v>
      </c>
      <c r="J15" s="809">
        <v>273262.35700985597</v>
      </c>
      <c r="K15" s="809">
        <v>123639.361185164</v>
      </c>
      <c r="L15" s="809">
        <v>137935.08451746099</v>
      </c>
      <c r="M15" s="809">
        <v>153393.813112695</v>
      </c>
      <c r="N15" s="809">
        <v>183255.91856991299</v>
      </c>
      <c r="O15" s="809">
        <v>192632.591261639</v>
      </c>
      <c r="P15" s="809">
        <f t="shared" si="0"/>
        <v>233249.5022274933</v>
      </c>
    </row>
    <row r="16" spans="1:16" x14ac:dyDescent="0.25">
      <c r="B16" s="683" t="s">
        <v>2118</v>
      </c>
      <c r="C16" s="809">
        <v>10132074.6896777</v>
      </c>
      <c r="D16" s="809">
        <v>10166565.516412601</v>
      </c>
      <c r="E16" s="809">
        <v>10207573.391144801</v>
      </c>
      <c r="F16" s="809">
        <v>10245765.137522399</v>
      </c>
      <c r="G16" s="809">
        <v>10279666.4316021</v>
      </c>
      <c r="H16" s="809">
        <v>10318714.8186351</v>
      </c>
      <c r="I16" s="809">
        <v>10365445.2109656</v>
      </c>
      <c r="J16" s="809">
        <v>10405415.961149801</v>
      </c>
      <c r="K16" s="809">
        <v>10412870.939825101</v>
      </c>
      <c r="L16" s="809">
        <v>10370961.0751174</v>
      </c>
      <c r="M16" s="809">
        <v>10391160.424112599</v>
      </c>
      <c r="N16" s="809">
        <v>10448322.3771499</v>
      </c>
      <c r="O16" s="809">
        <v>10487005.450991601</v>
      </c>
      <c r="P16" s="809">
        <f t="shared" si="0"/>
        <v>10325503.18648513</v>
      </c>
    </row>
    <row r="17" spans="2:16" x14ac:dyDescent="0.25">
      <c r="C17" s="811"/>
      <c r="D17" s="811"/>
      <c r="E17" s="811"/>
      <c r="F17" s="811"/>
      <c r="G17" s="811"/>
      <c r="H17" s="811"/>
      <c r="I17" s="811"/>
      <c r="J17" s="811"/>
      <c r="K17" s="811"/>
      <c r="L17" s="811"/>
      <c r="M17" s="811"/>
      <c r="N17" s="811"/>
      <c r="O17" s="811"/>
      <c r="P17" s="809">
        <f t="shared" si="0"/>
        <v>0</v>
      </c>
    </row>
    <row r="18" spans="2:16" x14ac:dyDescent="0.25">
      <c r="B18" s="683" t="s">
        <v>2119</v>
      </c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O18" s="811"/>
      <c r="P18" s="809">
        <f t="shared" si="0"/>
        <v>0</v>
      </c>
    </row>
    <row r="19" spans="2:16" x14ac:dyDescent="0.25">
      <c r="B19" s="683" t="s">
        <v>2120</v>
      </c>
      <c r="C19" s="809">
        <v>-2945590.1487304601</v>
      </c>
      <c r="D19" s="809">
        <v>-2967348.31976766</v>
      </c>
      <c r="E19" s="809">
        <v>-2991459.0458831699</v>
      </c>
      <c r="F19" s="809">
        <v>-3013706.0179405198</v>
      </c>
      <c r="G19" s="809">
        <v>-3034952.1812335802</v>
      </c>
      <c r="H19" s="809">
        <v>-3060984.22887679</v>
      </c>
      <c r="I19" s="809">
        <v>-3084803.9222773002</v>
      </c>
      <c r="J19" s="809">
        <v>-3110451.9568203199</v>
      </c>
      <c r="K19" s="809">
        <v>-3114834.8989991001</v>
      </c>
      <c r="L19" s="809">
        <v>-3078808.8837652002</v>
      </c>
      <c r="M19" s="809">
        <v>-3098404.3114558598</v>
      </c>
      <c r="N19" s="809">
        <v>-3121788.4265231499</v>
      </c>
      <c r="O19" s="809">
        <v>-3135095.9927585302</v>
      </c>
      <c r="P19" s="809">
        <f t="shared" si="0"/>
        <v>-3058325.256540895</v>
      </c>
    </row>
    <row r="20" spans="2:16" x14ac:dyDescent="0.25">
      <c r="B20" s="683" t="s">
        <v>2121</v>
      </c>
      <c r="C20" s="809">
        <v>-20228.313610000001</v>
      </c>
      <c r="D20" s="809">
        <v>-20228.313610000001</v>
      </c>
      <c r="E20" s="809">
        <v>-20228.313610000001</v>
      </c>
      <c r="F20" s="809">
        <v>-20228.313610000001</v>
      </c>
      <c r="G20" s="809">
        <v>-20228.313610000001</v>
      </c>
      <c r="H20" s="809">
        <v>-20228.313610000001</v>
      </c>
      <c r="I20" s="809">
        <v>-20228.313610000001</v>
      </c>
      <c r="J20" s="809">
        <v>-20228.313610000001</v>
      </c>
      <c r="K20" s="809">
        <v>-20228.313610000001</v>
      </c>
      <c r="L20" s="809">
        <v>-20228.313610000001</v>
      </c>
      <c r="M20" s="809">
        <v>-20228.313610000001</v>
      </c>
      <c r="N20" s="809">
        <v>-20228.313610000001</v>
      </c>
      <c r="O20" s="809">
        <v>-20228.313610000001</v>
      </c>
      <c r="P20" s="809">
        <f t="shared" si="0"/>
        <v>-20228.313610000005</v>
      </c>
    </row>
    <row r="21" spans="2:16" x14ac:dyDescent="0.25">
      <c r="B21" s="683" t="s">
        <v>2122</v>
      </c>
      <c r="C21" s="809">
        <v>837.33713999999998</v>
      </c>
      <c r="D21" s="809">
        <v>837.33713999999998</v>
      </c>
      <c r="E21" s="809">
        <v>837.33713999999998</v>
      </c>
      <c r="F21" s="809">
        <v>837.33713999999998</v>
      </c>
      <c r="G21" s="809">
        <v>837.33713999999998</v>
      </c>
      <c r="H21" s="809">
        <v>837.33713999999998</v>
      </c>
      <c r="I21" s="809">
        <v>837.33713999999998</v>
      </c>
      <c r="J21" s="809">
        <v>837.33713999999998</v>
      </c>
      <c r="K21" s="809">
        <v>837.33713999999998</v>
      </c>
      <c r="L21" s="809">
        <v>837.33713999999998</v>
      </c>
      <c r="M21" s="809">
        <v>837.33713999999998</v>
      </c>
      <c r="N21" s="809">
        <v>837.33713999999998</v>
      </c>
      <c r="O21" s="809">
        <v>837.33713999999998</v>
      </c>
      <c r="P21" s="809">
        <f t="shared" si="0"/>
        <v>837.33713999999975</v>
      </c>
    </row>
    <row r="22" spans="2:16" x14ac:dyDescent="0.25">
      <c r="B22" s="683" t="s">
        <v>2123</v>
      </c>
      <c r="C22" s="809">
        <v>-36683.400421307997</v>
      </c>
      <c r="D22" s="809">
        <v>-37877.945674968803</v>
      </c>
      <c r="E22" s="809">
        <v>-39148.586843029603</v>
      </c>
      <c r="F22" s="809">
        <v>-40364.5778340904</v>
      </c>
      <c r="G22" s="809">
        <v>-40756.252771151201</v>
      </c>
      <c r="H22" s="809">
        <v>-41918.464413212001</v>
      </c>
      <c r="I22" s="809">
        <v>-41514.779214272799</v>
      </c>
      <c r="J22" s="809">
        <v>-39291.3363693336</v>
      </c>
      <c r="K22" s="809">
        <v>-40688.265241694397</v>
      </c>
      <c r="L22" s="809">
        <v>-41279.850502255198</v>
      </c>
      <c r="M22" s="809">
        <v>-40127.917379015998</v>
      </c>
      <c r="N22" s="809">
        <v>-41397.540472976798</v>
      </c>
      <c r="O22" s="809">
        <v>-42980.4296120375</v>
      </c>
      <c r="P22" s="809">
        <f t="shared" si="0"/>
        <v>-40309.949749949716</v>
      </c>
    </row>
    <row r="23" spans="2:16" x14ac:dyDescent="0.25">
      <c r="B23" s="683" t="s">
        <v>2124</v>
      </c>
      <c r="C23" s="809">
        <v>-70.360370000000003</v>
      </c>
      <c r="D23" s="809">
        <v>-70.360370000000003</v>
      </c>
      <c r="E23" s="809">
        <v>-70.360370000000003</v>
      </c>
      <c r="F23" s="809">
        <v>-70.360370000000003</v>
      </c>
      <c r="G23" s="809">
        <v>-70.360370000000003</v>
      </c>
      <c r="H23" s="809">
        <v>-70.360370000000003</v>
      </c>
      <c r="I23" s="809">
        <v>-70.360370000000003</v>
      </c>
      <c r="J23" s="809">
        <v>-70.360370000000003</v>
      </c>
      <c r="K23" s="809">
        <v>-70.360370000000003</v>
      </c>
      <c r="L23" s="809">
        <v>-70.360370000000003</v>
      </c>
      <c r="M23" s="809">
        <v>-70.360370000000003</v>
      </c>
      <c r="N23" s="809">
        <v>-70.360370000000003</v>
      </c>
      <c r="O23" s="809">
        <v>-70.360370000000003</v>
      </c>
      <c r="P23" s="809">
        <f t="shared" si="0"/>
        <v>-70.360370000000003</v>
      </c>
    </row>
    <row r="24" spans="2:16" x14ac:dyDescent="0.25">
      <c r="B24" s="683" t="s">
        <v>2440</v>
      </c>
      <c r="C24" s="809">
        <v>-2266.5516899999998</v>
      </c>
      <c r="D24" s="809">
        <v>-2821.6973599999901</v>
      </c>
      <c r="E24" s="809">
        <v>-3369.4422799999902</v>
      </c>
      <c r="F24" s="809">
        <v>-3891.19345999999</v>
      </c>
      <c r="G24" s="809">
        <v>-4310.4898499999899</v>
      </c>
      <c r="H24" s="809">
        <v>-4852.1683799999901</v>
      </c>
      <c r="I24" s="809">
        <v>-5370.3258499999902</v>
      </c>
      <c r="J24" s="809">
        <v>-5661.0160499999902</v>
      </c>
      <c r="K24" s="809">
        <v>-6043.3222500000002</v>
      </c>
      <c r="L24" s="809">
        <v>-6382.4529199999997</v>
      </c>
      <c r="M24" s="809">
        <v>-6745.4785299999903</v>
      </c>
      <c r="N24" s="809">
        <v>-7223.1810599999899</v>
      </c>
      <c r="O24" s="809">
        <v>-7665.7033199999896</v>
      </c>
      <c r="P24" s="809">
        <f t="shared" si="0"/>
        <v>-5123.3094615384534</v>
      </c>
    </row>
    <row r="25" spans="2:16" x14ac:dyDescent="0.25">
      <c r="B25" s="683" t="s">
        <v>2125</v>
      </c>
      <c r="C25" s="809">
        <v>121428.57040750601</v>
      </c>
      <c r="D25" s="809">
        <v>122134.85388604899</v>
      </c>
      <c r="E25" s="809">
        <v>122850.535591286</v>
      </c>
      <c r="F25" s="809">
        <v>123568.625424546</v>
      </c>
      <c r="G25" s="809">
        <v>124288.20337150199</v>
      </c>
      <c r="H25" s="809">
        <v>125009.197297775</v>
      </c>
      <c r="I25" s="809">
        <v>125732.700019084</v>
      </c>
      <c r="J25" s="809">
        <v>126459.83865074599</v>
      </c>
      <c r="K25" s="809">
        <v>127195.734411996</v>
      </c>
      <c r="L25" s="809">
        <v>127938.860688263</v>
      </c>
      <c r="M25" s="809">
        <v>128682.72864697</v>
      </c>
      <c r="N25" s="809">
        <v>129427.844028454</v>
      </c>
      <c r="O25" s="809">
        <v>130174.836332835</v>
      </c>
      <c r="P25" s="809">
        <f t="shared" si="0"/>
        <v>125760.96375053938</v>
      </c>
    </row>
    <row r="26" spans="2:16" x14ac:dyDescent="0.25">
      <c r="B26" s="683" t="s">
        <v>2126</v>
      </c>
      <c r="C26" s="809">
        <v>28426.715390000001</v>
      </c>
      <c r="D26" s="809">
        <v>30269.383290000002</v>
      </c>
      <c r="E26" s="809">
        <v>31284.589599999999</v>
      </c>
      <c r="F26" s="809">
        <v>32942.745929999997</v>
      </c>
      <c r="G26" s="809">
        <v>33442.967019999996</v>
      </c>
      <c r="H26" s="809">
        <v>19715.525010000001</v>
      </c>
      <c r="I26" s="809">
        <v>21493.495299999999</v>
      </c>
      <c r="J26" s="809">
        <v>21706.992460000001</v>
      </c>
      <c r="K26" s="809">
        <v>883.98128999999199</v>
      </c>
      <c r="L26" s="809">
        <v>1453.4633899999901</v>
      </c>
      <c r="M26" s="809">
        <v>2133.15102999999</v>
      </c>
      <c r="N26" s="809">
        <v>7956.9343499999904</v>
      </c>
      <c r="O26" s="809">
        <v>5916.8037999999897</v>
      </c>
      <c r="P26" s="809">
        <f t="shared" si="0"/>
        <v>18278.980604615386</v>
      </c>
    </row>
    <row r="27" spans="2:16" ht="15.75" thickBot="1" x14ac:dyDescent="0.3">
      <c r="B27" s="683" t="s">
        <v>2127</v>
      </c>
      <c r="C27" s="812">
        <v>-526929.94443454605</v>
      </c>
      <c r="D27" s="812">
        <v>-528360.48917963798</v>
      </c>
      <c r="E27" s="812">
        <v>-529760.75784886</v>
      </c>
      <c r="F27" s="812">
        <v>-532606.47714538896</v>
      </c>
      <c r="G27" s="812">
        <v>-535452.38212857896</v>
      </c>
      <c r="H27" s="812">
        <v>-524376.91836883803</v>
      </c>
      <c r="I27" s="812">
        <v>-527484.686599017</v>
      </c>
      <c r="J27" s="812">
        <v>-529162.27167690196</v>
      </c>
      <c r="K27" s="812">
        <v>-506671.81082890299</v>
      </c>
      <c r="L27" s="812">
        <v>-509958.87203746999</v>
      </c>
      <c r="M27" s="812">
        <v>-513242.63961519999</v>
      </c>
      <c r="N27" s="812">
        <v>-515653.63040091097</v>
      </c>
      <c r="O27" s="812">
        <v>-515546.79037623998</v>
      </c>
      <c r="P27" s="809">
        <f t="shared" si="0"/>
        <v>-522708.28235696099</v>
      </c>
    </row>
    <row r="28" spans="2:16" x14ac:dyDescent="0.25">
      <c r="B28" s="683" t="s">
        <v>2128</v>
      </c>
      <c r="C28" s="809">
        <v>-3381076.0963188</v>
      </c>
      <c r="D28" s="809">
        <v>-3403465.55164622</v>
      </c>
      <c r="E28" s="809">
        <v>-3429064.0445037801</v>
      </c>
      <c r="F28" s="809">
        <v>-3453518.2318654498</v>
      </c>
      <c r="G28" s="809">
        <v>-3477201.4724317999</v>
      </c>
      <c r="H28" s="809">
        <v>-3506868.3945710598</v>
      </c>
      <c r="I28" s="809">
        <v>-3531408.8554615099</v>
      </c>
      <c r="J28" s="809">
        <v>-3555861.0866458099</v>
      </c>
      <c r="K28" s="809">
        <v>-3559619.9184577102</v>
      </c>
      <c r="L28" s="809">
        <v>-3526499.0719866599</v>
      </c>
      <c r="M28" s="809">
        <v>-3547165.8041431098</v>
      </c>
      <c r="N28" s="809">
        <v>-3568139.3369185901</v>
      </c>
      <c r="O28" s="809">
        <v>-3584658.61277398</v>
      </c>
      <c r="P28" s="809">
        <f t="shared" si="0"/>
        <v>-3501888.1905941907</v>
      </c>
    </row>
    <row r="29" spans="2:16" x14ac:dyDescent="0.25">
      <c r="C29" s="811"/>
      <c r="D29" s="811"/>
      <c r="E29" s="811"/>
      <c r="F29" s="811"/>
      <c r="G29" s="811"/>
      <c r="H29" s="811"/>
      <c r="I29" s="811"/>
      <c r="J29" s="811"/>
      <c r="K29" s="811"/>
      <c r="L29" s="811"/>
      <c r="M29" s="811"/>
      <c r="N29" s="811"/>
      <c r="O29" s="811"/>
      <c r="P29" s="809">
        <f t="shared" si="0"/>
        <v>0</v>
      </c>
    </row>
    <row r="30" spans="2:16" ht="15.75" thickBot="1" x14ac:dyDescent="0.3">
      <c r="B30" s="810" t="s">
        <v>2129</v>
      </c>
      <c r="C30" s="813">
        <v>6750998.5933589004</v>
      </c>
      <c r="D30" s="813">
        <v>6763099.9647663999</v>
      </c>
      <c r="E30" s="813">
        <v>6778509.3466410805</v>
      </c>
      <c r="F30" s="813">
        <v>6792246.9056570102</v>
      </c>
      <c r="G30" s="813">
        <v>6802464.9591703396</v>
      </c>
      <c r="H30" s="813">
        <v>6811846.42406411</v>
      </c>
      <c r="I30" s="813">
        <v>6834036.3555041701</v>
      </c>
      <c r="J30" s="813">
        <v>6849554.87450404</v>
      </c>
      <c r="K30" s="813">
        <v>6853251.0213674502</v>
      </c>
      <c r="L30" s="813">
        <v>6844462.0031307898</v>
      </c>
      <c r="M30" s="813">
        <v>6843994.6199695803</v>
      </c>
      <c r="N30" s="813">
        <v>6880183.0402313201</v>
      </c>
      <c r="O30" s="813">
        <v>6902346.8382176599</v>
      </c>
      <c r="P30" s="809">
        <f t="shared" si="0"/>
        <v>6823614.995890988</v>
      </c>
    </row>
    <row r="31" spans="2:16" x14ac:dyDescent="0.25">
      <c r="P31" s="809">
        <f t="shared" si="0"/>
        <v>0</v>
      </c>
    </row>
    <row r="32" spans="2:16" x14ac:dyDescent="0.25">
      <c r="B32" s="810" t="s">
        <v>2130</v>
      </c>
      <c r="C32" s="811"/>
      <c r="D32" s="811"/>
      <c r="E32" s="811"/>
      <c r="F32" s="811"/>
      <c r="G32" s="811"/>
      <c r="H32" s="811"/>
      <c r="I32" s="811"/>
      <c r="J32" s="811"/>
      <c r="K32" s="811"/>
      <c r="L32" s="811"/>
      <c r="M32" s="811"/>
      <c r="N32" s="811"/>
      <c r="O32" s="811"/>
      <c r="P32" s="809">
        <f t="shared" si="0"/>
        <v>0</v>
      </c>
    </row>
    <row r="33" spans="1:16" x14ac:dyDescent="0.25">
      <c r="B33" s="683" t="s">
        <v>2131</v>
      </c>
      <c r="C33" s="811"/>
      <c r="D33" s="811"/>
      <c r="E33" s="811"/>
      <c r="F33" s="811"/>
      <c r="G33" s="811"/>
      <c r="H33" s="811"/>
      <c r="I33" s="811"/>
      <c r="J33" s="811"/>
      <c r="K33" s="811"/>
      <c r="L33" s="811"/>
      <c r="M33" s="811"/>
      <c r="N33" s="811"/>
      <c r="O33" s="811"/>
      <c r="P33" s="809">
        <f t="shared" si="0"/>
        <v>0</v>
      </c>
    </row>
    <row r="34" spans="1:16" x14ac:dyDescent="0.25">
      <c r="B34" s="683" t="s">
        <v>2132</v>
      </c>
      <c r="C34" s="809">
        <v>250</v>
      </c>
      <c r="D34" s="809">
        <v>250</v>
      </c>
      <c r="E34" s="809">
        <v>250</v>
      </c>
      <c r="F34" s="809">
        <v>250</v>
      </c>
      <c r="G34" s="809">
        <v>250</v>
      </c>
      <c r="H34" s="809">
        <v>250</v>
      </c>
      <c r="I34" s="809">
        <v>250</v>
      </c>
      <c r="J34" s="809">
        <v>250</v>
      </c>
      <c r="K34" s="809">
        <v>250</v>
      </c>
      <c r="L34" s="809">
        <v>250</v>
      </c>
      <c r="M34" s="809">
        <v>250</v>
      </c>
      <c r="N34" s="809">
        <v>250</v>
      </c>
      <c r="O34" s="809">
        <v>250</v>
      </c>
      <c r="P34" s="809">
        <f t="shared" si="0"/>
        <v>250</v>
      </c>
    </row>
    <row r="35" spans="1:16" x14ac:dyDescent="0.25">
      <c r="B35" s="683" t="s">
        <v>2133</v>
      </c>
      <c r="C35" s="809">
        <v>250</v>
      </c>
      <c r="D35" s="809">
        <v>250</v>
      </c>
      <c r="E35" s="809">
        <v>250</v>
      </c>
      <c r="F35" s="809">
        <v>250</v>
      </c>
      <c r="G35" s="809">
        <v>250</v>
      </c>
      <c r="H35" s="809">
        <v>250</v>
      </c>
      <c r="I35" s="809">
        <v>250</v>
      </c>
      <c r="J35" s="809">
        <v>250</v>
      </c>
      <c r="K35" s="809">
        <v>250</v>
      </c>
      <c r="L35" s="809">
        <v>250</v>
      </c>
      <c r="M35" s="809">
        <v>250</v>
      </c>
      <c r="N35" s="809">
        <v>250</v>
      </c>
      <c r="O35" s="809">
        <v>250</v>
      </c>
      <c r="P35" s="809">
        <f t="shared" si="0"/>
        <v>250</v>
      </c>
    </row>
    <row r="36" spans="1:16" x14ac:dyDescent="0.25">
      <c r="C36" s="811"/>
      <c r="D36" s="811"/>
      <c r="E36" s="811"/>
      <c r="F36" s="811"/>
      <c r="G36" s="811"/>
      <c r="H36" s="811"/>
      <c r="I36" s="811"/>
      <c r="J36" s="811"/>
      <c r="K36" s="811"/>
      <c r="L36" s="811"/>
      <c r="M36" s="811"/>
      <c r="N36" s="811"/>
      <c r="O36" s="811"/>
      <c r="P36" s="809">
        <f t="shared" si="0"/>
        <v>0</v>
      </c>
    </row>
    <row r="37" spans="1:16" x14ac:dyDescent="0.25">
      <c r="B37" s="683" t="s">
        <v>2134</v>
      </c>
      <c r="C37" s="811"/>
      <c r="D37" s="811"/>
      <c r="E37" s="811"/>
      <c r="F37" s="811"/>
      <c r="G37" s="811"/>
      <c r="H37" s="811"/>
      <c r="I37" s="811"/>
      <c r="J37" s="811"/>
      <c r="K37" s="811"/>
      <c r="L37" s="811"/>
      <c r="M37" s="811"/>
      <c r="N37" s="811"/>
      <c r="O37" s="811"/>
      <c r="P37" s="809">
        <f t="shared" si="0"/>
        <v>0</v>
      </c>
    </row>
    <row r="38" spans="1:16" x14ac:dyDescent="0.25">
      <c r="B38" s="683" t="s">
        <v>2135</v>
      </c>
      <c r="C38" s="809">
        <v>178.71388999999999</v>
      </c>
      <c r="D38" s="809">
        <v>178.71388999999999</v>
      </c>
      <c r="E38" s="809">
        <v>178.71388999999999</v>
      </c>
      <c r="F38" s="809">
        <v>178.71388999999999</v>
      </c>
      <c r="G38" s="809">
        <v>178.71388999999999</v>
      </c>
      <c r="H38" s="809">
        <v>178.71388999999999</v>
      </c>
      <c r="I38" s="809">
        <v>178.71388999999999</v>
      </c>
      <c r="J38" s="809">
        <v>178.71388999999999</v>
      </c>
      <c r="K38" s="809">
        <v>178.71388999999999</v>
      </c>
      <c r="L38" s="809">
        <v>178.71388999999999</v>
      </c>
      <c r="M38" s="809">
        <v>178.71388999999999</v>
      </c>
      <c r="N38" s="809">
        <v>178.71388999999999</v>
      </c>
      <c r="O38" s="809">
        <v>178.71388999999999</v>
      </c>
      <c r="P38" s="809">
        <f t="shared" si="0"/>
        <v>178.71388999999999</v>
      </c>
    </row>
    <row r="39" spans="1:16" x14ac:dyDescent="0.25">
      <c r="B39" s="683" t="s">
        <v>2136</v>
      </c>
      <c r="C39" s="809">
        <v>178.71388999999999</v>
      </c>
      <c r="D39" s="809">
        <v>178.71388999999999</v>
      </c>
      <c r="E39" s="809">
        <v>178.71388999999999</v>
      </c>
      <c r="F39" s="809">
        <v>178.71388999999999</v>
      </c>
      <c r="G39" s="809">
        <v>178.71388999999999</v>
      </c>
      <c r="H39" s="809">
        <v>178.71388999999999</v>
      </c>
      <c r="I39" s="809">
        <v>178.71388999999999</v>
      </c>
      <c r="J39" s="809">
        <v>178.71388999999999</v>
      </c>
      <c r="K39" s="809">
        <v>178.71388999999999</v>
      </c>
      <c r="L39" s="809">
        <v>178.71388999999999</v>
      </c>
      <c r="M39" s="809">
        <v>178.71388999999999</v>
      </c>
      <c r="N39" s="809">
        <v>178.71388999999999</v>
      </c>
      <c r="O39" s="809">
        <v>178.71388999999999</v>
      </c>
      <c r="P39" s="809">
        <f t="shared" si="0"/>
        <v>178.71388999999999</v>
      </c>
    </row>
    <row r="40" spans="1:16" x14ac:dyDescent="0.25">
      <c r="C40" s="811"/>
      <c r="D40" s="811"/>
      <c r="E40" s="811"/>
      <c r="F40" s="811"/>
      <c r="G40" s="811"/>
      <c r="H40" s="811"/>
      <c r="I40" s="811"/>
      <c r="J40" s="811"/>
      <c r="K40" s="811"/>
      <c r="L40" s="811"/>
      <c r="M40" s="811"/>
      <c r="N40" s="811"/>
      <c r="O40" s="811"/>
      <c r="P40" s="809">
        <f t="shared" si="0"/>
        <v>0</v>
      </c>
    </row>
    <row r="41" spans="1:16" x14ac:dyDescent="0.25">
      <c r="B41" s="683" t="s">
        <v>2137</v>
      </c>
      <c r="C41" s="811"/>
      <c r="D41" s="811"/>
      <c r="E41" s="811"/>
      <c r="F41" s="811"/>
      <c r="G41" s="811"/>
      <c r="H41" s="811"/>
      <c r="I41" s="811"/>
      <c r="J41" s="811"/>
      <c r="K41" s="811"/>
      <c r="L41" s="811"/>
      <c r="M41" s="811"/>
      <c r="N41" s="811"/>
      <c r="O41" s="811"/>
      <c r="P41" s="809">
        <f t="shared" si="0"/>
        <v>0</v>
      </c>
    </row>
    <row r="42" spans="1:16" x14ac:dyDescent="0.25">
      <c r="A42" s="809">
        <v>128</v>
      </c>
      <c r="B42" s="683" t="s">
        <v>2441</v>
      </c>
      <c r="C42" s="811">
        <v>20762.133453333299</v>
      </c>
      <c r="D42" s="811">
        <v>21395.857536666601</v>
      </c>
      <c r="E42" s="811">
        <v>22029.581620000001</v>
      </c>
      <c r="F42" s="811">
        <v>22663.305703333299</v>
      </c>
      <c r="G42" s="811">
        <v>23297.029786666601</v>
      </c>
      <c r="H42" s="811">
        <v>23930.75387</v>
      </c>
      <c r="I42" s="811">
        <v>24564.477953333299</v>
      </c>
      <c r="J42" s="811">
        <v>25198.2020366666</v>
      </c>
      <c r="K42" s="811">
        <v>25831.92612</v>
      </c>
      <c r="L42" s="811">
        <v>26522.610120000001</v>
      </c>
      <c r="M42" s="811">
        <v>27213.294119999999</v>
      </c>
      <c r="N42" s="811">
        <v>27903.97812</v>
      </c>
      <c r="O42" s="811">
        <v>28594.662120000001</v>
      </c>
      <c r="P42" s="809">
        <f t="shared" si="0"/>
        <v>24608.293273846128</v>
      </c>
    </row>
    <row r="43" spans="1:16" x14ac:dyDescent="0.25">
      <c r="B43" s="683" t="s">
        <v>2442</v>
      </c>
      <c r="C43" s="811">
        <v>20762.133453333299</v>
      </c>
      <c r="D43" s="811">
        <v>21395.857536666601</v>
      </c>
      <c r="E43" s="811">
        <v>22029.581620000001</v>
      </c>
      <c r="F43" s="811">
        <v>22663.305703333299</v>
      </c>
      <c r="G43" s="811">
        <v>23297.029786666601</v>
      </c>
      <c r="H43" s="811">
        <v>23930.75387</v>
      </c>
      <c r="I43" s="811">
        <v>24564.477953333299</v>
      </c>
      <c r="J43" s="811">
        <v>25198.2020366666</v>
      </c>
      <c r="K43" s="811">
        <v>25831.92612</v>
      </c>
      <c r="L43" s="811">
        <v>26522.610120000001</v>
      </c>
      <c r="M43" s="811">
        <v>27213.294119999999</v>
      </c>
      <c r="N43" s="811">
        <v>27903.97812</v>
      </c>
      <c r="O43" s="811">
        <v>28594.662120000001</v>
      </c>
      <c r="P43" s="809">
        <f t="shared" si="0"/>
        <v>24608.293273846128</v>
      </c>
    </row>
    <row r="44" spans="1:16" x14ac:dyDescent="0.25">
      <c r="C44" s="811"/>
      <c r="D44" s="811"/>
      <c r="E44" s="811"/>
      <c r="F44" s="811"/>
      <c r="G44" s="811"/>
      <c r="H44" s="811"/>
      <c r="I44" s="811"/>
      <c r="J44" s="811"/>
      <c r="K44" s="811"/>
      <c r="L44" s="811"/>
      <c r="M44" s="811"/>
      <c r="N44" s="811"/>
      <c r="O44" s="811"/>
      <c r="P44" s="809">
        <f t="shared" si="0"/>
        <v>0</v>
      </c>
    </row>
    <row r="45" spans="1:16" ht="15.75" thickBot="1" x14ac:dyDescent="0.3">
      <c r="B45" s="810" t="s">
        <v>2138</v>
      </c>
      <c r="C45" s="813">
        <v>21190.847343333298</v>
      </c>
      <c r="D45" s="813">
        <v>21824.5714266666</v>
      </c>
      <c r="E45" s="813">
        <v>22458.29551</v>
      </c>
      <c r="F45" s="813">
        <v>23092.019593333302</v>
      </c>
      <c r="G45" s="813">
        <v>23725.7436766666</v>
      </c>
      <c r="H45" s="813">
        <v>24359.46776</v>
      </c>
      <c r="I45" s="813">
        <v>24993.191843333301</v>
      </c>
      <c r="J45" s="813">
        <v>25626.915926666599</v>
      </c>
      <c r="K45" s="813">
        <v>26260.640009999999</v>
      </c>
      <c r="L45" s="813">
        <v>26951.32401</v>
      </c>
      <c r="M45" s="813">
        <v>27642.008010000001</v>
      </c>
      <c r="N45" s="813">
        <v>28332.692009999999</v>
      </c>
      <c r="O45" s="813">
        <v>29023.37601</v>
      </c>
      <c r="P45" s="809">
        <f t="shared" si="0"/>
        <v>25037.007163846134</v>
      </c>
    </row>
    <row r="46" spans="1:16" x14ac:dyDescent="0.25">
      <c r="P46" s="809">
        <f t="shared" si="0"/>
        <v>0</v>
      </c>
    </row>
    <row r="47" spans="1:16" x14ac:dyDescent="0.25">
      <c r="B47" s="810" t="s">
        <v>2139</v>
      </c>
      <c r="C47" s="811"/>
      <c r="D47" s="811"/>
      <c r="E47" s="811"/>
      <c r="F47" s="811"/>
      <c r="G47" s="811"/>
      <c r="H47" s="811"/>
      <c r="I47" s="811"/>
      <c r="J47" s="811"/>
      <c r="K47" s="811"/>
      <c r="L47" s="811"/>
      <c r="M47" s="811"/>
      <c r="N47" s="811"/>
      <c r="O47" s="811"/>
      <c r="P47" s="809">
        <f t="shared" si="0"/>
        <v>0</v>
      </c>
    </row>
    <row r="48" spans="1:16" x14ac:dyDescent="0.25">
      <c r="B48" s="683" t="s">
        <v>2140</v>
      </c>
      <c r="C48" s="811"/>
      <c r="D48" s="811"/>
      <c r="E48" s="811"/>
      <c r="F48" s="811"/>
      <c r="G48" s="811"/>
      <c r="H48" s="811"/>
      <c r="I48" s="811"/>
      <c r="J48" s="811"/>
      <c r="K48" s="811"/>
      <c r="L48" s="811"/>
      <c r="M48" s="811"/>
      <c r="N48" s="811"/>
      <c r="O48" s="811"/>
      <c r="P48" s="809">
        <f t="shared" si="0"/>
        <v>0</v>
      </c>
    </row>
    <row r="49" spans="2:16" x14ac:dyDescent="0.25">
      <c r="B49" s="683" t="s">
        <v>2141</v>
      </c>
      <c r="C49" s="809">
        <v>5000</v>
      </c>
      <c r="D49" s="809">
        <v>5000</v>
      </c>
      <c r="E49" s="809">
        <v>5000</v>
      </c>
      <c r="F49" s="809">
        <v>5000</v>
      </c>
      <c r="G49" s="809">
        <v>5000</v>
      </c>
      <c r="H49" s="809">
        <v>5000</v>
      </c>
      <c r="I49" s="809">
        <v>5000</v>
      </c>
      <c r="J49" s="809">
        <v>5000</v>
      </c>
      <c r="K49" s="809">
        <v>5000</v>
      </c>
      <c r="L49" s="809">
        <v>5000</v>
      </c>
      <c r="M49" s="809">
        <v>5000</v>
      </c>
      <c r="N49" s="809">
        <v>5000</v>
      </c>
      <c r="O49" s="809">
        <v>5000</v>
      </c>
      <c r="P49" s="809">
        <f t="shared" si="0"/>
        <v>5000</v>
      </c>
    </row>
    <row r="50" spans="2:16" x14ac:dyDescent="0.25">
      <c r="B50" s="683" t="s">
        <v>2142</v>
      </c>
      <c r="C50" s="809">
        <v>61.03</v>
      </c>
      <c r="D50" s="809">
        <v>61.03</v>
      </c>
      <c r="E50" s="809">
        <v>61.03</v>
      </c>
      <c r="F50" s="809">
        <v>61.03</v>
      </c>
      <c r="G50" s="809">
        <v>61.03</v>
      </c>
      <c r="H50" s="809">
        <v>61.03</v>
      </c>
      <c r="I50" s="809">
        <v>61.03</v>
      </c>
      <c r="J50" s="809">
        <v>61.03</v>
      </c>
      <c r="K50" s="809">
        <v>61.03</v>
      </c>
      <c r="L50" s="809">
        <v>61.03</v>
      </c>
      <c r="M50" s="809">
        <v>61.03</v>
      </c>
      <c r="N50" s="809">
        <v>61.03</v>
      </c>
      <c r="O50" s="809">
        <v>61.03</v>
      </c>
      <c r="P50" s="809">
        <f t="shared" si="0"/>
        <v>61.02999999999998</v>
      </c>
    </row>
    <row r="51" spans="2:16" x14ac:dyDescent="0.25">
      <c r="B51" s="683" t="s">
        <v>2140</v>
      </c>
      <c r="C51" s="809">
        <v>5061.03</v>
      </c>
      <c r="D51" s="809">
        <v>5061.03</v>
      </c>
      <c r="E51" s="809">
        <v>5061.03</v>
      </c>
      <c r="F51" s="809">
        <v>5061.03</v>
      </c>
      <c r="G51" s="809">
        <v>5061.03</v>
      </c>
      <c r="H51" s="809">
        <v>5061.03</v>
      </c>
      <c r="I51" s="809">
        <v>5061.03</v>
      </c>
      <c r="J51" s="809">
        <v>5061.03</v>
      </c>
      <c r="K51" s="809">
        <v>5061.03</v>
      </c>
      <c r="L51" s="809">
        <v>5061.03</v>
      </c>
      <c r="M51" s="809">
        <v>5061.03</v>
      </c>
      <c r="N51" s="809">
        <v>5061.03</v>
      </c>
      <c r="O51" s="809">
        <v>5061.03</v>
      </c>
      <c r="P51" s="809">
        <f t="shared" si="0"/>
        <v>5061.03</v>
      </c>
    </row>
    <row r="52" spans="2:16" x14ac:dyDescent="0.25">
      <c r="C52" s="811"/>
      <c r="D52" s="811"/>
      <c r="E52" s="811"/>
      <c r="F52" s="811"/>
      <c r="G52" s="811"/>
      <c r="H52" s="811"/>
      <c r="I52" s="811"/>
      <c r="J52" s="811"/>
      <c r="K52" s="811"/>
      <c r="L52" s="811"/>
      <c r="M52" s="811"/>
      <c r="N52" s="811"/>
      <c r="O52" s="811"/>
      <c r="P52" s="809">
        <f t="shared" si="0"/>
        <v>0</v>
      </c>
    </row>
    <row r="53" spans="2:16" x14ac:dyDescent="0.25">
      <c r="B53" s="683" t="s">
        <v>2143</v>
      </c>
      <c r="C53" s="811"/>
      <c r="D53" s="811"/>
      <c r="E53" s="811"/>
      <c r="F53" s="811"/>
      <c r="G53" s="811"/>
      <c r="H53" s="811"/>
      <c r="I53" s="811"/>
      <c r="J53" s="811"/>
      <c r="K53" s="811"/>
      <c r="L53" s="811"/>
      <c r="M53" s="811"/>
      <c r="N53" s="811"/>
      <c r="O53" s="811"/>
      <c r="P53" s="809">
        <f t="shared" si="0"/>
        <v>0</v>
      </c>
    </row>
    <row r="54" spans="2:16" ht="15.75" thickBot="1" x14ac:dyDescent="0.3">
      <c r="B54" s="683" t="s">
        <v>2144</v>
      </c>
      <c r="C54" s="812">
        <v>2.4016344468691299E-11</v>
      </c>
      <c r="D54" s="812">
        <v>-6.5369931689929201E-12</v>
      </c>
      <c r="E54" s="812">
        <v>-2.2737367544323201E-13</v>
      </c>
      <c r="F54" s="812">
        <v>-5.1159076974727203E-13</v>
      </c>
      <c r="G54" s="812">
        <v>13408.067802997401</v>
      </c>
      <c r="H54" s="812">
        <v>-1.81898940354585E-12</v>
      </c>
      <c r="I54" s="812">
        <v>-1.64845914696343E-12</v>
      </c>
      <c r="J54" s="812">
        <v>-1.1368683772161601E-12</v>
      </c>
      <c r="K54" s="812">
        <v>-1.79056769411545E-12</v>
      </c>
      <c r="L54" s="812">
        <v>5.9685589803848395E-13</v>
      </c>
      <c r="M54" s="812">
        <v>-1.2931877790833799E-12</v>
      </c>
      <c r="N54" s="812">
        <v>1.60582658281782E-12</v>
      </c>
      <c r="O54" s="812">
        <v>-1.4779288903809999E-12</v>
      </c>
      <c r="P54" s="809">
        <f t="shared" si="0"/>
        <v>1031.3898309998006</v>
      </c>
    </row>
    <row r="55" spans="2:16" x14ac:dyDescent="0.25">
      <c r="B55" s="683" t="s">
        <v>2143</v>
      </c>
      <c r="C55" s="809">
        <v>2.4016344468691299E-11</v>
      </c>
      <c r="D55" s="809">
        <v>-6.5369931689929201E-12</v>
      </c>
      <c r="E55" s="809">
        <v>-2.2737367544323201E-13</v>
      </c>
      <c r="F55" s="809">
        <v>-5.1159076974727203E-13</v>
      </c>
      <c r="G55" s="809">
        <v>13408.067802997401</v>
      </c>
      <c r="H55" s="809">
        <v>-1.81898940354585E-12</v>
      </c>
      <c r="I55" s="809">
        <v>-1.64845914696343E-12</v>
      </c>
      <c r="J55" s="809">
        <v>-1.1368683772161601E-12</v>
      </c>
      <c r="K55" s="809">
        <v>-1.79056769411545E-12</v>
      </c>
      <c r="L55" s="809">
        <v>5.9685589803848395E-13</v>
      </c>
      <c r="M55" s="809">
        <v>-1.2931877790833799E-12</v>
      </c>
      <c r="N55" s="809">
        <v>1.60582658281782E-12</v>
      </c>
      <c r="O55" s="809">
        <v>-1.4779288903809999E-12</v>
      </c>
      <c r="P55" s="809">
        <f t="shared" si="0"/>
        <v>1031.3898309998006</v>
      </c>
    </row>
    <row r="56" spans="2:16" x14ac:dyDescent="0.25">
      <c r="C56" s="811"/>
      <c r="D56" s="811"/>
      <c r="E56" s="811"/>
      <c r="F56" s="811"/>
      <c r="G56" s="811"/>
      <c r="H56" s="811"/>
      <c r="I56" s="811"/>
      <c r="J56" s="811"/>
      <c r="K56" s="811"/>
      <c r="L56" s="811"/>
      <c r="M56" s="811"/>
      <c r="N56" s="811"/>
      <c r="O56" s="811"/>
      <c r="P56" s="809">
        <f t="shared" si="0"/>
        <v>0</v>
      </c>
    </row>
    <row r="57" spans="2:16" x14ac:dyDescent="0.25">
      <c r="B57" s="683" t="s">
        <v>2145</v>
      </c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09">
        <f t="shared" si="0"/>
        <v>0</v>
      </c>
    </row>
    <row r="58" spans="2:16" x14ac:dyDescent="0.25">
      <c r="B58" s="683" t="s">
        <v>2146</v>
      </c>
      <c r="C58" s="809">
        <v>128890.465973107</v>
      </c>
      <c r="D58" s="809">
        <v>123120.866888516</v>
      </c>
      <c r="E58" s="809">
        <v>131667.458326697</v>
      </c>
      <c r="F58" s="809">
        <v>147159.07808697401</v>
      </c>
      <c r="G58" s="809">
        <v>153056.14641845599</v>
      </c>
      <c r="H58" s="809">
        <v>142629.41957075399</v>
      </c>
      <c r="I58" s="809">
        <v>131647.38798816199</v>
      </c>
      <c r="J58" s="809">
        <v>128714.18156378</v>
      </c>
      <c r="K58" s="809">
        <v>133530.10358437299</v>
      </c>
      <c r="L58" s="809">
        <v>158477.59192896099</v>
      </c>
      <c r="M58" s="809">
        <v>149661.76430253201</v>
      </c>
      <c r="N58" s="809">
        <v>132229.61693950399</v>
      </c>
      <c r="O58" s="809">
        <v>128059.581375088</v>
      </c>
      <c r="P58" s="809">
        <f t="shared" si="0"/>
        <v>137603.35868822338</v>
      </c>
    </row>
    <row r="59" spans="2:16" x14ac:dyDescent="0.25">
      <c r="B59" s="683" t="s">
        <v>2147</v>
      </c>
      <c r="C59" s="809">
        <v>27555.4682499999</v>
      </c>
      <c r="D59" s="809">
        <v>27555.4682499999</v>
      </c>
      <c r="E59" s="809">
        <v>27555.4682499999</v>
      </c>
      <c r="F59" s="809">
        <v>27555.4682499999</v>
      </c>
      <c r="G59" s="809">
        <v>27555.4682499999</v>
      </c>
      <c r="H59" s="809">
        <v>27555.4682499999</v>
      </c>
      <c r="I59" s="809">
        <v>27555.4682499999</v>
      </c>
      <c r="J59" s="809">
        <v>27555.4682499999</v>
      </c>
      <c r="K59" s="809">
        <v>27555.4682499999</v>
      </c>
      <c r="L59" s="809">
        <v>27555.4682499999</v>
      </c>
      <c r="M59" s="809">
        <v>27555.4682499999</v>
      </c>
      <c r="N59" s="809">
        <v>27555.4682499999</v>
      </c>
      <c r="O59" s="809">
        <v>27555.4682499999</v>
      </c>
      <c r="P59" s="809">
        <f t="shared" si="0"/>
        <v>27555.4682499999</v>
      </c>
    </row>
    <row r="60" spans="2:16" x14ac:dyDescent="0.25">
      <c r="B60" s="683" t="s">
        <v>2148</v>
      </c>
      <c r="C60" s="809">
        <v>0</v>
      </c>
      <c r="D60" s="809">
        <v>0</v>
      </c>
      <c r="E60" s="809">
        <v>0</v>
      </c>
      <c r="F60" s="809">
        <v>0</v>
      </c>
      <c r="G60" s="809">
        <v>0</v>
      </c>
      <c r="H60" s="809">
        <v>0</v>
      </c>
      <c r="I60" s="809">
        <v>0</v>
      </c>
      <c r="J60" s="809">
        <v>0</v>
      </c>
      <c r="K60" s="809">
        <v>0</v>
      </c>
      <c r="L60" s="809">
        <v>0</v>
      </c>
      <c r="M60" s="809">
        <v>0</v>
      </c>
      <c r="N60" s="809">
        <v>0</v>
      </c>
      <c r="O60" s="809">
        <v>0</v>
      </c>
      <c r="P60" s="809">
        <f t="shared" si="0"/>
        <v>0</v>
      </c>
    </row>
    <row r="61" spans="2:16" x14ac:dyDescent="0.25">
      <c r="B61" s="683" t="s">
        <v>2149</v>
      </c>
      <c r="C61" s="809">
        <v>2717.9394600000001</v>
      </c>
      <c r="D61" s="809">
        <v>2717.9394600000001</v>
      </c>
      <c r="E61" s="809">
        <v>2717.9394600000001</v>
      </c>
      <c r="F61" s="809">
        <v>2717.9394600000001</v>
      </c>
      <c r="G61" s="809">
        <v>2717.9394600000001</v>
      </c>
      <c r="H61" s="809">
        <v>2717.9394600000001</v>
      </c>
      <c r="I61" s="809">
        <v>2717.9394600000001</v>
      </c>
      <c r="J61" s="809">
        <v>2717.9394600000001</v>
      </c>
      <c r="K61" s="809">
        <v>2717.9394600000001</v>
      </c>
      <c r="L61" s="809">
        <v>2717.9394600000001</v>
      </c>
      <c r="M61" s="809">
        <v>2717.9394600000001</v>
      </c>
      <c r="N61" s="809">
        <v>2717.9394600000001</v>
      </c>
      <c r="O61" s="809">
        <v>2717.9394600000001</v>
      </c>
      <c r="P61" s="809">
        <f t="shared" si="0"/>
        <v>2717.9394600000005</v>
      </c>
    </row>
    <row r="62" spans="2:16" x14ac:dyDescent="0.25">
      <c r="B62" s="683" t="s">
        <v>2150</v>
      </c>
      <c r="C62" s="809">
        <v>0</v>
      </c>
      <c r="D62" s="809">
        <v>0</v>
      </c>
      <c r="E62" s="809">
        <v>0</v>
      </c>
      <c r="F62" s="809">
        <v>0</v>
      </c>
      <c r="G62" s="809">
        <v>0</v>
      </c>
      <c r="H62" s="809">
        <v>0</v>
      </c>
      <c r="I62" s="809">
        <v>0</v>
      </c>
      <c r="J62" s="809">
        <v>0</v>
      </c>
      <c r="K62" s="809">
        <v>0</v>
      </c>
      <c r="L62" s="809">
        <v>0</v>
      </c>
      <c r="M62" s="809">
        <v>0</v>
      </c>
      <c r="N62" s="809">
        <v>0</v>
      </c>
      <c r="O62" s="809">
        <v>0</v>
      </c>
      <c r="P62" s="809">
        <f t="shared" si="0"/>
        <v>0</v>
      </c>
    </row>
    <row r="63" spans="2:16" x14ac:dyDescent="0.25">
      <c r="B63" s="683" t="s">
        <v>2151</v>
      </c>
      <c r="C63" s="809">
        <v>-1278.49835999999</v>
      </c>
      <c r="D63" s="809">
        <v>-1278.49835999999</v>
      </c>
      <c r="E63" s="809">
        <v>-1278.49835999999</v>
      </c>
      <c r="F63" s="809">
        <v>-1278.49835999999</v>
      </c>
      <c r="G63" s="809">
        <v>-1278.49835999999</v>
      </c>
      <c r="H63" s="809">
        <v>-1278.49835999999</v>
      </c>
      <c r="I63" s="809">
        <v>-1278.49835999999</v>
      </c>
      <c r="J63" s="809">
        <v>-1278.49835999999</v>
      </c>
      <c r="K63" s="809">
        <v>-1278.49835999999</v>
      </c>
      <c r="L63" s="809">
        <v>-1278.49835999999</v>
      </c>
      <c r="M63" s="809">
        <v>-1278.49835999999</v>
      </c>
      <c r="N63" s="809">
        <v>-1278.49835999999</v>
      </c>
      <c r="O63" s="809">
        <v>-1278.49835999999</v>
      </c>
      <c r="P63" s="809">
        <f t="shared" si="0"/>
        <v>-1278.4983599999903</v>
      </c>
    </row>
    <row r="64" spans="2:16" x14ac:dyDescent="0.25">
      <c r="B64" s="683" t="s">
        <v>2152</v>
      </c>
      <c r="C64" s="809">
        <v>-22.152189999999901</v>
      </c>
      <c r="D64" s="809">
        <v>-22.152189999999901</v>
      </c>
      <c r="E64" s="809">
        <v>-22.152189999999901</v>
      </c>
      <c r="F64" s="809">
        <v>-22.152189999999901</v>
      </c>
      <c r="G64" s="809">
        <v>-22.152189999999901</v>
      </c>
      <c r="H64" s="809">
        <v>-22.152189999999901</v>
      </c>
      <c r="I64" s="809">
        <v>-22.152189999999901</v>
      </c>
      <c r="J64" s="809">
        <v>-22.152189999999901</v>
      </c>
      <c r="K64" s="809">
        <v>-22.152189999999901</v>
      </c>
      <c r="L64" s="809">
        <v>-22.152189999999901</v>
      </c>
      <c r="M64" s="809">
        <v>-22.152189999999901</v>
      </c>
      <c r="N64" s="809">
        <v>-22.152189999999901</v>
      </c>
      <c r="O64" s="809">
        <v>-22.152189999999901</v>
      </c>
      <c r="P64" s="809">
        <f t="shared" si="0"/>
        <v>-22.152189999999901</v>
      </c>
    </row>
    <row r="65" spans="2:16" x14ac:dyDescent="0.25">
      <c r="B65" s="683" t="s">
        <v>2153</v>
      </c>
      <c r="C65" s="809">
        <v>0</v>
      </c>
      <c r="D65" s="809">
        <v>0</v>
      </c>
      <c r="E65" s="809">
        <v>0</v>
      </c>
      <c r="F65" s="809">
        <v>0</v>
      </c>
      <c r="G65" s="809">
        <v>0</v>
      </c>
      <c r="H65" s="809">
        <v>0</v>
      </c>
      <c r="I65" s="809">
        <v>0</v>
      </c>
      <c r="J65" s="809">
        <v>0</v>
      </c>
      <c r="K65" s="809">
        <v>0</v>
      </c>
      <c r="L65" s="809">
        <v>0</v>
      </c>
      <c r="M65" s="809">
        <v>0</v>
      </c>
      <c r="N65" s="809">
        <v>0</v>
      </c>
      <c r="O65" s="809">
        <v>0</v>
      </c>
      <c r="P65" s="809">
        <f t="shared" si="0"/>
        <v>0</v>
      </c>
    </row>
    <row r="66" spans="2:16" x14ac:dyDescent="0.25">
      <c r="B66" s="683" t="s">
        <v>2154</v>
      </c>
      <c r="C66" s="809">
        <v>607.15839000000005</v>
      </c>
      <c r="D66" s="809">
        <v>607.15839000000005</v>
      </c>
      <c r="E66" s="809">
        <v>607.15839000000005</v>
      </c>
      <c r="F66" s="809">
        <v>607.15839000000005</v>
      </c>
      <c r="G66" s="809">
        <v>607.15839000000005</v>
      </c>
      <c r="H66" s="809">
        <v>607.15839000000005</v>
      </c>
      <c r="I66" s="809">
        <v>607.15839000000005</v>
      </c>
      <c r="J66" s="809">
        <v>607.15839000000005</v>
      </c>
      <c r="K66" s="809">
        <v>607.15839000000005</v>
      </c>
      <c r="L66" s="809">
        <v>607.15839000000005</v>
      </c>
      <c r="M66" s="809">
        <v>607.15839000000005</v>
      </c>
      <c r="N66" s="809">
        <v>607.15839000000005</v>
      </c>
      <c r="O66" s="809">
        <v>607.15839000000005</v>
      </c>
      <c r="P66" s="809">
        <f t="shared" si="0"/>
        <v>607.15839000000028</v>
      </c>
    </row>
    <row r="67" spans="2:16" ht="15.75" thickBot="1" x14ac:dyDescent="0.3">
      <c r="B67" s="683" t="s">
        <v>2155</v>
      </c>
      <c r="C67" s="812">
        <v>83571.679180628998</v>
      </c>
      <c r="D67" s="812">
        <v>90543.311343951107</v>
      </c>
      <c r="E67" s="812">
        <v>92014.269736223301</v>
      </c>
      <c r="F67" s="812">
        <v>91621.481901202904</v>
      </c>
      <c r="G67" s="812">
        <v>92699.881788795203</v>
      </c>
      <c r="H67" s="812">
        <v>84853.860512897299</v>
      </c>
      <c r="I67" s="812">
        <v>78631.466735062306</v>
      </c>
      <c r="J67" s="812">
        <v>88442.5840152858</v>
      </c>
      <c r="K67" s="812">
        <v>104239.06956429299</v>
      </c>
      <c r="L67" s="812">
        <v>105970.325551471</v>
      </c>
      <c r="M67" s="812">
        <v>97355.595111760995</v>
      </c>
      <c r="N67" s="812">
        <v>99520.490616101306</v>
      </c>
      <c r="O67" s="812">
        <v>84737.780663150697</v>
      </c>
      <c r="P67" s="809">
        <f t="shared" si="0"/>
        <v>91861.676670832618</v>
      </c>
    </row>
    <row r="68" spans="2:16" x14ac:dyDescent="0.25">
      <c r="B68" s="683" t="s">
        <v>2145</v>
      </c>
      <c r="C68" s="809">
        <v>242042.060703736</v>
      </c>
      <c r="D68" s="809">
        <v>243244.09378246701</v>
      </c>
      <c r="E68" s="809">
        <v>253261.64361291999</v>
      </c>
      <c r="F68" s="809">
        <v>268360.47553817701</v>
      </c>
      <c r="G68" s="809">
        <v>275335.94375725102</v>
      </c>
      <c r="H68" s="809">
        <v>257063.19563365201</v>
      </c>
      <c r="I68" s="809">
        <v>239858.770273225</v>
      </c>
      <c r="J68" s="809">
        <v>246736.68112906601</v>
      </c>
      <c r="K68" s="809">
        <v>267349.08869866701</v>
      </c>
      <c r="L68" s="809">
        <v>294027.83303043299</v>
      </c>
      <c r="M68" s="809">
        <v>276597.274964293</v>
      </c>
      <c r="N68" s="809">
        <v>261330.02310560501</v>
      </c>
      <c r="O68" s="809">
        <v>242377.277588239</v>
      </c>
      <c r="P68" s="809">
        <f t="shared" si="0"/>
        <v>259044.95090905621</v>
      </c>
    </row>
    <row r="69" spans="2:16" x14ac:dyDescent="0.25">
      <c r="C69" s="811"/>
      <c r="D69" s="811"/>
      <c r="E69" s="811"/>
      <c r="F69" s="811"/>
      <c r="G69" s="811"/>
      <c r="H69" s="811"/>
      <c r="I69" s="811"/>
      <c r="J69" s="811"/>
      <c r="K69" s="811"/>
      <c r="L69" s="811"/>
      <c r="M69" s="811"/>
      <c r="N69" s="811"/>
      <c r="O69" s="811"/>
      <c r="P69" s="809">
        <f t="shared" si="0"/>
        <v>0</v>
      </c>
    </row>
    <row r="70" spans="2:16" x14ac:dyDescent="0.25">
      <c r="B70" s="683" t="s">
        <v>2156</v>
      </c>
      <c r="C70" s="811"/>
      <c r="D70" s="811"/>
      <c r="E70" s="811"/>
      <c r="F70" s="811"/>
      <c r="G70" s="811"/>
      <c r="H70" s="811"/>
      <c r="I70" s="811"/>
      <c r="J70" s="811"/>
      <c r="K70" s="811"/>
      <c r="L70" s="811"/>
      <c r="M70" s="811"/>
      <c r="N70" s="811"/>
      <c r="O70" s="811"/>
      <c r="P70" s="809">
        <f t="shared" si="0"/>
        <v>0</v>
      </c>
    </row>
    <row r="71" spans="2:16" x14ac:dyDescent="0.25">
      <c r="B71" s="683" t="s">
        <v>2157</v>
      </c>
      <c r="C71" s="809">
        <v>0</v>
      </c>
      <c r="D71" s="809">
        <v>0</v>
      </c>
      <c r="E71" s="809">
        <v>0</v>
      </c>
      <c r="F71" s="809">
        <v>0</v>
      </c>
      <c r="G71" s="809">
        <v>0</v>
      </c>
      <c r="H71" s="809">
        <v>0</v>
      </c>
      <c r="I71" s="809">
        <v>0</v>
      </c>
      <c r="J71" s="809">
        <v>0</v>
      </c>
      <c r="K71" s="809">
        <v>0</v>
      </c>
      <c r="L71" s="809">
        <v>0</v>
      </c>
      <c r="M71" s="809">
        <v>0</v>
      </c>
      <c r="N71" s="809">
        <v>0</v>
      </c>
      <c r="O71" s="809">
        <v>0</v>
      </c>
      <c r="P71" s="809">
        <f t="shared" si="0"/>
        <v>0</v>
      </c>
    </row>
    <row r="72" spans="2:16" ht="15.75" thickBot="1" x14ac:dyDescent="0.3">
      <c r="B72" s="683" t="s">
        <v>2158</v>
      </c>
      <c r="C72" s="812">
        <v>3710.43336</v>
      </c>
      <c r="D72" s="812">
        <v>4381.7328600000001</v>
      </c>
      <c r="E72" s="812">
        <v>4465.0239600000004</v>
      </c>
      <c r="F72" s="812">
        <v>4719.3179600000003</v>
      </c>
      <c r="G72" s="812">
        <v>5188.2871599999999</v>
      </c>
      <c r="H72" s="812">
        <v>5031.6399600000004</v>
      </c>
      <c r="I72" s="812">
        <v>4309.90996</v>
      </c>
      <c r="J72" s="812">
        <v>4007.3603600000001</v>
      </c>
      <c r="K72" s="812">
        <v>4424.91716</v>
      </c>
      <c r="L72" s="812">
        <v>4629.4026599999997</v>
      </c>
      <c r="M72" s="812">
        <v>4835.7541599999904</v>
      </c>
      <c r="N72" s="812">
        <v>4844.6405599999998</v>
      </c>
      <c r="O72" s="812">
        <v>5417.5252599999903</v>
      </c>
      <c r="P72" s="809">
        <f t="shared" si="0"/>
        <v>4612.7650292307671</v>
      </c>
    </row>
    <row r="73" spans="2:16" x14ac:dyDescent="0.25">
      <c r="B73" s="683" t="s">
        <v>2159</v>
      </c>
      <c r="C73" s="809">
        <v>0</v>
      </c>
      <c r="D73" s="809">
        <v>0</v>
      </c>
      <c r="E73" s="809">
        <v>0</v>
      </c>
      <c r="F73" s="809">
        <v>0</v>
      </c>
      <c r="G73" s="809">
        <v>0</v>
      </c>
      <c r="H73" s="809">
        <v>0</v>
      </c>
      <c r="I73" s="809">
        <v>0</v>
      </c>
      <c r="J73" s="809">
        <v>0</v>
      </c>
      <c r="K73" s="809">
        <v>0</v>
      </c>
      <c r="L73" s="809">
        <v>0</v>
      </c>
      <c r="M73" s="809">
        <v>0</v>
      </c>
      <c r="N73" s="809">
        <v>0</v>
      </c>
      <c r="O73" s="809">
        <v>0</v>
      </c>
      <c r="P73" s="809">
        <f t="shared" si="0"/>
        <v>0</v>
      </c>
    </row>
    <row r="74" spans="2:16" x14ac:dyDescent="0.25">
      <c r="B74" s="683" t="s">
        <v>2156</v>
      </c>
      <c r="C74" s="809">
        <v>3710.43336</v>
      </c>
      <c r="D74" s="809">
        <v>4381.7328600000001</v>
      </c>
      <c r="E74" s="809">
        <v>4465.0239600000004</v>
      </c>
      <c r="F74" s="809">
        <v>4719.3179600000003</v>
      </c>
      <c r="G74" s="809">
        <v>5188.2871599999999</v>
      </c>
      <c r="H74" s="809">
        <v>5031.6399600000004</v>
      </c>
      <c r="I74" s="809">
        <v>4309.90996</v>
      </c>
      <c r="J74" s="809">
        <v>4007.3603600000001</v>
      </c>
      <c r="K74" s="809">
        <v>4424.91716</v>
      </c>
      <c r="L74" s="809">
        <v>4629.4026599999997</v>
      </c>
      <c r="M74" s="809">
        <v>4835.7541599999904</v>
      </c>
      <c r="N74" s="809">
        <v>4844.6405599999998</v>
      </c>
      <c r="O74" s="809">
        <v>5417.5252599999903</v>
      </c>
      <c r="P74" s="809">
        <f t="shared" si="0"/>
        <v>4612.7650292307671</v>
      </c>
    </row>
    <row r="75" spans="2:16" x14ac:dyDescent="0.25">
      <c r="C75" s="811"/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09">
        <f t="shared" ref="P75:P138" si="1">SUM(C75:O75)/13</f>
        <v>0</v>
      </c>
    </row>
    <row r="76" spans="2:16" x14ac:dyDescent="0.25">
      <c r="B76" s="683" t="s">
        <v>2160</v>
      </c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09">
        <f t="shared" si="1"/>
        <v>0</v>
      </c>
    </row>
    <row r="77" spans="2:16" x14ac:dyDescent="0.25">
      <c r="B77" s="683" t="s">
        <v>2161</v>
      </c>
      <c r="C77" s="809">
        <v>62963.536401707403</v>
      </c>
      <c r="D77" s="809">
        <v>64338.222849391299</v>
      </c>
      <c r="E77" s="809">
        <v>61919.188139315404</v>
      </c>
      <c r="F77" s="809">
        <v>58875.4916149208</v>
      </c>
      <c r="G77" s="809">
        <v>54189.070746498903</v>
      </c>
      <c r="H77" s="809">
        <v>56077.872996002399</v>
      </c>
      <c r="I77" s="809">
        <v>61948.619267040202</v>
      </c>
      <c r="J77" s="809">
        <v>69680.742637314906</v>
      </c>
      <c r="K77" s="809">
        <v>68026.175784909807</v>
      </c>
      <c r="L77" s="809">
        <v>64452.419506965998</v>
      </c>
      <c r="M77" s="809">
        <v>63318.511770700199</v>
      </c>
      <c r="N77" s="809">
        <v>64147.367459490299</v>
      </c>
      <c r="O77" s="809">
        <v>68483.713423098307</v>
      </c>
      <c r="P77" s="809">
        <f t="shared" si="1"/>
        <v>62955.456353642759</v>
      </c>
    </row>
    <row r="78" spans="2:16" x14ac:dyDescent="0.25">
      <c r="B78" s="683" t="s">
        <v>2162</v>
      </c>
      <c r="C78" s="809">
        <v>48385.678870000003</v>
      </c>
      <c r="D78" s="809">
        <v>48385.678870000003</v>
      </c>
      <c r="E78" s="809">
        <v>48246.869870000002</v>
      </c>
      <c r="F78" s="809">
        <v>48246.869870000002</v>
      </c>
      <c r="G78" s="809">
        <v>48246.869870000002</v>
      </c>
      <c r="H78" s="809">
        <v>48191.869870000002</v>
      </c>
      <c r="I78" s="809">
        <v>48191.869870000002</v>
      </c>
      <c r="J78" s="809">
        <v>48191.869870000002</v>
      </c>
      <c r="K78" s="809">
        <v>48136.869870000002</v>
      </c>
      <c r="L78" s="809">
        <v>48136.869870000002</v>
      </c>
      <c r="M78" s="809">
        <v>48136.869870000002</v>
      </c>
      <c r="N78" s="809">
        <v>48081.869870000002</v>
      </c>
      <c r="O78" s="809">
        <v>48081.869870000002</v>
      </c>
      <c r="P78" s="809">
        <f t="shared" si="1"/>
        <v>48204.7635623077</v>
      </c>
    </row>
    <row r="79" spans="2:16" x14ac:dyDescent="0.25">
      <c r="B79" s="683" t="s">
        <v>2163</v>
      </c>
      <c r="C79" s="809">
        <v>129.52207999999999</v>
      </c>
      <c r="D79" s="809">
        <v>129.52207999999999</v>
      </c>
      <c r="E79" s="809">
        <v>129.52207999999999</v>
      </c>
      <c r="F79" s="809">
        <v>129.52207999999999</v>
      </c>
      <c r="G79" s="809">
        <v>129.52207999999999</v>
      </c>
      <c r="H79" s="809">
        <v>129.52207999999999</v>
      </c>
      <c r="I79" s="809">
        <v>129.52207999999999</v>
      </c>
      <c r="J79" s="809">
        <v>129.52207999999999</v>
      </c>
      <c r="K79" s="809">
        <v>129.52207999999999</v>
      </c>
      <c r="L79" s="809">
        <v>129.52207999999999</v>
      </c>
      <c r="M79" s="809">
        <v>129.52207999999999</v>
      </c>
      <c r="N79" s="809">
        <v>129.52207999999999</v>
      </c>
      <c r="O79" s="809">
        <v>129.52207999999999</v>
      </c>
      <c r="P79" s="809">
        <f t="shared" si="1"/>
        <v>129.52207999999999</v>
      </c>
    </row>
    <row r="80" spans="2:16" x14ac:dyDescent="0.25">
      <c r="B80" s="683" t="s">
        <v>2164</v>
      </c>
      <c r="C80" s="809">
        <v>12000.185019999901</v>
      </c>
      <c r="D80" s="809">
        <v>12000.185019999901</v>
      </c>
      <c r="E80" s="809">
        <v>12000.185019999901</v>
      </c>
      <c r="F80" s="809">
        <v>12000.185019999901</v>
      </c>
      <c r="G80" s="809">
        <v>12000.185019999901</v>
      </c>
      <c r="H80" s="809">
        <v>12000.185019999901</v>
      </c>
      <c r="I80" s="809">
        <v>12000.185019999901</v>
      </c>
      <c r="J80" s="809">
        <v>12000.185019999901</v>
      </c>
      <c r="K80" s="809">
        <v>12000.185019999901</v>
      </c>
      <c r="L80" s="809">
        <v>12000.185019999901</v>
      </c>
      <c r="M80" s="809">
        <v>12000.185019999901</v>
      </c>
      <c r="N80" s="809">
        <v>12000.185019999901</v>
      </c>
      <c r="O80" s="809">
        <v>12000.185019999901</v>
      </c>
      <c r="P80" s="809">
        <f t="shared" si="1"/>
        <v>12000.185019999899</v>
      </c>
    </row>
    <row r="81" spans="1:16" x14ac:dyDescent="0.25">
      <c r="B81" s="683" t="s">
        <v>2160</v>
      </c>
      <c r="C81" s="809">
        <v>123478.922371707</v>
      </c>
      <c r="D81" s="809">
        <v>124853.608819391</v>
      </c>
      <c r="E81" s="809">
        <v>122295.76510931501</v>
      </c>
      <c r="F81" s="809">
        <v>119252.06858491999</v>
      </c>
      <c r="G81" s="809">
        <v>114565.647716498</v>
      </c>
      <c r="H81" s="809">
        <v>116399.44996600199</v>
      </c>
      <c r="I81" s="809">
        <v>122270.19623704</v>
      </c>
      <c r="J81" s="809">
        <v>130002.319607314</v>
      </c>
      <c r="K81" s="809">
        <v>128292.752754909</v>
      </c>
      <c r="L81" s="809">
        <v>124718.996476966</v>
      </c>
      <c r="M81" s="809">
        <v>123585.0887407</v>
      </c>
      <c r="N81" s="809">
        <v>124358.94442949</v>
      </c>
      <c r="O81" s="809">
        <v>128695.290393098</v>
      </c>
      <c r="P81" s="809">
        <f t="shared" si="1"/>
        <v>123289.92701594999</v>
      </c>
    </row>
    <row r="82" spans="1:16" x14ac:dyDescent="0.25">
      <c r="C82" s="811"/>
      <c r="D82" s="811"/>
      <c r="E82" s="811"/>
      <c r="F82" s="811"/>
      <c r="G82" s="811"/>
      <c r="H82" s="811"/>
      <c r="I82" s="811"/>
      <c r="J82" s="811"/>
      <c r="K82" s="811"/>
      <c r="L82" s="811"/>
      <c r="M82" s="811"/>
      <c r="N82" s="811"/>
      <c r="O82" s="811"/>
      <c r="P82" s="809">
        <f t="shared" si="1"/>
        <v>0</v>
      </c>
    </row>
    <row r="83" spans="1:16" x14ac:dyDescent="0.25">
      <c r="B83" s="683" t="s">
        <v>2165</v>
      </c>
      <c r="C83" s="811"/>
      <c r="D83" s="811"/>
      <c r="E83" s="811"/>
      <c r="F83" s="811"/>
      <c r="G83" s="811"/>
      <c r="H83" s="811"/>
      <c r="I83" s="811"/>
      <c r="J83" s="811"/>
      <c r="K83" s="811"/>
      <c r="L83" s="811"/>
      <c r="M83" s="811"/>
      <c r="N83" s="811"/>
      <c r="O83" s="811"/>
      <c r="P83" s="809">
        <f t="shared" si="1"/>
        <v>0</v>
      </c>
    </row>
    <row r="84" spans="1:16" x14ac:dyDescent="0.25">
      <c r="B84" s="683" t="s">
        <v>2166</v>
      </c>
      <c r="C84" s="809">
        <v>16671.429717826999</v>
      </c>
      <c r="D84" s="809">
        <v>15557.3689987207</v>
      </c>
      <c r="E84" s="809">
        <v>15099.955503814401</v>
      </c>
      <c r="F84" s="809">
        <v>13463.377518908201</v>
      </c>
      <c r="G84" s="809">
        <v>11959.929497364399</v>
      </c>
      <c r="H84" s="809">
        <v>12021.8892509707</v>
      </c>
      <c r="I84" s="809">
        <v>11290.122274576899</v>
      </c>
      <c r="J84" s="809">
        <v>10505.5488101636</v>
      </c>
      <c r="K84" s="809">
        <v>10363.419003769901</v>
      </c>
      <c r="L84" s="809">
        <v>14611.5220439035</v>
      </c>
      <c r="M84" s="809">
        <v>13175.6791627619</v>
      </c>
      <c r="N84" s="809">
        <v>11318.218888863999</v>
      </c>
      <c r="O84" s="809">
        <v>17550.6269139742</v>
      </c>
      <c r="P84" s="809">
        <f t="shared" si="1"/>
        <v>13353.006737355339</v>
      </c>
    </row>
    <row r="85" spans="1:16" x14ac:dyDescent="0.25">
      <c r="B85" s="683" t="s">
        <v>2167</v>
      </c>
      <c r="C85" s="809">
        <v>3291.5101800000002</v>
      </c>
      <c r="D85" s="809">
        <v>3291.5101800000002</v>
      </c>
      <c r="E85" s="809">
        <v>3291.5101800000002</v>
      </c>
      <c r="F85" s="809">
        <v>3291.5101800000002</v>
      </c>
      <c r="G85" s="809">
        <v>3291.5101800000002</v>
      </c>
      <c r="H85" s="809">
        <v>3291.5101800000002</v>
      </c>
      <c r="I85" s="809">
        <v>3291.5101800000002</v>
      </c>
      <c r="J85" s="809">
        <v>3291.5101800000002</v>
      </c>
      <c r="K85" s="809">
        <v>3291.5101800000002</v>
      </c>
      <c r="L85" s="809">
        <v>3291.5101800000002</v>
      </c>
      <c r="M85" s="809">
        <v>3291.5101800000002</v>
      </c>
      <c r="N85" s="809">
        <v>3291.5101800000002</v>
      </c>
      <c r="O85" s="809">
        <v>3291.5101800000002</v>
      </c>
      <c r="P85" s="809">
        <f t="shared" si="1"/>
        <v>3291.5101799999998</v>
      </c>
    </row>
    <row r="86" spans="1:16" ht="15.75" thickBot="1" x14ac:dyDescent="0.3">
      <c r="B86" s="683" t="s">
        <v>2168</v>
      </c>
      <c r="C86" s="812">
        <v>545.75034999999798</v>
      </c>
      <c r="D86" s="812">
        <v>272.87517999999801</v>
      </c>
      <c r="E86" s="812">
        <v>9.9999988378840499E-6</v>
      </c>
      <c r="F86" s="812">
        <v>3061.6594299999902</v>
      </c>
      <c r="G86" s="812">
        <v>2783.3267599999899</v>
      </c>
      <c r="H86" s="812">
        <v>2504.9940899999901</v>
      </c>
      <c r="I86" s="812">
        <v>2226.6614199999899</v>
      </c>
      <c r="J86" s="812">
        <v>1948.3287499999899</v>
      </c>
      <c r="K86" s="812">
        <v>1669.9960799999899</v>
      </c>
      <c r="L86" s="812">
        <v>1391.6634099999901</v>
      </c>
      <c r="M86" s="812">
        <v>1113.3307399999901</v>
      </c>
      <c r="N86" s="812">
        <v>834.99806999999896</v>
      </c>
      <c r="O86" s="812">
        <v>556.66539999999895</v>
      </c>
      <c r="P86" s="809">
        <f t="shared" si="1"/>
        <v>1454.6345915384545</v>
      </c>
    </row>
    <row r="87" spans="1:16" x14ac:dyDescent="0.25">
      <c r="A87" s="809">
        <v>165</v>
      </c>
      <c r="B87" s="683" t="s">
        <v>2165</v>
      </c>
      <c r="C87" s="809">
        <v>20508.690247826999</v>
      </c>
      <c r="D87" s="809">
        <v>19121.7543587207</v>
      </c>
      <c r="E87" s="809">
        <v>18391.4656938144</v>
      </c>
      <c r="F87" s="809">
        <v>19816.547128908202</v>
      </c>
      <c r="G87" s="809">
        <v>18034.7664373644</v>
      </c>
      <c r="H87" s="809">
        <v>17818.393520970702</v>
      </c>
      <c r="I87" s="809">
        <v>16808.293874576899</v>
      </c>
      <c r="J87" s="809">
        <v>15745.3877401636</v>
      </c>
      <c r="K87" s="809">
        <v>15324.925263769899</v>
      </c>
      <c r="L87" s="809">
        <v>19294.695633903499</v>
      </c>
      <c r="M87" s="809">
        <v>17580.520082761901</v>
      </c>
      <c r="N87" s="809">
        <v>15444.727138864</v>
      </c>
      <c r="O87" s="809">
        <v>21398.802493974199</v>
      </c>
      <c r="P87" s="809">
        <f t="shared" si="1"/>
        <v>18099.151508893799</v>
      </c>
    </row>
    <row r="88" spans="1:16" x14ac:dyDescent="0.25">
      <c r="C88" s="811"/>
      <c r="D88" s="811"/>
      <c r="E88" s="811"/>
      <c r="F88" s="811"/>
      <c r="G88" s="811"/>
      <c r="H88" s="811"/>
      <c r="I88" s="811"/>
      <c r="J88" s="811"/>
      <c r="K88" s="811"/>
      <c r="L88" s="811"/>
      <c r="M88" s="811"/>
      <c r="N88" s="811"/>
      <c r="O88" s="811"/>
      <c r="P88" s="809">
        <f t="shared" si="1"/>
        <v>0</v>
      </c>
    </row>
    <row r="89" spans="1:16" x14ac:dyDescent="0.25">
      <c r="B89" s="683" t="s">
        <v>2169</v>
      </c>
      <c r="C89" s="811"/>
      <c r="D89" s="811"/>
      <c r="E89" s="811"/>
      <c r="F89" s="811"/>
      <c r="G89" s="811"/>
      <c r="H89" s="811"/>
      <c r="I89" s="811"/>
      <c r="J89" s="811"/>
      <c r="K89" s="811"/>
      <c r="L89" s="811"/>
      <c r="M89" s="811"/>
      <c r="N89" s="811"/>
      <c r="O89" s="811"/>
      <c r="P89" s="809">
        <f t="shared" si="1"/>
        <v>0</v>
      </c>
    </row>
    <row r="90" spans="1:16" x14ac:dyDescent="0.25">
      <c r="B90" s="683" t="s">
        <v>2170</v>
      </c>
      <c r="C90" s="809">
        <v>0</v>
      </c>
      <c r="D90" s="809">
        <v>0</v>
      </c>
      <c r="E90" s="809">
        <v>0</v>
      </c>
      <c r="F90" s="809">
        <v>0</v>
      </c>
      <c r="G90" s="809">
        <v>0</v>
      </c>
      <c r="H90" s="809">
        <v>0</v>
      </c>
      <c r="I90" s="809">
        <v>0</v>
      </c>
      <c r="J90" s="809">
        <v>0</v>
      </c>
      <c r="K90" s="809">
        <v>0</v>
      </c>
      <c r="L90" s="809">
        <v>0</v>
      </c>
      <c r="M90" s="809">
        <v>0</v>
      </c>
      <c r="N90" s="809">
        <v>0</v>
      </c>
      <c r="O90" s="809">
        <v>0</v>
      </c>
      <c r="P90" s="809">
        <f t="shared" si="1"/>
        <v>0</v>
      </c>
    </row>
    <row r="91" spans="1:16" x14ac:dyDescent="0.25">
      <c r="B91" s="683" t="s">
        <v>2169</v>
      </c>
      <c r="C91" s="809">
        <v>0</v>
      </c>
      <c r="D91" s="809">
        <v>0</v>
      </c>
      <c r="E91" s="809">
        <v>0</v>
      </c>
      <c r="F91" s="809">
        <v>0</v>
      </c>
      <c r="G91" s="809">
        <v>0</v>
      </c>
      <c r="H91" s="809">
        <v>0</v>
      </c>
      <c r="I91" s="809">
        <v>0</v>
      </c>
      <c r="J91" s="809">
        <v>0</v>
      </c>
      <c r="K91" s="809">
        <v>0</v>
      </c>
      <c r="L91" s="809">
        <v>0</v>
      </c>
      <c r="M91" s="809">
        <v>0</v>
      </c>
      <c r="N91" s="809">
        <v>0</v>
      </c>
      <c r="O91" s="809">
        <v>0</v>
      </c>
      <c r="P91" s="809">
        <f t="shared" si="1"/>
        <v>0</v>
      </c>
    </row>
    <row r="92" spans="1:16" x14ac:dyDescent="0.25">
      <c r="C92" s="811"/>
      <c r="D92" s="811"/>
      <c r="E92" s="811"/>
      <c r="F92" s="811"/>
      <c r="G92" s="811"/>
      <c r="H92" s="811"/>
      <c r="I92" s="811"/>
      <c r="J92" s="811"/>
      <c r="K92" s="811"/>
      <c r="L92" s="811"/>
      <c r="M92" s="811"/>
      <c r="N92" s="811"/>
      <c r="O92" s="811"/>
      <c r="P92" s="809">
        <f t="shared" si="1"/>
        <v>0</v>
      </c>
    </row>
    <row r="93" spans="1:16" ht="15.75" thickBot="1" x14ac:dyDescent="0.3">
      <c r="B93" s="810" t="s">
        <v>2171</v>
      </c>
      <c r="C93" s="813">
        <v>394801.13668327098</v>
      </c>
      <c r="D93" s="813">
        <v>396662.21982057899</v>
      </c>
      <c r="E93" s="813">
        <v>403474.92837605003</v>
      </c>
      <c r="F93" s="813">
        <v>417209.43921200599</v>
      </c>
      <c r="G93" s="813">
        <v>431593.74287411198</v>
      </c>
      <c r="H93" s="813">
        <v>401373.70908062498</v>
      </c>
      <c r="I93" s="813">
        <v>388308.20034484199</v>
      </c>
      <c r="J93" s="813">
        <v>401552.77883654501</v>
      </c>
      <c r="K93" s="813">
        <v>420452.71387734701</v>
      </c>
      <c r="L93" s="813">
        <v>447731.95780130202</v>
      </c>
      <c r="M93" s="813">
        <v>427659.66794775502</v>
      </c>
      <c r="N93" s="813">
        <v>411039.36523395899</v>
      </c>
      <c r="O93" s="813">
        <v>402949.92573531199</v>
      </c>
      <c r="P93" s="809">
        <f t="shared" si="1"/>
        <v>411139.21429413103</v>
      </c>
    </row>
    <row r="94" spans="1:16" x14ac:dyDescent="0.25">
      <c r="P94" s="809">
        <f t="shared" si="1"/>
        <v>0</v>
      </c>
    </row>
    <row r="95" spans="1:16" x14ac:dyDescent="0.25">
      <c r="B95" s="810" t="s">
        <v>2172</v>
      </c>
      <c r="C95" s="811"/>
      <c r="D95" s="811"/>
      <c r="E95" s="811"/>
      <c r="F95" s="811"/>
      <c r="G95" s="811"/>
      <c r="H95" s="811"/>
      <c r="I95" s="811"/>
      <c r="J95" s="811"/>
      <c r="K95" s="811"/>
      <c r="L95" s="811"/>
      <c r="M95" s="811"/>
      <c r="N95" s="811"/>
      <c r="O95" s="811"/>
      <c r="P95" s="809">
        <f t="shared" si="1"/>
        <v>0</v>
      </c>
    </row>
    <row r="96" spans="1:16" x14ac:dyDescent="0.25">
      <c r="B96" s="683" t="s">
        <v>2173</v>
      </c>
      <c r="C96" s="811"/>
      <c r="D96" s="811"/>
      <c r="E96" s="811"/>
      <c r="F96" s="811"/>
      <c r="G96" s="811"/>
      <c r="H96" s="811"/>
      <c r="I96" s="811"/>
      <c r="J96" s="811"/>
      <c r="K96" s="811"/>
      <c r="L96" s="811"/>
      <c r="M96" s="811"/>
      <c r="N96" s="811"/>
      <c r="O96" s="811"/>
      <c r="P96" s="809">
        <f t="shared" si="1"/>
        <v>0</v>
      </c>
    </row>
    <row r="97" spans="1:16" x14ac:dyDescent="0.25">
      <c r="B97" s="683" t="s">
        <v>2174</v>
      </c>
      <c r="C97" s="809">
        <v>13959.3073269878</v>
      </c>
      <c r="D97" s="809">
        <v>16893.5246354152</v>
      </c>
      <c r="E97" s="809">
        <v>16747.757877831798</v>
      </c>
      <c r="F97" s="809">
        <v>16596.400356649199</v>
      </c>
      <c r="G97" s="809">
        <v>16443.9824354667</v>
      </c>
      <c r="H97" s="809">
        <v>16947.711539800999</v>
      </c>
      <c r="I97" s="809">
        <v>16809.236967933499</v>
      </c>
      <c r="J97" s="809">
        <v>16674.939962267901</v>
      </c>
      <c r="K97" s="809">
        <v>16536.438380400399</v>
      </c>
      <c r="L97" s="809">
        <v>16125.886308241101</v>
      </c>
      <c r="M97" s="809">
        <v>15995.742358777299</v>
      </c>
      <c r="N97" s="809">
        <v>15857.2002869098</v>
      </c>
      <c r="O97" s="809">
        <v>15722.8378412441</v>
      </c>
      <c r="P97" s="809">
        <f t="shared" si="1"/>
        <v>16254.689713686597</v>
      </c>
    </row>
    <row r="98" spans="1:16" x14ac:dyDescent="0.25">
      <c r="B98" s="683" t="s">
        <v>2175</v>
      </c>
      <c r="C98" s="809">
        <v>2186.0660917743598</v>
      </c>
      <c r="D98" s="809">
        <v>2132.0977121467599</v>
      </c>
      <c r="E98" s="809">
        <v>2079.8702418619901</v>
      </c>
      <c r="F98" s="809">
        <v>2025.9018522343899</v>
      </c>
      <c r="G98" s="809">
        <v>1971.93346260679</v>
      </c>
      <c r="H98" s="809">
        <v>1919.7059923220099</v>
      </c>
      <c r="I98" s="809">
        <v>1865.73760269441</v>
      </c>
      <c r="J98" s="809">
        <v>1813.5101324096299</v>
      </c>
      <c r="K98" s="809">
        <v>1759.54174278203</v>
      </c>
      <c r="L98" s="809">
        <v>2052.1162371544301</v>
      </c>
      <c r="M98" s="809">
        <v>2008.5976357576101</v>
      </c>
      <c r="N98" s="809">
        <v>1961.1752815058301</v>
      </c>
      <c r="O98" s="809">
        <v>1915.2826746815199</v>
      </c>
      <c r="P98" s="809">
        <f t="shared" si="1"/>
        <v>1976.2720507639815</v>
      </c>
    </row>
    <row r="99" spans="1:16" ht="15.75" thickBot="1" x14ac:dyDescent="0.3">
      <c r="B99" s="683" t="s">
        <v>2176</v>
      </c>
      <c r="C99" s="812">
        <v>8267.0884878873203</v>
      </c>
      <c r="D99" s="812">
        <v>8221.1485319248804</v>
      </c>
      <c r="E99" s="812">
        <v>8176.6905138967104</v>
      </c>
      <c r="F99" s="812">
        <v>8130.7505379342701</v>
      </c>
      <c r="G99" s="812">
        <v>8084.8105519718301</v>
      </c>
      <c r="H99" s="812">
        <v>8040.3525339436601</v>
      </c>
      <c r="I99" s="812">
        <v>7994.4125479812201</v>
      </c>
      <c r="J99" s="812">
        <v>7949.9545199530503</v>
      </c>
      <c r="K99" s="812">
        <v>7904.0145639906004</v>
      </c>
      <c r="L99" s="812">
        <v>8129.5859583199799</v>
      </c>
      <c r="M99" s="812">
        <v>8081.6437388292597</v>
      </c>
      <c r="N99" s="812">
        <v>8030.3361952392197</v>
      </c>
      <c r="O99" s="812">
        <v>7980.6837369262703</v>
      </c>
      <c r="P99" s="809">
        <f t="shared" si="1"/>
        <v>8076.2671091383272</v>
      </c>
    </row>
    <row r="100" spans="1:16" x14ac:dyDescent="0.25">
      <c r="B100" s="683" t="s">
        <v>2173</v>
      </c>
      <c r="C100" s="809">
        <v>24412.4619066495</v>
      </c>
      <c r="D100" s="809">
        <v>27246.7708794869</v>
      </c>
      <c r="E100" s="809">
        <v>27004.318633590501</v>
      </c>
      <c r="F100" s="809">
        <v>26753.052746817899</v>
      </c>
      <c r="G100" s="809">
        <v>26500.726450045298</v>
      </c>
      <c r="H100" s="809">
        <v>26907.7700660667</v>
      </c>
      <c r="I100" s="809">
        <v>26669.3871186092</v>
      </c>
      <c r="J100" s="809">
        <v>26438.404614630599</v>
      </c>
      <c r="K100" s="809">
        <v>26199.994687172999</v>
      </c>
      <c r="L100" s="809">
        <v>26307.588503715499</v>
      </c>
      <c r="M100" s="809">
        <v>26085.983733364199</v>
      </c>
      <c r="N100" s="809">
        <v>25848.711763654799</v>
      </c>
      <c r="O100" s="809">
        <v>25618.8042528519</v>
      </c>
      <c r="P100" s="809">
        <f t="shared" si="1"/>
        <v>26307.228873588923</v>
      </c>
    </row>
    <row r="101" spans="1:16" x14ac:dyDescent="0.25">
      <c r="C101" s="811"/>
      <c r="D101" s="811"/>
      <c r="E101" s="811"/>
      <c r="F101" s="811"/>
      <c r="G101" s="811"/>
      <c r="H101" s="811"/>
      <c r="I101" s="811"/>
      <c r="J101" s="811"/>
      <c r="K101" s="811"/>
      <c r="L101" s="811"/>
      <c r="M101" s="811"/>
      <c r="N101" s="811"/>
      <c r="O101" s="811"/>
      <c r="P101" s="809">
        <f t="shared" si="1"/>
        <v>0</v>
      </c>
    </row>
    <row r="102" spans="1:16" x14ac:dyDescent="0.25">
      <c r="B102" s="683" t="s">
        <v>2177</v>
      </c>
      <c r="C102" s="811"/>
      <c r="D102" s="811"/>
      <c r="E102" s="811"/>
      <c r="F102" s="811"/>
      <c r="G102" s="811"/>
      <c r="H102" s="811"/>
      <c r="I102" s="811"/>
      <c r="J102" s="811"/>
      <c r="K102" s="811"/>
      <c r="L102" s="811"/>
      <c r="M102" s="811"/>
      <c r="N102" s="811"/>
      <c r="O102" s="811"/>
      <c r="P102" s="809">
        <f t="shared" si="1"/>
        <v>0</v>
      </c>
    </row>
    <row r="103" spans="1:16" x14ac:dyDescent="0.25">
      <c r="B103" s="683" t="s">
        <v>2178</v>
      </c>
      <c r="C103" s="809">
        <v>149865.57358</v>
      </c>
      <c r="D103" s="809">
        <v>149865.57358</v>
      </c>
      <c r="E103" s="809">
        <v>149865.57358</v>
      </c>
      <c r="F103" s="809">
        <v>149865.57358</v>
      </c>
      <c r="G103" s="809">
        <v>149865.57358</v>
      </c>
      <c r="H103" s="809">
        <v>149865.57358</v>
      </c>
      <c r="I103" s="809">
        <v>149865.57358</v>
      </c>
      <c r="J103" s="809">
        <v>149865.57358</v>
      </c>
      <c r="K103" s="809">
        <v>149865.57358</v>
      </c>
      <c r="L103" s="809">
        <v>149865.57358</v>
      </c>
      <c r="M103" s="809">
        <v>149865.57358</v>
      </c>
      <c r="N103" s="809">
        <v>149865.57358</v>
      </c>
      <c r="O103" s="809">
        <v>149865.57358</v>
      </c>
      <c r="P103" s="809">
        <f t="shared" si="1"/>
        <v>149865.57358000003</v>
      </c>
    </row>
    <row r="104" spans="1:16" x14ac:dyDescent="0.25">
      <c r="B104" s="683" t="s">
        <v>2179</v>
      </c>
      <c r="C104" s="809">
        <v>199200.15653000001</v>
      </c>
      <c r="D104" s="809">
        <v>199200.15653000001</v>
      </c>
      <c r="E104" s="809">
        <v>199200.15653000001</v>
      </c>
      <c r="F104" s="809">
        <v>199200.15653000001</v>
      </c>
      <c r="G104" s="809">
        <v>199200.15653000001</v>
      </c>
      <c r="H104" s="809">
        <v>199200.15653000001</v>
      </c>
      <c r="I104" s="809">
        <v>199200.15653000001</v>
      </c>
      <c r="J104" s="809">
        <v>199200.15653000001</v>
      </c>
      <c r="K104" s="809">
        <v>199200.15653000001</v>
      </c>
      <c r="L104" s="809">
        <v>199200.15653000001</v>
      </c>
      <c r="M104" s="809">
        <v>199200.15653000001</v>
      </c>
      <c r="N104" s="809">
        <v>199200.15653000001</v>
      </c>
      <c r="O104" s="809">
        <v>199200.15653000001</v>
      </c>
      <c r="P104" s="809">
        <f t="shared" si="1"/>
        <v>199200.15652999998</v>
      </c>
    </row>
    <row r="105" spans="1:16" ht="15.75" thickBot="1" x14ac:dyDescent="0.3">
      <c r="B105" s="683" t="s">
        <v>2180</v>
      </c>
      <c r="C105" s="812">
        <v>0</v>
      </c>
      <c r="D105" s="812">
        <v>0</v>
      </c>
      <c r="E105" s="812">
        <v>0</v>
      </c>
      <c r="F105" s="812">
        <v>0</v>
      </c>
      <c r="G105" s="812">
        <v>0</v>
      </c>
      <c r="H105" s="812">
        <v>0</v>
      </c>
      <c r="I105" s="812">
        <v>0</v>
      </c>
      <c r="J105" s="812">
        <v>0</v>
      </c>
      <c r="K105" s="812">
        <v>0</v>
      </c>
      <c r="L105" s="812">
        <v>0</v>
      </c>
      <c r="M105" s="812">
        <v>0</v>
      </c>
      <c r="N105" s="812">
        <v>0</v>
      </c>
      <c r="O105" s="812">
        <v>0</v>
      </c>
      <c r="P105" s="809">
        <f t="shared" si="1"/>
        <v>0</v>
      </c>
    </row>
    <row r="106" spans="1:16" x14ac:dyDescent="0.25">
      <c r="B106" s="683" t="s">
        <v>2177</v>
      </c>
      <c r="C106" s="809">
        <v>349065.73011</v>
      </c>
      <c r="D106" s="809">
        <v>349065.73011</v>
      </c>
      <c r="E106" s="809">
        <v>349065.73011</v>
      </c>
      <c r="F106" s="809">
        <v>349065.73011</v>
      </c>
      <c r="G106" s="809">
        <v>349065.73011</v>
      </c>
      <c r="H106" s="809">
        <v>349065.73011</v>
      </c>
      <c r="I106" s="809">
        <v>349065.73011</v>
      </c>
      <c r="J106" s="809">
        <v>349065.73011</v>
      </c>
      <c r="K106" s="809">
        <v>349065.73011</v>
      </c>
      <c r="L106" s="809">
        <v>349065.73011</v>
      </c>
      <c r="M106" s="809">
        <v>349065.73011</v>
      </c>
      <c r="N106" s="809">
        <v>349065.73011</v>
      </c>
      <c r="O106" s="809">
        <v>349065.73011</v>
      </c>
      <c r="P106" s="809">
        <f t="shared" si="1"/>
        <v>349065.73010999995</v>
      </c>
    </row>
    <row r="107" spans="1:16" x14ac:dyDescent="0.25">
      <c r="C107" s="811"/>
      <c r="D107" s="811"/>
      <c r="E107" s="811"/>
      <c r="F107" s="811"/>
      <c r="G107" s="811"/>
      <c r="H107" s="811"/>
      <c r="I107" s="811"/>
      <c r="J107" s="811"/>
      <c r="K107" s="811"/>
      <c r="L107" s="811"/>
      <c r="M107" s="811"/>
      <c r="N107" s="811"/>
      <c r="O107" s="811"/>
      <c r="P107" s="809">
        <f t="shared" si="1"/>
        <v>0</v>
      </c>
    </row>
    <row r="108" spans="1:16" x14ac:dyDescent="0.25">
      <c r="B108" s="683" t="s">
        <v>2181</v>
      </c>
      <c r="C108" s="811"/>
      <c r="D108" s="811"/>
      <c r="E108" s="811"/>
      <c r="F108" s="811"/>
      <c r="G108" s="811"/>
      <c r="H108" s="811"/>
      <c r="I108" s="811"/>
      <c r="J108" s="811"/>
      <c r="K108" s="811"/>
      <c r="L108" s="811"/>
      <c r="M108" s="811"/>
      <c r="N108" s="811"/>
      <c r="O108" s="811"/>
      <c r="P108" s="809">
        <f t="shared" si="1"/>
        <v>0</v>
      </c>
    </row>
    <row r="109" spans="1:16" x14ac:dyDescent="0.25">
      <c r="B109" s="683" t="s">
        <v>2182</v>
      </c>
      <c r="C109" s="809">
        <v>34404.032888013797</v>
      </c>
      <c r="D109" s="809">
        <v>34404.032888013797</v>
      </c>
      <c r="E109" s="809">
        <v>34240.482228460904</v>
      </c>
      <c r="F109" s="809">
        <v>34240.482228460904</v>
      </c>
      <c r="G109" s="809">
        <v>34240.482228460904</v>
      </c>
      <c r="H109" s="809">
        <v>34032.149310913403</v>
      </c>
      <c r="I109" s="809">
        <v>34032.149310913403</v>
      </c>
      <c r="J109" s="809">
        <v>34032.149310913403</v>
      </c>
      <c r="K109" s="809">
        <v>33823.816393365902</v>
      </c>
      <c r="L109" s="809">
        <v>33823.816393365902</v>
      </c>
      <c r="M109" s="809">
        <v>33823.816393365902</v>
      </c>
      <c r="N109" s="809">
        <v>33614.266970729201</v>
      </c>
      <c r="O109" s="809">
        <v>33561.747968730597</v>
      </c>
      <c r="P109" s="809">
        <f t="shared" si="1"/>
        <v>34021.032654900613</v>
      </c>
    </row>
    <row r="110" spans="1:16" x14ac:dyDescent="0.25">
      <c r="A110" s="809">
        <v>182</v>
      </c>
      <c r="B110" s="683" t="s">
        <v>2183</v>
      </c>
      <c r="C110" s="809">
        <v>130169.432640463</v>
      </c>
      <c r="D110" s="809">
        <v>129709.946197759</v>
      </c>
      <c r="E110" s="809">
        <v>129439.88354755699</v>
      </c>
      <c r="F110" s="809">
        <v>128980.39710485299</v>
      </c>
      <c r="G110" s="809">
        <v>128520.91066214901</v>
      </c>
      <c r="H110" s="809">
        <v>128250.848011947</v>
      </c>
      <c r="I110" s="809">
        <v>127791.361569243</v>
      </c>
      <c r="J110" s="809">
        <v>127331.875126539</v>
      </c>
      <c r="K110" s="809">
        <v>127061.812476337</v>
      </c>
      <c r="L110" s="809">
        <v>126612.180693141</v>
      </c>
      <c r="M110" s="809">
        <v>126162.54890994501</v>
      </c>
      <c r="N110" s="809">
        <v>125813.239548863</v>
      </c>
      <c r="O110" s="809">
        <v>125363.60776566699</v>
      </c>
      <c r="P110" s="809">
        <f t="shared" si="1"/>
        <v>127785.23417342021</v>
      </c>
    </row>
    <row r="111" spans="1:16" x14ac:dyDescent="0.25">
      <c r="B111" s="683" t="s">
        <v>2184</v>
      </c>
      <c r="C111" s="809">
        <v>12152.3094199999</v>
      </c>
      <c r="D111" s="809">
        <v>11787.8560599999</v>
      </c>
      <c r="E111" s="809">
        <v>11423.402699999901</v>
      </c>
      <c r="F111" s="809">
        <v>11058.949339999999</v>
      </c>
      <c r="G111" s="809">
        <v>10694.49598</v>
      </c>
      <c r="H111" s="809">
        <v>10330.04262</v>
      </c>
      <c r="I111" s="809">
        <v>9965.5892600000006</v>
      </c>
      <c r="J111" s="809">
        <v>9601.1358999999993</v>
      </c>
      <c r="K111" s="809">
        <v>9236.6825399999998</v>
      </c>
      <c r="L111" s="809">
        <v>8872.2291800000003</v>
      </c>
      <c r="M111" s="809">
        <v>8507.7758200000007</v>
      </c>
      <c r="N111" s="809">
        <v>8143.3224600000003</v>
      </c>
      <c r="O111" s="809">
        <v>7778.8690999999999</v>
      </c>
      <c r="P111" s="809">
        <f t="shared" si="1"/>
        <v>9965.5892599999752</v>
      </c>
    </row>
    <row r="112" spans="1:16" x14ac:dyDescent="0.25">
      <c r="B112" s="683" t="s">
        <v>2185</v>
      </c>
      <c r="C112" s="809">
        <v>197.54169416666599</v>
      </c>
      <c r="D112" s="809">
        <v>179.583358333333</v>
      </c>
      <c r="E112" s="809">
        <v>161.6250225</v>
      </c>
      <c r="F112" s="809">
        <v>143.66668666666601</v>
      </c>
      <c r="G112" s="809">
        <v>125.708350833333</v>
      </c>
      <c r="H112" s="809">
        <v>107.750015</v>
      </c>
      <c r="I112" s="809">
        <v>89.791679166666896</v>
      </c>
      <c r="J112" s="809">
        <v>77.303431938278806</v>
      </c>
      <c r="K112" s="809">
        <v>63.021982027049198</v>
      </c>
      <c r="L112" s="809">
        <v>35.916671666667</v>
      </c>
      <c r="M112" s="809">
        <v>19.513332299177499</v>
      </c>
      <c r="N112" s="809">
        <v>10.3913920345992</v>
      </c>
      <c r="O112" s="809">
        <v>0</v>
      </c>
      <c r="P112" s="809">
        <f t="shared" si="1"/>
        <v>93.216432048648983</v>
      </c>
    </row>
    <row r="113" spans="1:17" x14ac:dyDescent="0.25">
      <c r="B113" s="683" t="s">
        <v>2186</v>
      </c>
      <c r="C113" s="809">
        <v>247880.570229501</v>
      </c>
      <c r="D113" s="809">
        <v>249256.18532984299</v>
      </c>
      <c r="E113" s="809">
        <v>250539.15731074201</v>
      </c>
      <c r="F113" s="809">
        <v>251799.54053472201</v>
      </c>
      <c r="G113" s="809">
        <v>253044.22663889799</v>
      </c>
      <c r="H113" s="809">
        <v>254284.42767679199</v>
      </c>
      <c r="I113" s="809">
        <v>255509.93924114099</v>
      </c>
      <c r="J113" s="809">
        <v>256734.99601103901</v>
      </c>
      <c r="K113" s="809">
        <v>257920.84190077399</v>
      </c>
      <c r="L113" s="809">
        <v>258347.187383357</v>
      </c>
      <c r="M113" s="809">
        <v>258778.859914053</v>
      </c>
      <c r="N113" s="809">
        <v>259188.57092231599</v>
      </c>
      <c r="O113" s="809">
        <v>259585.68448519899</v>
      </c>
      <c r="P113" s="809">
        <f t="shared" si="1"/>
        <v>254836.16827525978</v>
      </c>
    </row>
    <row r="114" spans="1:17" ht="15.75" thickBot="1" x14ac:dyDescent="0.3">
      <c r="B114" s="683" t="s">
        <v>2187</v>
      </c>
      <c r="C114" s="812">
        <v>0</v>
      </c>
      <c r="D114" s="812">
        <v>0</v>
      </c>
      <c r="E114" s="812">
        <v>0</v>
      </c>
      <c r="F114" s="812">
        <v>0</v>
      </c>
      <c r="G114" s="812">
        <v>0</v>
      </c>
      <c r="H114" s="812">
        <v>0</v>
      </c>
      <c r="I114" s="812">
        <v>2452.6080206126499</v>
      </c>
      <c r="J114" s="812">
        <v>9555.7507135548694</v>
      </c>
      <c r="K114" s="812">
        <v>9568.2057317208</v>
      </c>
      <c r="L114" s="812">
        <v>9484.6679009120508</v>
      </c>
      <c r="M114" s="812">
        <v>10551.1140674543</v>
      </c>
      <c r="N114" s="812">
        <v>18407.130621948301</v>
      </c>
      <c r="O114" s="812">
        <v>20411.434120857699</v>
      </c>
      <c r="P114" s="809">
        <f t="shared" si="1"/>
        <v>6186.9931674662057</v>
      </c>
    </row>
    <row r="115" spans="1:17" x14ac:dyDescent="0.25">
      <c r="B115" s="683" t="s">
        <v>2181</v>
      </c>
      <c r="C115" s="809">
        <v>424803.886872145</v>
      </c>
      <c r="D115" s="809">
        <v>425337.60383395001</v>
      </c>
      <c r="E115" s="809">
        <v>425804.55080926098</v>
      </c>
      <c r="F115" s="809">
        <v>426223.035894703</v>
      </c>
      <c r="G115" s="809">
        <v>426625.82386034197</v>
      </c>
      <c r="H115" s="809">
        <v>427005.21763465297</v>
      </c>
      <c r="I115" s="809">
        <v>429841.43908107799</v>
      </c>
      <c r="J115" s="809">
        <v>437333.21049398498</v>
      </c>
      <c r="K115" s="809">
        <v>437674.38102422497</v>
      </c>
      <c r="L115" s="809">
        <v>437175.99822244298</v>
      </c>
      <c r="M115" s="809">
        <v>437843.62843711901</v>
      </c>
      <c r="N115" s="809">
        <v>445176.921915891</v>
      </c>
      <c r="O115" s="809">
        <v>446701.34344045498</v>
      </c>
      <c r="P115" s="809">
        <f t="shared" si="1"/>
        <v>432888.23396309617</v>
      </c>
    </row>
    <row r="116" spans="1:17" x14ac:dyDescent="0.25">
      <c r="C116" s="811"/>
      <c r="D116" s="811"/>
      <c r="E116" s="811"/>
      <c r="F116" s="811"/>
      <c r="G116" s="811"/>
      <c r="H116" s="811"/>
      <c r="I116" s="811"/>
      <c r="J116" s="811"/>
      <c r="K116" s="811"/>
      <c r="L116" s="811"/>
      <c r="M116" s="811"/>
      <c r="N116" s="811"/>
      <c r="O116" s="811"/>
      <c r="P116" s="809">
        <f t="shared" si="1"/>
        <v>0</v>
      </c>
    </row>
    <row r="117" spans="1:17" x14ac:dyDescent="0.25">
      <c r="B117" s="683" t="s">
        <v>2188</v>
      </c>
      <c r="C117" s="811"/>
      <c r="D117" s="811"/>
      <c r="E117" s="811"/>
      <c r="F117" s="811"/>
      <c r="G117" s="811"/>
      <c r="H117" s="811"/>
      <c r="I117" s="811"/>
      <c r="J117" s="811"/>
      <c r="K117" s="811"/>
      <c r="L117" s="811"/>
      <c r="M117" s="811"/>
      <c r="N117" s="811"/>
      <c r="O117" s="811"/>
      <c r="P117" s="809">
        <f t="shared" si="1"/>
        <v>0</v>
      </c>
    </row>
    <row r="118" spans="1:17" x14ac:dyDescent="0.25">
      <c r="A118" s="809">
        <v>183</v>
      </c>
      <c r="B118" s="683" t="s">
        <v>2189</v>
      </c>
      <c r="C118" s="809">
        <v>89.896209999999996</v>
      </c>
      <c r="D118" s="809">
        <v>89.896209999999996</v>
      </c>
      <c r="E118" s="809">
        <v>89.896209999999996</v>
      </c>
      <c r="F118" s="809">
        <v>89.896209999999996</v>
      </c>
      <c r="G118" s="809">
        <v>89.896209999999996</v>
      </c>
      <c r="H118" s="809">
        <v>89.896209999999996</v>
      </c>
      <c r="I118" s="809">
        <v>89.896209999999996</v>
      </c>
      <c r="J118" s="809">
        <v>89.896209999999996</v>
      </c>
      <c r="K118" s="809">
        <v>89.896209999999996</v>
      </c>
      <c r="L118" s="809">
        <v>89.896209999999996</v>
      </c>
      <c r="M118" s="809">
        <v>89.896209999999996</v>
      </c>
      <c r="N118" s="809">
        <v>89.896209999999996</v>
      </c>
      <c r="O118" s="809">
        <v>89.896209999999996</v>
      </c>
      <c r="P118" s="809">
        <f t="shared" si="1"/>
        <v>89.896209999999982</v>
      </c>
    </row>
    <row r="119" spans="1:17" x14ac:dyDescent="0.25">
      <c r="A119" s="809">
        <v>183</v>
      </c>
      <c r="B119" s="683" t="s">
        <v>2190</v>
      </c>
      <c r="C119" s="809">
        <v>4087.8315400000001</v>
      </c>
      <c r="D119" s="809">
        <v>4087.8315400000001</v>
      </c>
      <c r="E119" s="809">
        <v>4087.8315400000001</v>
      </c>
      <c r="F119" s="809">
        <v>4087.8315400000001</v>
      </c>
      <c r="G119" s="809">
        <v>4087.8315400000001</v>
      </c>
      <c r="H119" s="809">
        <v>4087.8315400000001</v>
      </c>
      <c r="I119" s="809">
        <v>4087.8315400000001</v>
      </c>
      <c r="J119" s="809">
        <v>4087.8315400000001</v>
      </c>
      <c r="K119" s="809">
        <v>4087.8315400000001</v>
      </c>
      <c r="L119" s="809">
        <v>4087.8315400000001</v>
      </c>
      <c r="M119" s="809">
        <v>4087.8315400000001</v>
      </c>
      <c r="N119" s="809">
        <v>4087.8315400000001</v>
      </c>
      <c r="O119" s="809">
        <v>4087.8315400000001</v>
      </c>
      <c r="P119" s="809">
        <f t="shared" si="1"/>
        <v>4087.8315399999997</v>
      </c>
    </row>
    <row r="120" spans="1:17" x14ac:dyDescent="0.25">
      <c r="B120" s="683" t="s">
        <v>2191</v>
      </c>
      <c r="C120" s="809">
        <v>223.45410999999999</v>
      </c>
      <c r="D120" s="809">
        <v>223.45410999999999</v>
      </c>
      <c r="E120" s="809">
        <v>223.45410999999999</v>
      </c>
      <c r="F120" s="809">
        <v>223.45410999999999</v>
      </c>
      <c r="G120" s="809">
        <v>223.45410999999999</v>
      </c>
      <c r="H120" s="809">
        <v>223.45410999999999</v>
      </c>
      <c r="I120" s="809">
        <v>223.45410999999999</v>
      </c>
      <c r="J120" s="809">
        <v>223.45410999999999</v>
      </c>
      <c r="K120" s="809">
        <v>223.45410999999999</v>
      </c>
      <c r="L120" s="809">
        <v>223.45410999999999</v>
      </c>
      <c r="M120" s="809">
        <v>223.45410999999999</v>
      </c>
      <c r="N120" s="809">
        <v>223.45410999999999</v>
      </c>
      <c r="O120" s="809">
        <v>223.45410999999999</v>
      </c>
      <c r="P120" s="809">
        <f t="shared" si="1"/>
        <v>223.45410999999999</v>
      </c>
    </row>
    <row r="121" spans="1:17" x14ac:dyDescent="0.25">
      <c r="A121" s="809">
        <v>184</v>
      </c>
      <c r="B121" s="683" t="s">
        <v>2192</v>
      </c>
      <c r="C121" s="809">
        <v>4097.01721</v>
      </c>
      <c r="D121" s="809">
        <v>4097.01721</v>
      </c>
      <c r="E121" s="809">
        <v>4097.01721</v>
      </c>
      <c r="F121" s="809">
        <v>4097.01721</v>
      </c>
      <c r="G121" s="809">
        <v>4097.01721</v>
      </c>
      <c r="H121" s="809">
        <v>4097.01721</v>
      </c>
      <c r="I121" s="809">
        <v>4097.01721</v>
      </c>
      <c r="J121" s="809">
        <v>4097.01721</v>
      </c>
      <c r="K121" s="809">
        <v>4097.01721</v>
      </c>
      <c r="L121" s="809">
        <v>4097.01721</v>
      </c>
      <c r="M121" s="809">
        <v>4097.01721</v>
      </c>
      <c r="N121" s="809">
        <v>4097.01721</v>
      </c>
      <c r="O121" s="809">
        <v>4097.01721</v>
      </c>
      <c r="P121" s="809">
        <f t="shared" si="1"/>
        <v>4097.0172099999991</v>
      </c>
    </row>
    <row r="122" spans="1:17" x14ac:dyDescent="0.25">
      <c r="B122" s="683" t="s">
        <v>2193</v>
      </c>
      <c r="C122" s="809">
        <v>-304.02173999997899</v>
      </c>
      <c r="D122" s="809">
        <v>-304.02173999997899</v>
      </c>
      <c r="E122" s="809">
        <v>-304.02173999997899</v>
      </c>
      <c r="F122" s="809">
        <v>-304.02173999997899</v>
      </c>
      <c r="G122" s="809">
        <v>-304.02173999997899</v>
      </c>
      <c r="H122" s="809">
        <v>-304.02173999997899</v>
      </c>
      <c r="I122" s="809">
        <v>-304.02173999997899</v>
      </c>
      <c r="J122" s="809">
        <v>-304.02173999997899</v>
      </c>
      <c r="K122" s="809">
        <v>-304.02173999997899</v>
      </c>
      <c r="L122" s="809">
        <v>-304.02173999997899</v>
      </c>
      <c r="M122" s="809">
        <v>-304.02173999997899</v>
      </c>
      <c r="N122" s="809">
        <v>-304.02173999997899</v>
      </c>
      <c r="O122" s="809">
        <v>-304.02173999997899</v>
      </c>
      <c r="P122" s="809">
        <f t="shared" si="1"/>
        <v>-304.0217399999791</v>
      </c>
    </row>
    <row r="123" spans="1:17" x14ac:dyDescent="0.25">
      <c r="B123" s="683" t="s">
        <v>2194</v>
      </c>
      <c r="C123" s="809">
        <v>371.63267000000002</v>
      </c>
      <c r="D123" s="809">
        <v>371.63267000000002</v>
      </c>
      <c r="E123" s="809">
        <v>371.63267000000002</v>
      </c>
      <c r="F123" s="809">
        <v>371.63267000000002</v>
      </c>
      <c r="G123" s="809">
        <v>371.63267000000002</v>
      </c>
      <c r="H123" s="809">
        <v>371.63267000000002</v>
      </c>
      <c r="I123" s="809">
        <v>371.63267000000002</v>
      </c>
      <c r="J123" s="809">
        <v>371.63267000000002</v>
      </c>
      <c r="K123" s="809">
        <v>371.63267000000002</v>
      </c>
      <c r="L123" s="809">
        <v>371.63267000000002</v>
      </c>
      <c r="M123" s="809">
        <v>371.63267000000002</v>
      </c>
      <c r="N123" s="809">
        <v>371.63267000000002</v>
      </c>
      <c r="O123" s="809">
        <v>371.63267000000002</v>
      </c>
      <c r="P123" s="809">
        <f t="shared" si="1"/>
        <v>371.63267000000002</v>
      </c>
    </row>
    <row r="124" spans="1:17" x14ac:dyDescent="0.25">
      <c r="A124" s="809">
        <v>184</v>
      </c>
      <c r="B124" s="683" t="s">
        <v>2195</v>
      </c>
      <c r="C124" s="809">
        <v>-322.48486999999898</v>
      </c>
      <c r="D124" s="809">
        <v>-322.48486999999898</v>
      </c>
      <c r="E124" s="809">
        <v>-322.48486999999898</v>
      </c>
      <c r="F124" s="809">
        <v>-322.48486999999898</v>
      </c>
      <c r="G124" s="809">
        <v>-322.48486999999898</v>
      </c>
      <c r="H124" s="809">
        <v>-322.48486999999898</v>
      </c>
      <c r="I124" s="809">
        <v>-322.48486999999898</v>
      </c>
      <c r="J124" s="809">
        <v>-322.48486999999898</v>
      </c>
      <c r="K124" s="809">
        <v>-322.48486999999898</v>
      </c>
      <c r="L124" s="809">
        <v>-322.48486999999898</v>
      </c>
      <c r="M124" s="809">
        <v>-322.48486999999898</v>
      </c>
      <c r="N124" s="809">
        <v>-322.48486999999898</v>
      </c>
      <c r="O124" s="809">
        <v>-322.48486999999898</v>
      </c>
      <c r="P124" s="809">
        <f t="shared" si="1"/>
        <v>-322.48486999999892</v>
      </c>
    </row>
    <row r="125" spans="1:17" x14ac:dyDescent="0.25">
      <c r="B125" s="683" t="s">
        <v>2196</v>
      </c>
      <c r="C125" s="809">
        <v>0</v>
      </c>
      <c r="D125" s="809">
        <v>0</v>
      </c>
      <c r="E125" s="809">
        <v>0</v>
      </c>
      <c r="F125" s="809">
        <v>0</v>
      </c>
      <c r="G125" s="809">
        <v>0</v>
      </c>
      <c r="H125" s="809">
        <v>0</v>
      </c>
      <c r="I125" s="809">
        <v>0</v>
      </c>
      <c r="J125" s="809">
        <v>0</v>
      </c>
      <c r="K125" s="809">
        <v>0</v>
      </c>
      <c r="L125" s="809">
        <v>0</v>
      </c>
      <c r="M125" s="809">
        <v>0</v>
      </c>
      <c r="N125" s="809">
        <v>0</v>
      </c>
      <c r="O125" s="809">
        <v>0</v>
      </c>
      <c r="P125" s="809">
        <f t="shared" si="1"/>
        <v>0</v>
      </c>
    </row>
    <row r="126" spans="1:17" x14ac:dyDescent="0.25">
      <c r="B126" s="683" t="s">
        <v>2443</v>
      </c>
      <c r="C126" s="809">
        <v>-26.2348600000036</v>
      </c>
      <c r="D126" s="809">
        <v>-5.37210000000516</v>
      </c>
      <c r="E126" s="809">
        <v>-5.7348800000031996</v>
      </c>
      <c r="F126" s="809">
        <v>15.244299999996599</v>
      </c>
      <c r="G126" s="809">
        <v>36.223479999996201</v>
      </c>
      <c r="H126" s="809">
        <v>57.202659999993998</v>
      </c>
      <c r="I126" s="809">
        <v>78.147039999994902</v>
      </c>
      <c r="J126" s="809">
        <v>96.993599999993904</v>
      </c>
      <c r="K126" s="809">
        <v>115.53693999999599</v>
      </c>
      <c r="L126" s="809">
        <v>132.17414999999599</v>
      </c>
      <c r="M126" s="809">
        <v>145.876179999995</v>
      </c>
      <c r="N126" s="809">
        <v>163.12218999999499</v>
      </c>
      <c r="O126" s="809">
        <v>70.797959999995996</v>
      </c>
      <c r="P126" s="809">
        <f t="shared" si="1"/>
        <v>67.228973846149358</v>
      </c>
    </row>
    <row r="127" spans="1:17" x14ac:dyDescent="0.25">
      <c r="A127" s="814"/>
      <c r="B127" s="683" t="s">
        <v>2197</v>
      </c>
      <c r="C127" s="809">
        <v>34969.945119999997</v>
      </c>
      <c r="D127" s="809">
        <v>35112.782630000002</v>
      </c>
      <c r="E127" s="809">
        <v>35255.620139999999</v>
      </c>
      <c r="F127" s="809">
        <v>35398.457649999997</v>
      </c>
      <c r="G127" s="809">
        <v>35541.295160000001</v>
      </c>
      <c r="H127" s="809">
        <v>35684.132669999999</v>
      </c>
      <c r="I127" s="809">
        <v>35826.970179999997</v>
      </c>
      <c r="J127" s="809">
        <v>35969.8076899999</v>
      </c>
      <c r="K127" s="809">
        <v>36112.645199999897</v>
      </c>
      <c r="L127" s="809">
        <v>36258.339459999901</v>
      </c>
      <c r="M127" s="809">
        <v>36404.033719999898</v>
      </c>
      <c r="N127" s="809">
        <v>36549.727979999901</v>
      </c>
      <c r="O127" s="809">
        <v>36695.422239999898</v>
      </c>
      <c r="P127" s="809">
        <f t="shared" si="1"/>
        <v>35829.167679999955</v>
      </c>
      <c r="Q127" s="815" t="s">
        <v>2632</v>
      </c>
    </row>
    <row r="128" spans="1:17" x14ac:dyDescent="0.25">
      <c r="A128" s="809">
        <v>186</v>
      </c>
      <c r="B128" s="683" t="s">
        <v>2198</v>
      </c>
      <c r="C128" s="809">
        <v>19321.838131558001</v>
      </c>
      <c r="D128" s="809">
        <v>18438.773839013102</v>
      </c>
      <c r="E128" s="809">
        <v>18911.701378059701</v>
      </c>
      <c r="F128" s="809">
        <v>19412.748808189699</v>
      </c>
      <c r="G128" s="809">
        <v>19926.2599872994</v>
      </c>
      <c r="H128" s="809">
        <v>20341.9091133691</v>
      </c>
      <c r="I128" s="809">
        <v>20749.0579412228</v>
      </c>
      <c r="J128" s="809">
        <v>21286.986398069301</v>
      </c>
      <c r="K128" s="809">
        <v>21760.183379903399</v>
      </c>
      <c r="L128" s="809">
        <v>22508.078497288101</v>
      </c>
      <c r="M128" s="809">
        <v>22827.901119196998</v>
      </c>
      <c r="N128" s="809">
        <v>8275.9847449352401</v>
      </c>
      <c r="O128" s="809">
        <v>4757.5091288919903</v>
      </c>
      <c r="P128" s="809">
        <f t="shared" si="1"/>
        <v>18347.610189768988</v>
      </c>
    </row>
    <row r="129" spans="1:16" x14ac:dyDescent="0.25">
      <c r="A129" s="809">
        <v>188</v>
      </c>
      <c r="B129" s="683" t="s">
        <v>2199</v>
      </c>
      <c r="C129" s="809">
        <v>866.93940999999995</v>
      </c>
      <c r="D129" s="809">
        <v>840.72684999999899</v>
      </c>
      <c r="E129" s="809">
        <v>814.51428999999905</v>
      </c>
      <c r="F129" s="809">
        <v>788.301729999999</v>
      </c>
      <c r="G129" s="809">
        <v>762.08916999999894</v>
      </c>
      <c r="H129" s="809">
        <v>735.876609999999</v>
      </c>
      <c r="I129" s="809">
        <v>709.66404999999895</v>
      </c>
      <c r="J129" s="809">
        <v>683.45148999999901</v>
      </c>
      <c r="K129" s="809">
        <v>657.23892999999896</v>
      </c>
      <c r="L129" s="809">
        <v>631.02636999999902</v>
      </c>
      <c r="M129" s="809">
        <v>604.81380999999897</v>
      </c>
      <c r="N129" s="809">
        <v>578.60124999999903</v>
      </c>
      <c r="O129" s="809">
        <v>552.38868999999897</v>
      </c>
      <c r="P129" s="809">
        <f t="shared" si="1"/>
        <v>709.66404999999918</v>
      </c>
    </row>
    <row r="130" spans="1:16" x14ac:dyDescent="0.25">
      <c r="B130" s="683" t="s">
        <v>2188</v>
      </c>
      <c r="C130" s="809">
        <v>63375.812931558001</v>
      </c>
      <c r="D130" s="809">
        <v>62630.236349013197</v>
      </c>
      <c r="E130" s="809">
        <v>63219.426058059697</v>
      </c>
      <c r="F130" s="809">
        <v>63858.077618189804</v>
      </c>
      <c r="G130" s="809">
        <v>64509.192927299402</v>
      </c>
      <c r="H130" s="809">
        <v>65062.446183369102</v>
      </c>
      <c r="I130" s="809">
        <v>65607.1643412228</v>
      </c>
      <c r="J130" s="809">
        <v>66280.564308069297</v>
      </c>
      <c r="K130" s="809">
        <v>66888.929579903401</v>
      </c>
      <c r="L130" s="809">
        <v>67772.943607288107</v>
      </c>
      <c r="M130" s="809">
        <v>68225.949959196994</v>
      </c>
      <c r="N130" s="809">
        <v>53810.761294935197</v>
      </c>
      <c r="O130" s="809">
        <v>50319.4431488919</v>
      </c>
      <c r="P130" s="809">
        <f t="shared" si="1"/>
        <v>63196.996023615138</v>
      </c>
    </row>
    <row r="131" spans="1:16" x14ac:dyDescent="0.25">
      <c r="C131" s="811"/>
      <c r="D131" s="811"/>
      <c r="E131" s="811"/>
      <c r="F131" s="811"/>
      <c r="G131" s="811"/>
      <c r="H131" s="811"/>
      <c r="I131" s="811"/>
      <c r="J131" s="811"/>
      <c r="K131" s="811"/>
      <c r="L131" s="811"/>
      <c r="M131" s="811"/>
      <c r="N131" s="811"/>
      <c r="O131" s="811"/>
      <c r="P131" s="809">
        <f t="shared" si="1"/>
        <v>0</v>
      </c>
    </row>
    <row r="132" spans="1:16" x14ac:dyDescent="0.25">
      <c r="C132" s="811"/>
      <c r="D132" s="811"/>
      <c r="E132" s="811"/>
      <c r="F132" s="811"/>
      <c r="G132" s="811"/>
      <c r="H132" s="811"/>
      <c r="I132" s="811"/>
      <c r="J132" s="811"/>
      <c r="K132" s="811"/>
      <c r="L132" s="811"/>
      <c r="M132" s="811"/>
      <c r="N132" s="811"/>
      <c r="O132" s="811"/>
      <c r="P132" s="809">
        <f t="shared" si="1"/>
        <v>0</v>
      </c>
    </row>
    <row r="133" spans="1:16" ht="15.75" thickBot="1" x14ac:dyDescent="0.3">
      <c r="B133" s="810" t="s">
        <v>2200</v>
      </c>
      <c r="C133" s="813">
        <v>861657.89182035299</v>
      </c>
      <c r="D133" s="813">
        <v>864280.34117244999</v>
      </c>
      <c r="E133" s="813">
        <v>865094.02561091096</v>
      </c>
      <c r="F133" s="813">
        <v>865899.89636971103</v>
      </c>
      <c r="G133" s="813">
        <v>866701.47334768705</v>
      </c>
      <c r="H133" s="813">
        <v>868041.163994089</v>
      </c>
      <c r="I133" s="813">
        <v>871183.72065091005</v>
      </c>
      <c r="J133" s="813">
        <v>879117.90952668502</v>
      </c>
      <c r="K133" s="813">
        <v>879829.03540130204</v>
      </c>
      <c r="L133" s="813">
        <v>880322.26044344704</v>
      </c>
      <c r="M133" s="813">
        <v>881221.29223967995</v>
      </c>
      <c r="N133" s="813">
        <v>873902.12508448097</v>
      </c>
      <c r="O133" s="813">
        <v>871705.32095219905</v>
      </c>
      <c r="P133" s="809">
        <f t="shared" si="1"/>
        <v>871458.18897030025</v>
      </c>
    </row>
    <row r="134" spans="1:16" x14ac:dyDescent="0.25">
      <c r="P134" s="809">
        <f t="shared" si="1"/>
        <v>0</v>
      </c>
    </row>
    <row r="135" spans="1:16" ht="15.75" thickBot="1" x14ac:dyDescent="0.3">
      <c r="B135" s="810" t="s">
        <v>2201</v>
      </c>
      <c r="C135" s="813">
        <v>8028648.4692058498</v>
      </c>
      <c r="D135" s="813">
        <v>8045867.0971860997</v>
      </c>
      <c r="E135" s="813">
        <v>8069536.5961380498</v>
      </c>
      <c r="F135" s="813">
        <v>8098448.2608320601</v>
      </c>
      <c r="G135" s="813">
        <v>8124485.9190688096</v>
      </c>
      <c r="H135" s="813">
        <v>8105620.7648988301</v>
      </c>
      <c r="I135" s="813">
        <v>8118521.4683432598</v>
      </c>
      <c r="J135" s="813">
        <v>8155852.4787939396</v>
      </c>
      <c r="K135" s="813">
        <v>8179793.4106561001</v>
      </c>
      <c r="L135" s="813">
        <v>8199467.5453855405</v>
      </c>
      <c r="M135" s="813">
        <v>8180517.5881670201</v>
      </c>
      <c r="N135" s="813">
        <v>8193457.2225597603</v>
      </c>
      <c r="O135" s="813">
        <v>8206025.4609151697</v>
      </c>
      <c r="P135" s="809">
        <f t="shared" si="1"/>
        <v>8131249.406319269</v>
      </c>
    </row>
    <row r="136" spans="1:16" x14ac:dyDescent="0.25">
      <c r="P136" s="809">
        <f t="shared" si="1"/>
        <v>0</v>
      </c>
    </row>
    <row r="137" spans="1:16" x14ac:dyDescent="0.25">
      <c r="B137" s="810" t="s">
        <v>2202</v>
      </c>
      <c r="P137" s="809">
        <f t="shared" si="1"/>
        <v>0</v>
      </c>
    </row>
    <row r="138" spans="1:16" x14ac:dyDescent="0.25">
      <c r="P138" s="809">
        <f t="shared" si="1"/>
        <v>0</v>
      </c>
    </row>
    <row r="139" spans="1:16" x14ac:dyDescent="0.25">
      <c r="B139" s="810" t="s">
        <v>2203</v>
      </c>
      <c r="C139" s="811"/>
      <c r="D139" s="811"/>
      <c r="E139" s="811"/>
      <c r="F139" s="811"/>
      <c r="G139" s="811"/>
      <c r="H139" s="811"/>
      <c r="I139" s="811"/>
      <c r="J139" s="811"/>
      <c r="K139" s="811"/>
      <c r="L139" s="811"/>
      <c r="M139" s="811"/>
      <c r="N139" s="811"/>
      <c r="O139" s="811"/>
      <c r="P139" s="809">
        <f t="shared" ref="P139:P202" si="2">SUM(C139:O139)/13</f>
        <v>0</v>
      </c>
    </row>
    <row r="140" spans="1:16" x14ac:dyDescent="0.25">
      <c r="B140" s="683" t="s">
        <v>2204</v>
      </c>
      <c r="C140" s="811"/>
      <c r="D140" s="811"/>
      <c r="E140" s="811"/>
      <c r="F140" s="811"/>
      <c r="G140" s="811"/>
      <c r="H140" s="811"/>
      <c r="I140" s="811"/>
      <c r="J140" s="811"/>
      <c r="K140" s="811"/>
      <c r="L140" s="811"/>
      <c r="M140" s="811"/>
      <c r="N140" s="811"/>
      <c r="O140" s="811"/>
      <c r="P140" s="809">
        <f t="shared" si="2"/>
        <v>0</v>
      </c>
    </row>
    <row r="141" spans="1:16" x14ac:dyDescent="0.25">
      <c r="B141" s="683" t="s">
        <v>2205</v>
      </c>
      <c r="C141" s="809">
        <v>308139.97756000003</v>
      </c>
      <c r="D141" s="809">
        <v>308139.97756000003</v>
      </c>
      <c r="E141" s="809">
        <v>308139.97756000003</v>
      </c>
      <c r="F141" s="809">
        <v>308139.97756000003</v>
      </c>
      <c r="G141" s="809">
        <v>308139.97756000003</v>
      </c>
      <c r="H141" s="809">
        <v>308139.97756000003</v>
      </c>
      <c r="I141" s="809">
        <v>308139.97756000003</v>
      </c>
      <c r="J141" s="809">
        <v>308139.97756000003</v>
      </c>
      <c r="K141" s="809">
        <v>308139.97756000003</v>
      </c>
      <c r="L141" s="809">
        <v>308139.97756000003</v>
      </c>
      <c r="M141" s="809">
        <v>308139.97756000003</v>
      </c>
      <c r="N141" s="809">
        <v>308139.97756000003</v>
      </c>
      <c r="O141" s="809">
        <v>308139.97756000003</v>
      </c>
      <c r="P141" s="809">
        <f t="shared" si="2"/>
        <v>308139.97756000003</v>
      </c>
    </row>
    <row r="142" spans="1:16" x14ac:dyDescent="0.25">
      <c r="B142" s="683" t="s">
        <v>2206</v>
      </c>
      <c r="C142" s="809">
        <v>308139.97756000003</v>
      </c>
      <c r="D142" s="809">
        <v>308139.97756000003</v>
      </c>
      <c r="E142" s="809">
        <v>308139.97756000003</v>
      </c>
      <c r="F142" s="809">
        <v>308139.97756000003</v>
      </c>
      <c r="G142" s="809">
        <v>308139.97756000003</v>
      </c>
      <c r="H142" s="809">
        <v>308139.97756000003</v>
      </c>
      <c r="I142" s="809">
        <v>308139.97756000003</v>
      </c>
      <c r="J142" s="809">
        <v>308139.97756000003</v>
      </c>
      <c r="K142" s="809">
        <v>308139.97756000003</v>
      </c>
      <c r="L142" s="809">
        <v>308139.97756000003</v>
      </c>
      <c r="M142" s="809">
        <v>308139.97756000003</v>
      </c>
      <c r="N142" s="809">
        <v>308139.97756000003</v>
      </c>
      <c r="O142" s="809">
        <v>308139.97756000003</v>
      </c>
      <c r="P142" s="809">
        <f t="shared" si="2"/>
        <v>308139.97756000003</v>
      </c>
    </row>
    <row r="143" spans="1:16" x14ac:dyDescent="0.25">
      <c r="C143" s="811"/>
      <c r="D143" s="811"/>
      <c r="E143" s="811"/>
      <c r="F143" s="811"/>
      <c r="G143" s="811"/>
      <c r="H143" s="811"/>
      <c r="I143" s="811"/>
      <c r="J143" s="811"/>
      <c r="K143" s="811"/>
      <c r="L143" s="811"/>
      <c r="M143" s="811"/>
      <c r="N143" s="811"/>
      <c r="O143" s="811"/>
      <c r="P143" s="809">
        <f t="shared" si="2"/>
        <v>0</v>
      </c>
    </row>
    <row r="144" spans="1:16" x14ac:dyDescent="0.25">
      <c r="B144" s="683" t="s">
        <v>2207</v>
      </c>
      <c r="C144" s="811"/>
      <c r="D144" s="811"/>
      <c r="E144" s="811"/>
      <c r="F144" s="811"/>
      <c r="G144" s="811"/>
      <c r="H144" s="811"/>
      <c r="I144" s="811"/>
      <c r="J144" s="811"/>
      <c r="K144" s="811"/>
      <c r="L144" s="811"/>
      <c r="M144" s="811"/>
      <c r="N144" s="811"/>
      <c r="O144" s="811"/>
      <c r="P144" s="809">
        <f t="shared" si="2"/>
        <v>0</v>
      </c>
    </row>
    <row r="145" spans="2:16" x14ac:dyDescent="0.25">
      <c r="B145" s="683" t="s">
        <v>2208</v>
      </c>
      <c r="C145" s="809">
        <v>-321.28886999999997</v>
      </c>
      <c r="D145" s="809">
        <v>-321.28886999999997</v>
      </c>
      <c r="E145" s="809">
        <v>-321.28886999999997</v>
      </c>
      <c r="F145" s="809">
        <v>-321.28886999999997</v>
      </c>
      <c r="G145" s="809">
        <v>-321.28886999999997</v>
      </c>
      <c r="H145" s="809">
        <v>-321.28886999999997</v>
      </c>
      <c r="I145" s="809">
        <v>-321.28886999999997</v>
      </c>
      <c r="J145" s="809">
        <v>-321.28886999999997</v>
      </c>
      <c r="K145" s="809">
        <v>-321.28886999999997</v>
      </c>
      <c r="L145" s="809">
        <v>-321.28886999999997</v>
      </c>
      <c r="M145" s="809">
        <v>-321.28886999999997</v>
      </c>
      <c r="N145" s="809">
        <v>-321.28886999999997</v>
      </c>
      <c r="O145" s="809">
        <v>-321.28886999999997</v>
      </c>
      <c r="P145" s="809">
        <f t="shared" si="2"/>
        <v>-321.28886999999992</v>
      </c>
    </row>
    <row r="146" spans="2:16" x14ac:dyDescent="0.25">
      <c r="B146" s="683" t="s">
        <v>2209</v>
      </c>
      <c r="C146" s="809">
        <v>-321.28886999999997</v>
      </c>
      <c r="D146" s="809">
        <v>-321.28886999999997</v>
      </c>
      <c r="E146" s="809">
        <v>-321.28886999999997</v>
      </c>
      <c r="F146" s="809">
        <v>-321.28886999999997</v>
      </c>
      <c r="G146" s="809">
        <v>-321.28886999999997</v>
      </c>
      <c r="H146" s="809">
        <v>-321.28886999999997</v>
      </c>
      <c r="I146" s="809">
        <v>-321.28886999999997</v>
      </c>
      <c r="J146" s="809">
        <v>-321.28886999999997</v>
      </c>
      <c r="K146" s="809">
        <v>-321.28886999999997</v>
      </c>
      <c r="L146" s="809">
        <v>-321.28886999999997</v>
      </c>
      <c r="M146" s="809">
        <v>-321.28886999999997</v>
      </c>
      <c r="N146" s="809">
        <v>-321.28886999999997</v>
      </c>
      <c r="O146" s="809">
        <v>-321.28886999999997</v>
      </c>
      <c r="P146" s="809">
        <f t="shared" si="2"/>
        <v>-321.28886999999992</v>
      </c>
    </row>
    <row r="147" spans="2:16" x14ac:dyDescent="0.25">
      <c r="C147" s="811"/>
      <c r="D147" s="811"/>
      <c r="E147" s="811"/>
      <c r="F147" s="811"/>
      <c r="G147" s="811"/>
      <c r="H147" s="811"/>
      <c r="I147" s="811"/>
      <c r="J147" s="811"/>
      <c r="K147" s="811"/>
      <c r="L147" s="811"/>
      <c r="M147" s="811"/>
      <c r="N147" s="811"/>
      <c r="O147" s="811"/>
      <c r="P147" s="809">
        <f t="shared" si="2"/>
        <v>0</v>
      </c>
    </row>
    <row r="148" spans="2:16" x14ac:dyDescent="0.25">
      <c r="B148" s="683" t="s">
        <v>2210</v>
      </c>
      <c r="C148" s="811"/>
      <c r="D148" s="811"/>
      <c r="E148" s="811"/>
      <c r="F148" s="811"/>
      <c r="G148" s="811"/>
      <c r="H148" s="811"/>
      <c r="I148" s="811"/>
      <c r="J148" s="811"/>
      <c r="K148" s="811"/>
      <c r="L148" s="811"/>
      <c r="M148" s="811"/>
      <c r="N148" s="811"/>
      <c r="O148" s="811"/>
      <c r="P148" s="809">
        <f t="shared" si="2"/>
        <v>0</v>
      </c>
    </row>
    <row r="149" spans="2:16" x14ac:dyDescent="0.25">
      <c r="B149" s="683" t="s">
        <v>2211</v>
      </c>
      <c r="C149" s="809">
        <v>692545.40737378004</v>
      </c>
      <c r="D149" s="809">
        <v>692545.40737378004</v>
      </c>
      <c r="E149" s="809">
        <v>749041.53217735805</v>
      </c>
      <c r="F149" s="809">
        <v>749041.53217735805</v>
      </c>
      <c r="G149" s="809">
        <v>749041.53217735805</v>
      </c>
      <c r="H149" s="809">
        <v>749041.53217735805</v>
      </c>
      <c r="I149" s="809">
        <v>749041.53217735805</v>
      </c>
      <c r="J149" s="809">
        <v>749041.53217735805</v>
      </c>
      <c r="K149" s="809">
        <v>803156.62677780597</v>
      </c>
      <c r="L149" s="809">
        <v>803156.62677780597</v>
      </c>
      <c r="M149" s="809">
        <v>803156.62677780597</v>
      </c>
      <c r="N149" s="809">
        <v>803156.62677780597</v>
      </c>
      <c r="O149" s="809">
        <v>803156.62677780597</v>
      </c>
      <c r="P149" s="809">
        <f t="shared" si="2"/>
        <v>761163.31859236455</v>
      </c>
    </row>
    <row r="150" spans="2:16" x14ac:dyDescent="0.25">
      <c r="B150" s="683" t="s">
        <v>2212</v>
      </c>
      <c r="C150" s="809">
        <v>692545.40737378004</v>
      </c>
      <c r="D150" s="809">
        <v>692545.40737378004</v>
      </c>
      <c r="E150" s="809">
        <v>749041.53217735805</v>
      </c>
      <c r="F150" s="809">
        <v>749041.53217735805</v>
      </c>
      <c r="G150" s="809">
        <v>749041.53217735805</v>
      </c>
      <c r="H150" s="809">
        <v>749041.53217735805</v>
      </c>
      <c r="I150" s="809">
        <v>749041.53217735805</v>
      </c>
      <c r="J150" s="809">
        <v>749041.53217735805</v>
      </c>
      <c r="K150" s="809">
        <v>803156.62677780597</v>
      </c>
      <c r="L150" s="809">
        <v>803156.62677780597</v>
      </c>
      <c r="M150" s="809">
        <v>803156.62677780597</v>
      </c>
      <c r="N150" s="809">
        <v>803156.62677780597</v>
      </c>
      <c r="O150" s="809">
        <v>803156.62677780597</v>
      </c>
      <c r="P150" s="809">
        <f t="shared" si="2"/>
        <v>761163.31859236455</v>
      </c>
    </row>
    <row r="151" spans="2:16" x14ac:dyDescent="0.25">
      <c r="C151" s="811"/>
      <c r="D151" s="811"/>
      <c r="E151" s="811"/>
      <c r="F151" s="811"/>
      <c r="G151" s="811"/>
      <c r="H151" s="811"/>
      <c r="I151" s="811"/>
      <c r="J151" s="811"/>
      <c r="K151" s="811"/>
      <c r="L151" s="811"/>
      <c r="M151" s="811"/>
      <c r="N151" s="811"/>
      <c r="O151" s="811"/>
      <c r="P151" s="809">
        <f t="shared" si="2"/>
        <v>0</v>
      </c>
    </row>
    <row r="152" spans="2:16" x14ac:dyDescent="0.25">
      <c r="B152" s="683" t="s">
        <v>2213</v>
      </c>
      <c r="C152" s="811"/>
      <c r="D152" s="811"/>
      <c r="E152" s="811"/>
      <c r="F152" s="811"/>
      <c r="G152" s="811"/>
      <c r="H152" s="811"/>
      <c r="I152" s="811"/>
      <c r="J152" s="811"/>
      <c r="K152" s="811"/>
      <c r="L152" s="811"/>
      <c r="M152" s="811"/>
      <c r="N152" s="811"/>
      <c r="O152" s="811"/>
      <c r="P152" s="809">
        <f t="shared" si="2"/>
        <v>0</v>
      </c>
    </row>
    <row r="153" spans="2:16" x14ac:dyDescent="0.25">
      <c r="B153" s="683" t="s">
        <v>2214</v>
      </c>
      <c r="C153" s="809">
        <v>1922792.81795191</v>
      </c>
      <c r="D153" s="809">
        <v>1935465.46855153</v>
      </c>
      <c r="E153" s="809">
        <v>1901905.3814119101</v>
      </c>
      <c r="F153" s="809">
        <v>1923004.95163432</v>
      </c>
      <c r="G153" s="809">
        <v>1945771.1100057</v>
      </c>
      <c r="H153" s="809">
        <v>1904013.8708269501</v>
      </c>
      <c r="I153" s="809">
        <v>1909061.5541588</v>
      </c>
      <c r="J153" s="809">
        <v>1922402.7172555099</v>
      </c>
      <c r="K153" s="809">
        <v>1907909.34254783</v>
      </c>
      <c r="L153" s="809">
        <v>1938444.0708165299</v>
      </c>
      <c r="M153" s="809">
        <v>1960877.0047786401</v>
      </c>
      <c r="N153" s="809">
        <v>1904730.9444196101</v>
      </c>
      <c r="O153" s="809">
        <v>1910752.6180639199</v>
      </c>
      <c r="P153" s="809">
        <f t="shared" si="2"/>
        <v>1922087.0655710122</v>
      </c>
    </row>
    <row r="154" spans="2:16" x14ac:dyDescent="0.25">
      <c r="B154" s="683" t="s">
        <v>2213</v>
      </c>
      <c r="C154" s="809">
        <v>1922792.81795191</v>
      </c>
      <c r="D154" s="809">
        <v>1935465.46855153</v>
      </c>
      <c r="E154" s="809">
        <v>1901905.3814119101</v>
      </c>
      <c r="F154" s="809">
        <v>1923004.95163432</v>
      </c>
      <c r="G154" s="809">
        <v>1945771.1100057</v>
      </c>
      <c r="H154" s="809">
        <v>1904013.8708269501</v>
      </c>
      <c r="I154" s="809">
        <v>1909061.5541588</v>
      </c>
      <c r="J154" s="809">
        <v>1922402.7172555099</v>
      </c>
      <c r="K154" s="809">
        <v>1907909.34254783</v>
      </c>
      <c r="L154" s="809">
        <v>1938444.0708165299</v>
      </c>
      <c r="M154" s="809">
        <v>1960877.0047786401</v>
      </c>
      <c r="N154" s="809">
        <v>1904730.9444196101</v>
      </c>
      <c r="O154" s="809">
        <v>1910752.6180639199</v>
      </c>
      <c r="P154" s="809">
        <f t="shared" si="2"/>
        <v>1922087.0655710122</v>
      </c>
    </row>
    <row r="155" spans="2:16" x14ac:dyDescent="0.25">
      <c r="C155" s="811"/>
      <c r="D155" s="811"/>
      <c r="E155" s="811"/>
      <c r="F155" s="811"/>
      <c r="G155" s="811"/>
      <c r="H155" s="811"/>
      <c r="I155" s="811"/>
      <c r="J155" s="811"/>
      <c r="K155" s="811"/>
      <c r="L155" s="811"/>
      <c r="M155" s="811"/>
      <c r="N155" s="811"/>
      <c r="O155" s="811"/>
      <c r="P155" s="809">
        <f t="shared" si="2"/>
        <v>0</v>
      </c>
    </row>
    <row r="156" spans="2:16" x14ac:dyDescent="0.25">
      <c r="B156" s="683" t="s">
        <v>2215</v>
      </c>
      <c r="P156" s="809">
        <f t="shared" si="2"/>
        <v>0</v>
      </c>
    </row>
    <row r="157" spans="2:16" x14ac:dyDescent="0.25">
      <c r="B157" s="683" t="s">
        <v>2216</v>
      </c>
      <c r="C157" s="809">
        <v>1.0000000000000001E-5</v>
      </c>
      <c r="D157" s="809">
        <v>1.0000000000000001E-5</v>
      </c>
      <c r="E157" s="809">
        <v>1.0000000000000001E-5</v>
      </c>
      <c r="F157" s="809">
        <v>1.0000000000000001E-5</v>
      </c>
      <c r="G157" s="809">
        <v>1.0000000000000001E-5</v>
      </c>
      <c r="H157" s="809">
        <v>1.0000000000000001E-5</v>
      </c>
      <c r="I157" s="809">
        <v>1.0000000000000001E-5</v>
      </c>
      <c r="J157" s="809">
        <v>1.0000000000000001E-5</v>
      </c>
      <c r="K157" s="809">
        <v>1.0000000000000001E-5</v>
      </c>
      <c r="L157" s="809">
        <v>1.0000000000000001E-5</v>
      </c>
      <c r="M157" s="809">
        <v>1.0000000000000001E-5</v>
      </c>
      <c r="N157" s="809">
        <v>1.0000000000000001E-5</v>
      </c>
      <c r="O157" s="809">
        <v>1.0000000000000001E-5</v>
      </c>
      <c r="P157" s="809">
        <f t="shared" si="2"/>
        <v>1.0000000000000001E-5</v>
      </c>
    </row>
    <row r="158" spans="2:16" x14ac:dyDescent="0.25">
      <c r="B158" s="683" t="s">
        <v>2217</v>
      </c>
      <c r="C158" s="809">
        <v>0</v>
      </c>
      <c r="D158" s="809">
        <v>0</v>
      </c>
      <c r="E158" s="809">
        <v>0</v>
      </c>
      <c r="F158" s="809">
        <v>0</v>
      </c>
      <c r="G158" s="809">
        <v>0</v>
      </c>
      <c r="H158" s="809">
        <v>0</v>
      </c>
      <c r="I158" s="809">
        <v>0</v>
      </c>
      <c r="J158" s="809">
        <v>0</v>
      </c>
      <c r="K158" s="809">
        <v>0</v>
      </c>
      <c r="L158" s="809">
        <v>0</v>
      </c>
      <c r="M158" s="809">
        <v>0</v>
      </c>
      <c r="N158" s="809">
        <v>0</v>
      </c>
      <c r="O158" s="809">
        <v>0</v>
      </c>
      <c r="P158" s="809">
        <f t="shared" si="2"/>
        <v>0</v>
      </c>
    </row>
    <row r="159" spans="2:16" x14ac:dyDescent="0.25">
      <c r="B159" s="683" t="s">
        <v>2215</v>
      </c>
      <c r="C159" s="809">
        <v>1.0000000000000001E-5</v>
      </c>
      <c r="D159" s="809">
        <v>1.0000000000000001E-5</v>
      </c>
      <c r="E159" s="809">
        <v>1.0000000000000001E-5</v>
      </c>
      <c r="F159" s="809">
        <v>1.0000000000000001E-5</v>
      </c>
      <c r="G159" s="809">
        <v>1.0000000000000001E-5</v>
      </c>
      <c r="H159" s="809">
        <v>1.0000000000000001E-5</v>
      </c>
      <c r="I159" s="809">
        <v>1.0000000000000001E-5</v>
      </c>
      <c r="J159" s="809">
        <v>1.0000000000000001E-5</v>
      </c>
      <c r="K159" s="809">
        <v>1.0000000000000001E-5</v>
      </c>
      <c r="L159" s="809">
        <v>1.0000000000000001E-5</v>
      </c>
      <c r="M159" s="809">
        <v>1.0000000000000001E-5</v>
      </c>
      <c r="N159" s="809">
        <v>1.0000000000000001E-5</v>
      </c>
      <c r="O159" s="809">
        <v>1.0000000000000001E-5</v>
      </c>
      <c r="P159" s="809">
        <f t="shared" si="2"/>
        <v>1.0000000000000001E-5</v>
      </c>
    </row>
    <row r="160" spans="2:16" x14ac:dyDescent="0.25">
      <c r="C160" s="811"/>
      <c r="D160" s="811"/>
      <c r="E160" s="811"/>
      <c r="F160" s="811"/>
      <c r="G160" s="811"/>
      <c r="H160" s="811"/>
      <c r="I160" s="811"/>
      <c r="J160" s="811"/>
      <c r="K160" s="811"/>
      <c r="L160" s="811"/>
      <c r="M160" s="811"/>
      <c r="N160" s="811"/>
      <c r="O160" s="811"/>
      <c r="P160" s="809">
        <f t="shared" si="2"/>
        <v>0</v>
      </c>
    </row>
    <row r="161" spans="2:16" x14ac:dyDescent="0.25">
      <c r="C161" s="811"/>
      <c r="D161" s="811"/>
      <c r="E161" s="811"/>
      <c r="F161" s="811"/>
      <c r="G161" s="811"/>
      <c r="H161" s="811"/>
      <c r="I161" s="811"/>
      <c r="J161" s="811"/>
      <c r="K161" s="811"/>
      <c r="L161" s="811"/>
      <c r="M161" s="811"/>
      <c r="N161" s="811"/>
      <c r="O161" s="811"/>
      <c r="P161" s="809">
        <f t="shared" si="2"/>
        <v>0</v>
      </c>
    </row>
    <row r="162" spans="2:16" ht="15.75" thickBot="1" x14ac:dyDescent="0.3">
      <c r="B162" s="810" t="s">
        <v>2218</v>
      </c>
      <c r="C162" s="813">
        <v>2923156.9140257002</v>
      </c>
      <c r="D162" s="813">
        <v>2935829.5646253098</v>
      </c>
      <c r="E162" s="813">
        <v>2958765.6022892599</v>
      </c>
      <c r="F162" s="813">
        <v>2979865.1725116801</v>
      </c>
      <c r="G162" s="813">
        <v>3002631.3308830601</v>
      </c>
      <c r="H162" s="813">
        <v>2960874.0917043099</v>
      </c>
      <c r="I162" s="813">
        <v>2965921.7750361599</v>
      </c>
      <c r="J162" s="813">
        <v>2979262.93813287</v>
      </c>
      <c r="K162" s="813">
        <v>3018884.6580256298</v>
      </c>
      <c r="L162" s="813">
        <v>3049419.3862943398</v>
      </c>
      <c r="M162" s="813">
        <v>3071852.3202564502</v>
      </c>
      <c r="N162" s="813">
        <v>3015706.2598974202</v>
      </c>
      <c r="O162" s="813">
        <v>3021727.93354173</v>
      </c>
      <c r="P162" s="809">
        <f t="shared" si="2"/>
        <v>2991069.0728633781</v>
      </c>
    </row>
    <row r="163" spans="2:16" x14ac:dyDescent="0.25">
      <c r="P163" s="809">
        <f t="shared" si="2"/>
        <v>0</v>
      </c>
    </row>
    <row r="164" spans="2:16" x14ac:dyDescent="0.25">
      <c r="B164" s="810" t="s">
        <v>2219</v>
      </c>
      <c r="C164" s="811"/>
      <c r="D164" s="811"/>
      <c r="E164" s="811"/>
      <c r="F164" s="811"/>
      <c r="G164" s="811"/>
      <c r="H164" s="811"/>
      <c r="I164" s="811"/>
      <c r="J164" s="811"/>
      <c r="K164" s="811"/>
      <c r="L164" s="811"/>
      <c r="M164" s="811"/>
      <c r="N164" s="811"/>
      <c r="O164" s="811"/>
      <c r="P164" s="809">
        <f t="shared" si="2"/>
        <v>0</v>
      </c>
    </row>
    <row r="165" spans="2:16" x14ac:dyDescent="0.25">
      <c r="B165" s="683" t="s">
        <v>2220</v>
      </c>
      <c r="C165" s="811"/>
      <c r="D165" s="811"/>
      <c r="E165" s="811"/>
      <c r="F165" s="811"/>
      <c r="G165" s="811"/>
      <c r="H165" s="811"/>
      <c r="I165" s="811"/>
      <c r="J165" s="811"/>
      <c r="K165" s="811"/>
      <c r="L165" s="811"/>
      <c r="M165" s="811"/>
      <c r="N165" s="811"/>
      <c r="O165" s="811"/>
      <c r="P165" s="809">
        <f t="shared" si="2"/>
        <v>0</v>
      </c>
    </row>
    <row r="166" spans="2:16" x14ac:dyDescent="0.25">
      <c r="B166" s="683" t="s">
        <v>2221</v>
      </c>
      <c r="C166" s="809">
        <v>0</v>
      </c>
      <c r="D166" s="809">
        <v>0</v>
      </c>
      <c r="E166" s="809">
        <v>0</v>
      </c>
      <c r="F166" s="809">
        <v>0</v>
      </c>
      <c r="G166" s="809">
        <v>0</v>
      </c>
      <c r="H166" s="809">
        <v>500000</v>
      </c>
      <c r="I166" s="809">
        <v>500000</v>
      </c>
      <c r="J166" s="809">
        <v>500000</v>
      </c>
      <c r="K166" s="809">
        <v>500000</v>
      </c>
      <c r="L166" s="809">
        <v>500000</v>
      </c>
      <c r="M166" s="809">
        <v>500000</v>
      </c>
      <c r="N166" s="809">
        <v>500000</v>
      </c>
      <c r="O166" s="809">
        <v>500000</v>
      </c>
      <c r="P166" s="809">
        <f t="shared" si="2"/>
        <v>307692.30769230769</v>
      </c>
    </row>
    <row r="167" spans="2:16" x14ac:dyDescent="0.25">
      <c r="B167" s="683" t="s">
        <v>2222</v>
      </c>
      <c r="C167" s="809">
        <v>2341852.4049999998</v>
      </c>
      <c r="D167" s="809">
        <v>2641852.4049999998</v>
      </c>
      <c r="E167" s="809">
        <v>2641852.4049999998</v>
      </c>
      <c r="F167" s="809">
        <v>2641852.4049999998</v>
      </c>
      <c r="G167" s="809">
        <v>2641852.4049999998</v>
      </c>
      <c r="H167" s="809">
        <v>2141852.4049999998</v>
      </c>
      <c r="I167" s="809">
        <v>2141852.4049999998</v>
      </c>
      <c r="J167" s="809">
        <v>2141852.4049999998</v>
      </c>
      <c r="K167" s="809">
        <v>2141852.4049999998</v>
      </c>
      <c r="L167" s="809">
        <v>2141852.4049999998</v>
      </c>
      <c r="M167" s="809">
        <v>2141852.4049999998</v>
      </c>
      <c r="N167" s="809">
        <v>2141852.4049999998</v>
      </c>
      <c r="O167" s="809">
        <v>2141852.4049999998</v>
      </c>
      <c r="P167" s="809">
        <f t="shared" si="2"/>
        <v>2311083.1742307697</v>
      </c>
    </row>
    <row r="168" spans="2:16" ht="15.75" thickBot="1" x14ac:dyDescent="0.3">
      <c r="B168" s="683" t="s">
        <v>2223</v>
      </c>
      <c r="C168" s="812">
        <v>-7851.0086199999996</v>
      </c>
      <c r="D168" s="812">
        <v>-7805.2606800000003</v>
      </c>
      <c r="E168" s="812">
        <v>-7760.9884599999996</v>
      </c>
      <c r="F168" s="812">
        <v>-7715.2405099999996</v>
      </c>
      <c r="G168" s="812">
        <v>-7669.4925599999997</v>
      </c>
      <c r="H168" s="812">
        <v>-7625.2203499999996</v>
      </c>
      <c r="I168" s="812">
        <v>-7579.4723999999997</v>
      </c>
      <c r="J168" s="812">
        <v>-7535.2002000000002</v>
      </c>
      <c r="K168" s="812">
        <v>-7489.4522500000003</v>
      </c>
      <c r="L168" s="812">
        <v>-7443.7043000000003</v>
      </c>
      <c r="M168" s="812">
        <v>-7401.4273400000002</v>
      </c>
      <c r="N168" s="812">
        <v>-7355.6793900000002</v>
      </c>
      <c r="O168" s="812">
        <v>-7311.4071800000002</v>
      </c>
      <c r="P168" s="809">
        <f t="shared" si="2"/>
        <v>-7580.2734030769216</v>
      </c>
    </row>
    <row r="169" spans="2:16" x14ac:dyDescent="0.25">
      <c r="B169" s="683" t="s">
        <v>2220</v>
      </c>
      <c r="C169" s="809">
        <v>2334001.3963799998</v>
      </c>
      <c r="D169" s="809">
        <v>2634047.14432</v>
      </c>
      <c r="E169" s="809">
        <v>2634091.4165400001</v>
      </c>
      <c r="F169" s="809">
        <v>2634137.1644899999</v>
      </c>
      <c r="G169" s="809">
        <v>2634182.9124400001</v>
      </c>
      <c r="H169" s="809">
        <v>2634227.1846500002</v>
      </c>
      <c r="I169" s="809">
        <v>2634272.9325999999</v>
      </c>
      <c r="J169" s="809">
        <v>2634317.2047999999</v>
      </c>
      <c r="K169" s="809">
        <v>2634362.9527500002</v>
      </c>
      <c r="L169" s="809">
        <v>2634408.7006999999</v>
      </c>
      <c r="M169" s="809">
        <v>2634450.9776599999</v>
      </c>
      <c r="N169" s="809">
        <v>2634496.7256100001</v>
      </c>
      <c r="O169" s="809">
        <v>2634540.9978200002</v>
      </c>
      <c r="P169" s="809">
        <f t="shared" si="2"/>
        <v>2611195.2085199999</v>
      </c>
    </row>
    <row r="170" spans="2:16" x14ac:dyDescent="0.25">
      <c r="C170" s="811"/>
      <c r="D170" s="811"/>
      <c r="E170" s="811"/>
      <c r="F170" s="811"/>
      <c r="G170" s="811"/>
      <c r="H170" s="811"/>
      <c r="I170" s="811"/>
      <c r="J170" s="811"/>
      <c r="K170" s="811"/>
      <c r="L170" s="811"/>
      <c r="M170" s="811"/>
      <c r="N170" s="811"/>
      <c r="O170" s="811"/>
      <c r="P170" s="809">
        <f t="shared" si="2"/>
        <v>0</v>
      </c>
    </row>
    <row r="171" spans="2:16" x14ac:dyDescent="0.25">
      <c r="B171" s="683" t="s">
        <v>2224</v>
      </c>
      <c r="P171" s="809">
        <f t="shared" si="2"/>
        <v>0</v>
      </c>
    </row>
    <row r="172" spans="2:16" x14ac:dyDescent="0.25">
      <c r="C172" s="811"/>
      <c r="D172" s="811"/>
      <c r="E172" s="811"/>
      <c r="F172" s="811"/>
      <c r="G172" s="811"/>
      <c r="H172" s="811"/>
      <c r="I172" s="811"/>
      <c r="J172" s="811"/>
      <c r="K172" s="811"/>
      <c r="L172" s="811"/>
      <c r="M172" s="811"/>
      <c r="N172" s="811"/>
      <c r="O172" s="811"/>
      <c r="P172" s="809">
        <f t="shared" si="2"/>
        <v>0</v>
      </c>
    </row>
    <row r="173" spans="2:16" ht="15.75" thickBot="1" x14ac:dyDescent="0.3">
      <c r="B173" s="810" t="s">
        <v>2225</v>
      </c>
      <c r="C173" s="813">
        <v>2334001.3963799998</v>
      </c>
      <c r="D173" s="813">
        <v>2634047.14432</v>
      </c>
      <c r="E173" s="813">
        <v>2634091.4165400001</v>
      </c>
      <c r="F173" s="813">
        <v>2634137.1644899999</v>
      </c>
      <c r="G173" s="813">
        <v>2634182.9124400001</v>
      </c>
      <c r="H173" s="813">
        <v>2634227.1846500002</v>
      </c>
      <c r="I173" s="813">
        <v>2634272.9325999999</v>
      </c>
      <c r="J173" s="813">
        <v>2634317.2047999999</v>
      </c>
      <c r="K173" s="813">
        <v>2634362.9527500002</v>
      </c>
      <c r="L173" s="813">
        <v>2634408.7006999999</v>
      </c>
      <c r="M173" s="813">
        <v>2634450.9776599999</v>
      </c>
      <c r="N173" s="813">
        <v>2634496.7256100001</v>
      </c>
      <c r="O173" s="813">
        <v>2634540.9978200002</v>
      </c>
      <c r="P173" s="809">
        <f t="shared" si="2"/>
        <v>2611195.2085199999</v>
      </c>
    </row>
    <row r="174" spans="2:16" x14ac:dyDescent="0.25">
      <c r="P174" s="809">
        <f t="shared" si="2"/>
        <v>0</v>
      </c>
    </row>
    <row r="175" spans="2:16" x14ac:dyDescent="0.25">
      <c r="B175" s="810" t="s">
        <v>2226</v>
      </c>
      <c r="C175" s="816">
        <v>5257158.3104056995</v>
      </c>
      <c r="D175" s="816">
        <v>5569876.7089453097</v>
      </c>
      <c r="E175" s="816">
        <v>5592857.01882926</v>
      </c>
      <c r="F175" s="816">
        <v>5614002.3370016804</v>
      </c>
      <c r="G175" s="816">
        <v>5636814.2433230598</v>
      </c>
      <c r="H175" s="816">
        <v>5595101.2763543101</v>
      </c>
      <c r="I175" s="816">
        <v>5600194.7076361598</v>
      </c>
      <c r="J175" s="816">
        <v>5613580.1429328704</v>
      </c>
      <c r="K175" s="816">
        <v>5653247.61077563</v>
      </c>
      <c r="L175" s="816">
        <v>5683828.0869943397</v>
      </c>
      <c r="M175" s="816">
        <v>5706303.2979164496</v>
      </c>
      <c r="N175" s="816">
        <v>5650202.9855074203</v>
      </c>
      <c r="O175" s="816">
        <v>5656268.9313617302</v>
      </c>
      <c r="P175" s="809">
        <f t="shared" si="2"/>
        <v>5602264.2813833784</v>
      </c>
    </row>
    <row r="176" spans="2:16" x14ac:dyDescent="0.25">
      <c r="P176" s="809">
        <f t="shared" si="2"/>
        <v>0</v>
      </c>
    </row>
    <row r="177" spans="2:16" x14ac:dyDescent="0.25">
      <c r="B177" s="810" t="s">
        <v>2227</v>
      </c>
      <c r="C177" s="811"/>
      <c r="D177" s="811"/>
      <c r="E177" s="811"/>
      <c r="F177" s="811"/>
      <c r="G177" s="811"/>
      <c r="H177" s="811"/>
      <c r="I177" s="811"/>
      <c r="J177" s="811"/>
      <c r="K177" s="811"/>
      <c r="L177" s="811"/>
      <c r="M177" s="811"/>
      <c r="N177" s="811"/>
      <c r="O177" s="811"/>
      <c r="P177" s="809">
        <f t="shared" si="2"/>
        <v>0</v>
      </c>
    </row>
    <row r="178" spans="2:16" x14ac:dyDescent="0.25">
      <c r="B178" s="683" t="s">
        <v>2228</v>
      </c>
      <c r="P178" s="809">
        <f t="shared" si="2"/>
        <v>0</v>
      </c>
    </row>
    <row r="179" spans="2:16" x14ac:dyDescent="0.25">
      <c r="C179" s="811"/>
      <c r="D179" s="811"/>
      <c r="E179" s="811"/>
      <c r="F179" s="811"/>
      <c r="G179" s="811"/>
      <c r="H179" s="811"/>
      <c r="I179" s="811"/>
      <c r="J179" s="811"/>
      <c r="K179" s="811"/>
      <c r="L179" s="811"/>
      <c r="M179" s="811"/>
      <c r="N179" s="811"/>
      <c r="O179" s="811"/>
      <c r="P179" s="809">
        <f t="shared" si="2"/>
        <v>0</v>
      </c>
    </row>
    <row r="180" spans="2:16" x14ac:dyDescent="0.25">
      <c r="B180" s="683" t="s">
        <v>2229</v>
      </c>
      <c r="C180" s="811"/>
      <c r="D180" s="811"/>
      <c r="E180" s="811"/>
      <c r="F180" s="811"/>
      <c r="G180" s="811"/>
      <c r="H180" s="811"/>
      <c r="I180" s="811"/>
      <c r="J180" s="811"/>
      <c r="K180" s="811"/>
      <c r="L180" s="811"/>
      <c r="M180" s="811"/>
      <c r="N180" s="811"/>
      <c r="O180" s="811"/>
      <c r="P180" s="809">
        <f t="shared" si="2"/>
        <v>0</v>
      </c>
    </row>
    <row r="181" spans="2:16" x14ac:dyDescent="0.25">
      <c r="B181" s="683" t="s">
        <v>2230</v>
      </c>
      <c r="C181" s="809">
        <v>294953.04049997003</v>
      </c>
      <c r="D181" s="809">
        <v>25810.7987309571</v>
      </c>
      <c r="E181" s="809">
        <v>16352.825790241401</v>
      </c>
      <c r="F181" s="809">
        <v>9017.6203669896404</v>
      </c>
      <c r="G181" s="809">
        <v>0</v>
      </c>
      <c r="H181" s="809">
        <v>18511.1923159832</v>
      </c>
      <c r="I181" s="809">
        <v>39485.916253908799</v>
      </c>
      <c r="J181" s="809">
        <v>94400.194380517802</v>
      </c>
      <c r="K181" s="809">
        <v>69058.301998134193</v>
      </c>
      <c r="L181" s="809">
        <v>48137.962300760599</v>
      </c>
      <c r="M181" s="809">
        <v>793.25402215404699</v>
      </c>
      <c r="N181" s="809">
        <v>65288.436906891002</v>
      </c>
      <c r="O181" s="809">
        <v>100670.90109683599</v>
      </c>
      <c r="P181" s="809">
        <f t="shared" si="2"/>
        <v>60190.803435641821</v>
      </c>
    </row>
    <row r="182" spans="2:16" x14ac:dyDescent="0.25">
      <c r="B182" s="683" t="s">
        <v>2229</v>
      </c>
      <c r="C182" s="809">
        <v>294953.04049997003</v>
      </c>
      <c r="D182" s="809">
        <v>25810.7987309571</v>
      </c>
      <c r="E182" s="809">
        <v>16352.825790241401</v>
      </c>
      <c r="F182" s="809">
        <v>9017.6203669896404</v>
      </c>
      <c r="G182" s="809">
        <v>0</v>
      </c>
      <c r="H182" s="809">
        <v>18511.1923159832</v>
      </c>
      <c r="I182" s="809">
        <v>39485.916253908799</v>
      </c>
      <c r="J182" s="809">
        <v>94400.194380517802</v>
      </c>
      <c r="K182" s="809">
        <v>69058.301998134193</v>
      </c>
      <c r="L182" s="809">
        <v>48137.962300760599</v>
      </c>
      <c r="M182" s="809">
        <v>793.25402215404699</v>
      </c>
      <c r="N182" s="809">
        <v>65288.436906891002</v>
      </c>
      <c r="O182" s="809">
        <v>100670.90109683599</v>
      </c>
      <c r="P182" s="809">
        <f t="shared" si="2"/>
        <v>60190.803435641821</v>
      </c>
    </row>
    <row r="183" spans="2:16" x14ac:dyDescent="0.25">
      <c r="C183" s="811"/>
      <c r="D183" s="811"/>
      <c r="E183" s="811"/>
      <c r="F183" s="811"/>
      <c r="G183" s="811"/>
      <c r="H183" s="811"/>
      <c r="I183" s="811"/>
      <c r="J183" s="811"/>
      <c r="K183" s="811"/>
      <c r="L183" s="811"/>
      <c r="M183" s="811"/>
      <c r="N183" s="811"/>
      <c r="O183" s="811"/>
      <c r="P183" s="809">
        <f t="shared" si="2"/>
        <v>0</v>
      </c>
    </row>
    <row r="184" spans="2:16" x14ac:dyDescent="0.25">
      <c r="B184" s="683" t="s">
        <v>2231</v>
      </c>
      <c r="C184" s="811"/>
      <c r="D184" s="811"/>
      <c r="E184" s="811"/>
      <c r="F184" s="811"/>
      <c r="G184" s="811"/>
      <c r="H184" s="811"/>
      <c r="I184" s="811"/>
      <c r="J184" s="811"/>
      <c r="K184" s="811"/>
      <c r="L184" s="811"/>
      <c r="M184" s="811"/>
      <c r="N184" s="811"/>
      <c r="O184" s="811"/>
      <c r="P184" s="809">
        <f t="shared" si="2"/>
        <v>0</v>
      </c>
    </row>
    <row r="185" spans="2:16" x14ac:dyDescent="0.25">
      <c r="B185" s="683" t="s">
        <v>2232</v>
      </c>
      <c r="C185" s="809">
        <v>4158.8308868786498</v>
      </c>
      <c r="D185" s="809">
        <v>4683.31979180704</v>
      </c>
      <c r="E185" s="809">
        <v>5123.4278460320702</v>
      </c>
      <c r="F185" s="809">
        <v>5646.4115360600299</v>
      </c>
      <c r="G185" s="809">
        <v>6167.5615115187302</v>
      </c>
      <c r="H185" s="809">
        <v>6632.7153546607096</v>
      </c>
      <c r="I185" s="809">
        <v>7182.4140170219198</v>
      </c>
      <c r="J185" s="809">
        <v>7649.2975672529701</v>
      </c>
      <c r="K185" s="809">
        <v>8091.3115947216502</v>
      </c>
      <c r="L185" s="809">
        <v>8624.5881672037594</v>
      </c>
      <c r="M185" s="809">
        <v>9083.9852686573504</v>
      </c>
      <c r="N185" s="809">
        <v>3719.8326744513001</v>
      </c>
      <c r="O185" s="809">
        <v>4231.4240088247498</v>
      </c>
      <c r="P185" s="809">
        <f t="shared" si="2"/>
        <v>6230.3938634685328</v>
      </c>
    </row>
    <row r="186" spans="2:16" x14ac:dyDescent="0.25">
      <c r="B186" s="683" t="s">
        <v>2233</v>
      </c>
      <c r="C186" s="809">
        <v>125139.00471756799</v>
      </c>
      <c r="D186" s="809">
        <v>122918.070740642</v>
      </c>
      <c r="E186" s="809">
        <v>123759.747607</v>
      </c>
      <c r="F186" s="809">
        <v>123788.571523411</v>
      </c>
      <c r="G186" s="809">
        <v>122190.148866508</v>
      </c>
      <c r="H186" s="809">
        <v>121030.872974827</v>
      </c>
      <c r="I186" s="809">
        <v>127226.11541059799</v>
      </c>
      <c r="J186" s="809">
        <v>122904.568135532</v>
      </c>
      <c r="K186" s="809">
        <v>118349.833208565</v>
      </c>
      <c r="L186" s="809">
        <v>111369.834733528</v>
      </c>
      <c r="M186" s="809">
        <v>114489.45218946799</v>
      </c>
      <c r="N186" s="809">
        <v>123905.586223138</v>
      </c>
      <c r="O186" s="809">
        <v>122892.102695801</v>
      </c>
      <c r="P186" s="809">
        <f t="shared" si="2"/>
        <v>121535.6853097374</v>
      </c>
    </row>
    <row r="187" spans="2:16" ht="15.75" thickBot="1" x14ac:dyDescent="0.3">
      <c r="B187" s="683" t="s">
        <v>2234</v>
      </c>
      <c r="C187" s="812">
        <v>5878.8361199999999</v>
      </c>
      <c r="D187" s="812">
        <v>5878.8361199999999</v>
      </c>
      <c r="E187" s="812">
        <v>5878.8361199999999</v>
      </c>
      <c r="F187" s="812">
        <v>5878.8361199999999</v>
      </c>
      <c r="G187" s="812">
        <v>5878.8361199999999</v>
      </c>
      <c r="H187" s="812">
        <v>5878.8361199999999</v>
      </c>
      <c r="I187" s="812">
        <v>5878.8361199999999</v>
      </c>
      <c r="J187" s="812">
        <v>5878.8361199999999</v>
      </c>
      <c r="K187" s="812">
        <v>5878.8361199999999</v>
      </c>
      <c r="L187" s="812">
        <v>5878.8361199999999</v>
      </c>
      <c r="M187" s="812">
        <v>5878.8361199999999</v>
      </c>
      <c r="N187" s="812">
        <v>5878.8361199999999</v>
      </c>
      <c r="O187" s="812">
        <v>5878.8361199999999</v>
      </c>
      <c r="P187" s="809">
        <f t="shared" si="2"/>
        <v>5878.836119999999</v>
      </c>
    </row>
    <row r="188" spans="2:16" x14ac:dyDescent="0.25">
      <c r="B188" s="683" t="s">
        <v>2231</v>
      </c>
      <c r="C188" s="809">
        <v>135176.67172444699</v>
      </c>
      <c r="D188" s="809">
        <v>133480.226652449</v>
      </c>
      <c r="E188" s="809">
        <v>134762.01157303201</v>
      </c>
      <c r="F188" s="809">
        <v>135313.819179471</v>
      </c>
      <c r="G188" s="809">
        <v>134236.546498026</v>
      </c>
      <c r="H188" s="809">
        <v>133542.424449488</v>
      </c>
      <c r="I188" s="809">
        <v>140287.36554761999</v>
      </c>
      <c r="J188" s="809">
        <v>136432.70182278499</v>
      </c>
      <c r="K188" s="809">
        <v>132319.980923286</v>
      </c>
      <c r="L188" s="809">
        <v>125873.259020731</v>
      </c>
      <c r="M188" s="809">
        <v>129452.27357812499</v>
      </c>
      <c r="N188" s="809">
        <v>133504.25501758899</v>
      </c>
      <c r="O188" s="809">
        <v>133002.36282462601</v>
      </c>
      <c r="P188" s="809">
        <f t="shared" si="2"/>
        <v>133644.91529320579</v>
      </c>
    </row>
    <row r="189" spans="2:16" x14ac:dyDescent="0.25">
      <c r="C189" s="811"/>
      <c r="D189" s="811"/>
      <c r="E189" s="811"/>
      <c r="F189" s="811"/>
      <c r="G189" s="811"/>
      <c r="H189" s="811"/>
      <c r="I189" s="811"/>
      <c r="J189" s="811"/>
      <c r="K189" s="811"/>
      <c r="L189" s="811"/>
      <c r="M189" s="811"/>
      <c r="N189" s="811"/>
      <c r="O189" s="811"/>
      <c r="P189" s="809">
        <f t="shared" si="2"/>
        <v>0</v>
      </c>
    </row>
    <row r="190" spans="2:16" x14ac:dyDescent="0.25">
      <c r="B190" s="683" t="s">
        <v>2235</v>
      </c>
      <c r="C190" s="811"/>
      <c r="D190" s="811"/>
      <c r="E190" s="811"/>
      <c r="F190" s="811"/>
      <c r="G190" s="811"/>
      <c r="H190" s="811"/>
      <c r="I190" s="811"/>
      <c r="J190" s="811"/>
      <c r="K190" s="811"/>
      <c r="L190" s="811"/>
      <c r="M190" s="811"/>
      <c r="N190" s="811"/>
      <c r="O190" s="811"/>
      <c r="P190" s="809">
        <f t="shared" si="2"/>
        <v>0</v>
      </c>
    </row>
    <row r="191" spans="2:16" ht="15.75" thickBot="1" x14ac:dyDescent="0.3">
      <c r="B191" s="683" t="s">
        <v>2236</v>
      </c>
      <c r="C191" s="812">
        <v>2772.6395299999899</v>
      </c>
      <c r="D191" s="812">
        <v>2511.0443299999902</v>
      </c>
      <c r="E191" s="812">
        <v>1834.7549299999901</v>
      </c>
      <c r="F191" s="812">
        <v>1779.9694299999901</v>
      </c>
      <c r="G191" s="812">
        <v>1941.60752999999</v>
      </c>
      <c r="H191" s="812">
        <v>2752.4137299999902</v>
      </c>
      <c r="I191" s="812">
        <v>3318.0635299999899</v>
      </c>
      <c r="J191" s="812">
        <v>5848.1894300000004</v>
      </c>
      <c r="K191" s="812">
        <v>7101.2389300000004</v>
      </c>
      <c r="L191" s="812">
        <v>7428.5877299999902</v>
      </c>
      <c r="M191" s="812">
        <v>5745.6041299999997</v>
      </c>
      <c r="N191" s="812">
        <v>9935.5712299999996</v>
      </c>
      <c r="O191" s="812">
        <v>3907.11752999999</v>
      </c>
      <c r="P191" s="809">
        <f t="shared" si="2"/>
        <v>4375.1386146153782</v>
      </c>
    </row>
    <row r="192" spans="2:16" ht="15.75" thickBot="1" x14ac:dyDescent="0.3">
      <c r="B192" s="683" t="s">
        <v>2237</v>
      </c>
      <c r="C192" s="812">
        <v>41418.182106426699</v>
      </c>
      <c r="D192" s="812">
        <v>41418.182106426699</v>
      </c>
      <c r="E192" s="812">
        <v>41607.605898928501</v>
      </c>
      <c r="F192" s="812">
        <v>41418.182106426699</v>
      </c>
      <c r="G192" s="812">
        <v>41418.182106426699</v>
      </c>
      <c r="H192" s="812">
        <v>41607.605898928501</v>
      </c>
      <c r="I192" s="812">
        <v>41418.182106426699</v>
      </c>
      <c r="J192" s="812">
        <v>41418.182106426699</v>
      </c>
      <c r="K192" s="812">
        <v>41607.605898928501</v>
      </c>
      <c r="L192" s="812">
        <v>41418.182106426699</v>
      </c>
      <c r="M192" s="812">
        <v>41418.182106426699</v>
      </c>
      <c r="N192" s="812">
        <v>41518.504528539903</v>
      </c>
      <c r="O192" s="812">
        <v>41418.182106426699</v>
      </c>
      <c r="P192" s="809">
        <f t="shared" si="2"/>
        <v>41469.612398705052</v>
      </c>
    </row>
    <row r="193" spans="1:16" x14ac:dyDescent="0.25">
      <c r="B193" s="683" t="s">
        <v>2235</v>
      </c>
      <c r="C193" s="809">
        <v>44190.821636426699</v>
      </c>
      <c r="D193" s="809">
        <v>43929.226436426703</v>
      </c>
      <c r="E193" s="809">
        <v>43442.360828928497</v>
      </c>
      <c r="F193" s="809">
        <v>43198.151536426703</v>
      </c>
      <c r="G193" s="809">
        <v>43359.7896364267</v>
      </c>
      <c r="H193" s="809">
        <v>44360.019628928501</v>
      </c>
      <c r="I193" s="809">
        <v>44736.245636426698</v>
      </c>
      <c r="J193" s="809">
        <v>47266.371536426697</v>
      </c>
      <c r="K193" s="809">
        <v>48708.844828928501</v>
      </c>
      <c r="L193" s="809">
        <v>48846.769836426698</v>
      </c>
      <c r="M193" s="809">
        <v>47163.786236426698</v>
      </c>
      <c r="N193" s="809">
        <v>51454.075758539897</v>
      </c>
      <c r="O193" s="809">
        <v>45325.299636426702</v>
      </c>
      <c r="P193" s="809">
        <f t="shared" si="2"/>
        <v>45844.751013320434</v>
      </c>
    </row>
    <row r="194" spans="1:16" x14ac:dyDescent="0.25">
      <c r="C194" s="811"/>
      <c r="D194" s="811"/>
      <c r="E194" s="811"/>
      <c r="F194" s="811"/>
      <c r="G194" s="811"/>
      <c r="H194" s="811"/>
      <c r="I194" s="811"/>
      <c r="J194" s="811"/>
      <c r="K194" s="811"/>
      <c r="L194" s="811"/>
      <c r="M194" s="811"/>
      <c r="N194" s="811"/>
      <c r="O194" s="811"/>
      <c r="P194" s="809">
        <f t="shared" si="2"/>
        <v>0</v>
      </c>
    </row>
    <row r="195" spans="1:16" x14ac:dyDescent="0.25">
      <c r="B195" s="683" t="s">
        <v>2238</v>
      </c>
      <c r="C195" s="809">
        <v>30898.393370000002</v>
      </c>
      <c r="D195" s="809">
        <v>30898.393370000002</v>
      </c>
      <c r="E195" s="809">
        <v>30898.393370000002</v>
      </c>
      <c r="F195" s="809">
        <v>30898.393370000002</v>
      </c>
      <c r="G195" s="809">
        <v>30898.393370000002</v>
      </c>
      <c r="H195" s="809">
        <v>30898.393370000002</v>
      </c>
      <c r="I195" s="809">
        <v>30898.393370000002</v>
      </c>
      <c r="J195" s="809">
        <v>30898.393370000002</v>
      </c>
      <c r="K195" s="809">
        <v>30898.393370000002</v>
      </c>
      <c r="L195" s="809">
        <v>30898.393370000002</v>
      </c>
      <c r="M195" s="809">
        <v>30898.393370000002</v>
      </c>
      <c r="N195" s="809">
        <v>30898.393370000002</v>
      </c>
      <c r="O195" s="809">
        <v>30898.393370000002</v>
      </c>
      <c r="P195" s="809">
        <f t="shared" si="2"/>
        <v>30898.393370000002</v>
      </c>
    </row>
    <row r="196" spans="1:16" x14ac:dyDescent="0.25">
      <c r="C196" s="811"/>
      <c r="D196" s="811"/>
      <c r="E196" s="811"/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09">
        <f t="shared" si="2"/>
        <v>0</v>
      </c>
    </row>
    <row r="197" spans="1:16" x14ac:dyDescent="0.25">
      <c r="B197" s="683" t="s">
        <v>2239</v>
      </c>
      <c r="C197" s="809">
        <v>14642.9368996064</v>
      </c>
      <c r="D197" s="809">
        <v>21505.420997474899</v>
      </c>
      <c r="E197" s="809">
        <v>16212.3677372333</v>
      </c>
      <c r="F197" s="809">
        <v>25877.587584081499</v>
      </c>
      <c r="G197" s="809">
        <v>36095.395900541102</v>
      </c>
      <c r="H197" s="809">
        <v>28080.597927050199</v>
      </c>
      <c r="I197" s="809">
        <v>15948.6825393082</v>
      </c>
      <c r="J197" s="809">
        <v>23031.364434851599</v>
      </c>
      <c r="K197" s="809">
        <v>20002.014562016298</v>
      </c>
      <c r="L197" s="809">
        <v>28812.3660020385</v>
      </c>
      <c r="M197" s="809">
        <v>28413.439042354501</v>
      </c>
      <c r="N197" s="809">
        <v>28391.625117386298</v>
      </c>
      <c r="O197" s="809">
        <v>13458.436177809301</v>
      </c>
      <c r="P197" s="809">
        <f t="shared" si="2"/>
        <v>23113.24884013478</v>
      </c>
    </row>
    <row r="198" spans="1:16" x14ac:dyDescent="0.25">
      <c r="C198" s="811"/>
      <c r="D198" s="811"/>
      <c r="E198" s="811"/>
      <c r="F198" s="811"/>
      <c r="G198" s="811"/>
      <c r="H198" s="811"/>
      <c r="I198" s="811"/>
      <c r="J198" s="811"/>
      <c r="K198" s="811"/>
      <c r="L198" s="811"/>
      <c r="M198" s="811"/>
      <c r="N198" s="811"/>
      <c r="O198" s="811"/>
      <c r="P198" s="809">
        <f t="shared" si="2"/>
        <v>0</v>
      </c>
    </row>
    <row r="199" spans="1:16" x14ac:dyDescent="0.25">
      <c r="B199" s="683" t="s">
        <v>2240</v>
      </c>
      <c r="P199" s="809">
        <f t="shared" si="2"/>
        <v>0</v>
      </c>
    </row>
    <row r="200" spans="1:16" x14ac:dyDescent="0.25">
      <c r="B200" s="683" t="s">
        <v>2241</v>
      </c>
      <c r="C200" s="809">
        <v>35108.707683458299</v>
      </c>
      <c r="D200" s="809">
        <v>10309.5190016666</v>
      </c>
      <c r="E200" s="809">
        <v>18561.142765625002</v>
      </c>
      <c r="F200" s="809">
        <v>27113.496944270799</v>
      </c>
      <c r="G200" s="809">
        <v>35461.815876666602</v>
      </c>
      <c r="H200" s="809">
        <v>43512.560384812503</v>
      </c>
      <c r="I200" s="809">
        <v>42577.291074675697</v>
      </c>
      <c r="J200" s="809">
        <v>9290.1774976015604</v>
      </c>
      <c r="K200" s="809">
        <v>17651.374535152299</v>
      </c>
      <c r="L200" s="809">
        <v>26312.711445140601</v>
      </c>
      <c r="M200" s="809">
        <v>34750.962116503899</v>
      </c>
      <c r="N200" s="809">
        <v>42292.3095703125</v>
      </c>
      <c r="O200" s="809">
        <v>41361.0512678632</v>
      </c>
      <c r="P200" s="809">
        <f t="shared" si="2"/>
        <v>29561.778474134582</v>
      </c>
    </row>
    <row r="201" spans="1:16" x14ac:dyDescent="0.25">
      <c r="B201" s="683" t="s">
        <v>2240</v>
      </c>
      <c r="C201" s="809">
        <v>35108.707683458299</v>
      </c>
      <c r="D201" s="809">
        <v>10309.5190016666</v>
      </c>
      <c r="E201" s="809">
        <v>18561.142765625002</v>
      </c>
      <c r="F201" s="809">
        <v>27113.496944270799</v>
      </c>
      <c r="G201" s="809">
        <v>35461.815876666602</v>
      </c>
      <c r="H201" s="809">
        <v>43512.560384812503</v>
      </c>
      <c r="I201" s="809">
        <v>42577.291074675697</v>
      </c>
      <c r="J201" s="809">
        <v>9290.1774976015604</v>
      </c>
      <c r="K201" s="809">
        <v>17651.374535152299</v>
      </c>
      <c r="L201" s="809">
        <v>26312.711445140601</v>
      </c>
      <c r="M201" s="809">
        <v>34750.962116503899</v>
      </c>
      <c r="N201" s="809">
        <v>42292.3095703125</v>
      </c>
      <c r="O201" s="809">
        <v>41361.0512678632</v>
      </c>
      <c r="P201" s="809">
        <f t="shared" si="2"/>
        <v>29561.778474134582</v>
      </c>
    </row>
    <row r="202" spans="1:16" x14ac:dyDescent="0.25">
      <c r="C202" s="811"/>
      <c r="D202" s="811"/>
      <c r="E202" s="811"/>
      <c r="F202" s="811"/>
      <c r="G202" s="811"/>
      <c r="H202" s="811"/>
      <c r="I202" s="811"/>
      <c r="J202" s="811"/>
      <c r="K202" s="811"/>
      <c r="L202" s="811"/>
      <c r="M202" s="811"/>
      <c r="N202" s="811"/>
      <c r="O202" s="811"/>
      <c r="P202" s="809">
        <f t="shared" si="2"/>
        <v>0</v>
      </c>
    </row>
    <row r="203" spans="1:16" x14ac:dyDescent="0.25">
      <c r="B203" s="683" t="s">
        <v>2242</v>
      </c>
      <c r="C203" s="809">
        <v>0</v>
      </c>
      <c r="D203" s="809">
        <v>0</v>
      </c>
      <c r="E203" s="809">
        <v>0</v>
      </c>
      <c r="F203" s="809">
        <v>0</v>
      </c>
      <c r="G203" s="809">
        <v>0</v>
      </c>
      <c r="H203" s="809">
        <v>0</v>
      </c>
      <c r="I203" s="809">
        <v>0</v>
      </c>
      <c r="J203" s="809">
        <v>0</v>
      </c>
      <c r="K203" s="809">
        <v>0</v>
      </c>
      <c r="L203" s="809">
        <v>0</v>
      </c>
      <c r="M203" s="809">
        <v>0</v>
      </c>
      <c r="N203" s="809">
        <v>0</v>
      </c>
      <c r="O203" s="809">
        <v>0</v>
      </c>
      <c r="P203" s="809">
        <f t="shared" ref="P203:P266" si="3">SUM(C203:O203)/13</f>
        <v>0</v>
      </c>
    </row>
    <row r="204" spans="1:16" x14ac:dyDescent="0.25">
      <c r="C204" s="811"/>
      <c r="D204" s="811"/>
      <c r="E204" s="811"/>
      <c r="F204" s="811"/>
      <c r="G204" s="811"/>
      <c r="H204" s="811"/>
      <c r="I204" s="811"/>
      <c r="J204" s="811"/>
      <c r="K204" s="811"/>
      <c r="L204" s="811"/>
      <c r="M204" s="811"/>
      <c r="N204" s="811"/>
      <c r="O204" s="811"/>
      <c r="P204" s="809">
        <f t="shared" si="3"/>
        <v>0</v>
      </c>
    </row>
    <row r="205" spans="1:16" x14ac:dyDescent="0.25">
      <c r="B205" s="683" t="s">
        <v>2243</v>
      </c>
      <c r="C205" s="811"/>
      <c r="D205" s="811"/>
      <c r="E205" s="811"/>
      <c r="F205" s="811"/>
      <c r="G205" s="811"/>
      <c r="H205" s="811"/>
      <c r="I205" s="811"/>
      <c r="J205" s="811"/>
      <c r="K205" s="811"/>
      <c r="L205" s="811"/>
      <c r="M205" s="811"/>
      <c r="N205" s="811"/>
      <c r="O205" s="811"/>
      <c r="P205" s="809">
        <f t="shared" si="3"/>
        <v>0</v>
      </c>
    </row>
    <row r="206" spans="1:16" x14ac:dyDescent="0.25">
      <c r="B206" s="683" t="s">
        <v>2244</v>
      </c>
      <c r="C206" s="809">
        <v>4042.39122</v>
      </c>
      <c r="D206" s="809">
        <v>4042.39122</v>
      </c>
      <c r="E206" s="809">
        <v>4042.39122</v>
      </c>
      <c r="F206" s="809">
        <v>4042.39122</v>
      </c>
      <c r="G206" s="809">
        <v>4042.39122</v>
      </c>
      <c r="H206" s="809">
        <v>4042.39122</v>
      </c>
      <c r="I206" s="809">
        <v>4042.39122</v>
      </c>
      <c r="J206" s="809">
        <v>4042.39122</v>
      </c>
      <c r="K206" s="809">
        <v>4042.39122</v>
      </c>
      <c r="L206" s="809">
        <v>4042.39122</v>
      </c>
      <c r="M206" s="809">
        <v>4042.39122</v>
      </c>
      <c r="N206" s="809">
        <v>4042.39122</v>
      </c>
      <c r="O206" s="809">
        <v>4042.39122</v>
      </c>
      <c r="P206" s="809">
        <f t="shared" si="3"/>
        <v>4042.3912199999995</v>
      </c>
    </row>
    <row r="207" spans="1:16" x14ac:dyDescent="0.25">
      <c r="B207" s="683" t="s">
        <v>2245</v>
      </c>
      <c r="C207" s="809">
        <v>205.89973999999901</v>
      </c>
      <c r="D207" s="809">
        <v>205.89973999999901</v>
      </c>
      <c r="E207" s="809">
        <v>205.89973999999901</v>
      </c>
      <c r="F207" s="809">
        <v>205.89973999999901</v>
      </c>
      <c r="G207" s="809">
        <v>205.89973999999901</v>
      </c>
      <c r="H207" s="809">
        <v>205.89973999999901</v>
      </c>
      <c r="I207" s="809">
        <v>205.89973999999901</v>
      </c>
      <c r="J207" s="809">
        <v>205.89973999999901</v>
      </c>
      <c r="K207" s="809">
        <v>205.89973999999901</v>
      </c>
      <c r="L207" s="809">
        <v>205.89973999999901</v>
      </c>
      <c r="M207" s="809">
        <v>205.89973999999901</v>
      </c>
      <c r="N207" s="809">
        <v>205.89973999999901</v>
      </c>
      <c r="O207" s="809">
        <v>205.89973999999901</v>
      </c>
      <c r="P207" s="809">
        <f t="shared" si="3"/>
        <v>205.89973999999896</v>
      </c>
    </row>
    <row r="208" spans="1:16" x14ac:dyDescent="0.25">
      <c r="A208" s="809">
        <v>242</v>
      </c>
      <c r="B208" s="683" t="s">
        <v>2246</v>
      </c>
      <c r="C208" s="809">
        <v>10112.6000838</v>
      </c>
      <c r="D208" s="809">
        <v>10074.1962126</v>
      </c>
      <c r="E208" s="809">
        <v>10035.7923414</v>
      </c>
      <c r="F208" s="809">
        <v>9997.3884701999996</v>
      </c>
      <c r="G208" s="809">
        <v>9958.9845989999994</v>
      </c>
      <c r="H208" s="809">
        <v>9920.5807277999993</v>
      </c>
      <c r="I208" s="809">
        <v>9882.1768565999992</v>
      </c>
      <c r="J208" s="809">
        <v>9843.7729853999899</v>
      </c>
      <c r="K208" s="809">
        <v>9805.3691141999898</v>
      </c>
      <c r="L208" s="809">
        <v>9766.9652429999896</v>
      </c>
      <c r="M208" s="809">
        <v>9728.5613717999895</v>
      </c>
      <c r="N208" s="809">
        <v>9690.1575005999894</v>
      </c>
      <c r="O208" s="809">
        <v>9651.7536293999892</v>
      </c>
      <c r="P208" s="809">
        <f t="shared" si="3"/>
        <v>9882.1768565999937</v>
      </c>
    </row>
    <row r="209" spans="1:16" x14ac:dyDescent="0.25">
      <c r="A209" s="809">
        <v>242</v>
      </c>
      <c r="B209" s="683" t="s">
        <v>2247</v>
      </c>
      <c r="C209" s="809">
        <v>8.8451699999999995</v>
      </c>
      <c r="D209" s="809">
        <v>8.8451699999999995</v>
      </c>
      <c r="E209" s="809">
        <v>8.8451699999999995</v>
      </c>
      <c r="F209" s="809">
        <v>8.8451699999999995</v>
      </c>
      <c r="G209" s="809">
        <v>8.8451699999999995</v>
      </c>
      <c r="H209" s="809">
        <v>8.8451699999999995</v>
      </c>
      <c r="I209" s="809">
        <v>8.8451699999999995</v>
      </c>
      <c r="J209" s="809">
        <v>8.8451699999999995</v>
      </c>
      <c r="K209" s="809">
        <v>8.8451699999999995</v>
      </c>
      <c r="L209" s="809">
        <v>8.8451699999999995</v>
      </c>
      <c r="M209" s="809">
        <v>8.8451699999999995</v>
      </c>
      <c r="N209" s="809">
        <v>8.8451699999999995</v>
      </c>
      <c r="O209" s="809">
        <v>8.8451699999999995</v>
      </c>
      <c r="P209" s="809">
        <f t="shared" si="3"/>
        <v>8.8451699999999978</v>
      </c>
    </row>
    <row r="210" spans="1:16" x14ac:dyDescent="0.25">
      <c r="A210" s="809">
        <v>242</v>
      </c>
      <c r="B210" s="683" t="s">
        <v>2248</v>
      </c>
      <c r="C210" s="809">
        <v>339.28184628091498</v>
      </c>
      <c r="D210" s="809">
        <v>452.528244326444</v>
      </c>
      <c r="E210" s="809">
        <v>543.820890029814</v>
      </c>
      <c r="F210" s="809">
        <v>652.39800671345904</v>
      </c>
      <c r="G210" s="809">
        <v>766.72260921805901</v>
      </c>
      <c r="H210" s="809">
        <v>867.94090769803097</v>
      </c>
      <c r="I210" s="809">
        <v>985.87260679449298</v>
      </c>
      <c r="J210" s="809">
        <v>1080.8444275127499</v>
      </c>
      <c r="K210" s="809">
        <v>1173.7497694097201</v>
      </c>
      <c r="L210" s="809">
        <v>1300.7808662002201</v>
      </c>
      <c r="M210" s="809">
        <v>1408.4861832679901</v>
      </c>
      <c r="N210" s="809">
        <v>273.83135848519697</v>
      </c>
      <c r="O210" s="809">
        <v>388.01771487133999</v>
      </c>
      <c r="P210" s="809">
        <f t="shared" si="3"/>
        <v>787.25195621603302</v>
      </c>
    </row>
    <row r="211" spans="1:16" x14ac:dyDescent="0.25">
      <c r="B211" s="683" t="s">
        <v>2444</v>
      </c>
      <c r="C211" s="809">
        <v>6382.1819100000002</v>
      </c>
      <c r="D211" s="809">
        <v>6315.03989</v>
      </c>
      <c r="E211" s="809">
        <v>6242.3026399999999</v>
      </c>
      <c r="F211" s="809">
        <v>6171.2977700000001</v>
      </c>
      <c r="G211" s="809">
        <v>6103.76908</v>
      </c>
      <c r="H211" s="809">
        <v>6008.9692599999998</v>
      </c>
      <c r="I211" s="809">
        <v>5899.4887399999998</v>
      </c>
      <c r="J211" s="809">
        <v>5782.9779799999997</v>
      </c>
      <c r="K211" s="809">
        <v>5666.2341200000001</v>
      </c>
      <c r="L211" s="809">
        <v>5548.2377800000004</v>
      </c>
      <c r="M211" s="809">
        <v>5435.6524499999996</v>
      </c>
      <c r="N211" s="809">
        <v>5329.5918700000002</v>
      </c>
      <c r="O211" s="809">
        <v>5228.3426099999997</v>
      </c>
      <c r="P211" s="809">
        <f t="shared" si="3"/>
        <v>5854.9297000000015</v>
      </c>
    </row>
    <row r="212" spans="1:16" x14ac:dyDescent="0.25">
      <c r="A212" s="809">
        <v>242</v>
      </c>
      <c r="B212" s="683" t="s">
        <v>2249</v>
      </c>
      <c r="C212" s="809">
        <v>6465.6813499999998</v>
      </c>
      <c r="D212" s="809">
        <v>6465.6813499999998</v>
      </c>
      <c r="E212" s="809">
        <v>6465.6813499999998</v>
      </c>
      <c r="F212" s="809">
        <v>6465.6813499999998</v>
      </c>
      <c r="G212" s="809">
        <v>6465.6813499999998</v>
      </c>
      <c r="H212" s="809">
        <v>6465.6813499999998</v>
      </c>
      <c r="I212" s="809">
        <v>6465.6813499999998</v>
      </c>
      <c r="J212" s="809">
        <v>6465.6813499999998</v>
      </c>
      <c r="K212" s="809">
        <v>6465.6813499999998</v>
      </c>
      <c r="L212" s="809">
        <v>6465.6813499999998</v>
      </c>
      <c r="M212" s="809">
        <v>6465.6813499999998</v>
      </c>
      <c r="N212" s="809">
        <v>6465.6813499999998</v>
      </c>
      <c r="O212" s="809">
        <v>6465.6813499999998</v>
      </c>
      <c r="P212" s="809">
        <f t="shared" si="3"/>
        <v>6465.6813499999998</v>
      </c>
    </row>
    <row r="213" spans="1:16" x14ac:dyDescent="0.25">
      <c r="A213" s="809">
        <v>242</v>
      </c>
      <c r="B213" s="683" t="s">
        <v>2250</v>
      </c>
      <c r="C213" s="809">
        <v>1944.1420800000001</v>
      </c>
      <c r="D213" s="809">
        <v>1944.1420800000001</v>
      </c>
      <c r="E213" s="809">
        <v>1944.1420800000001</v>
      </c>
      <c r="F213" s="809">
        <v>1944.1420800000001</v>
      </c>
      <c r="G213" s="809">
        <v>1944.1420800000001</v>
      </c>
      <c r="H213" s="809">
        <v>1944.1420800000001</v>
      </c>
      <c r="I213" s="809">
        <v>1944.1420800000001</v>
      </c>
      <c r="J213" s="809">
        <v>1944.1420800000001</v>
      </c>
      <c r="K213" s="809">
        <v>1944.1420800000001</v>
      </c>
      <c r="L213" s="809">
        <v>1944.1420800000001</v>
      </c>
      <c r="M213" s="809">
        <v>1944.1420800000001</v>
      </c>
      <c r="N213" s="809">
        <v>1944.1420800000001</v>
      </c>
      <c r="O213" s="809">
        <v>1944.1420800000001</v>
      </c>
      <c r="P213" s="809">
        <f t="shared" si="3"/>
        <v>1944.1420800000003</v>
      </c>
    </row>
    <row r="214" spans="1:16" x14ac:dyDescent="0.25">
      <c r="B214" s="683" t="s">
        <v>2251</v>
      </c>
      <c r="C214" s="809">
        <v>29501.0234000809</v>
      </c>
      <c r="D214" s="809">
        <v>29508.7239069264</v>
      </c>
      <c r="E214" s="809">
        <v>29488.875431429798</v>
      </c>
      <c r="F214" s="809">
        <v>29488.0438069134</v>
      </c>
      <c r="G214" s="809">
        <v>29496.435848218</v>
      </c>
      <c r="H214" s="809">
        <v>29464.450455498001</v>
      </c>
      <c r="I214" s="809">
        <v>29434.4977633944</v>
      </c>
      <c r="J214" s="809">
        <v>29374.554952912698</v>
      </c>
      <c r="K214" s="809">
        <v>29312.312563609699</v>
      </c>
      <c r="L214" s="809">
        <v>29282.9434492002</v>
      </c>
      <c r="M214" s="809">
        <v>29239.659565067901</v>
      </c>
      <c r="N214" s="809">
        <v>27960.540289085198</v>
      </c>
      <c r="O214" s="809">
        <v>27935.073514271298</v>
      </c>
      <c r="P214" s="809">
        <f t="shared" si="3"/>
        <v>29191.31807281599</v>
      </c>
    </row>
    <row r="215" spans="1:16" x14ac:dyDescent="0.25">
      <c r="C215" s="811"/>
      <c r="D215" s="811"/>
      <c r="E215" s="811"/>
      <c r="F215" s="811"/>
      <c r="G215" s="811"/>
      <c r="H215" s="811"/>
      <c r="I215" s="811"/>
      <c r="J215" s="811"/>
      <c r="K215" s="811"/>
      <c r="L215" s="811"/>
      <c r="M215" s="811"/>
      <c r="N215" s="811"/>
      <c r="O215" s="811"/>
      <c r="P215" s="809">
        <f t="shared" si="3"/>
        <v>0</v>
      </c>
    </row>
    <row r="216" spans="1:16" ht="15.75" thickBot="1" x14ac:dyDescent="0.3">
      <c r="B216" s="810" t="s">
        <v>2252</v>
      </c>
      <c r="C216" s="813">
        <v>584471.59521398996</v>
      </c>
      <c r="D216" s="813">
        <v>295442.30909590097</v>
      </c>
      <c r="E216" s="813">
        <v>289717.97749649</v>
      </c>
      <c r="F216" s="813">
        <v>300907.112788153</v>
      </c>
      <c r="G216" s="813">
        <v>309548.37712987902</v>
      </c>
      <c r="H216" s="813">
        <v>328369.63853176002</v>
      </c>
      <c r="I216" s="813">
        <v>343368.392185334</v>
      </c>
      <c r="J216" s="813">
        <v>370693.75799509499</v>
      </c>
      <c r="K216" s="813">
        <v>347951.22278112703</v>
      </c>
      <c r="L216" s="813">
        <v>338164.40542429802</v>
      </c>
      <c r="M216" s="813">
        <v>300711.76793063298</v>
      </c>
      <c r="N216" s="813">
        <v>379789.63602980401</v>
      </c>
      <c r="O216" s="813">
        <v>392651.517887833</v>
      </c>
      <c r="P216" s="809">
        <f t="shared" si="3"/>
        <v>352445.20849925367</v>
      </c>
    </row>
    <row r="217" spans="1:16" x14ac:dyDescent="0.25">
      <c r="P217" s="809">
        <f t="shared" si="3"/>
        <v>0</v>
      </c>
    </row>
    <row r="218" spans="1:16" x14ac:dyDescent="0.25">
      <c r="B218" s="810" t="s">
        <v>2253</v>
      </c>
      <c r="C218" s="811"/>
      <c r="D218" s="811"/>
      <c r="E218" s="811"/>
      <c r="F218" s="811"/>
      <c r="G218" s="811"/>
      <c r="H218" s="811"/>
      <c r="I218" s="811"/>
      <c r="J218" s="811"/>
      <c r="K218" s="811"/>
      <c r="L218" s="811"/>
      <c r="M218" s="811"/>
      <c r="N218" s="811"/>
      <c r="O218" s="811"/>
      <c r="P218" s="809">
        <f t="shared" si="3"/>
        <v>0</v>
      </c>
    </row>
    <row r="219" spans="1:16" x14ac:dyDescent="0.25">
      <c r="B219" s="683" t="s">
        <v>2254</v>
      </c>
      <c r="C219" s="811"/>
      <c r="D219" s="811"/>
      <c r="E219" s="811"/>
      <c r="F219" s="811"/>
      <c r="G219" s="811"/>
      <c r="H219" s="811"/>
      <c r="I219" s="811"/>
      <c r="J219" s="811"/>
      <c r="K219" s="811"/>
      <c r="L219" s="811"/>
      <c r="M219" s="811"/>
      <c r="N219" s="811"/>
      <c r="O219" s="811"/>
      <c r="P219" s="809">
        <f t="shared" si="3"/>
        <v>0</v>
      </c>
    </row>
    <row r="220" spans="1:16" x14ac:dyDescent="0.25">
      <c r="B220" s="683" t="s">
        <v>2255</v>
      </c>
      <c r="C220" s="809">
        <v>888958.70338801399</v>
      </c>
      <c r="D220" s="809">
        <v>888958.70338801399</v>
      </c>
      <c r="E220" s="809">
        <v>888795.15272846096</v>
      </c>
      <c r="F220" s="809">
        <v>888795.15272846096</v>
      </c>
      <c r="G220" s="809">
        <v>888795.15272846096</v>
      </c>
      <c r="H220" s="809">
        <v>888586.81981091294</v>
      </c>
      <c r="I220" s="809">
        <v>888586.81981091294</v>
      </c>
      <c r="J220" s="809">
        <v>888586.81981091294</v>
      </c>
      <c r="K220" s="809">
        <v>888378.48689336597</v>
      </c>
      <c r="L220" s="809">
        <v>888378.48689336597</v>
      </c>
      <c r="M220" s="809">
        <v>888378.48689336597</v>
      </c>
      <c r="N220" s="809">
        <v>888168.937470729</v>
      </c>
      <c r="O220" s="809">
        <v>888116.41846872994</v>
      </c>
      <c r="P220" s="809">
        <f t="shared" si="3"/>
        <v>888575.70315490046</v>
      </c>
    </row>
    <row r="221" spans="1:16" x14ac:dyDescent="0.25">
      <c r="B221" s="683" t="s">
        <v>2256</v>
      </c>
      <c r="C221" s="809">
        <v>209266.62483335601</v>
      </c>
      <c r="D221" s="809">
        <v>209301.64832835601</v>
      </c>
      <c r="E221" s="809">
        <v>227354.14322997699</v>
      </c>
      <c r="F221" s="809">
        <v>227389.166724977</v>
      </c>
      <c r="G221" s="809">
        <v>227424.190219977</v>
      </c>
      <c r="H221" s="809">
        <v>244209.55679048799</v>
      </c>
      <c r="I221" s="809">
        <v>244244.58028548799</v>
      </c>
      <c r="J221" s="809">
        <v>244279.60378048799</v>
      </c>
      <c r="K221" s="809">
        <v>262592.48368114798</v>
      </c>
      <c r="L221" s="809">
        <v>262627.50717614801</v>
      </c>
      <c r="M221" s="809">
        <v>262662.53067114798</v>
      </c>
      <c r="N221" s="809">
        <v>266297.07620873599</v>
      </c>
      <c r="O221" s="809">
        <v>267456.52326162002</v>
      </c>
      <c r="P221" s="809">
        <f t="shared" si="3"/>
        <v>242700.43347630056</v>
      </c>
    </row>
    <row r="222" spans="1:16" x14ac:dyDescent="0.25">
      <c r="B222" s="683" t="s">
        <v>2257</v>
      </c>
      <c r="C222" s="809">
        <v>8772.6852600000002</v>
      </c>
      <c r="D222" s="809">
        <v>8772.6852600000002</v>
      </c>
      <c r="E222" s="809">
        <v>8772.6852600000002</v>
      </c>
      <c r="F222" s="809">
        <v>8772.6852600000002</v>
      </c>
      <c r="G222" s="809">
        <v>8772.6852600000002</v>
      </c>
      <c r="H222" s="809">
        <v>8772.6852600000002</v>
      </c>
      <c r="I222" s="809">
        <v>8772.6852600000002</v>
      </c>
      <c r="J222" s="809">
        <v>8772.6852600000002</v>
      </c>
      <c r="K222" s="809">
        <v>8772.6852600000002</v>
      </c>
      <c r="L222" s="809">
        <v>8772.6852600000002</v>
      </c>
      <c r="M222" s="809">
        <v>8772.6852600000002</v>
      </c>
      <c r="N222" s="809">
        <v>8772.6852600000002</v>
      </c>
      <c r="O222" s="809">
        <v>8772.6852600000002</v>
      </c>
      <c r="P222" s="809">
        <f t="shared" si="3"/>
        <v>8772.6852600000002</v>
      </c>
    </row>
    <row r="223" spans="1:16" x14ac:dyDescent="0.25">
      <c r="B223" s="683" t="s">
        <v>2254</v>
      </c>
      <c r="C223" s="809">
        <v>1106998.0134813699</v>
      </c>
      <c r="D223" s="809">
        <v>1107033.03697637</v>
      </c>
      <c r="E223" s="809">
        <v>1124921.98121843</v>
      </c>
      <c r="F223" s="809">
        <v>1124957.0047134301</v>
      </c>
      <c r="G223" s="809">
        <v>1124992.0282084299</v>
      </c>
      <c r="H223" s="809">
        <v>1141569.0618614</v>
      </c>
      <c r="I223" s="809">
        <v>1141604.0853564001</v>
      </c>
      <c r="J223" s="809">
        <v>1141639.1088514</v>
      </c>
      <c r="K223" s="809">
        <v>1159743.65583451</v>
      </c>
      <c r="L223" s="809">
        <v>1159778.6793295101</v>
      </c>
      <c r="M223" s="809">
        <v>1159813.7028245099</v>
      </c>
      <c r="N223" s="809">
        <v>1163238.6989394601</v>
      </c>
      <c r="O223" s="809">
        <v>1164345.62699035</v>
      </c>
      <c r="P223" s="809">
        <f t="shared" si="3"/>
        <v>1140048.8218911977</v>
      </c>
    </row>
    <row r="224" spans="1:16" x14ac:dyDescent="0.25">
      <c r="C224" s="811"/>
      <c r="D224" s="811"/>
      <c r="E224" s="811"/>
      <c r="F224" s="811"/>
      <c r="G224" s="811"/>
      <c r="H224" s="811"/>
      <c r="I224" s="811"/>
      <c r="J224" s="811"/>
      <c r="K224" s="811"/>
      <c r="L224" s="811"/>
      <c r="M224" s="811"/>
      <c r="N224" s="811"/>
      <c r="O224" s="811"/>
      <c r="P224" s="809">
        <f t="shared" si="3"/>
        <v>0</v>
      </c>
    </row>
    <row r="225" spans="1:16" x14ac:dyDescent="0.25">
      <c r="B225" s="683" t="s">
        <v>2258</v>
      </c>
      <c r="C225" s="811"/>
      <c r="D225" s="811"/>
      <c r="E225" s="811"/>
      <c r="F225" s="811"/>
      <c r="G225" s="811"/>
      <c r="H225" s="811"/>
      <c r="I225" s="811"/>
      <c r="J225" s="811"/>
      <c r="K225" s="811"/>
      <c r="L225" s="811"/>
      <c r="M225" s="811"/>
      <c r="N225" s="811"/>
      <c r="O225" s="811"/>
      <c r="P225" s="809">
        <f t="shared" si="3"/>
        <v>0</v>
      </c>
    </row>
    <row r="226" spans="1:16" x14ac:dyDescent="0.25">
      <c r="B226" s="683" t="s">
        <v>2259</v>
      </c>
      <c r="C226" s="809">
        <v>88549.956916666604</v>
      </c>
      <c r="D226" s="809">
        <v>88391.978916666601</v>
      </c>
      <c r="E226" s="809">
        <v>88234.000916666599</v>
      </c>
      <c r="F226" s="809">
        <v>88076.022916666596</v>
      </c>
      <c r="G226" s="809">
        <v>87918.044916666593</v>
      </c>
      <c r="H226" s="809">
        <v>87760.066916666605</v>
      </c>
      <c r="I226" s="809">
        <v>87602.088916666602</v>
      </c>
      <c r="J226" s="809">
        <v>87444.110916666599</v>
      </c>
      <c r="K226" s="809">
        <v>87286.132916666596</v>
      </c>
      <c r="L226" s="809">
        <v>87128.154916666594</v>
      </c>
      <c r="M226" s="809">
        <v>86970.176916666504</v>
      </c>
      <c r="N226" s="809">
        <v>86812.198916666501</v>
      </c>
      <c r="O226" s="809">
        <v>86654.220916666498</v>
      </c>
      <c r="P226" s="809">
        <f t="shared" si="3"/>
        <v>87602.088916666573</v>
      </c>
    </row>
    <row r="227" spans="1:16" x14ac:dyDescent="0.25">
      <c r="B227" s="683" t="s">
        <v>2260</v>
      </c>
      <c r="C227" s="809">
        <v>2329.4873199999902</v>
      </c>
      <c r="D227" s="809">
        <v>2329.4873199999902</v>
      </c>
      <c r="E227" s="809">
        <v>2329.4873199999902</v>
      </c>
      <c r="F227" s="809">
        <v>2329.4873199999902</v>
      </c>
      <c r="G227" s="809">
        <v>2329.4873199999902</v>
      </c>
      <c r="H227" s="809">
        <v>2329.4873199999902</v>
      </c>
      <c r="I227" s="809">
        <v>2329.4873199999902</v>
      </c>
      <c r="J227" s="809">
        <v>2329.4873199999902</v>
      </c>
      <c r="K227" s="809">
        <v>2329.4873199999902</v>
      </c>
      <c r="L227" s="809">
        <v>2329.4873199999902</v>
      </c>
      <c r="M227" s="809">
        <v>2329.4873199999902</v>
      </c>
      <c r="N227" s="809">
        <v>2329.4873199999902</v>
      </c>
      <c r="O227" s="809">
        <v>2329.4873199999902</v>
      </c>
      <c r="P227" s="809">
        <f t="shared" si="3"/>
        <v>2329.4873199999897</v>
      </c>
    </row>
    <row r="228" spans="1:16" x14ac:dyDescent="0.25">
      <c r="B228" s="683" t="s">
        <v>2258</v>
      </c>
      <c r="C228" s="809">
        <v>90879.444236666604</v>
      </c>
      <c r="D228" s="809">
        <v>90721.466236666602</v>
      </c>
      <c r="E228" s="809">
        <v>90563.488236666599</v>
      </c>
      <c r="F228" s="809">
        <v>90405.510236666596</v>
      </c>
      <c r="G228" s="809">
        <v>90247.532236666593</v>
      </c>
      <c r="H228" s="809">
        <v>90089.554236666605</v>
      </c>
      <c r="I228" s="809">
        <v>89931.576236666602</v>
      </c>
      <c r="J228" s="809">
        <v>89773.598236666599</v>
      </c>
      <c r="K228" s="809">
        <v>89615.620236666597</v>
      </c>
      <c r="L228" s="809">
        <v>89457.642236666594</v>
      </c>
      <c r="M228" s="809">
        <v>89299.664236666504</v>
      </c>
      <c r="N228" s="809">
        <v>89141.686236666501</v>
      </c>
      <c r="O228" s="809">
        <v>88983.708236666498</v>
      </c>
      <c r="P228" s="809">
        <f t="shared" si="3"/>
        <v>89931.576236666573</v>
      </c>
    </row>
    <row r="229" spans="1:16" x14ac:dyDescent="0.25">
      <c r="C229" s="811"/>
      <c r="D229" s="811"/>
      <c r="E229" s="811"/>
      <c r="F229" s="811"/>
      <c r="G229" s="811"/>
      <c r="H229" s="811"/>
      <c r="I229" s="811"/>
      <c r="J229" s="811"/>
      <c r="K229" s="811"/>
      <c r="L229" s="811"/>
      <c r="M229" s="811"/>
      <c r="N229" s="811"/>
      <c r="O229" s="811"/>
      <c r="P229" s="809">
        <f t="shared" si="3"/>
        <v>0</v>
      </c>
    </row>
    <row r="230" spans="1:16" x14ac:dyDescent="0.25">
      <c r="B230" s="683" t="s">
        <v>2261</v>
      </c>
      <c r="C230" s="811"/>
      <c r="D230" s="811"/>
      <c r="E230" s="811"/>
      <c r="F230" s="811"/>
      <c r="G230" s="811"/>
      <c r="H230" s="811"/>
      <c r="I230" s="811"/>
      <c r="J230" s="811"/>
      <c r="K230" s="811"/>
      <c r="L230" s="811"/>
      <c r="M230" s="811"/>
      <c r="N230" s="811"/>
      <c r="O230" s="811"/>
      <c r="P230" s="809">
        <f t="shared" si="3"/>
        <v>0</v>
      </c>
    </row>
    <row r="231" spans="1:16" x14ac:dyDescent="0.25">
      <c r="B231" s="683" t="s">
        <v>2262</v>
      </c>
      <c r="C231" s="809">
        <v>3733.8676373396102</v>
      </c>
      <c r="D231" s="809">
        <v>4943.4712419977895</v>
      </c>
      <c r="E231" s="809">
        <v>4864.3499066221602</v>
      </c>
      <c r="F231" s="809">
        <v>4875.1317625331503</v>
      </c>
      <c r="G231" s="809">
        <v>4882.2969743105396</v>
      </c>
      <c r="H231" s="809">
        <v>4205.7658261699899</v>
      </c>
      <c r="I231" s="809">
        <v>2139.8910830893101</v>
      </c>
      <c r="J231" s="809">
        <v>2139.8910830893101</v>
      </c>
      <c r="K231" s="809">
        <v>2139.8910830893101</v>
      </c>
      <c r="L231" s="809">
        <v>2139.8910830893101</v>
      </c>
      <c r="M231" s="809">
        <v>2139.8910830893101</v>
      </c>
      <c r="N231" s="809">
        <v>2139.8910830893101</v>
      </c>
      <c r="O231" s="809">
        <v>2139.8910830893101</v>
      </c>
      <c r="P231" s="809">
        <f t="shared" si="3"/>
        <v>3268.0093023537233</v>
      </c>
    </row>
    <row r="232" spans="1:16" x14ac:dyDescent="0.25">
      <c r="B232" s="683" t="s">
        <v>2263</v>
      </c>
      <c r="C232" s="809">
        <v>37481.256529999999</v>
      </c>
      <c r="D232" s="809">
        <v>37280.457414445103</v>
      </c>
      <c r="E232" s="809">
        <v>37083.585328890302</v>
      </c>
      <c r="F232" s="809">
        <v>36882.786213335501</v>
      </c>
      <c r="G232" s="809">
        <v>36681.9870977807</v>
      </c>
      <c r="H232" s="809">
        <v>36485.1150422258</v>
      </c>
      <c r="I232" s="809">
        <v>36284.315926670999</v>
      </c>
      <c r="J232" s="809">
        <v>36087.4438711162</v>
      </c>
      <c r="K232" s="809">
        <v>35886.6447555614</v>
      </c>
      <c r="L232" s="809">
        <v>35685.845640006497</v>
      </c>
      <c r="M232" s="809">
        <v>35492.9006444517</v>
      </c>
      <c r="N232" s="809">
        <v>35292.101528896899</v>
      </c>
      <c r="O232" s="809">
        <v>35095.2294733421</v>
      </c>
      <c r="P232" s="809">
        <f t="shared" si="3"/>
        <v>36286.128420517169</v>
      </c>
    </row>
    <row r="233" spans="1:16" x14ac:dyDescent="0.25">
      <c r="B233" s="683" t="s">
        <v>2264</v>
      </c>
      <c r="C233" s="809">
        <v>11557.7986626538</v>
      </c>
      <c r="D233" s="809">
        <v>7376.78911078489</v>
      </c>
      <c r="E233" s="809">
        <v>6533.0182165338201</v>
      </c>
      <c r="F233" s="809">
        <v>7960.6488943571903</v>
      </c>
      <c r="G233" s="809">
        <v>7605.1193797655997</v>
      </c>
      <c r="H233" s="809">
        <v>6566.2156889238704</v>
      </c>
      <c r="I233" s="809">
        <v>4944.2396247807801</v>
      </c>
      <c r="J233" s="809">
        <v>4760.1359527421901</v>
      </c>
      <c r="K233" s="809">
        <v>5825.3544990834198</v>
      </c>
      <c r="L233" s="809">
        <v>7443.0570403757802</v>
      </c>
      <c r="M233" s="809">
        <v>6193.8468871377399</v>
      </c>
      <c r="N233" s="809">
        <v>4063.48094300402</v>
      </c>
      <c r="O233" s="809">
        <v>3883.3395906435298</v>
      </c>
      <c r="P233" s="809">
        <f t="shared" si="3"/>
        <v>6516.3880377528167</v>
      </c>
    </row>
    <row r="234" spans="1:16" x14ac:dyDescent="0.25">
      <c r="A234" s="809">
        <v>254</v>
      </c>
      <c r="B234" s="683" t="s">
        <v>2265</v>
      </c>
      <c r="C234" s="809">
        <v>29116.514500000001</v>
      </c>
      <c r="D234" s="809">
        <v>29113.49525</v>
      </c>
      <c r="E234" s="809">
        <v>29110.475999999999</v>
      </c>
      <c r="F234" s="809">
        <v>29107.456749999899</v>
      </c>
      <c r="G234" s="809">
        <v>29104.437499999902</v>
      </c>
      <c r="H234" s="809">
        <v>29101.418249999901</v>
      </c>
      <c r="I234" s="809">
        <v>29098.398999999899</v>
      </c>
      <c r="J234" s="809">
        <v>29095.379749999898</v>
      </c>
      <c r="K234" s="809">
        <v>29092.360499999901</v>
      </c>
      <c r="L234" s="809">
        <v>29091.310666666599</v>
      </c>
      <c r="M234" s="809">
        <v>29090.260833333301</v>
      </c>
      <c r="N234" s="809">
        <v>29089.210999999901</v>
      </c>
      <c r="O234" s="809">
        <v>29088.161166666599</v>
      </c>
      <c r="P234" s="809">
        <f t="shared" si="3"/>
        <v>29099.91393589737</v>
      </c>
    </row>
    <row r="235" spans="1:16" x14ac:dyDescent="0.25">
      <c r="B235" s="683" t="s">
        <v>2266</v>
      </c>
      <c r="C235" s="809">
        <v>665299.46646221401</v>
      </c>
      <c r="D235" s="809">
        <v>665299.46646221401</v>
      </c>
      <c r="E235" s="809">
        <v>661434.50064555404</v>
      </c>
      <c r="F235" s="809">
        <v>661434.50064555404</v>
      </c>
      <c r="G235" s="809">
        <v>661434.50064555404</v>
      </c>
      <c r="H235" s="809">
        <v>655786.54044762906</v>
      </c>
      <c r="I235" s="809">
        <v>655786.54044762906</v>
      </c>
      <c r="J235" s="809">
        <v>655786.54044762906</v>
      </c>
      <c r="K235" s="809">
        <v>650138.58087069995</v>
      </c>
      <c r="L235" s="809">
        <v>650138.58087069995</v>
      </c>
      <c r="M235" s="809">
        <v>650138.58087069995</v>
      </c>
      <c r="N235" s="809">
        <v>643377.39930144604</v>
      </c>
      <c r="O235" s="809">
        <v>641212.44996447396</v>
      </c>
      <c r="P235" s="809">
        <f t="shared" si="3"/>
        <v>655174.43446784595</v>
      </c>
    </row>
    <row r="236" spans="1:16" x14ac:dyDescent="0.25">
      <c r="B236" s="683" t="s">
        <v>2261</v>
      </c>
      <c r="C236" s="809">
        <v>747188.90379220794</v>
      </c>
      <c r="D236" s="809">
        <v>744013.67947944195</v>
      </c>
      <c r="E236" s="809">
        <v>739025.93009759998</v>
      </c>
      <c r="F236" s="809">
        <v>740260.52426578</v>
      </c>
      <c r="G236" s="809">
        <v>739708.34159741097</v>
      </c>
      <c r="H236" s="809">
        <v>732145.05525494902</v>
      </c>
      <c r="I236" s="809">
        <v>728253.38608216995</v>
      </c>
      <c r="J236" s="809">
        <v>727869.39110457699</v>
      </c>
      <c r="K236" s="809">
        <v>723082.83170843404</v>
      </c>
      <c r="L236" s="809">
        <v>724498.68530083797</v>
      </c>
      <c r="M236" s="809">
        <v>723055.48031871195</v>
      </c>
      <c r="N236" s="809">
        <v>713962.08385643596</v>
      </c>
      <c r="O236" s="809">
        <v>711419.07127821504</v>
      </c>
      <c r="P236" s="809">
        <f t="shared" si="3"/>
        <v>730344.87416436709</v>
      </c>
    </row>
    <row r="237" spans="1:16" x14ac:dyDescent="0.25">
      <c r="C237" s="811"/>
      <c r="D237" s="811"/>
      <c r="E237" s="811"/>
      <c r="F237" s="811"/>
      <c r="G237" s="811"/>
      <c r="H237" s="811"/>
      <c r="I237" s="811"/>
      <c r="J237" s="811"/>
      <c r="K237" s="811"/>
      <c r="L237" s="811"/>
      <c r="M237" s="811"/>
      <c r="N237" s="811"/>
      <c r="O237" s="811"/>
      <c r="P237" s="809">
        <f t="shared" si="3"/>
        <v>0</v>
      </c>
    </row>
    <row r="238" spans="1:16" x14ac:dyDescent="0.25">
      <c r="B238" s="683" t="s">
        <v>2267</v>
      </c>
      <c r="C238" s="811"/>
      <c r="D238" s="811"/>
      <c r="E238" s="811"/>
      <c r="F238" s="811"/>
      <c r="G238" s="811"/>
      <c r="H238" s="811"/>
      <c r="I238" s="811"/>
      <c r="J238" s="811"/>
      <c r="K238" s="811"/>
      <c r="L238" s="811"/>
      <c r="M238" s="811"/>
      <c r="N238" s="811"/>
      <c r="O238" s="811"/>
      <c r="P238" s="809">
        <f t="shared" si="3"/>
        <v>0</v>
      </c>
    </row>
    <row r="239" spans="1:16" x14ac:dyDescent="0.25">
      <c r="B239" s="683" t="s">
        <v>2268</v>
      </c>
      <c r="C239" s="809">
        <v>630.69578000000001</v>
      </c>
      <c r="D239" s="809">
        <v>630.69578000000001</v>
      </c>
      <c r="E239" s="809">
        <v>630.69578000000001</v>
      </c>
      <c r="F239" s="809">
        <v>630.69578000000001</v>
      </c>
      <c r="G239" s="809">
        <v>630.69578000000001</v>
      </c>
      <c r="H239" s="809">
        <v>630.69578000000001</v>
      </c>
      <c r="I239" s="809">
        <v>630.69578000000001</v>
      </c>
      <c r="J239" s="809">
        <v>630.69578000000001</v>
      </c>
      <c r="K239" s="809">
        <v>630.69578000000001</v>
      </c>
      <c r="L239" s="809">
        <v>630.69578000000001</v>
      </c>
      <c r="M239" s="809">
        <v>630.69578000000001</v>
      </c>
      <c r="N239" s="809">
        <v>630.69578000000001</v>
      </c>
      <c r="O239" s="809">
        <v>630.69578000000001</v>
      </c>
      <c r="P239" s="809">
        <f t="shared" si="3"/>
        <v>630.69578000000001</v>
      </c>
    </row>
    <row r="240" spans="1:16" x14ac:dyDescent="0.25">
      <c r="B240" s="683" t="s">
        <v>2269</v>
      </c>
      <c r="C240" s="809">
        <v>350.28559000000001</v>
      </c>
      <c r="D240" s="809">
        <v>350.28559000000001</v>
      </c>
      <c r="E240" s="809">
        <v>350.28559000000001</v>
      </c>
      <c r="F240" s="809">
        <v>350.28559000000001</v>
      </c>
      <c r="G240" s="809">
        <v>350.28559000000001</v>
      </c>
      <c r="H240" s="809">
        <v>350.28559000000001</v>
      </c>
      <c r="I240" s="809">
        <v>350.28559000000001</v>
      </c>
      <c r="J240" s="809">
        <v>350.28559000000001</v>
      </c>
      <c r="K240" s="809">
        <v>350.28559000000001</v>
      </c>
      <c r="L240" s="809">
        <v>350.28559000000001</v>
      </c>
      <c r="M240" s="809">
        <v>350.28559000000001</v>
      </c>
      <c r="N240" s="809">
        <v>350.28559000000001</v>
      </c>
      <c r="O240" s="809">
        <v>350.28559000000001</v>
      </c>
      <c r="P240" s="809">
        <f t="shared" si="3"/>
        <v>350.28559000000007</v>
      </c>
    </row>
    <row r="241" spans="1:16" x14ac:dyDescent="0.25">
      <c r="B241" s="683" t="s">
        <v>2267</v>
      </c>
      <c r="C241" s="809">
        <v>980.98136999999997</v>
      </c>
      <c r="D241" s="809">
        <v>980.98136999999997</v>
      </c>
      <c r="E241" s="809">
        <v>980.98136999999997</v>
      </c>
      <c r="F241" s="809">
        <v>980.98136999999997</v>
      </c>
      <c r="G241" s="809">
        <v>980.98136999999997</v>
      </c>
      <c r="H241" s="809">
        <v>980.98136999999997</v>
      </c>
      <c r="I241" s="809">
        <v>980.98136999999997</v>
      </c>
      <c r="J241" s="809">
        <v>980.98136999999997</v>
      </c>
      <c r="K241" s="809">
        <v>980.98136999999997</v>
      </c>
      <c r="L241" s="809">
        <v>980.98136999999997</v>
      </c>
      <c r="M241" s="809">
        <v>980.98136999999997</v>
      </c>
      <c r="N241" s="809">
        <v>980.98136999999997</v>
      </c>
      <c r="O241" s="809">
        <v>980.98136999999997</v>
      </c>
      <c r="P241" s="809">
        <f t="shared" si="3"/>
        <v>980.98136999999963</v>
      </c>
    </row>
    <row r="242" spans="1:16" x14ac:dyDescent="0.25">
      <c r="B242" s="683" t="s">
        <v>1796</v>
      </c>
      <c r="C242" s="811"/>
      <c r="D242" s="811"/>
      <c r="E242" s="811"/>
      <c r="F242" s="811"/>
      <c r="G242" s="811"/>
      <c r="H242" s="811"/>
      <c r="I242" s="811"/>
      <c r="J242" s="811"/>
      <c r="K242" s="811"/>
      <c r="L242" s="811"/>
      <c r="M242" s="811"/>
      <c r="N242" s="811"/>
      <c r="O242" s="811"/>
      <c r="P242" s="809">
        <f t="shared" si="3"/>
        <v>0</v>
      </c>
    </row>
    <row r="243" spans="1:16" x14ac:dyDescent="0.25">
      <c r="B243" s="683" t="s">
        <v>2270</v>
      </c>
      <c r="C243" s="811"/>
      <c r="D243" s="811"/>
      <c r="E243" s="811"/>
      <c r="F243" s="811"/>
      <c r="G243" s="811"/>
      <c r="H243" s="811"/>
      <c r="I243" s="811"/>
      <c r="J243" s="811"/>
      <c r="K243" s="811"/>
      <c r="L243" s="811"/>
      <c r="M243" s="811"/>
      <c r="N243" s="811"/>
      <c r="O243" s="811"/>
      <c r="P243" s="809">
        <f t="shared" si="3"/>
        <v>0</v>
      </c>
    </row>
    <row r="244" spans="1:16" x14ac:dyDescent="0.25">
      <c r="B244" s="683" t="s">
        <v>2271</v>
      </c>
      <c r="C244" s="809">
        <v>119520.97527</v>
      </c>
      <c r="D244" s="809">
        <v>116778.87735</v>
      </c>
      <c r="E244" s="809">
        <v>112184.85916000001</v>
      </c>
      <c r="F244" s="809">
        <v>108076.12815</v>
      </c>
      <c r="G244" s="809">
        <v>103761.00986999999</v>
      </c>
      <c r="H244" s="809">
        <v>100603.82786999999</v>
      </c>
      <c r="I244" s="809">
        <v>97796.583859999999</v>
      </c>
      <c r="J244" s="809">
        <v>95287.893549999993</v>
      </c>
      <c r="K244" s="809">
        <v>90776.330830000006</v>
      </c>
      <c r="L244" s="809">
        <v>88701.479550000004</v>
      </c>
      <c r="M244" s="809">
        <v>86629.364690000002</v>
      </c>
      <c r="N244" s="809">
        <v>84059.758919999993</v>
      </c>
      <c r="O244" s="809">
        <v>79739.473379999996</v>
      </c>
      <c r="P244" s="809">
        <f t="shared" si="3"/>
        <v>98762.812496153856</v>
      </c>
    </row>
    <row r="245" spans="1:16" x14ac:dyDescent="0.25">
      <c r="B245" s="683" t="s">
        <v>2272</v>
      </c>
      <c r="C245" s="809">
        <v>66932.300600000002</v>
      </c>
      <c r="D245" s="809">
        <v>66932.300600000002</v>
      </c>
      <c r="E245" s="809">
        <v>66932.300600000002</v>
      </c>
      <c r="F245" s="809">
        <v>66932.300600000002</v>
      </c>
      <c r="G245" s="809">
        <v>66932.300600000002</v>
      </c>
      <c r="H245" s="809">
        <v>66932.300600000002</v>
      </c>
      <c r="I245" s="809">
        <v>66932.300600000002</v>
      </c>
      <c r="J245" s="809">
        <v>66932.300600000002</v>
      </c>
      <c r="K245" s="809">
        <v>66932.300600000002</v>
      </c>
      <c r="L245" s="809">
        <v>66932.300600000002</v>
      </c>
      <c r="M245" s="809">
        <v>66932.300600000002</v>
      </c>
      <c r="N245" s="809">
        <v>66932.300600000002</v>
      </c>
      <c r="O245" s="809">
        <v>66932.300600000002</v>
      </c>
      <c r="P245" s="809">
        <f t="shared" si="3"/>
        <v>66932.300599999988</v>
      </c>
    </row>
    <row r="246" spans="1:16" x14ac:dyDescent="0.25">
      <c r="B246" s="683" t="s">
        <v>2270</v>
      </c>
      <c r="C246" s="809">
        <v>186453.27587000001</v>
      </c>
      <c r="D246" s="809">
        <v>183711.17795000001</v>
      </c>
      <c r="E246" s="809">
        <v>179117.15976000001</v>
      </c>
      <c r="F246" s="809">
        <v>175008.42874999999</v>
      </c>
      <c r="G246" s="809">
        <v>170693.31047</v>
      </c>
      <c r="H246" s="809">
        <v>167536.12847</v>
      </c>
      <c r="I246" s="809">
        <v>164728.88446</v>
      </c>
      <c r="J246" s="809">
        <v>162220.19415</v>
      </c>
      <c r="K246" s="809">
        <v>157708.63143000001</v>
      </c>
      <c r="L246" s="809">
        <v>155633.78015000001</v>
      </c>
      <c r="M246" s="809">
        <v>153561.66529</v>
      </c>
      <c r="N246" s="809">
        <v>150992.05952000001</v>
      </c>
      <c r="O246" s="809">
        <v>146671.77398</v>
      </c>
      <c r="P246" s="809">
        <f t="shared" si="3"/>
        <v>165695.11309615386</v>
      </c>
    </row>
    <row r="247" spans="1:16" x14ac:dyDescent="0.25">
      <c r="C247" s="811"/>
      <c r="D247" s="811"/>
      <c r="E247" s="811"/>
      <c r="F247" s="811"/>
      <c r="G247" s="811"/>
      <c r="H247" s="811"/>
      <c r="I247" s="811"/>
      <c r="J247" s="811"/>
      <c r="K247" s="811"/>
      <c r="L247" s="811"/>
      <c r="M247" s="811"/>
      <c r="N247" s="811"/>
      <c r="O247" s="811"/>
      <c r="P247" s="809">
        <f t="shared" si="3"/>
        <v>0</v>
      </c>
    </row>
    <row r="248" spans="1:16" x14ac:dyDescent="0.25">
      <c r="B248" s="683" t="s">
        <v>2273</v>
      </c>
      <c r="C248" s="811"/>
      <c r="D248" s="811"/>
      <c r="E248" s="811"/>
      <c r="F248" s="811"/>
      <c r="G248" s="811"/>
      <c r="H248" s="811"/>
      <c r="I248" s="811"/>
      <c r="J248" s="811"/>
      <c r="K248" s="811"/>
      <c r="L248" s="811"/>
      <c r="M248" s="811"/>
      <c r="N248" s="811"/>
      <c r="O248" s="811"/>
      <c r="P248" s="809">
        <f t="shared" si="3"/>
        <v>0</v>
      </c>
    </row>
    <row r="249" spans="1:16" x14ac:dyDescent="0.25">
      <c r="B249" s="683" t="s">
        <v>2274</v>
      </c>
      <c r="C249" s="809">
        <v>371.63267000000002</v>
      </c>
      <c r="D249" s="809">
        <v>371.63267000000002</v>
      </c>
      <c r="E249" s="809">
        <v>371.63267000000002</v>
      </c>
      <c r="F249" s="809">
        <v>371.63267000000002</v>
      </c>
      <c r="G249" s="809">
        <v>371.63267000000002</v>
      </c>
      <c r="H249" s="809">
        <v>371.63267000000002</v>
      </c>
      <c r="I249" s="809">
        <v>371.63267000000002</v>
      </c>
      <c r="J249" s="809">
        <v>371.63267000000002</v>
      </c>
      <c r="K249" s="809">
        <v>371.63267000000002</v>
      </c>
      <c r="L249" s="809">
        <v>371.63267000000002</v>
      </c>
      <c r="M249" s="809">
        <v>371.63267000000002</v>
      </c>
      <c r="N249" s="809">
        <v>371.63267000000002</v>
      </c>
      <c r="O249" s="809">
        <v>371.63267000000002</v>
      </c>
      <c r="P249" s="809">
        <f t="shared" si="3"/>
        <v>371.63267000000002</v>
      </c>
    </row>
    <row r="250" spans="1:16" x14ac:dyDescent="0.25">
      <c r="B250" s="683" t="s">
        <v>2275</v>
      </c>
      <c r="C250" s="809">
        <v>1368.3264200000001</v>
      </c>
      <c r="D250" s="809">
        <v>1368.3264200000001</v>
      </c>
      <c r="E250" s="809">
        <v>1368.3264200000001</v>
      </c>
      <c r="F250" s="809">
        <v>1368.3264200000001</v>
      </c>
      <c r="G250" s="809">
        <v>1368.3264200000001</v>
      </c>
      <c r="H250" s="809">
        <v>1368.3264200000001</v>
      </c>
      <c r="I250" s="809">
        <v>1368.3264200000001</v>
      </c>
      <c r="J250" s="809">
        <v>1368.3264200000001</v>
      </c>
      <c r="K250" s="809">
        <v>1368.3264200000001</v>
      </c>
      <c r="L250" s="809">
        <v>1368.3264200000001</v>
      </c>
      <c r="M250" s="809">
        <v>1368.3264200000001</v>
      </c>
      <c r="N250" s="809">
        <v>1368.3264200000001</v>
      </c>
      <c r="O250" s="809">
        <v>1368.3264200000001</v>
      </c>
      <c r="P250" s="809">
        <f t="shared" si="3"/>
        <v>1368.3264199999999</v>
      </c>
    </row>
    <row r="251" spans="1:16" x14ac:dyDescent="0.25">
      <c r="B251" s="683" t="s">
        <v>2276</v>
      </c>
      <c r="C251" s="809">
        <v>0</v>
      </c>
      <c r="D251" s="809">
        <v>0</v>
      </c>
      <c r="E251" s="809">
        <v>0</v>
      </c>
      <c r="F251" s="809">
        <v>0</v>
      </c>
      <c r="G251" s="809">
        <v>0</v>
      </c>
      <c r="H251" s="809">
        <v>0</v>
      </c>
      <c r="I251" s="809">
        <v>0</v>
      </c>
      <c r="J251" s="809">
        <v>0</v>
      </c>
      <c r="K251" s="809">
        <v>0</v>
      </c>
      <c r="L251" s="809">
        <v>0</v>
      </c>
      <c r="M251" s="809">
        <v>0</v>
      </c>
      <c r="N251" s="809">
        <v>0</v>
      </c>
      <c r="O251" s="809">
        <v>0</v>
      </c>
      <c r="P251" s="809">
        <f t="shared" si="3"/>
        <v>0</v>
      </c>
    </row>
    <row r="252" spans="1:16" x14ac:dyDescent="0.25">
      <c r="B252" s="683" t="s">
        <v>2446</v>
      </c>
      <c r="C252" s="809">
        <v>0</v>
      </c>
      <c r="D252" s="809">
        <v>0</v>
      </c>
      <c r="E252" s="809">
        <v>0</v>
      </c>
      <c r="F252" s="809">
        <v>0</v>
      </c>
      <c r="G252" s="809">
        <v>0</v>
      </c>
      <c r="H252" s="809">
        <v>0</v>
      </c>
      <c r="I252" s="809">
        <v>0</v>
      </c>
      <c r="J252" s="809">
        <v>0</v>
      </c>
      <c r="K252" s="809">
        <v>0</v>
      </c>
      <c r="L252" s="809">
        <v>0</v>
      </c>
      <c r="M252" s="809">
        <v>0</v>
      </c>
      <c r="N252" s="809">
        <v>0</v>
      </c>
      <c r="O252" s="809">
        <v>0</v>
      </c>
      <c r="P252" s="809">
        <f t="shared" si="3"/>
        <v>0</v>
      </c>
    </row>
    <row r="253" spans="1:16" x14ac:dyDescent="0.25">
      <c r="A253" s="809">
        <v>253</v>
      </c>
      <c r="B253" s="683" t="s">
        <v>2273</v>
      </c>
      <c r="C253" s="809">
        <v>1739.9590900000001</v>
      </c>
      <c r="D253" s="809">
        <v>1739.9590900000001</v>
      </c>
      <c r="E253" s="809">
        <v>1739.9590900000001</v>
      </c>
      <c r="F253" s="809">
        <v>1739.9590900000001</v>
      </c>
      <c r="G253" s="809">
        <v>1739.9590900000001</v>
      </c>
      <c r="H253" s="809">
        <v>1739.9590900000001</v>
      </c>
      <c r="I253" s="809">
        <v>1739.9590900000001</v>
      </c>
      <c r="J253" s="809">
        <v>1739.9590900000001</v>
      </c>
      <c r="K253" s="809">
        <v>1739.9590900000001</v>
      </c>
      <c r="L253" s="809">
        <v>1739.9590900000001</v>
      </c>
      <c r="M253" s="809">
        <v>1739.9590900000001</v>
      </c>
      <c r="N253" s="809">
        <v>1739.9590900000001</v>
      </c>
      <c r="O253" s="809">
        <v>1739.9590900000001</v>
      </c>
      <c r="P253" s="809">
        <f t="shared" si="3"/>
        <v>1739.9590900000001</v>
      </c>
    </row>
    <row r="254" spans="1:16" x14ac:dyDescent="0.25">
      <c r="C254" s="811"/>
      <c r="D254" s="811"/>
      <c r="E254" s="811"/>
      <c r="F254" s="811"/>
      <c r="G254" s="811"/>
      <c r="H254" s="811"/>
      <c r="I254" s="811"/>
      <c r="J254" s="811"/>
      <c r="K254" s="811"/>
      <c r="L254" s="811"/>
      <c r="M254" s="811"/>
      <c r="N254" s="811"/>
      <c r="O254" s="811"/>
      <c r="P254" s="809">
        <f t="shared" si="3"/>
        <v>0</v>
      </c>
    </row>
    <row r="255" spans="1:16" x14ac:dyDescent="0.25">
      <c r="B255" s="683" t="s">
        <v>2277</v>
      </c>
      <c r="C255" s="811"/>
      <c r="D255" s="811"/>
      <c r="E255" s="811"/>
      <c r="F255" s="811"/>
      <c r="G255" s="811"/>
      <c r="H255" s="811"/>
      <c r="I255" s="811"/>
      <c r="J255" s="811"/>
      <c r="K255" s="811"/>
      <c r="L255" s="811"/>
      <c r="M255" s="811"/>
      <c r="N255" s="811"/>
      <c r="O255" s="811"/>
      <c r="P255" s="809">
        <f t="shared" si="3"/>
        <v>0</v>
      </c>
    </row>
    <row r="256" spans="1:16" x14ac:dyDescent="0.25">
      <c r="A256" s="817">
        <v>228.2</v>
      </c>
      <c r="B256" s="683" t="s">
        <v>2278</v>
      </c>
      <c r="C256" s="809">
        <v>641.42958999999996</v>
      </c>
      <c r="D256" s="809">
        <v>641.42958999999996</v>
      </c>
      <c r="E256" s="809">
        <v>641.42958999999996</v>
      </c>
      <c r="F256" s="809">
        <v>641.42958999999996</v>
      </c>
      <c r="G256" s="809">
        <v>641.42958999999996</v>
      </c>
      <c r="H256" s="809">
        <v>641.42958999999996</v>
      </c>
      <c r="I256" s="809">
        <v>641.42958999999996</v>
      </c>
      <c r="J256" s="809">
        <v>641.42958999999996</v>
      </c>
      <c r="K256" s="809">
        <v>641.42958999999996</v>
      </c>
      <c r="L256" s="809">
        <v>641.42958999999996</v>
      </c>
      <c r="M256" s="809">
        <v>641.42958999999996</v>
      </c>
      <c r="N256" s="809">
        <v>641.42958999999996</v>
      </c>
      <c r="O256" s="809">
        <v>641.42958999999996</v>
      </c>
      <c r="P256" s="809">
        <f t="shared" si="3"/>
        <v>641.42958999999985</v>
      </c>
    </row>
    <row r="257" spans="1:16" x14ac:dyDescent="0.25">
      <c r="A257" s="817">
        <v>228.2</v>
      </c>
      <c r="B257" s="683" t="s">
        <v>2279</v>
      </c>
      <c r="C257" s="809">
        <v>2556.9034900000001</v>
      </c>
      <c r="D257" s="809">
        <v>2556.9034900000001</v>
      </c>
      <c r="E257" s="809">
        <v>2556.9034900000001</v>
      </c>
      <c r="F257" s="809">
        <v>2556.9034900000001</v>
      </c>
      <c r="G257" s="809">
        <v>2556.9034900000001</v>
      </c>
      <c r="H257" s="809">
        <v>2556.9034900000001</v>
      </c>
      <c r="I257" s="809">
        <v>2556.9034900000001</v>
      </c>
      <c r="J257" s="809">
        <v>2556.9034900000001</v>
      </c>
      <c r="K257" s="809">
        <v>2556.9034900000001</v>
      </c>
      <c r="L257" s="809">
        <v>2556.9034900000001</v>
      </c>
      <c r="M257" s="809">
        <v>2556.9034900000001</v>
      </c>
      <c r="N257" s="809">
        <v>2556.9034900000001</v>
      </c>
      <c r="O257" s="809">
        <v>2556.9034900000001</v>
      </c>
      <c r="P257" s="809">
        <f t="shared" si="3"/>
        <v>2556.9034900000001</v>
      </c>
    </row>
    <row r="258" spans="1:16" x14ac:dyDescent="0.25">
      <c r="B258" s="683" t="s">
        <v>2445</v>
      </c>
      <c r="C258" s="809">
        <v>21647.568569999999</v>
      </c>
      <c r="D258" s="809">
        <v>21166.284949999899</v>
      </c>
      <c r="E258" s="809">
        <v>20669.297279999999</v>
      </c>
      <c r="F258" s="809">
        <v>20192.523939999999</v>
      </c>
      <c r="G258" s="809">
        <v>19716.191049999899</v>
      </c>
      <c r="H258" s="809">
        <v>19282.845469999898</v>
      </c>
      <c r="I258" s="809">
        <v>18862.1557499999</v>
      </c>
      <c r="J258" s="809">
        <v>18446.928969999899</v>
      </c>
      <c r="K258" s="809">
        <v>18053.17167</v>
      </c>
      <c r="L258" s="809">
        <v>17668.6707299999</v>
      </c>
      <c r="M258" s="809">
        <v>17287.485429999899</v>
      </c>
      <c r="N258" s="809">
        <v>16911.3962499999</v>
      </c>
      <c r="O258" s="809">
        <v>16419.22596</v>
      </c>
      <c r="P258" s="809">
        <f t="shared" si="3"/>
        <v>18947.980463076863</v>
      </c>
    </row>
    <row r="259" spans="1:16" x14ac:dyDescent="0.25">
      <c r="A259" s="817"/>
      <c r="B259" s="683" t="s">
        <v>2277</v>
      </c>
      <c r="C259" s="809">
        <v>24845.90165</v>
      </c>
      <c r="D259" s="809">
        <v>24364.6180299999</v>
      </c>
      <c r="E259" s="809">
        <v>23867.630359999999</v>
      </c>
      <c r="F259" s="809">
        <v>23390.857019999999</v>
      </c>
      <c r="G259" s="809">
        <v>22914.5241299999</v>
      </c>
      <c r="H259" s="809">
        <v>22481.178549999899</v>
      </c>
      <c r="I259" s="809">
        <v>22060.488829999998</v>
      </c>
      <c r="J259" s="809">
        <v>21645.262049999899</v>
      </c>
      <c r="K259" s="809">
        <v>21251.50475</v>
      </c>
      <c r="L259" s="809">
        <v>20867.003809999998</v>
      </c>
      <c r="M259" s="809">
        <v>20485.818509999899</v>
      </c>
      <c r="N259" s="809">
        <v>20109.729329999998</v>
      </c>
      <c r="O259" s="809">
        <v>19617.55904</v>
      </c>
      <c r="P259" s="809">
        <f t="shared" si="3"/>
        <v>22146.313543076882</v>
      </c>
    </row>
    <row r="260" spans="1:16" x14ac:dyDescent="0.25">
      <c r="C260" s="811"/>
      <c r="D260" s="811"/>
      <c r="E260" s="811"/>
      <c r="F260" s="811"/>
      <c r="G260" s="811"/>
      <c r="H260" s="811"/>
      <c r="I260" s="811"/>
      <c r="J260" s="811"/>
      <c r="K260" s="811"/>
      <c r="L260" s="811"/>
      <c r="M260" s="811"/>
      <c r="N260" s="811"/>
      <c r="O260" s="811"/>
      <c r="P260" s="809">
        <f t="shared" si="3"/>
        <v>0</v>
      </c>
    </row>
    <row r="261" spans="1:16" x14ac:dyDescent="0.25">
      <c r="B261" s="683" t="s">
        <v>2280</v>
      </c>
      <c r="P261" s="809">
        <f t="shared" si="3"/>
        <v>0</v>
      </c>
    </row>
    <row r="262" spans="1:16" x14ac:dyDescent="0.25">
      <c r="C262" s="811"/>
      <c r="D262" s="811"/>
      <c r="E262" s="811"/>
      <c r="F262" s="811"/>
      <c r="G262" s="811"/>
      <c r="H262" s="811"/>
      <c r="I262" s="811"/>
      <c r="J262" s="811"/>
      <c r="K262" s="811"/>
      <c r="L262" s="811"/>
      <c r="M262" s="811"/>
      <c r="N262" s="811"/>
      <c r="O262" s="811"/>
      <c r="P262" s="809">
        <f t="shared" si="3"/>
        <v>0</v>
      </c>
    </row>
    <row r="263" spans="1:16" x14ac:dyDescent="0.25">
      <c r="B263" s="683" t="s">
        <v>2281</v>
      </c>
      <c r="C263" s="811"/>
      <c r="D263" s="811"/>
      <c r="E263" s="811"/>
      <c r="F263" s="811"/>
      <c r="G263" s="811"/>
      <c r="H263" s="811"/>
      <c r="I263" s="811"/>
      <c r="J263" s="811"/>
      <c r="K263" s="811"/>
      <c r="L263" s="811"/>
      <c r="M263" s="811"/>
      <c r="N263" s="811"/>
      <c r="O263" s="811"/>
      <c r="P263" s="809">
        <f t="shared" si="3"/>
        <v>0</v>
      </c>
    </row>
    <row r="264" spans="1:16" x14ac:dyDescent="0.25">
      <c r="A264" s="818">
        <v>228.30099999999999</v>
      </c>
      <c r="B264" s="683" t="s">
        <v>2282</v>
      </c>
      <c r="C264" s="809">
        <v>6921.6469999999999</v>
      </c>
      <c r="D264" s="809">
        <v>6921.6469999999999</v>
      </c>
      <c r="E264" s="809">
        <v>6921.6469999999999</v>
      </c>
      <c r="F264" s="809">
        <v>6921.6469999999999</v>
      </c>
      <c r="G264" s="809">
        <v>6921.6469999999999</v>
      </c>
      <c r="H264" s="809">
        <v>6921.6469999999999</v>
      </c>
      <c r="I264" s="809">
        <v>6921.6469999999999</v>
      </c>
      <c r="J264" s="809">
        <v>6921.6469999999999</v>
      </c>
      <c r="K264" s="809">
        <v>6921.6469999999999</v>
      </c>
      <c r="L264" s="809">
        <v>6921.6469999999999</v>
      </c>
      <c r="M264" s="809">
        <v>6921.6469999999999</v>
      </c>
      <c r="N264" s="809">
        <v>6921.6469999999999</v>
      </c>
      <c r="O264" s="809">
        <v>6921.6469999999999</v>
      </c>
      <c r="P264" s="809">
        <f t="shared" si="3"/>
        <v>6921.6469999999981</v>
      </c>
    </row>
    <row r="265" spans="1:16" x14ac:dyDescent="0.25">
      <c r="B265" s="683" t="s">
        <v>2283</v>
      </c>
      <c r="C265" s="809">
        <v>0</v>
      </c>
      <c r="D265" s="809">
        <v>0</v>
      </c>
      <c r="E265" s="809">
        <v>0</v>
      </c>
      <c r="F265" s="809">
        <v>0</v>
      </c>
      <c r="G265" s="809">
        <v>0</v>
      </c>
      <c r="H265" s="809">
        <v>0</v>
      </c>
      <c r="I265" s="809">
        <v>0</v>
      </c>
      <c r="J265" s="809">
        <v>0</v>
      </c>
      <c r="K265" s="809">
        <v>0</v>
      </c>
      <c r="L265" s="809">
        <v>0</v>
      </c>
      <c r="M265" s="809">
        <v>0</v>
      </c>
      <c r="N265" s="809">
        <v>0</v>
      </c>
      <c r="O265" s="809">
        <v>0</v>
      </c>
      <c r="P265" s="809">
        <f t="shared" si="3"/>
        <v>0</v>
      </c>
    </row>
    <row r="266" spans="1:16" x14ac:dyDescent="0.25">
      <c r="B266" s="683" t="s">
        <v>2284</v>
      </c>
      <c r="C266" s="809">
        <v>21010.437096666599</v>
      </c>
      <c r="D266" s="809">
        <v>21061.5130133333</v>
      </c>
      <c r="E266" s="809">
        <v>19822.822680000001</v>
      </c>
      <c r="F266" s="809">
        <v>19873.8985966666</v>
      </c>
      <c r="G266" s="809">
        <v>19924.974513333302</v>
      </c>
      <c r="H266" s="809">
        <v>18686.284179999999</v>
      </c>
      <c r="I266" s="809">
        <v>18737.360096666602</v>
      </c>
      <c r="J266" s="809">
        <v>18788.436013333299</v>
      </c>
      <c r="K266" s="809">
        <v>17549.74568</v>
      </c>
      <c r="L266" s="809">
        <v>17596.67468</v>
      </c>
      <c r="M266" s="809">
        <v>17643.60368</v>
      </c>
      <c r="N266" s="809">
        <v>16377.75568</v>
      </c>
      <c r="O266" s="809">
        <v>16424.684679999998</v>
      </c>
      <c r="P266" s="809">
        <f t="shared" si="3"/>
        <v>18730.630045384594</v>
      </c>
    </row>
    <row r="267" spans="1:16" x14ac:dyDescent="0.25">
      <c r="A267" s="817">
        <v>228.3</v>
      </c>
      <c r="B267" s="683" t="s">
        <v>2281</v>
      </c>
      <c r="C267" s="809">
        <v>27932.0840966666</v>
      </c>
      <c r="D267" s="809">
        <v>27983.160013333301</v>
      </c>
      <c r="E267" s="809">
        <v>26744.469679999998</v>
      </c>
      <c r="F267" s="809">
        <v>26795.545596666601</v>
      </c>
      <c r="G267" s="809">
        <v>26846.621513333299</v>
      </c>
      <c r="H267" s="809">
        <v>25607.93118</v>
      </c>
      <c r="I267" s="809">
        <v>25659.007096666599</v>
      </c>
      <c r="J267" s="809">
        <v>25710.0830133333</v>
      </c>
      <c r="K267" s="809">
        <v>24471.392680000001</v>
      </c>
      <c r="L267" s="809">
        <v>24518.321680000001</v>
      </c>
      <c r="M267" s="809">
        <v>24565.250680000001</v>
      </c>
      <c r="N267" s="809">
        <v>23299.402679999999</v>
      </c>
      <c r="O267" s="809">
        <v>23346.331679999999</v>
      </c>
      <c r="P267" s="809">
        <f t="shared" ref="P267:P272" si="4">SUM(C267:O267)/13</f>
        <v>25652.277045384591</v>
      </c>
    </row>
    <row r="268" spans="1:16" x14ac:dyDescent="0.25">
      <c r="C268" s="811"/>
      <c r="D268" s="811"/>
      <c r="E268" s="811"/>
      <c r="F268" s="811"/>
      <c r="G268" s="811"/>
      <c r="H268" s="811"/>
      <c r="I268" s="811"/>
      <c r="J268" s="811"/>
      <c r="K268" s="811"/>
      <c r="L268" s="811"/>
      <c r="M268" s="811"/>
      <c r="N268" s="811"/>
      <c r="O268" s="811"/>
      <c r="P268" s="809">
        <f t="shared" si="4"/>
        <v>0</v>
      </c>
    </row>
    <row r="269" spans="1:16" x14ac:dyDescent="0.25">
      <c r="B269" s="683" t="s">
        <v>1796</v>
      </c>
      <c r="C269" s="811"/>
      <c r="D269" s="811"/>
      <c r="E269" s="811"/>
      <c r="F269" s="811"/>
      <c r="G269" s="811"/>
      <c r="H269" s="811"/>
      <c r="I269" s="811"/>
      <c r="J269" s="811"/>
      <c r="K269" s="811"/>
      <c r="L269" s="811"/>
      <c r="M269" s="811"/>
      <c r="N269" s="811"/>
      <c r="O269" s="811"/>
      <c r="P269" s="809">
        <f t="shared" si="4"/>
        <v>0</v>
      </c>
    </row>
    <row r="270" spans="1:16" ht="15.75" thickBot="1" x14ac:dyDescent="0.3">
      <c r="B270" s="810" t="s">
        <v>2285</v>
      </c>
      <c r="C270" s="813">
        <v>2187018.5635869098</v>
      </c>
      <c r="D270" s="813">
        <v>2180548.0791458101</v>
      </c>
      <c r="E270" s="813">
        <v>2186961.5998126999</v>
      </c>
      <c r="F270" s="813">
        <v>2183538.81104255</v>
      </c>
      <c r="G270" s="813">
        <v>2178123.2986158398</v>
      </c>
      <c r="H270" s="813">
        <v>2182149.8500130102</v>
      </c>
      <c r="I270" s="813">
        <v>2174958.3685218999</v>
      </c>
      <c r="J270" s="813">
        <v>2171578.5778659699</v>
      </c>
      <c r="K270" s="813">
        <v>2178594.5770996101</v>
      </c>
      <c r="L270" s="813">
        <v>2177475.0529670198</v>
      </c>
      <c r="M270" s="813">
        <v>2173502.5223198901</v>
      </c>
      <c r="N270" s="813">
        <v>2163464.6010225601</v>
      </c>
      <c r="O270" s="813">
        <v>2157105.0116652302</v>
      </c>
      <c r="P270" s="809">
        <f t="shared" si="4"/>
        <v>2176539.9164368459</v>
      </c>
    </row>
    <row r="271" spans="1:16" x14ac:dyDescent="0.25">
      <c r="P271" s="809">
        <f t="shared" si="4"/>
        <v>0</v>
      </c>
    </row>
    <row r="272" spans="1:16" ht="15.75" thickBot="1" x14ac:dyDescent="0.3">
      <c r="B272" s="810" t="s">
        <v>2286</v>
      </c>
      <c r="C272" s="813">
        <v>8028648.4692066004</v>
      </c>
      <c r="D272" s="813">
        <v>8045867.0971870301</v>
      </c>
      <c r="E272" s="813">
        <v>8069536.5961384596</v>
      </c>
      <c r="F272" s="813">
        <v>8098448.2608323898</v>
      </c>
      <c r="G272" s="813">
        <v>8124485.91906879</v>
      </c>
      <c r="H272" s="813">
        <v>8105620.7648990899</v>
      </c>
      <c r="I272" s="813">
        <v>8118521.4683434097</v>
      </c>
      <c r="J272" s="813">
        <v>8155852.4787939396</v>
      </c>
      <c r="K272" s="813">
        <v>8179793.4106563795</v>
      </c>
      <c r="L272" s="813">
        <v>8199467.5453856597</v>
      </c>
      <c r="M272" s="813">
        <v>8180517.5881669801</v>
      </c>
      <c r="N272" s="813">
        <v>8193457.2225597901</v>
      </c>
      <c r="O272" s="813">
        <v>8206025.4609147999</v>
      </c>
      <c r="P272" s="809">
        <f t="shared" si="4"/>
        <v>8131249.4063194878</v>
      </c>
    </row>
  </sheetData>
  <pageMargins left="0.75" right="0.75" top="1" bottom="1" header="0.5" footer="0.5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32"/>
  <sheetViews>
    <sheetView zoomScaleNormal="100" zoomScaleSheetLayoutView="85" workbookViewId="0">
      <selection activeCell="A3" sqref="A3:F3"/>
    </sheetView>
  </sheetViews>
  <sheetFormatPr defaultRowHeight="12.75" x14ac:dyDescent="0.2"/>
  <cols>
    <col min="1" max="1" width="17.5546875" style="461" customWidth="1"/>
    <col min="2" max="2" width="22.88671875" style="461" bestFit="1" customWidth="1"/>
    <col min="3" max="3" width="13.44140625" style="461" bestFit="1" customWidth="1"/>
    <col min="4" max="4" width="8.21875" style="461" customWidth="1"/>
    <col min="5" max="5" width="15.109375" style="461" customWidth="1"/>
    <col min="6" max="6" width="8.33203125" style="461" customWidth="1"/>
    <col min="7" max="255" width="8.88671875" style="461"/>
    <col min="256" max="256" width="30.6640625" style="461" customWidth="1"/>
    <col min="257" max="257" width="25.33203125" style="461" customWidth="1"/>
    <col min="258" max="258" width="10.6640625" style="461" customWidth="1"/>
    <col min="259" max="259" width="13.44140625" style="461" bestFit="1" customWidth="1"/>
    <col min="260" max="260" width="12.6640625" style="461" customWidth="1"/>
    <col min="261" max="261" width="16.33203125" style="461" customWidth="1"/>
    <col min="262" max="262" width="13.5546875" style="461" bestFit="1" customWidth="1"/>
    <col min="263" max="511" width="8.88671875" style="461"/>
    <col min="512" max="512" width="30.6640625" style="461" customWidth="1"/>
    <col min="513" max="513" width="25.33203125" style="461" customWidth="1"/>
    <col min="514" max="514" width="10.6640625" style="461" customWidth="1"/>
    <col min="515" max="515" width="13.44140625" style="461" bestFit="1" customWidth="1"/>
    <col min="516" max="516" width="12.6640625" style="461" customWidth="1"/>
    <col min="517" max="517" width="16.33203125" style="461" customWidth="1"/>
    <col min="518" max="518" width="13.5546875" style="461" bestFit="1" customWidth="1"/>
    <col min="519" max="767" width="8.88671875" style="461"/>
    <col min="768" max="768" width="30.6640625" style="461" customWidth="1"/>
    <col min="769" max="769" width="25.33203125" style="461" customWidth="1"/>
    <col min="770" max="770" width="10.6640625" style="461" customWidth="1"/>
    <col min="771" max="771" width="13.44140625" style="461" bestFit="1" customWidth="1"/>
    <col min="772" max="772" width="12.6640625" style="461" customWidth="1"/>
    <col min="773" max="773" width="16.33203125" style="461" customWidth="1"/>
    <col min="774" max="774" width="13.5546875" style="461" bestFit="1" customWidth="1"/>
    <col min="775" max="1023" width="8.88671875" style="461"/>
    <col min="1024" max="1024" width="30.6640625" style="461" customWidth="1"/>
    <col min="1025" max="1025" width="25.33203125" style="461" customWidth="1"/>
    <col min="1026" max="1026" width="10.6640625" style="461" customWidth="1"/>
    <col min="1027" max="1027" width="13.44140625" style="461" bestFit="1" customWidth="1"/>
    <col min="1028" max="1028" width="12.6640625" style="461" customWidth="1"/>
    <col min="1029" max="1029" width="16.33203125" style="461" customWidth="1"/>
    <col min="1030" max="1030" width="13.5546875" style="461" bestFit="1" customWidth="1"/>
    <col min="1031" max="1279" width="8.88671875" style="461"/>
    <col min="1280" max="1280" width="30.6640625" style="461" customWidth="1"/>
    <col min="1281" max="1281" width="25.33203125" style="461" customWidth="1"/>
    <col min="1282" max="1282" width="10.6640625" style="461" customWidth="1"/>
    <col min="1283" max="1283" width="13.44140625" style="461" bestFit="1" customWidth="1"/>
    <col min="1284" max="1284" width="12.6640625" style="461" customWidth="1"/>
    <col min="1285" max="1285" width="16.33203125" style="461" customWidth="1"/>
    <col min="1286" max="1286" width="13.5546875" style="461" bestFit="1" customWidth="1"/>
    <col min="1287" max="1535" width="8.88671875" style="461"/>
    <col min="1536" max="1536" width="30.6640625" style="461" customWidth="1"/>
    <col min="1537" max="1537" width="25.33203125" style="461" customWidth="1"/>
    <col min="1538" max="1538" width="10.6640625" style="461" customWidth="1"/>
    <col min="1539" max="1539" width="13.44140625" style="461" bestFit="1" customWidth="1"/>
    <col min="1540" max="1540" width="12.6640625" style="461" customWidth="1"/>
    <col min="1541" max="1541" width="16.33203125" style="461" customWidth="1"/>
    <col min="1542" max="1542" width="13.5546875" style="461" bestFit="1" customWidth="1"/>
    <col min="1543" max="1791" width="8.88671875" style="461"/>
    <col min="1792" max="1792" width="30.6640625" style="461" customWidth="1"/>
    <col min="1793" max="1793" width="25.33203125" style="461" customWidth="1"/>
    <col min="1794" max="1794" width="10.6640625" style="461" customWidth="1"/>
    <col min="1795" max="1795" width="13.44140625" style="461" bestFit="1" customWidth="1"/>
    <col min="1796" max="1796" width="12.6640625" style="461" customWidth="1"/>
    <col min="1797" max="1797" width="16.33203125" style="461" customWidth="1"/>
    <col min="1798" max="1798" width="13.5546875" style="461" bestFit="1" customWidth="1"/>
    <col min="1799" max="2047" width="8.88671875" style="461"/>
    <col min="2048" max="2048" width="30.6640625" style="461" customWidth="1"/>
    <col min="2049" max="2049" width="25.33203125" style="461" customWidth="1"/>
    <col min="2050" max="2050" width="10.6640625" style="461" customWidth="1"/>
    <col min="2051" max="2051" width="13.44140625" style="461" bestFit="1" customWidth="1"/>
    <col min="2052" max="2052" width="12.6640625" style="461" customWidth="1"/>
    <col min="2053" max="2053" width="16.33203125" style="461" customWidth="1"/>
    <col min="2054" max="2054" width="13.5546875" style="461" bestFit="1" customWidth="1"/>
    <col min="2055" max="2303" width="8.88671875" style="461"/>
    <col min="2304" max="2304" width="30.6640625" style="461" customWidth="1"/>
    <col min="2305" max="2305" width="25.33203125" style="461" customWidth="1"/>
    <col min="2306" max="2306" width="10.6640625" style="461" customWidth="1"/>
    <col min="2307" max="2307" width="13.44140625" style="461" bestFit="1" customWidth="1"/>
    <col min="2308" max="2308" width="12.6640625" style="461" customWidth="1"/>
    <col min="2309" max="2309" width="16.33203125" style="461" customWidth="1"/>
    <col min="2310" max="2310" width="13.5546875" style="461" bestFit="1" customWidth="1"/>
    <col min="2311" max="2559" width="8.88671875" style="461"/>
    <col min="2560" max="2560" width="30.6640625" style="461" customWidth="1"/>
    <col min="2561" max="2561" width="25.33203125" style="461" customWidth="1"/>
    <col min="2562" max="2562" width="10.6640625" style="461" customWidth="1"/>
    <col min="2563" max="2563" width="13.44140625" style="461" bestFit="1" customWidth="1"/>
    <col min="2564" max="2564" width="12.6640625" style="461" customWidth="1"/>
    <col min="2565" max="2565" width="16.33203125" style="461" customWidth="1"/>
    <col min="2566" max="2566" width="13.5546875" style="461" bestFit="1" customWidth="1"/>
    <col min="2567" max="2815" width="8.88671875" style="461"/>
    <col min="2816" max="2816" width="30.6640625" style="461" customWidth="1"/>
    <col min="2817" max="2817" width="25.33203125" style="461" customWidth="1"/>
    <col min="2818" max="2818" width="10.6640625" style="461" customWidth="1"/>
    <col min="2819" max="2819" width="13.44140625" style="461" bestFit="1" customWidth="1"/>
    <col min="2820" max="2820" width="12.6640625" style="461" customWidth="1"/>
    <col min="2821" max="2821" width="16.33203125" style="461" customWidth="1"/>
    <col min="2822" max="2822" width="13.5546875" style="461" bestFit="1" customWidth="1"/>
    <col min="2823" max="3071" width="8.88671875" style="461"/>
    <col min="3072" max="3072" width="30.6640625" style="461" customWidth="1"/>
    <col min="3073" max="3073" width="25.33203125" style="461" customWidth="1"/>
    <col min="3074" max="3074" width="10.6640625" style="461" customWidth="1"/>
    <col min="3075" max="3075" width="13.44140625" style="461" bestFit="1" customWidth="1"/>
    <col min="3076" max="3076" width="12.6640625" style="461" customWidth="1"/>
    <col min="3077" max="3077" width="16.33203125" style="461" customWidth="1"/>
    <col min="3078" max="3078" width="13.5546875" style="461" bestFit="1" customWidth="1"/>
    <col min="3079" max="3327" width="8.88671875" style="461"/>
    <col min="3328" max="3328" width="30.6640625" style="461" customWidth="1"/>
    <col min="3329" max="3329" width="25.33203125" style="461" customWidth="1"/>
    <col min="3330" max="3330" width="10.6640625" style="461" customWidth="1"/>
    <col min="3331" max="3331" width="13.44140625" style="461" bestFit="1" customWidth="1"/>
    <col min="3332" max="3332" width="12.6640625" style="461" customWidth="1"/>
    <col min="3333" max="3333" width="16.33203125" style="461" customWidth="1"/>
    <col min="3334" max="3334" width="13.5546875" style="461" bestFit="1" customWidth="1"/>
    <col min="3335" max="3583" width="8.88671875" style="461"/>
    <col min="3584" max="3584" width="30.6640625" style="461" customWidth="1"/>
    <col min="3585" max="3585" width="25.33203125" style="461" customWidth="1"/>
    <col min="3586" max="3586" width="10.6640625" style="461" customWidth="1"/>
    <col min="3587" max="3587" width="13.44140625" style="461" bestFit="1" customWidth="1"/>
    <col min="3588" max="3588" width="12.6640625" style="461" customWidth="1"/>
    <col min="3589" max="3589" width="16.33203125" style="461" customWidth="1"/>
    <col min="3590" max="3590" width="13.5546875" style="461" bestFit="1" customWidth="1"/>
    <col min="3591" max="3839" width="8.88671875" style="461"/>
    <col min="3840" max="3840" width="30.6640625" style="461" customWidth="1"/>
    <col min="3841" max="3841" width="25.33203125" style="461" customWidth="1"/>
    <col min="3842" max="3842" width="10.6640625" style="461" customWidth="1"/>
    <col min="3843" max="3843" width="13.44140625" style="461" bestFit="1" customWidth="1"/>
    <col min="3844" max="3844" width="12.6640625" style="461" customWidth="1"/>
    <col min="3845" max="3845" width="16.33203125" style="461" customWidth="1"/>
    <col min="3846" max="3846" width="13.5546875" style="461" bestFit="1" customWidth="1"/>
    <col min="3847" max="4095" width="8.88671875" style="461"/>
    <col min="4096" max="4096" width="30.6640625" style="461" customWidth="1"/>
    <col min="4097" max="4097" width="25.33203125" style="461" customWidth="1"/>
    <col min="4098" max="4098" width="10.6640625" style="461" customWidth="1"/>
    <col min="4099" max="4099" width="13.44140625" style="461" bestFit="1" customWidth="1"/>
    <col min="4100" max="4100" width="12.6640625" style="461" customWidth="1"/>
    <col min="4101" max="4101" width="16.33203125" style="461" customWidth="1"/>
    <col min="4102" max="4102" width="13.5546875" style="461" bestFit="1" customWidth="1"/>
    <col min="4103" max="4351" width="8.88671875" style="461"/>
    <col min="4352" max="4352" width="30.6640625" style="461" customWidth="1"/>
    <col min="4353" max="4353" width="25.33203125" style="461" customWidth="1"/>
    <col min="4354" max="4354" width="10.6640625" style="461" customWidth="1"/>
    <col min="4355" max="4355" width="13.44140625" style="461" bestFit="1" customWidth="1"/>
    <col min="4356" max="4356" width="12.6640625" style="461" customWidth="1"/>
    <col min="4357" max="4357" width="16.33203125" style="461" customWidth="1"/>
    <col min="4358" max="4358" width="13.5546875" style="461" bestFit="1" customWidth="1"/>
    <col min="4359" max="4607" width="8.88671875" style="461"/>
    <col min="4608" max="4608" width="30.6640625" style="461" customWidth="1"/>
    <col min="4609" max="4609" width="25.33203125" style="461" customWidth="1"/>
    <col min="4610" max="4610" width="10.6640625" style="461" customWidth="1"/>
    <col min="4611" max="4611" width="13.44140625" style="461" bestFit="1" customWidth="1"/>
    <col min="4612" max="4612" width="12.6640625" style="461" customWidth="1"/>
    <col min="4613" max="4613" width="16.33203125" style="461" customWidth="1"/>
    <col min="4614" max="4614" width="13.5546875" style="461" bestFit="1" customWidth="1"/>
    <col min="4615" max="4863" width="8.88671875" style="461"/>
    <col min="4864" max="4864" width="30.6640625" style="461" customWidth="1"/>
    <col min="4865" max="4865" width="25.33203125" style="461" customWidth="1"/>
    <col min="4866" max="4866" width="10.6640625" style="461" customWidth="1"/>
    <col min="4867" max="4867" width="13.44140625" style="461" bestFit="1" customWidth="1"/>
    <col min="4868" max="4868" width="12.6640625" style="461" customWidth="1"/>
    <col min="4869" max="4869" width="16.33203125" style="461" customWidth="1"/>
    <col min="4870" max="4870" width="13.5546875" style="461" bestFit="1" customWidth="1"/>
    <col min="4871" max="5119" width="8.88671875" style="461"/>
    <col min="5120" max="5120" width="30.6640625" style="461" customWidth="1"/>
    <col min="5121" max="5121" width="25.33203125" style="461" customWidth="1"/>
    <col min="5122" max="5122" width="10.6640625" style="461" customWidth="1"/>
    <col min="5123" max="5123" width="13.44140625" style="461" bestFit="1" customWidth="1"/>
    <col min="5124" max="5124" width="12.6640625" style="461" customWidth="1"/>
    <col min="5125" max="5125" width="16.33203125" style="461" customWidth="1"/>
    <col min="5126" max="5126" width="13.5546875" style="461" bestFit="1" customWidth="1"/>
    <col min="5127" max="5375" width="8.88671875" style="461"/>
    <col min="5376" max="5376" width="30.6640625" style="461" customWidth="1"/>
    <col min="5377" max="5377" width="25.33203125" style="461" customWidth="1"/>
    <col min="5378" max="5378" width="10.6640625" style="461" customWidth="1"/>
    <col min="5379" max="5379" width="13.44140625" style="461" bestFit="1" customWidth="1"/>
    <col min="5380" max="5380" width="12.6640625" style="461" customWidth="1"/>
    <col min="5381" max="5381" width="16.33203125" style="461" customWidth="1"/>
    <col min="5382" max="5382" width="13.5546875" style="461" bestFit="1" customWidth="1"/>
    <col min="5383" max="5631" width="8.88671875" style="461"/>
    <col min="5632" max="5632" width="30.6640625" style="461" customWidth="1"/>
    <col min="5633" max="5633" width="25.33203125" style="461" customWidth="1"/>
    <col min="5634" max="5634" width="10.6640625" style="461" customWidth="1"/>
    <col min="5635" max="5635" width="13.44140625" style="461" bestFit="1" customWidth="1"/>
    <col min="5636" max="5636" width="12.6640625" style="461" customWidth="1"/>
    <col min="5637" max="5637" width="16.33203125" style="461" customWidth="1"/>
    <col min="5638" max="5638" width="13.5546875" style="461" bestFit="1" customWidth="1"/>
    <col min="5639" max="5887" width="8.88671875" style="461"/>
    <col min="5888" max="5888" width="30.6640625" style="461" customWidth="1"/>
    <col min="5889" max="5889" width="25.33203125" style="461" customWidth="1"/>
    <col min="5890" max="5890" width="10.6640625" style="461" customWidth="1"/>
    <col min="5891" max="5891" width="13.44140625" style="461" bestFit="1" customWidth="1"/>
    <col min="5892" max="5892" width="12.6640625" style="461" customWidth="1"/>
    <col min="5893" max="5893" width="16.33203125" style="461" customWidth="1"/>
    <col min="5894" max="5894" width="13.5546875" style="461" bestFit="1" customWidth="1"/>
    <col min="5895" max="6143" width="8.88671875" style="461"/>
    <col min="6144" max="6144" width="30.6640625" style="461" customWidth="1"/>
    <col min="6145" max="6145" width="25.33203125" style="461" customWidth="1"/>
    <col min="6146" max="6146" width="10.6640625" style="461" customWidth="1"/>
    <col min="6147" max="6147" width="13.44140625" style="461" bestFit="1" customWidth="1"/>
    <col min="6148" max="6148" width="12.6640625" style="461" customWidth="1"/>
    <col min="6149" max="6149" width="16.33203125" style="461" customWidth="1"/>
    <col min="6150" max="6150" width="13.5546875" style="461" bestFit="1" customWidth="1"/>
    <col min="6151" max="6399" width="8.88671875" style="461"/>
    <col min="6400" max="6400" width="30.6640625" style="461" customWidth="1"/>
    <col min="6401" max="6401" width="25.33203125" style="461" customWidth="1"/>
    <col min="6402" max="6402" width="10.6640625" style="461" customWidth="1"/>
    <col min="6403" max="6403" width="13.44140625" style="461" bestFit="1" customWidth="1"/>
    <col min="6404" max="6404" width="12.6640625" style="461" customWidth="1"/>
    <col min="6405" max="6405" width="16.33203125" style="461" customWidth="1"/>
    <col min="6406" max="6406" width="13.5546875" style="461" bestFit="1" customWidth="1"/>
    <col min="6407" max="6655" width="8.88671875" style="461"/>
    <col min="6656" max="6656" width="30.6640625" style="461" customWidth="1"/>
    <col min="6657" max="6657" width="25.33203125" style="461" customWidth="1"/>
    <col min="6658" max="6658" width="10.6640625" style="461" customWidth="1"/>
    <col min="6659" max="6659" width="13.44140625" style="461" bestFit="1" customWidth="1"/>
    <col min="6660" max="6660" width="12.6640625" style="461" customWidth="1"/>
    <col min="6661" max="6661" width="16.33203125" style="461" customWidth="1"/>
    <col min="6662" max="6662" width="13.5546875" style="461" bestFit="1" customWidth="1"/>
    <col min="6663" max="6911" width="8.88671875" style="461"/>
    <col min="6912" max="6912" width="30.6640625" style="461" customWidth="1"/>
    <col min="6913" max="6913" width="25.33203125" style="461" customWidth="1"/>
    <col min="6914" max="6914" width="10.6640625" style="461" customWidth="1"/>
    <col min="6915" max="6915" width="13.44140625" style="461" bestFit="1" customWidth="1"/>
    <col min="6916" max="6916" width="12.6640625" style="461" customWidth="1"/>
    <col min="6917" max="6917" width="16.33203125" style="461" customWidth="1"/>
    <col min="6918" max="6918" width="13.5546875" style="461" bestFit="1" customWidth="1"/>
    <col min="6919" max="7167" width="8.88671875" style="461"/>
    <col min="7168" max="7168" width="30.6640625" style="461" customWidth="1"/>
    <col min="7169" max="7169" width="25.33203125" style="461" customWidth="1"/>
    <col min="7170" max="7170" width="10.6640625" style="461" customWidth="1"/>
    <col min="7171" max="7171" width="13.44140625" style="461" bestFit="1" customWidth="1"/>
    <col min="7172" max="7172" width="12.6640625" style="461" customWidth="1"/>
    <col min="7173" max="7173" width="16.33203125" style="461" customWidth="1"/>
    <col min="7174" max="7174" width="13.5546875" style="461" bestFit="1" customWidth="1"/>
    <col min="7175" max="7423" width="8.88671875" style="461"/>
    <col min="7424" max="7424" width="30.6640625" style="461" customWidth="1"/>
    <col min="7425" max="7425" width="25.33203125" style="461" customWidth="1"/>
    <col min="7426" max="7426" width="10.6640625" style="461" customWidth="1"/>
    <col min="7427" max="7427" width="13.44140625" style="461" bestFit="1" customWidth="1"/>
    <col min="7428" max="7428" width="12.6640625" style="461" customWidth="1"/>
    <col min="7429" max="7429" width="16.33203125" style="461" customWidth="1"/>
    <col min="7430" max="7430" width="13.5546875" style="461" bestFit="1" customWidth="1"/>
    <col min="7431" max="7679" width="8.88671875" style="461"/>
    <col min="7680" max="7680" width="30.6640625" style="461" customWidth="1"/>
    <col min="7681" max="7681" width="25.33203125" style="461" customWidth="1"/>
    <col min="7682" max="7682" width="10.6640625" style="461" customWidth="1"/>
    <col min="7683" max="7683" width="13.44140625" style="461" bestFit="1" customWidth="1"/>
    <col min="7684" max="7684" width="12.6640625" style="461" customWidth="1"/>
    <col min="7685" max="7685" width="16.33203125" style="461" customWidth="1"/>
    <col min="7686" max="7686" width="13.5546875" style="461" bestFit="1" customWidth="1"/>
    <col min="7687" max="7935" width="8.88671875" style="461"/>
    <col min="7936" max="7936" width="30.6640625" style="461" customWidth="1"/>
    <col min="7937" max="7937" width="25.33203125" style="461" customWidth="1"/>
    <col min="7938" max="7938" width="10.6640625" style="461" customWidth="1"/>
    <col min="7939" max="7939" width="13.44140625" style="461" bestFit="1" customWidth="1"/>
    <col min="7940" max="7940" width="12.6640625" style="461" customWidth="1"/>
    <col min="7941" max="7941" width="16.33203125" style="461" customWidth="1"/>
    <col min="7942" max="7942" width="13.5546875" style="461" bestFit="1" customWidth="1"/>
    <col min="7943" max="8191" width="8.88671875" style="461"/>
    <col min="8192" max="8192" width="30.6640625" style="461" customWidth="1"/>
    <col min="8193" max="8193" width="25.33203125" style="461" customWidth="1"/>
    <col min="8194" max="8194" width="10.6640625" style="461" customWidth="1"/>
    <col min="8195" max="8195" width="13.44140625" style="461" bestFit="1" customWidth="1"/>
    <col min="8196" max="8196" width="12.6640625" style="461" customWidth="1"/>
    <col min="8197" max="8197" width="16.33203125" style="461" customWidth="1"/>
    <col min="8198" max="8198" width="13.5546875" style="461" bestFit="1" customWidth="1"/>
    <col min="8199" max="8447" width="8.88671875" style="461"/>
    <col min="8448" max="8448" width="30.6640625" style="461" customWidth="1"/>
    <col min="8449" max="8449" width="25.33203125" style="461" customWidth="1"/>
    <col min="8450" max="8450" width="10.6640625" style="461" customWidth="1"/>
    <col min="8451" max="8451" width="13.44140625" style="461" bestFit="1" customWidth="1"/>
    <col min="8452" max="8452" width="12.6640625" style="461" customWidth="1"/>
    <col min="8453" max="8453" width="16.33203125" style="461" customWidth="1"/>
    <col min="8454" max="8454" width="13.5546875" style="461" bestFit="1" customWidth="1"/>
    <col min="8455" max="8703" width="8.88671875" style="461"/>
    <col min="8704" max="8704" width="30.6640625" style="461" customWidth="1"/>
    <col min="8705" max="8705" width="25.33203125" style="461" customWidth="1"/>
    <col min="8706" max="8706" width="10.6640625" style="461" customWidth="1"/>
    <col min="8707" max="8707" width="13.44140625" style="461" bestFit="1" customWidth="1"/>
    <col min="8708" max="8708" width="12.6640625" style="461" customWidth="1"/>
    <col min="8709" max="8709" width="16.33203125" style="461" customWidth="1"/>
    <col min="8710" max="8710" width="13.5546875" style="461" bestFit="1" customWidth="1"/>
    <col min="8711" max="8959" width="8.88671875" style="461"/>
    <col min="8960" max="8960" width="30.6640625" style="461" customWidth="1"/>
    <col min="8961" max="8961" width="25.33203125" style="461" customWidth="1"/>
    <col min="8962" max="8962" width="10.6640625" style="461" customWidth="1"/>
    <col min="8963" max="8963" width="13.44140625" style="461" bestFit="1" customWidth="1"/>
    <col min="8964" max="8964" width="12.6640625" style="461" customWidth="1"/>
    <col min="8965" max="8965" width="16.33203125" style="461" customWidth="1"/>
    <col min="8966" max="8966" width="13.5546875" style="461" bestFit="1" customWidth="1"/>
    <col min="8967" max="9215" width="8.88671875" style="461"/>
    <col min="9216" max="9216" width="30.6640625" style="461" customWidth="1"/>
    <col min="9217" max="9217" width="25.33203125" style="461" customWidth="1"/>
    <col min="9218" max="9218" width="10.6640625" style="461" customWidth="1"/>
    <col min="9219" max="9219" width="13.44140625" style="461" bestFit="1" customWidth="1"/>
    <col min="9220" max="9220" width="12.6640625" style="461" customWidth="1"/>
    <col min="9221" max="9221" width="16.33203125" style="461" customWidth="1"/>
    <col min="9222" max="9222" width="13.5546875" style="461" bestFit="1" customWidth="1"/>
    <col min="9223" max="9471" width="8.88671875" style="461"/>
    <col min="9472" max="9472" width="30.6640625" style="461" customWidth="1"/>
    <col min="9473" max="9473" width="25.33203125" style="461" customWidth="1"/>
    <col min="9474" max="9474" width="10.6640625" style="461" customWidth="1"/>
    <col min="9475" max="9475" width="13.44140625" style="461" bestFit="1" customWidth="1"/>
    <col min="9476" max="9476" width="12.6640625" style="461" customWidth="1"/>
    <col min="9477" max="9477" width="16.33203125" style="461" customWidth="1"/>
    <col min="9478" max="9478" width="13.5546875" style="461" bestFit="1" customWidth="1"/>
    <col min="9479" max="9727" width="8.88671875" style="461"/>
    <col min="9728" max="9728" width="30.6640625" style="461" customWidth="1"/>
    <col min="9729" max="9729" width="25.33203125" style="461" customWidth="1"/>
    <col min="9730" max="9730" width="10.6640625" style="461" customWidth="1"/>
    <col min="9731" max="9731" width="13.44140625" style="461" bestFit="1" customWidth="1"/>
    <col min="9732" max="9732" width="12.6640625" style="461" customWidth="1"/>
    <col min="9733" max="9733" width="16.33203125" style="461" customWidth="1"/>
    <col min="9734" max="9734" width="13.5546875" style="461" bestFit="1" customWidth="1"/>
    <col min="9735" max="9983" width="8.88671875" style="461"/>
    <col min="9984" max="9984" width="30.6640625" style="461" customWidth="1"/>
    <col min="9985" max="9985" width="25.33203125" style="461" customWidth="1"/>
    <col min="9986" max="9986" width="10.6640625" style="461" customWidth="1"/>
    <col min="9987" max="9987" width="13.44140625" style="461" bestFit="1" customWidth="1"/>
    <col min="9988" max="9988" width="12.6640625" style="461" customWidth="1"/>
    <col min="9989" max="9989" width="16.33203125" style="461" customWidth="1"/>
    <col min="9990" max="9990" width="13.5546875" style="461" bestFit="1" customWidth="1"/>
    <col min="9991" max="10239" width="8.88671875" style="461"/>
    <col min="10240" max="10240" width="30.6640625" style="461" customWidth="1"/>
    <col min="10241" max="10241" width="25.33203125" style="461" customWidth="1"/>
    <col min="10242" max="10242" width="10.6640625" style="461" customWidth="1"/>
    <col min="10243" max="10243" width="13.44140625" style="461" bestFit="1" customWidth="1"/>
    <col min="10244" max="10244" width="12.6640625" style="461" customWidth="1"/>
    <col min="10245" max="10245" width="16.33203125" style="461" customWidth="1"/>
    <col min="10246" max="10246" width="13.5546875" style="461" bestFit="1" customWidth="1"/>
    <col min="10247" max="10495" width="8.88671875" style="461"/>
    <col min="10496" max="10496" width="30.6640625" style="461" customWidth="1"/>
    <col min="10497" max="10497" width="25.33203125" style="461" customWidth="1"/>
    <col min="10498" max="10498" width="10.6640625" style="461" customWidth="1"/>
    <col min="10499" max="10499" width="13.44140625" style="461" bestFit="1" customWidth="1"/>
    <col min="10500" max="10500" width="12.6640625" style="461" customWidth="1"/>
    <col min="10501" max="10501" width="16.33203125" style="461" customWidth="1"/>
    <col min="10502" max="10502" width="13.5546875" style="461" bestFit="1" customWidth="1"/>
    <col min="10503" max="10751" width="8.88671875" style="461"/>
    <col min="10752" max="10752" width="30.6640625" style="461" customWidth="1"/>
    <col min="10753" max="10753" width="25.33203125" style="461" customWidth="1"/>
    <col min="10754" max="10754" width="10.6640625" style="461" customWidth="1"/>
    <col min="10755" max="10755" width="13.44140625" style="461" bestFit="1" customWidth="1"/>
    <col min="10756" max="10756" width="12.6640625" style="461" customWidth="1"/>
    <col min="10757" max="10757" width="16.33203125" style="461" customWidth="1"/>
    <col min="10758" max="10758" width="13.5546875" style="461" bestFit="1" customWidth="1"/>
    <col min="10759" max="11007" width="8.88671875" style="461"/>
    <col min="11008" max="11008" width="30.6640625" style="461" customWidth="1"/>
    <col min="11009" max="11009" width="25.33203125" style="461" customWidth="1"/>
    <col min="11010" max="11010" width="10.6640625" style="461" customWidth="1"/>
    <col min="11011" max="11011" width="13.44140625" style="461" bestFit="1" customWidth="1"/>
    <col min="11012" max="11012" width="12.6640625" style="461" customWidth="1"/>
    <col min="11013" max="11013" width="16.33203125" style="461" customWidth="1"/>
    <col min="11014" max="11014" width="13.5546875" style="461" bestFit="1" customWidth="1"/>
    <col min="11015" max="11263" width="8.88671875" style="461"/>
    <col min="11264" max="11264" width="30.6640625" style="461" customWidth="1"/>
    <col min="11265" max="11265" width="25.33203125" style="461" customWidth="1"/>
    <col min="11266" max="11266" width="10.6640625" style="461" customWidth="1"/>
    <col min="11267" max="11267" width="13.44140625" style="461" bestFit="1" customWidth="1"/>
    <col min="11268" max="11268" width="12.6640625" style="461" customWidth="1"/>
    <col min="11269" max="11269" width="16.33203125" style="461" customWidth="1"/>
    <col min="11270" max="11270" width="13.5546875" style="461" bestFit="1" customWidth="1"/>
    <col min="11271" max="11519" width="8.88671875" style="461"/>
    <col min="11520" max="11520" width="30.6640625" style="461" customWidth="1"/>
    <col min="11521" max="11521" width="25.33203125" style="461" customWidth="1"/>
    <col min="11522" max="11522" width="10.6640625" style="461" customWidth="1"/>
    <col min="11523" max="11523" width="13.44140625" style="461" bestFit="1" customWidth="1"/>
    <col min="11524" max="11524" width="12.6640625" style="461" customWidth="1"/>
    <col min="11525" max="11525" width="16.33203125" style="461" customWidth="1"/>
    <col min="11526" max="11526" width="13.5546875" style="461" bestFit="1" customWidth="1"/>
    <col min="11527" max="11775" width="8.88671875" style="461"/>
    <col min="11776" max="11776" width="30.6640625" style="461" customWidth="1"/>
    <col min="11777" max="11777" width="25.33203125" style="461" customWidth="1"/>
    <col min="11778" max="11778" width="10.6640625" style="461" customWidth="1"/>
    <col min="11779" max="11779" width="13.44140625" style="461" bestFit="1" customWidth="1"/>
    <col min="11780" max="11780" width="12.6640625" style="461" customWidth="1"/>
    <col min="11781" max="11781" width="16.33203125" style="461" customWidth="1"/>
    <col min="11782" max="11782" width="13.5546875" style="461" bestFit="1" customWidth="1"/>
    <col min="11783" max="12031" width="8.88671875" style="461"/>
    <col min="12032" max="12032" width="30.6640625" style="461" customWidth="1"/>
    <col min="12033" max="12033" width="25.33203125" style="461" customWidth="1"/>
    <col min="12034" max="12034" width="10.6640625" style="461" customWidth="1"/>
    <col min="12035" max="12035" width="13.44140625" style="461" bestFit="1" customWidth="1"/>
    <col min="12036" max="12036" width="12.6640625" style="461" customWidth="1"/>
    <col min="12037" max="12037" width="16.33203125" style="461" customWidth="1"/>
    <col min="12038" max="12038" width="13.5546875" style="461" bestFit="1" customWidth="1"/>
    <col min="12039" max="12287" width="8.88671875" style="461"/>
    <col min="12288" max="12288" width="30.6640625" style="461" customWidth="1"/>
    <col min="12289" max="12289" width="25.33203125" style="461" customWidth="1"/>
    <col min="12290" max="12290" width="10.6640625" style="461" customWidth="1"/>
    <col min="12291" max="12291" width="13.44140625" style="461" bestFit="1" customWidth="1"/>
    <col min="12292" max="12292" width="12.6640625" style="461" customWidth="1"/>
    <col min="12293" max="12293" width="16.33203125" style="461" customWidth="1"/>
    <col min="12294" max="12294" width="13.5546875" style="461" bestFit="1" customWidth="1"/>
    <col min="12295" max="12543" width="8.88671875" style="461"/>
    <col min="12544" max="12544" width="30.6640625" style="461" customWidth="1"/>
    <col min="12545" max="12545" width="25.33203125" style="461" customWidth="1"/>
    <col min="12546" max="12546" width="10.6640625" style="461" customWidth="1"/>
    <col min="12547" max="12547" width="13.44140625" style="461" bestFit="1" customWidth="1"/>
    <col min="12548" max="12548" width="12.6640625" style="461" customWidth="1"/>
    <col min="12549" max="12549" width="16.33203125" style="461" customWidth="1"/>
    <col min="12550" max="12550" width="13.5546875" style="461" bestFit="1" customWidth="1"/>
    <col min="12551" max="12799" width="8.88671875" style="461"/>
    <col min="12800" max="12800" width="30.6640625" style="461" customWidth="1"/>
    <col min="12801" max="12801" width="25.33203125" style="461" customWidth="1"/>
    <col min="12802" max="12802" width="10.6640625" style="461" customWidth="1"/>
    <col min="12803" max="12803" width="13.44140625" style="461" bestFit="1" customWidth="1"/>
    <col min="12804" max="12804" width="12.6640625" style="461" customWidth="1"/>
    <col min="12805" max="12805" width="16.33203125" style="461" customWidth="1"/>
    <col min="12806" max="12806" width="13.5546875" style="461" bestFit="1" customWidth="1"/>
    <col min="12807" max="13055" width="8.88671875" style="461"/>
    <col min="13056" max="13056" width="30.6640625" style="461" customWidth="1"/>
    <col min="13057" max="13057" width="25.33203125" style="461" customWidth="1"/>
    <col min="13058" max="13058" width="10.6640625" style="461" customWidth="1"/>
    <col min="13059" max="13059" width="13.44140625" style="461" bestFit="1" customWidth="1"/>
    <col min="13060" max="13060" width="12.6640625" style="461" customWidth="1"/>
    <col min="13061" max="13061" width="16.33203125" style="461" customWidth="1"/>
    <col min="13062" max="13062" width="13.5546875" style="461" bestFit="1" customWidth="1"/>
    <col min="13063" max="13311" width="8.88671875" style="461"/>
    <col min="13312" max="13312" width="30.6640625" style="461" customWidth="1"/>
    <col min="13313" max="13313" width="25.33203125" style="461" customWidth="1"/>
    <col min="13314" max="13314" width="10.6640625" style="461" customWidth="1"/>
    <col min="13315" max="13315" width="13.44140625" style="461" bestFit="1" customWidth="1"/>
    <col min="13316" max="13316" width="12.6640625" style="461" customWidth="1"/>
    <col min="13317" max="13317" width="16.33203125" style="461" customWidth="1"/>
    <col min="13318" max="13318" width="13.5546875" style="461" bestFit="1" customWidth="1"/>
    <col min="13319" max="13567" width="8.88671875" style="461"/>
    <col min="13568" max="13568" width="30.6640625" style="461" customWidth="1"/>
    <col min="13569" max="13569" width="25.33203125" style="461" customWidth="1"/>
    <col min="13570" max="13570" width="10.6640625" style="461" customWidth="1"/>
    <col min="13571" max="13571" width="13.44140625" style="461" bestFit="1" customWidth="1"/>
    <col min="13572" max="13572" width="12.6640625" style="461" customWidth="1"/>
    <col min="13573" max="13573" width="16.33203125" style="461" customWidth="1"/>
    <col min="13574" max="13574" width="13.5546875" style="461" bestFit="1" customWidth="1"/>
    <col min="13575" max="13823" width="8.88671875" style="461"/>
    <col min="13824" max="13824" width="30.6640625" style="461" customWidth="1"/>
    <col min="13825" max="13825" width="25.33203125" style="461" customWidth="1"/>
    <col min="13826" max="13826" width="10.6640625" style="461" customWidth="1"/>
    <col min="13827" max="13827" width="13.44140625" style="461" bestFit="1" customWidth="1"/>
    <col min="13828" max="13828" width="12.6640625" style="461" customWidth="1"/>
    <col min="13829" max="13829" width="16.33203125" style="461" customWidth="1"/>
    <col min="13830" max="13830" width="13.5546875" style="461" bestFit="1" customWidth="1"/>
    <col min="13831" max="14079" width="8.88671875" style="461"/>
    <col min="14080" max="14080" width="30.6640625" style="461" customWidth="1"/>
    <col min="14081" max="14081" width="25.33203125" style="461" customWidth="1"/>
    <col min="14082" max="14082" width="10.6640625" style="461" customWidth="1"/>
    <col min="14083" max="14083" width="13.44140625" style="461" bestFit="1" customWidth="1"/>
    <col min="14084" max="14084" width="12.6640625" style="461" customWidth="1"/>
    <col min="14085" max="14085" width="16.33203125" style="461" customWidth="1"/>
    <col min="14086" max="14086" width="13.5546875" style="461" bestFit="1" customWidth="1"/>
    <col min="14087" max="14335" width="8.88671875" style="461"/>
    <col min="14336" max="14336" width="30.6640625" style="461" customWidth="1"/>
    <col min="14337" max="14337" width="25.33203125" style="461" customWidth="1"/>
    <col min="14338" max="14338" width="10.6640625" style="461" customWidth="1"/>
    <col min="14339" max="14339" width="13.44140625" style="461" bestFit="1" customWidth="1"/>
    <col min="14340" max="14340" width="12.6640625" style="461" customWidth="1"/>
    <col min="14341" max="14341" width="16.33203125" style="461" customWidth="1"/>
    <col min="14342" max="14342" width="13.5546875" style="461" bestFit="1" customWidth="1"/>
    <col min="14343" max="14591" width="8.88671875" style="461"/>
    <col min="14592" max="14592" width="30.6640625" style="461" customWidth="1"/>
    <col min="14593" max="14593" width="25.33203125" style="461" customWidth="1"/>
    <col min="14594" max="14594" width="10.6640625" style="461" customWidth="1"/>
    <col min="14595" max="14595" width="13.44140625" style="461" bestFit="1" customWidth="1"/>
    <col min="14596" max="14596" width="12.6640625" style="461" customWidth="1"/>
    <col min="14597" max="14597" width="16.33203125" style="461" customWidth="1"/>
    <col min="14598" max="14598" width="13.5546875" style="461" bestFit="1" customWidth="1"/>
    <col min="14599" max="14847" width="8.88671875" style="461"/>
    <col min="14848" max="14848" width="30.6640625" style="461" customWidth="1"/>
    <col min="14849" max="14849" width="25.33203125" style="461" customWidth="1"/>
    <col min="14850" max="14850" width="10.6640625" style="461" customWidth="1"/>
    <col min="14851" max="14851" width="13.44140625" style="461" bestFit="1" customWidth="1"/>
    <col min="14852" max="14852" width="12.6640625" style="461" customWidth="1"/>
    <col min="14853" max="14853" width="16.33203125" style="461" customWidth="1"/>
    <col min="14854" max="14854" width="13.5546875" style="461" bestFit="1" customWidth="1"/>
    <col min="14855" max="15103" width="8.88671875" style="461"/>
    <col min="15104" max="15104" width="30.6640625" style="461" customWidth="1"/>
    <col min="15105" max="15105" width="25.33203125" style="461" customWidth="1"/>
    <col min="15106" max="15106" width="10.6640625" style="461" customWidth="1"/>
    <col min="15107" max="15107" width="13.44140625" style="461" bestFit="1" customWidth="1"/>
    <col min="15108" max="15108" width="12.6640625" style="461" customWidth="1"/>
    <col min="15109" max="15109" width="16.33203125" style="461" customWidth="1"/>
    <col min="15110" max="15110" width="13.5546875" style="461" bestFit="1" customWidth="1"/>
    <col min="15111" max="15359" width="8.88671875" style="461"/>
    <col min="15360" max="15360" width="30.6640625" style="461" customWidth="1"/>
    <col min="15361" max="15361" width="25.33203125" style="461" customWidth="1"/>
    <col min="15362" max="15362" width="10.6640625" style="461" customWidth="1"/>
    <col min="15363" max="15363" width="13.44140625" style="461" bestFit="1" customWidth="1"/>
    <col min="15364" max="15364" width="12.6640625" style="461" customWidth="1"/>
    <col min="15365" max="15365" width="16.33203125" style="461" customWidth="1"/>
    <col min="15366" max="15366" width="13.5546875" style="461" bestFit="1" customWidth="1"/>
    <col min="15367" max="15615" width="8.88671875" style="461"/>
    <col min="15616" max="15616" width="30.6640625" style="461" customWidth="1"/>
    <col min="15617" max="15617" width="25.33203125" style="461" customWidth="1"/>
    <col min="15618" max="15618" width="10.6640625" style="461" customWidth="1"/>
    <col min="15619" max="15619" width="13.44140625" style="461" bestFit="1" customWidth="1"/>
    <col min="15620" max="15620" width="12.6640625" style="461" customWidth="1"/>
    <col min="15621" max="15621" width="16.33203125" style="461" customWidth="1"/>
    <col min="15622" max="15622" width="13.5546875" style="461" bestFit="1" customWidth="1"/>
    <col min="15623" max="15871" width="8.88671875" style="461"/>
    <col min="15872" max="15872" width="30.6640625" style="461" customWidth="1"/>
    <col min="15873" max="15873" width="25.33203125" style="461" customWidth="1"/>
    <col min="15874" max="15874" width="10.6640625" style="461" customWidth="1"/>
    <col min="15875" max="15875" width="13.44140625" style="461" bestFit="1" customWidth="1"/>
    <col min="15876" max="15876" width="12.6640625" style="461" customWidth="1"/>
    <col min="15877" max="15877" width="16.33203125" style="461" customWidth="1"/>
    <col min="15878" max="15878" width="13.5546875" style="461" bestFit="1" customWidth="1"/>
    <col min="15879" max="16127" width="8.88671875" style="461"/>
    <col min="16128" max="16128" width="30.6640625" style="461" customWidth="1"/>
    <col min="16129" max="16129" width="25.33203125" style="461" customWidth="1"/>
    <col min="16130" max="16130" width="10.6640625" style="461" customWidth="1"/>
    <col min="16131" max="16131" width="13.44140625" style="461" bestFit="1" customWidth="1"/>
    <col min="16132" max="16132" width="12.6640625" style="461" customWidth="1"/>
    <col min="16133" max="16133" width="16.33203125" style="461" customWidth="1"/>
    <col min="16134" max="16134" width="13.5546875" style="461" bestFit="1" customWidth="1"/>
    <col min="16135" max="16384" width="8.88671875" style="461"/>
  </cols>
  <sheetData>
    <row r="1" spans="1:8" x14ac:dyDescent="0.2">
      <c r="A1" s="870" t="s">
        <v>863</v>
      </c>
      <c r="B1" s="870"/>
      <c r="C1" s="870"/>
      <c r="D1" s="870"/>
      <c r="E1" s="870"/>
      <c r="F1" s="870"/>
    </row>
    <row r="2" spans="1:8" x14ac:dyDescent="0.2">
      <c r="A2" s="871" t="s">
        <v>1472</v>
      </c>
      <c r="B2" s="871"/>
      <c r="C2" s="871"/>
      <c r="D2" s="871"/>
      <c r="E2" s="871"/>
      <c r="F2" s="871"/>
    </row>
    <row r="3" spans="1:8" x14ac:dyDescent="0.2">
      <c r="A3" s="872"/>
      <c r="B3" s="872"/>
      <c r="C3" s="872"/>
      <c r="D3" s="872"/>
      <c r="E3" s="872"/>
      <c r="F3" s="872"/>
    </row>
    <row r="4" spans="1:8" x14ac:dyDescent="0.2">
      <c r="A4" s="873"/>
      <c r="B4" s="873"/>
      <c r="C4" s="873"/>
      <c r="D4" s="873"/>
      <c r="E4" s="873"/>
      <c r="F4" s="873"/>
    </row>
    <row r="5" spans="1:8" ht="51" x14ac:dyDescent="0.2">
      <c r="A5" s="462" t="s">
        <v>1473</v>
      </c>
      <c r="B5" s="463" t="s">
        <v>335</v>
      </c>
      <c r="C5" s="464" t="s">
        <v>1173</v>
      </c>
      <c r="D5" s="465" t="s">
        <v>1474</v>
      </c>
      <c r="E5" s="465" t="s">
        <v>1475</v>
      </c>
      <c r="F5" s="466" t="s">
        <v>1476</v>
      </c>
    </row>
    <row r="6" spans="1:8" ht="30" customHeight="1" x14ac:dyDescent="0.2">
      <c r="A6" s="467" t="s">
        <v>1477</v>
      </c>
      <c r="B6" s="468" t="s">
        <v>1478</v>
      </c>
      <c r="C6" s="469">
        <v>324087.84000000003</v>
      </c>
      <c r="D6" s="470" t="s">
        <v>1479</v>
      </c>
      <c r="E6" s="468" t="s">
        <v>1480</v>
      </c>
      <c r="F6" s="471" t="s">
        <v>1481</v>
      </c>
      <c r="G6" s="461">
        <v>360.25</v>
      </c>
      <c r="H6" s="461" t="s">
        <v>937</v>
      </c>
    </row>
    <row r="7" spans="1:8" x14ac:dyDescent="0.2">
      <c r="A7" s="467"/>
      <c r="B7" s="468"/>
      <c r="C7" s="469"/>
      <c r="D7" s="470"/>
      <c r="E7" s="468"/>
      <c r="F7" s="471"/>
    </row>
    <row r="8" spans="1:8" ht="30" customHeight="1" x14ac:dyDescent="0.2">
      <c r="A8" s="467" t="s">
        <v>1477</v>
      </c>
      <c r="B8" s="467" t="s">
        <v>1482</v>
      </c>
      <c r="C8" s="469">
        <v>309540.84999999998</v>
      </c>
      <c r="D8" s="470">
        <v>2029</v>
      </c>
      <c r="E8" s="468" t="s">
        <v>1188</v>
      </c>
      <c r="F8" s="472" t="s">
        <v>1481</v>
      </c>
      <c r="G8" s="461">
        <v>340.2</v>
      </c>
      <c r="H8" s="461" t="s">
        <v>1491</v>
      </c>
    </row>
    <row r="9" spans="1:8" ht="12.75" customHeight="1" x14ac:dyDescent="0.2">
      <c r="A9" s="467"/>
      <c r="B9" s="467"/>
      <c r="C9" s="469"/>
      <c r="D9" s="470"/>
      <c r="E9" s="468"/>
      <c r="F9" s="472"/>
    </row>
    <row r="10" spans="1:8" ht="30" customHeight="1" x14ac:dyDescent="0.2">
      <c r="A10" s="467" t="s">
        <v>1483</v>
      </c>
      <c r="B10" s="467" t="s">
        <v>1484</v>
      </c>
      <c r="C10" s="469">
        <v>131956.31</v>
      </c>
      <c r="D10" s="470" t="s">
        <v>1479</v>
      </c>
      <c r="E10" s="468" t="s">
        <v>1485</v>
      </c>
      <c r="F10" s="472" t="s">
        <v>1481</v>
      </c>
      <c r="G10" s="461">
        <v>389.2</v>
      </c>
      <c r="H10" s="461" t="s">
        <v>1492</v>
      </c>
    </row>
    <row r="11" spans="1:8" x14ac:dyDescent="0.2">
      <c r="A11" s="467"/>
      <c r="B11" s="467"/>
      <c r="C11" s="469"/>
      <c r="D11" s="470"/>
      <c r="E11" s="468"/>
      <c r="F11" s="472"/>
    </row>
    <row r="12" spans="1:8" ht="30" customHeight="1" x14ac:dyDescent="0.2">
      <c r="A12" s="467" t="s">
        <v>1477</v>
      </c>
      <c r="B12" s="467" t="s">
        <v>1486</v>
      </c>
      <c r="C12" s="469">
        <v>113882.25</v>
      </c>
      <c r="D12" s="470">
        <v>2022</v>
      </c>
      <c r="E12" s="468" t="s">
        <v>1335</v>
      </c>
      <c r="F12" s="472" t="s">
        <v>1481</v>
      </c>
      <c r="G12" s="461">
        <v>360.2</v>
      </c>
      <c r="H12" s="461" t="s">
        <v>935</v>
      </c>
    </row>
    <row r="13" spans="1:8" ht="13.5" customHeight="1" x14ac:dyDescent="0.2">
      <c r="A13" s="467"/>
      <c r="B13" s="467"/>
      <c r="C13" s="469"/>
      <c r="D13" s="470"/>
      <c r="E13" s="468"/>
      <c r="F13" s="472"/>
    </row>
    <row r="14" spans="1:8" ht="30" customHeight="1" x14ac:dyDescent="0.2">
      <c r="A14" s="467" t="s">
        <v>1477</v>
      </c>
      <c r="B14" s="467" t="s">
        <v>1487</v>
      </c>
      <c r="C14" s="469">
        <v>240853.29</v>
      </c>
      <c r="D14" s="470" t="s">
        <v>1479</v>
      </c>
      <c r="E14" s="468" t="s">
        <v>1335</v>
      </c>
      <c r="F14" s="472" t="s">
        <v>1481</v>
      </c>
      <c r="G14" s="461">
        <v>360.25</v>
      </c>
      <c r="H14" s="461" t="s">
        <v>935</v>
      </c>
    </row>
    <row r="15" spans="1:8" ht="13.5" customHeight="1" x14ac:dyDescent="0.2">
      <c r="A15" s="467"/>
      <c r="B15" s="467"/>
      <c r="C15" s="469"/>
      <c r="D15" s="470"/>
      <c r="E15" s="468"/>
      <c r="F15" s="472"/>
    </row>
    <row r="16" spans="1:8" ht="30" customHeight="1" x14ac:dyDescent="0.2">
      <c r="A16" s="467" t="s">
        <v>1477</v>
      </c>
      <c r="B16" s="467" t="s">
        <v>1488</v>
      </c>
      <c r="C16" s="469">
        <v>792599.21</v>
      </c>
      <c r="D16" s="470">
        <v>2025</v>
      </c>
      <c r="E16" s="468" t="s">
        <v>1335</v>
      </c>
      <c r="F16" s="472" t="s">
        <v>1481</v>
      </c>
      <c r="G16" s="461">
        <v>360.2</v>
      </c>
      <c r="H16" s="461" t="s">
        <v>935</v>
      </c>
    </row>
    <row r="17" spans="1:6" x14ac:dyDescent="0.2">
      <c r="A17" s="473"/>
      <c r="B17" s="473"/>
      <c r="C17" s="474"/>
      <c r="D17" s="475"/>
      <c r="E17" s="476"/>
      <c r="F17" s="477"/>
    </row>
    <row r="18" spans="1:6" ht="13.5" thickBot="1" x14ac:dyDescent="0.25">
      <c r="B18" s="478" t="s">
        <v>1489</v>
      </c>
      <c r="C18" s="479">
        <f>SUM(C6:C16)</f>
        <v>1912919.75</v>
      </c>
      <c r="D18" s="480"/>
      <c r="E18" s="480"/>
      <c r="F18" s="480"/>
    </row>
    <row r="19" spans="1:6" ht="16.5" thickTop="1" x14ac:dyDescent="0.25">
      <c r="A19" s="481"/>
      <c r="B19" s="481"/>
      <c r="C19" s="482"/>
      <c r="D19" s="483" t="s">
        <v>1490</v>
      </c>
      <c r="E19" s="484"/>
      <c r="F19" s="484"/>
    </row>
    <row r="20" spans="1:6" ht="15.75" x14ac:dyDescent="0.25">
      <c r="A20" s="485"/>
      <c r="B20" s="481"/>
      <c r="C20" s="482"/>
      <c r="D20" s="481"/>
      <c r="E20" s="486"/>
      <c r="F20" s="481"/>
    </row>
    <row r="21" spans="1:6" x14ac:dyDescent="0.2">
      <c r="A21" s="485"/>
      <c r="C21" s="487"/>
    </row>
    <row r="22" spans="1:6" x14ac:dyDescent="0.2">
      <c r="A22" s="488"/>
    </row>
    <row r="27" spans="1:6" x14ac:dyDescent="0.2">
      <c r="C27" s="489"/>
    </row>
    <row r="28" spans="1:6" x14ac:dyDescent="0.2">
      <c r="A28" s="490"/>
    </row>
    <row r="29" spans="1:6" x14ac:dyDescent="0.2">
      <c r="A29" s="490"/>
    </row>
    <row r="30" spans="1:6" x14ac:dyDescent="0.2">
      <c r="A30" s="490"/>
    </row>
    <row r="31" spans="1:6" x14ac:dyDescent="0.2">
      <c r="A31" s="491"/>
    </row>
    <row r="32" spans="1:6" x14ac:dyDescent="0.2">
      <c r="A32" s="490"/>
    </row>
  </sheetData>
  <mergeCells count="4">
    <mergeCell ref="A1:F1"/>
    <mergeCell ref="A2:F2"/>
    <mergeCell ref="A3:F3"/>
    <mergeCell ref="A4:F4"/>
  </mergeCells>
  <printOptions horizontalCentered="1"/>
  <pageMargins left="0.5" right="0.5" top="1.25" bottom="1.25" header="1.2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I30"/>
  <sheetViews>
    <sheetView zoomScale="85" zoomScaleNormal="85" workbookViewId="0">
      <selection activeCell="A4" sqref="A4"/>
    </sheetView>
  </sheetViews>
  <sheetFormatPr defaultColWidth="9" defaultRowHeight="12.75" x14ac:dyDescent="0.2"/>
  <cols>
    <col min="1" max="1" width="28.6640625" style="143" customWidth="1"/>
    <col min="2" max="2" width="12.109375" style="147" customWidth="1"/>
    <col min="3" max="3" width="8.33203125" style="145" customWidth="1"/>
    <col min="4" max="4" width="15.88671875" style="146" customWidth="1"/>
    <col min="5" max="5" width="5" style="143" customWidth="1"/>
    <col min="6" max="6" width="10" style="143" customWidth="1"/>
    <col min="7" max="7" width="11.88671875" style="143" customWidth="1"/>
    <col min="8" max="8" width="39.21875" style="143" customWidth="1"/>
    <col min="9" max="9" width="15.44140625" style="143" bestFit="1" customWidth="1"/>
    <col min="10" max="16384" width="9" style="143"/>
  </cols>
  <sheetData>
    <row r="1" spans="1:9" ht="18" customHeight="1" x14ac:dyDescent="0.25">
      <c r="A1" s="874" t="s">
        <v>863</v>
      </c>
      <c r="B1" s="874"/>
      <c r="C1" s="874"/>
      <c r="D1" s="874"/>
      <c r="E1" s="874"/>
      <c r="F1" s="874"/>
      <c r="G1" s="874"/>
      <c r="H1" s="874"/>
      <c r="I1" s="874"/>
    </row>
    <row r="2" spans="1:9" ht="18" customHeight="1" x14ac:dyDescent="0.25">
      <c r="A2" s="874" t="s">
        <v>327</v>
      </c>
      <c r="B2" s="874"/>
      <c r="C2" s="874"/>
      <c r="D2" s="874"/>
      <c r="E2" s="874"/>
      <c r="F2" s="874"/>
      <c r="G2" s="874"/>
      <c r="H2" s="874"/>
      <c r="I2" s="874"/>
    </row>
    <row r="3" spans="1:9" ht="18" customHeight="1" x14ac:dyDescent="0.25">
      <c r="A3" s="875" t="s">
        <v>2470</v>
      </c>
      <c r="B3" s="874"/>
      <c r="C3" s="874"/>
      <c r="D3" s="874"/>
      <c r="E3" s="874"/>
      <c r="F3" s="874"/>
      <c r="G3" s="874"/>
      <c r="H3" s="874"/>
      <c r="I3" s="874"/>
    </row>
    <row r="4" spans="1:9" ht="18" customHeight="1" x14ac:dyDescent="0.25">
      <c r="A4" s="201"/>
      <c r="B4" s="203"/>
      <c r="C4" s="204"/>
      <c r="D4" s="205"/>
      <c r="E4" s="201"/>
      <c r="F4" s="201"/>
      <c r="G4" s="201"/>
      <c r="H4" s="201"/>
      <c r="I4" s="201"/>
    </row>
    <row r="5" spans="1:9" s="144" customFormat="1" ht="18" customHeight="1" x14ac:dyDescent="0.25">
      <c r="A5" s="202" t="s">
        <v>328</v>
      </c>
      <c r="B5" s="206" t="s">
        <v>329</v>
      </c>
      <c r="C5" s="207" t="s">
        <v>330</v>
      </c>
      <c r="D5" s="208" t="s">
        <v>1173</v>
      </c>
      <c r="E5" s="209" t="s">
        <v>331</v>
      </c>
      <c r="F5" s="202" t="s">
        <v>332</v>
      </c>
      <c r="G5" s="202" t="s">
        <v>333</v>
      </c>
      <c r="H5" s="202" t="s">
        <v>334</v>
      </c>
      <c r="I5" s="209" t="s">
        <v>335</v>
      </c>
    </row>
    <row r="6" spans="1:9" ht="18" customHeight="1" x14ac:dyDescent="0.25">
      <c r="A6" s="255" t="s">
        <v>336</v>
      </c>
      <c r="B6" s="256">
        <v>33724</v>
      </c>
      <c r="C6" s="259">
        <v>1</v>
      </c>
      <c r="D6" s="258">
        <v>280370.75</v>
      </c>
      <c r="E6" s="326">
        <v>110</v>
      </c>
      <c r="F6" s="326">
        <v>135010</v>
      </c>
      <c r="G6" s="326">
        <v>15667943</v>
      </c>
      <c r="H6" s="255" t="s">
        <v>337</v>
      </c>
      <c r="I6" s="255" t="s">
        <v>338</v>
      </c>
    </row>
    <row r="7" spans="1:9" ht="18" customHeight="1" x14ac:dyDescent="0.25">
      <c r="A7" s="255" t="s">
        <v>339</v>
      </c>
      <c r="B7" s="256">
        <v>31777</v>
      </c>
      <c r="C7" s="259">
        <v>13</v>
      </c>
      <c r="D7" s="257">
        <v>401394.19</v>
      </c>
      <c r="E7" s="326">
        <v>110</v>
      </c>
      <c r="F7" s="326">
        <v>135400</v>
      </c>
      <c r="G7" s="326">
        <v>15986566</v>
      </c>
      <c r="H7" s="255" t="s">
        <v>1174</v>
      </c>
      <c r="I7" s="255" t="s">
        <v>338</v>
      </c>
    </row>
    <row r="8" spans="1:9" ht="18" customHeight="1" x14ac:dyDescent="0.25">
      <c r="A8" s="255" t="s">
        <v>340</v>
      </c>
      <c r="B8" s="256">
        <v>31777</v>
      </c>
      <c r="C8" s="259">
        <v>4</v>
      </c>
      <c r="D8" s="257">
        <v>128159.45</v>
      </c>
      <c r="E8" s="326">
        <v>110</v>
      </c>
      <c r="F8" s="326">
        <v>135400</v>
      </c>
      <c r="G8" s="326">
        <v>15986601</v>
      </c>
      <c r="H8" s="255" t="s">
        <v>1174</v>
      </c>
      <c r="I8" s="255" t="s">
        <v>338</v>
      </c>
    </row>
    <row r="9" spans="1:9" ht="18" customHeight="1" x14ac:dyDescent="0.25">
      <c r="A9" s="255" t="s">
        <v>341</v>
      </c>
      <c r="B9" s="256">
        <v>31777</v>
      </c>
      <c r="C9" s="259">
        <v>19</v>
      </c>
      <c r="D9" s="257">
        <v>1187826.03</v>
      </c>
      <c r="E9" s="326">
        <v>110</v>
      </c>
      <c r="F9" s="326">
        <v>135400</v>
      </c>
      <c r="G9" s="326">
        <v>15986671</v>
      </c>
      <c r="H9" s="255" t="s">
        <v>1174</v>
      </c>
      <c r="I9" s="255" t="s">
        <v>338</v>
      </c>
    </row>
    <row r="10" spans="1:9" ht="18" customHeight="1" x14ac:dyDescent="0.25">
      <c r="A10" s="255" t="s">
        <v>342</v>
      </c>
      <c r="B10" s="256">
        <v>31777</v>
      </c>
      <c r="C10" s="259">
        <v>4</v>
      </c>
      <c r="D10" s="257">
        <v>223405.59</v>
      </c>
      <c r="E10" s="326">
        <v>110</v>
      </c>
      <c r="F10" s="326">
        <v>135400</v>
      </c>
      <c r="G10" s="326">
        <v>15986446</v>
      </c>
      <c r="H10" s="255" t="s">
        <v>1174</v>
      </c>
      <c r="I10" s="255" t="s">
        <v>338</v>
      </c>
    </row>
    <row r="11" spans="1:9" ht="18" customHeight="1" x14ac:dyDescent="0.25">
      <c r="A11" s="255" t="s">
        <v>343</v>
      </c>
      <c r="B11" s="256">
        <v>31777</v>
      </c>
      <c r="C11" s="259">
        <v>18</v>
      </c>
      <c r="D11" s="257">
        <v>784428.75</v>
      </c>
      <c r="E11" s="326">
        <v>110</v>
      </c>
      <c r="F11" s="326">
        <v>135400</v>
      </c>
      <c r="G11" s="326">
        <v>15986489</v>
      </c>
      <c r="H11" s="255" t="s">
        <v>1174</v>
      </c>
      <c r="I11" s="255" t="s">
        <v>338</v>
      </c>
    </row>
    <row r="12" spans="1:9" ht="18" customHeight="1" x14ac:dyDescent="0.25">
      <c r="A12" s="255" t="s">
        <v>344</v>
      </c>
      <c r="B12" s="256">
        <v>31777</v>
      </c>
      <c r="C12" s="259">
        <v>4</v>
      </c>
      <c r="D12" s="257">
        <v>312627.28000000003</v>
      </c>
      <c r="E12" s="326">
        <v>110</v>
      </c>
      <c r="F12" s="326">
        <v>135400</v>
      </c>
      <c r="G12" s="326">
        <v>15986496</v>
      </c>
      <c r="H12" s="255" t="s">
        <v>1174</v>
      </c>
      <c r="I12" s="255" t="s">
        <v>338</v>
      </c>
    </row>
    <row r="13" spans="1:9" ht="18" customHeight="1" x14ac:dyDescent="0.25">
      <c r="A13" s="255" t="s">
        <v>345</v>
      </c>
      <c r="B13" s="256">
        <v>31777</v>
      </c>
      <c r="C13" s="259">
        <v>11</v>
      </c>
      <c r="D13" s="257">
        <v>830088.05</v>
      </c>
      <c r="E13" s="326">
        <v>110</v>
      </c>
      <c r="F13" s="326">
        <v>135400</v>
      </c>
      <c r="G13" s="326">
        <v>15986517</v>
      </c>
      <c r="H13" s="255" t="s">
        <v>1174</v>
      </c>
      <c r="I13" s="255" t="s">
        <v>338</v>
      </c>
    </row>
    <row r="14" spans="1:9" ht="18" customHeight="1" x14ac:dyDescent="0.25">
      <c r="A14" s="255" t="s">
        <v>346</v>
      </c>
      <c r="B14" s="256">
        <v>31777</v>
      </c>
      <c r="C14" s="259">
        <v>2</v>
      </c>
      <c r="D14" s="257">
        <v>168454.43</v>
      </c>
      <c r="E14" s="326">
        <v>110</v>
      </c>
      <c r="F14" s="326">
        <v>135400</v>
      </c>
      <c r="G14" s="326">
        <v>15986524</v>
      </c>
      <c r="H14" s="255" t="s">
        <v>1174</v>
      </c>
      <c r="I14" s="255" t="s">
        <v>338</v>
      </c>
    </row>
    <row r="15" spans="1:9" ht="18" customHeight="1" x14ac:dyDescent="0.25">
      <c r="A15" s="255" t="s">
        <v>347</v>
      </c>
      <c r="B15" s="256">
        <v>31777</v>
      </c>
      <c r="C15" s="259">
        <v>12</v>
      </c>
      <c r="D15" s="257">
        <v>363713.82</v>
      </c>
      <c r="E15" s="326">
        <v>110</v>
      </c>
      <c r="F15" s="326">
        <v>135400</v>
      </c>
      <c r="G15" s="326">
        <v>15986531</v>
      </c>
      <c r="H15" s="255" t="s">
        <v>1174</v>
      </c>
      <c r="I15" s="255" t="s">
        <v>338</v>
      </c>
    </row>
    <row r="16" spans="1:9" ht="18" customHeight="1" x14ac:dyDescent="0.25">
      <c r="A16" s="255" t="s">
        <v>348</v>
      </c>
      <c r="B16" s="256">
        <v>31777</v>
      </c>
      <c r="C16" s="259">
        <v>8</v>
      </c>
      <c r="D16" s="257">
        <v>288709.93</v>
      </c>
      <c r="E16" s="326">
        <v>110</v>
      </c>
      <c r="F16" s="326">
        <v>135400</v>
      </c>
      <c r="G16" s="326">
        <v>15986538</v>
      </c>
      <c r="H16" s="255" t="s">
        <v>1174</v>
      </c>
      <c r="I16" s="255" t="s">
        <v>338</v>
      </c>
    </row>
    <row r="17" spans="1:9" ht="18" customHeight="1" x14ac:dyDescent="0.25">
      <c r="A17" s="255" t="s">
        <v>349</v>
      </c>
      <c r="B17" s="256">
        <v>31777</v>
      </c>
      <c r="C17" s="259">
        <v>1</v>
      </c>
      <c r="D17" s="257">
        <v>80515.350000000006</v>
      </c>
      <c r="E17" s="326">
        <v>110</v>
      </c>
      <c r="F17" s="326">
        <v>135400</v>
      </c>
      <c r="G17" s="326">
        <v>15986545</v>
      </c>
      <c r="H17" s="255" t="s">
        <v>1174</v>
      </c>
      <c r="I17" s="255" t="s">
        <v>338</v>
      </c>
    </row>
    <row r="18" spans="1:9" ht="18" customHeight="1" x14ac:dyDescent="0.25">
      <c r="A18" s="255" t="s">
        <v>350</v>
      </c>
      <c r="B18" s="256">
        <v>38595</v>
      </c>
      <c r="C18" s="259">
        <v>1</v>
      </c>
      <c r="D18" s="257">
        <v>3894.47</v>
      </c>
      <c r="E18" s="326">
        <v>110</v>
      </c>
      <c r="F18" s="326">
        <v>135500</v>
      </c>
      <c r="G18" s="326">
        <v>15774276</v>
      </c>
      <c r="H18" s="255" t="s">
        <v>351</v>
      </c>
      <c r="I18" s="255" t="s">
        <v>338</v>
      </c>
    </row>
    <row r="19" spans="1:9" ht="18" customHeight="1" x14ac:dyDescent="0.25">
      <c r="A19" s="255" t="s">
        <v>352</v>
      </c>
      <c r="B19" s="256">
        <v>33238</v>
      </c>
      <c r="C19" s="259">
        <v>8</v>
      </c>
      <c r="D19" s="257">
        <v>1626.87</v>
      </c>
      <c r="E19" s="326">
        <v>110</v>
      </c>
      <c r="F19" s="326">
        <v>135500</v>
      </c>
      <c r="G19" s="326">
        <v>15774367</v>
      </c>
      <c r="H19" s="255" t="s">
        <v>353</v>
      </c>
      <c r="I19" s="255" t="s">
        <v>338</v>
      </c>
    </row>
    <row r="20" spans="1:9" ht="18" customHeight="1" x14ac:dyDescent="0.25">
      <c r="A20" s="255" t="s">
        <v>354</v>
      </c>
      <c r="B20" s="256">
        <v>31777</v>
      </c>
      <c r="C20" s="259">
        <v>18</v>
      </c>
      <c r="D20" s="257">
        <v>4081.53</v>
      </c>
      <c r="E20" s="326">
        <v>110</v>
      </c>
      <c r="F20" s="326">
        <v>135500</v>
      </c>
      <c r="G20" s="326">
        <v>15775606</v>
      </c>
      <c r="H20" s="255" t="s">
        <v>355</v>
      </c>
      <c r="I20" s="255" t="s">
        <v>338</v>
      </c>
    </row>
    <row r="21" spans="1:9" ht="18" customHeight="1" x14ac:dyDescent="0.25">
      <c r="A21" s="255" t="s">
        <v>356</v>
      </c>
      <c r="B21" s="256">
        <v>31777</v>
      </c>
      <c r="C21" s="259">
        <v>48</v>
      </c>
      <c r="D21" s="261">
        <v>21883.71</v>
      </c>
      <c r="E21" s="326">
        <v>110</v>
      </c>
      <c r="F21" s="326">
        <v>135500</v>
      </c>
      <c r="G21" s="326">
        <v>15776474</v>
      </c>
      <c r="H21" s="255" t="s">
        <v>357</v>
      </c>
      <c r="I21" s="255" t="s">
        <v>338</v>
      </c>
    </row>
    <row r="22" spans="1:9" ht="18" customHeight="1" x14ac:dyDescent="0.25">
      <c r="A22" s="255" t="s">
        <v>358</v>
      </c>
      <c r="B22" s="256">
        <v>31777</v>
      </c>
      <c r="C22" s="259">
        <v>26</v>
      </c>
      <c r="D22" s="261">
        <v>16136.36</v>
      </c>
      <c r="E22" s="326">
        <v>110</v>
      </c>
      <c r="F22" s="326">
        <v>135500</v>
      </c>
      <c r="G22" s="326">
        <v>15772113</v>
      </c>
      <c r="H22" s="255" t="s">
        <v>359</v>
      </c>
      <c r="I22" s="255" t="s">
        <v>338</v>
      </c>
    </row>
    <row r="23" spans="1:9" ht="18" customHeight="1" x14ac:dyDescent="0.25">
      <c r="A23" s="255" t="s">
        <v>360</v>
      </c>
      <c r="B23" s="256">
        <v>31777</v>
      </c>
      <c r="C23" s="259">
        <v>2</v>
      </c>
      <c r="D23" s="261">
        <v>2436.6999999999998</v>
      </c>
      <c r="E23" s="326">
        <v>110</v>
      </c>
      <c r="F23" s="326">
        <v>135500</v>
      </c>
      <c r="G23" s="326">
        <v>15773303</v>
      </c>
      <c r="H23" s="255" t="s">
        <v>361</v>
      </c>
      <c r="I23" s="255" t="s">
        <v>338</v>
      </c>
    </row>
    <row r="24" spans="1:9" ht="18" customHeight="1" x14ac:dyDescent="0.25">
      <c r="A24" s="255" t="s">
        <v>362</v>
      </c>
      <c r="B24" s="256">
        <v>31777</v>
      </c>
      <c r="C24" s="259">
        <v>1</v>
      </c>
      <c r="D24" s="261">
        <v>1298.3399999999999</v>
      </c>
      <c r="E24" s="326">
        <v>110</v>
      </c>
      <c r="F24" s="326">
        <v>135500</v>
      </c>
      <c r="G24" s="326">
        <v>15773779</v>
      </c>
      <c r="H24" s="255" t="s">
        <v>363</v>
      </c>
      <c r="I24" s="255" t="s">
        <v>338</v>
      </c>
    </row>
    <row r="25" spans="1:9" ht="18" customHeight="1" x14ac:dyDescent="0.25">
      <c r="A25" s="294" t="s">
        <v>1197</v>
      </c>
      <c r="B25" s="295">
        <v>40056</v>
      </c>
      <c r="C25" s="296">
        <v>100</v>
      </c>
      <c r="D25" s="261">
        <v>5569.77</v>
      </c>
      <c r="E25" s="327">
        <v>110</v>
      </c>
      <c r="F25" s="327">
        <v>135600</v>
      </c>
      <c r="G25" s="327">
        <v>16694063</v>
      </c>
      <c r="H25" s="297" t="s">
        <v>1198</v>
      </c>
      <c r="I25" s="294" t="s">
        <v>338</v>
      </c>
    </row>
    <row r="26" spans="1:9" ht="18" customHeight="1" x14ac:dyDescent="0.25">
      <c r="A26" s="255" t="s">
        <v>364</v>
      </c>
      <c r="B26" s="256">
        <v>31777</v>
      </c>
      <c r="C26" s="259">
        <v>239474</v>
      </c>
      <c r="D26" s="261">
        <v>523304.25</v>
      </c>
      <c r="E26" s="326">
        <v>110</v>
      </c>
      <c r="F26" s="326">
        <v>135600</v>
      </c>
      <c r="G26" s="326">
        <v>15995287</v>
      </c>
      <c r="H26" s="255" t="s">
        <v>365</v>
      </c>
      <c r="I26" s="255" t="s">
        <v>338</v>
      </c>
    </row>
    <row r="27" spans="1:9" ht="18" customHeight="1" x14ac:dyDescent="0.25">
      <c r="A27" s="255" t="s">
        <v>364</v>
      </c>
      <c r="B27" s="256">
        <v>31777</v>
      </c>
      <c r="C27" s="259">
        <v>899921</v>
      </c>
      <c r="D27" s="261">
        <v>1966521.98</v>
      </c>
      <c r="E27" s="326">
        <v>110</v>
      </c>
      <c r="F27" s="326">
        <v>135600</v>
      </c>
      <c r="G27" s="326">
        <v>15995294</v>
      </c>
      <c r="H27" s="255" t="s">
        <v>365</v>
      </c>
      <c r="I27" s="255" t="s">
        <v>338</v>
      </c>
    </row>
    <row r="28" spans="1:9" ht="18" customHeight="1" x14ac:dyDescent="0.25">
      <c r="A28" s="255" t="s">
        <v>366</v>
      </c>
      <c r="B28" s="256">
        <v>31777</v>
      </c>
      <c r="C28" s="259">
        <v>236660</v>
      </c>
      <c r="D28" s="257">
        <v>154044.06</v>
      </c>
      <c r="E28" s="326">
        <v>110</v>
      </c>
      <c r="F28" s="326">
        <v>135600</v>
      </c>
      <c r="G28" s="326">
        <v>15995679</v>
      </c>
      <c r="H28" s="255" t="s">
        <v>1455</v>
      </c>
      <c r="I28" s="255" t="s">
        <v>338</v>
      </c>
    </row>
    <row r="29" spans="1:9" ht="18" customHeight="1" x14ac:dyDescent="0.25">
      <c r="A29" s="255" t="s">
        <v>367</v>
      </c>
      <c r="B29" s="256">
        <v>31777</v>
      </c>
      <c r="C29" s="259">
        <v>22659</v>
      </c>
      <c r="D29" s="260">
        <v>479937.75</v>
      </c>
      <c r="E29" s="326">
        <v>110</v>
      </c>
      <c r="F29" s="326">
        <v>135600</v>
      </c>
      <c r="G29" s="326">
        <v>15995056</v>
      </c>
      <c r="H29" s="255" t="s">
        <v>368</v>
      </c>
      <c r="I29" s="255" t="s">
        <v>338</v>
      </c>
    </row>
    <row r="30" spans="1:9" ht="18" customHeight="1" x14ac:dyDescent="0.25">
      <c r="A30" s="255" t="s">
        <v>547</v>
      </c>
      <c r="B30" s="254"/>
      <c r="C30" s="254"/>
      <c r="D30" s="258">
        <v>8230429.4099999992</v>
      </c>
      <c r="E30" s="254"/>
      <c r="F30" s="254"/>
      <c r="G30" s="254"/>
      <c r="H30" s="254"/>
      <c r="I30" s="254"/>
    </row>
  </sheetData>
  <mergeCells count="3">
    <mergeCell ref="A1:I1"/>
    <mergeCell ref="A2:I2"/>
    <mergeCell ref="A3:I3"/>
  </mergeCells>
  <phoneticPr fontId="31" type="noConversion"/>
  <printOptions horizontalCentered="1"/>
  <pageMargins left="0.5" right="0.5" top="1" bottom="1" header="0.5" footer="0.5"/>
  <pageSetup scale="83" orientation="landscape" r:id="rId1"/>
  <headerFooter alignWithMargins="0">
    <oddFooter>&amp;L&amp;Z&amp;F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H57"/>
  <sheetViews>
    <sheetView zoomScaleNormal="100" workbookViewId="0">
      <selection activeCell="F9" sqref="F9"/>
    </sheetView>
  </sheetViews>
  <sheetFormatPr defaultColWidth="7.109375" defaultRowHeight="12.75" x14ac:dyDescent="0.2"/>
  <cols>
    <col min="1" max="1" width="6.109375" style="822" customWidth="1"/>
    <col min="2" max="2" width="8.33203125" style="823" bestFit="1" customWidth="1"/>
    <col min="3" max="3" width="27.77734375" style="824" customWidth="1"/>
    <col min="4" max="4" width="2.6640625" style="368" customWidth="1"/>
    <col min="5" max="5" width="14.33203125" style="368" customWidth="1"/>
    <col min="6" max="6" width="2.88671875" style="368" customWidth="1"/>
    <col min="7" max="7" width="17" style="368" bestFit="1" customWidth="1"/>
    <col min="8" max="8" width="15.109375" style="819" customWidth="1"/>
    <col min="9" max="16384" width="7.109375" style="300"/>
  </cols>
  <sheetData>
    <row r="1" spans="1:8" ht="18" x14ac:dyDescent="0.25">
      <c r="A1" s="876" t="s">
        <v>1190</v>
      </c>
      <c r="B1" s="876"/>
      <c r="C1" s="876"/>
      <c r="D1" s="876"/>
      <c r="E1" s="876"/>
      <c r="F1" s="876"/>
      <c r="G1" s="876"/>
    </row>
    <row r="2" spans="1:8" ht="15.75" x14ac:dyDescent="0.25">
      <c r="A2" s="877" t="s">
        <v>2470</v>
      </c>
      <c r="B2" s="877"/>
      <c r="C2" s="877"/>
      <c r="D2" s="877"/>
      <c r="E2" s="877"/>
      <c r="F2" s="877"/>
      <c r="G2" s="877"/>
    </row>
    <row r="3" spans="1:8" x14ac:dyDescent="0.2">
      <c r="A3" s="398"/>
      <c r="B3" s="339"/>
      <c r="C3" s="319"/>
      <c r="F3" s="369"/>
    </row>
    <row r="4" spans="1:8" x14ac:dyDescent="0.2">
      <c r="A4" s="200" t="s">
        <v>774</v>
      </c>
      <c r="B4" s="339"/>
      <c r="C4" s="319"/>
      <c r="E4" s="724" t="s">
        <v>2651</v>
      </c>
      <c r="F4" s="369"/>
      <c r="G4" s="724" t="s">
        <v>2652</v>
      </c>
    </row>
    <row r="5" spans="1:8" x14ac:dyDescent="0.2">
      <c r="A5" s="220" t="s">
        <v>933</v>
      </c>
      <c r="B5" s="316" t="s">
        <v>601</v>
      </c>
      <c r="C5" s="220" t="s">
        <v>602</v>
      </c>
      <c r="D5" s="572"/>
      <c r="E5" s="573" t="s">
        <v>2307</v>
      </c>
      <c r="F5" s="572"/>
      <c r="G5" s="574" t="s">
        <v>2308</v>
      </c>
      <c r="H5" s="574" t="s">
        <v>682</v>
      </c>
    </row>
    <row r="6" spans="1:8" x14ac:dyDescent="0.2">
      <c r="A6" s="398" t="s">
        <v>935</v>
      </c>
      <c r="B6" s="575">
        <v>311</v>
      </c>
      <c r="C6" s="319" t="s">
        <v>603</v>
      </c>
      <c r="D6" s="369"/>
      <c r="E6" s="368">
        <f>SUMIFS(FCPIS!$T$6:$T$898,FCPIS!$B$6:$B$898,$A6,FCPIS!$E$6:$E$898,$B6,FCPIS!$D$6:$D$898,E$4)*1000</f>
        <v>1882476.03</v>
      </c>
      <c r="F6" s="369"/>
      <c r="G6" s="368">
        <f>SUMIFS(FCPIS!$T$6:$T$898,FCPIS!$B$6:$B$898,$A6,FCPIS!$E$6:$E$898,$B6,FCPIS!$D$6:$D$898,G$4)*1000</f>
        <v>1708100.9900000002</v>
      </c>
      <c r="H6" s="579">
        <f>SUM(D6:G6)</f>
        <v>3590577.0200000005</v>
      </c>
    </row>
    <row r="7" spans="1:8" x14ac:dyDescent="0.2">
      <c r="A7" s="398" t="s">
        <v>935</v>
      </c>
      <c r="B7" s="575">
        <v>312</v>
      </c>
      <c r="C7" s="319" t="s">
        <v>604</v>
      </c>
      <c r="D7" s="369"/>
      <c r="E7" s="368">
        <f>SUMIFS(FCPIS!$T$6:$T$898,FCPIS!$B$6:$B$898,$A7,FCPIS!$E$6:$E$898,$B7,FCPIS!$D$6:$D$898,E$4)*1000</f>
        <v>10076094.27</v>
      </c>
      <c r="F7" s="369"/>
      <c r="G7" s="368">
        <f>SUMIFS(FCPIS!$T$6:$T$898,FCPIS!$B$6:$B$898,$A7,FCPIS!$E$6:$E$898,$B7,FCPIS!$D$6:$D$898,G$4)*1000</f>
        <v>20458258.07</v>
      </c>
      <c r="H7" s="579">
        <f>SUM(D7:G7)</f>
        <v>30534352.34</v>
      </c>
    </row>
    <row r="8" spans="1:8" x14ac:dyDescent="0.2">
      <c r="A8" s="398" t="s">
        <v>935</v>
      </c>
      <c r="B8" s="575">
        <v>314</v>
      </c>
      <c r="C8" s="319" t="s">
        <v>605</v>
      </c>
      <c r="D8" s="369"/>
      <c r="E8" s="368">
        <f>SUMIFS(FCPIS!$T$6:$T$898,FCPIS!$B$6:$B$898,$A8,FCPIS!$E$6:$E$898,$B8,FCPIS!$D$6:$D$898,E$4)*1000</f>
        <v>2805789.6999999997</v>
      </c>
      <c r="F8" s="369"/>
      <c r="G8" s="368">
        <f>SUMIFS(FCPIS!$T$6:$T$898,FCPIS!$B$6:$B$898,$A8,FCPIS!$E$6:$E$898,$B8,FCPIS!$D$6:$D$898,G$4)*1000</f>
        <v>1245261.0999999999</v>
      </c>
      <c r="H8" s="579">
        <f>SUM(D8:G8)</f>
        <v>4051050.8</v>
      </c>
    </row>
    <row r="9" spans="1:8" x14ac:dyDescent="0.2">
      <c r="A9" s="398" t="s">
        <v>935</v>
      </c>
      <c r="B9" s="575">
        <v>315</v>
      </c>
      <c r="C9" s="319" t="s">
        <v>606</v>
      </c>
      <c r="D9" s="369"/>
      <c r="E9" s="368">
        <f>SUMIFS(FCPIS!$T$6:$T$898,FCPIS!$B$6:$B$898,$A9,FCPIS!$E$6:$E$898,$B9,FCPIS!$D$6:$D$898,E$4)*1000</f>
        <v>1844987.04</v>
      </c>
      <c r="F9" s="369"/>
      <c r="G9" s="368">
        <f>SUMIFS(FCPIS!$T$6:$T$898,FCPIS!$B$6:$B$898,$A9,FCPIS!$E$6:$E$898,$B9,FCPIS!$D$6:$D$898,G$4)*1000</f>
        <v>1085187.57</v>
      </c>
      <c r="H9" s="579">
        <f>SUM(D9:G9)</f>
        <v>2930174.6100000003</v>
      </c>
    </row>
    <row r="10" spans="1:8" x14ac:dyDescent="0.2">
      <c r="A10" s="398" t="s">
        <v>935</v>
      </c>
      <c r="B10" s="575">
        <v>316</v>
      </c>
      <c r="C10" s="319" t="s">
        <v>607</v>
      </c>
      <c r="D10" s="369"/>
      <c r="E10" s="368">
        <f>SUMIFS(FCPIS!$T$6:$T$898,FCPIS!$B$6:$B$898,$A10,FCPIS!$E$6:$E$898,$B10,FCPIS!$D$6:$D$898,E$4)*1000</f>
        <v>173324.99000000002</v>
      </c>
      <c r="F10" s="369"/>
      <c r="G10" s="368">
        <f>SUMIFS(FCPIS!$T$6:$T$898,FCPIS!$B$6:$B$898,$A10,FCPIS!$E$6:$E$898,$B10,FCPIS!$D$6:$D$898,G$4)*1000</f>
        <v>83497.62</v>
      </c>
      <c r="H10" s="579">
        <f>SUM(D10:G10)</f>
        <v>256822.61000000002</v>
      </c>
    </row>
    <row r="11" spans="1:8" ht="13.5" thickBot="1" x14ac:dyDescent="0.25">
      <c r="A11" s="398"/>
      <c r="B11" s="575"/>
      <c r="C11" s="319"/>
      <c r="D11" s="576"/>
      <c r="E11" s="577">
        <f>SUM(E6:E10)</f>
        <v>16782672.029999997</v>
      </c>
      <c r="F11" s="576"/>
      <c r="G11" s="577">
        <f>SUM(G6:G10)</f>
        <v>24580305.350000005</v>
      </c>
      <c r="H11" s="577">
        <f>SUM(H6:H10)</f>
        <v>41362977.379999995</v>
      </c>
    </row>
    <row r="12" spans="1:8" ht="13.5" thickTop="1" x14ac:dyDescent="0.2">
      <c r="A12" s="398"/>
      <c r="B12" s="575"/>
      <c r="C12" s="319"/>
      <c r="D12" s="369"/>
      <c r="F12" s="369"/>
    </row>
    <row r="13" spans="1:8" x14ac:dyDescent="0.2">
      <c r="A13" s="398"/>
      <c r="B13" s="575"/>
      <c r="C13" s="319"/>
      <c r="D13" s="369"/>
      <c r="F13" s="369"/>
    </row>
    <row r="14" spans="1:8" x14ac:dyDescent="0.2">
      <c r="A14" s="221" t="s">
        <v>752</v>
      </c>
      <c r="B14" s="339"/>
      <c r="C14" s="319"/>
      <c r="D14" s="369"/>
      <c r="F14" s="369"/>
    </row>
    <row r="15" spans="1:8" x14ac:dyDescent="0.2">
      <c r="A15" s="220" t="s">
        <v>933</v>
      </c>
      <c r="B15" s="316" t="s">
        <v>601</v>
      </c>
      <c r="C15" s="220" t="s">
        <v>602</v>
      </c>
      <c r="D15" s="572"/>
      <c r="E15" s="573" t="s">
        <v>2307</v>
      </c>
      <c r="F15" s="572"/>
      <c r="G15" s="574" t="s">
        <v>2308</v>
      </c>
      <c r="H15" s="574" t="s">
        <v>682</v>
      </c>
    </row>
    <row r="16" spans="1:8" x14ac:dyDescent="0.2">
      <c r="A16" s="398" t="s">
        <v>935</v>
      </c>
      <c r="B16" s="575">
        <v>332</v>
      </c>
      <c r="C16" s="578" t="s">
        <v>608</v>
      </c>
      <c r="D16" s="369"/>
      <c r="E16" s="368">
        <f>SUMIFS(FCPIS!$T$6:$T$898,FCPIS!$B$6:$B$898,$A16,FCPIS!$E$6:$E$898,$B16,FCPIS!$D$6:$D$898,E$4)*1000</f>
        <v>0</v>
      </c>
      <c r="F16" s="369"/>
      <c r="G16" s="368">
        <f>SUMIFS(FCPIS!$T$6:$T$898,FCPIS!$B$6:$B$898,$A16,FCPIS!$E$6:$E$898,$B16,FCPIS!$D$6:$D$898,G$4)*1000</f>
        <v>42952.32</v>
      </c>
      <c r="H16" s="579">
        <f>SUM(D16:G16)</f>
        <v>42952.32</v>
      </c>
    </row>
    <row r="17" spans="1:8" x14ac:dyDescent="0.2">
      <c r="A17" s="398" t="s">
        <v>935</v>
      </c>
      <c r="B17" s="575">
        <v>333</v>
      </c>
      <c r="C17" s="319" t="s">
        <v>1367</v>
      </c>
      <c r="D17" s="369"/>
      <c r="E17" s="368">
        <f>SUMIFS(FCPIS!$T$6:$T$898,FCPIS!$B$6:$B$898,$A17,FCPIS!$E$6:$E$898,$B17,FCPIS!$D$6:$D$898,E$4)*1000</f>
        <v>0</v>
      </c>
      <c r="F17" s="369"/>
      <c r="G17" s="368">
        <f>SUMIFS(FCPIS!$T$6:$T$898,FCPIS!$B$6:$B$898,$A17,FCPIS!$E$6:$E$898,$B17,FCPIS!$D$6:$D$898,G$4)*1000</f>
        <v>58500</v>
      </c>
      <c r="H17" s="579">
        <f>SUM(D17:G17)</f>
        <v>58500</v>
      </c>
    </row>
    <row r="18" spans="1:8" x14ac:dyDescent="0.2">
      <c r="A18" s="398" t="s">
        <v>935</v>
      </c>
      <c r="B18" s="575">
        <v>334</v>
      </c>
      <c r="C18" s="319" t="s">
        <v>606</v>
      </c>
      <c r="D18" s="369"/>
      <c r="E18" s="368">
        <f>SUMIFS(FCPIS!$T$6:$T$898,FCPIS!$B$6:$B$898,$A18,FCPIS!$E$6:$E$898,$B18,FCPIS!$D$6:$D$898,E$4)*1000</f>
        <v>0</v>
      </c>
      <c r="F18" s="369"/>
      <c r="G18" s="368">
        <f>SUMIFS(FCPIS!$T$6:$T$898,FCPIS!$B$6:$B$898,$A18,FCPIS!$E$6:$E$898,$B18,FCPIS!$D$6:$D$898,G$4)*1000</f>
        <v>3884.44</v>
      </c>
      <c r="H18" s="579">
        <f>SUM(D18:G18)</f>
        <v>3884.44</v>
      </c>
    </row>
    <row r="19" spans="1:8" x14ac:dyDescent="0.2">
      <c r="A19" s="398" t="s">
        <v>935</v>
      </c>
      <c r="B19" s="575">
        <v>335</v>
      </c>
      <c r="C19" s="319" t="s">
        <v>607</v>
      </c>
      <c r="D19" s="369"/>
      <c r="E19" s="368">
        <f>SUMIFS(FCPIS!$T$6:$T$898,FCPIS!$B$6:$B$898,$A19,FCPIS!$E$6:$E$898,$B19,FCPIS!$D$6:$D$898,E$4)*1000</f>
        <v>820</v>
      </c>
      <c r="F19" s="369"/>
      <c r="G19" s="368">
        <f>SUMIFS(FCPIS!$T$6:$T$898,FCPIS!$B$6:$B$898,$A19,FCPIS!$E$6:$E$898,$B19,FCPIS!$D$6:$D$898,G$4)*1000</f>
        <v>0</v>
      </c>
      <c r="H19" s="579">
        <f>SUM(D19:G19)</f>
        <v>820</v>
      </c>
    </row>
    <row r="20" spans="1:8" ht="13.5" thickBot="1" x14ac:dyDescent="0.25">
      <c r="A20" s="398"/>
      <c r="B20" s="575"/>
      <c r="C20" s="578"/>
      <c r="D20" s="576"/>
      <c r="E20" s="577">
        <f>SUM(E16:E19)</f>
        <v>820</v>
      </c>
      <c r="F20" s="576"/>
      <c r="G20" s="577">
        <f>SUM(G16:G19)</f>
        <v>105336.76000000001</v>
      </c>
      <c r="H20" s="577">
        <f>SUM(H16:H19)</f>
        <v>106156.76000000001</v>
      </c>
    </row>
    <row r="21" spans="1:8" ht="13.5" thickTop="1" x14ac:dyDescent="0.2">
      <c r="A21" s="398"/>
      <c r="B21" s="575"/>
      <c r="C21" s="578"/>
      <c r="D21" s="369"/>
      <c r="F21" s="369"/>
    </row>
    <row r="22" spans="1:8" x14ac:dyDescent="0.2">
      <c r="A22" s="398"/>
      <c r="B22" s="575"/>
      <c r="C22" s="578"/>
      <c r="D22" s="369"/>
      <c r="F22" s="369"/>
    </row>
    <row r="23" spans="1:8" x14ac:dyDescent="0.2">
      <c r="A23" s="221" t="s">
        <v>764</v>
      </c>
      <c r="B23" s="339"/>
      <c r="C23" s="319"/>
      <c r="D23" s="369"/>
      <c r="F23" s="369"/>
    </row>
    <row r="24" spans="1:8" x14ac:dyDescent="0.2">
      <c r="A24" s="220" t="s">
        <v>933</v>
      </c>
      <c r="B24" s="316" t="s">
        <v>601</v>
      </c>
      <c r="C24" s="220" t="s">
        <v>602</v>
      </c>
      <c r="D24" s="572"/>
      <c r="E24" s="573" t="s">
        <v>2307</v>
      </c>
      <c r="F24" s="572"/>
      <c r="G24" s="574" t="s">
        <v>2308</v>
      </c>
      <c r="H24" s="574" t="s">
        <v>682</v>
      </c>
    </row>
    <row r="25" spans="1:8" x14ac:dyDescent="0.2">
      <c r="A25" s="398" t="s">
        <v>935</v>
      </c>
      <c r="B25" s="575">
        <v>341</v>
      </c>
      <c r="C25" s="319" t="s">
        <v>603</v>
      </c>
      <c r="D25" s="369"/>
      <c r="E25" s="368">
        <f>SUMIFS(FCPIS!$T$6:$T$898,FCPIS!$B$6:$B$898,$A25,FCPIS!$E$6:$E$898,$B25,FCPIS!$D$6:$D$898,E$4)*1000</f>
        <v>187.92000000000002</v>
      </c>
      <c r="F25" s="369"/>
      <c r="G25" s="368">
        <f>SUMIFS(FCPIS!$T$6:$T$898,FCPIS!$B$6:$B$898,$A25,FCPIS!$E$6:$E$898,$B25,FCPIS!$D$6:$D$898,G$4)*1000</f>
        <v>557312.54999999993</v>
      </c>
      <c r="H25" s="579">
        <f t="shared" ref="H25:H30" si="0">SUM(D25:G25)</f>
        <v>557500.47</v>
      </c>
    </row>
    <row r="26" spans="1:8" x14ac:dyDescent="0.2">
      <c r="A26" s="398" t="s">
        <v>935</v>
      </c>
      <c r="B26" s="575">
        <v>342</v>
      </c>
      <c r="C26" s="578" t="s">
        <v>609</v>
      </c>
      <c r="D26" s="369"/>
      <c r="E26" s="368">
        <f>SUMIFS(FCPIS!$T$6:$T$898,FCPIS!$B$6:$B$898,$A26,FCPIS!$E$6:$E$898,$B26,FCPIS!$D$6:$D$898,E$4)*1000</f>
        <v>32.5</v>
      </c>
      <c r="F26" s="369"/>
      <c r="G26" s="368">
        <f>SUMIFS(FCPIS!$T$6:$T$898,FCPIS!$B$6:$B$898,$A26,FCPIS!$E$6:$E$898,$B26,FCPIS!$D$6:$D$898,G$4)*1000</f>
        <v>121095.93</v>
      </c>
      <c r="H26" s="579">
        <f t="shared" si="0"/>
        <v>121128.43</v>
      </c>
    </row>
    <row r="27" spans="1:8" x14ac:dyDescent="0.2">
      <c r="A27" s="398" t="s">
        <v>935</v>
      </c>
      <c r="B27" s="575">
        <v>343</v>
      </c>
      <c r="C27" s="319" t="s">
        <v>610</v>
      </c>
      <c r="D27" s="369"/>
      <c r="E27" s="368">
        <f>SUMIFS(FCPIS!$T$6:$T$898,FCPIS!$B$6:$B$898,$A27,FCPIS!$E$6:$E$898,$B27,FCPIS!$D$6:$D$898,E$4)*1000</f>
        <v>1164.0900000000001</v>
      </c>
      <c r="F27" s="369"/>
      <c r="G27" s="368">
        <f>SUMIFS(FCPIS!$T$6:$T$898,FCPIS!$B$6:$B$898,$A27,FCPIS!$E$6:$E$898,$B27,FCPIS!$D$6:$D$898,G$4)*1000</f>
        <v>3196369.38</v>
      </c>
      <c r="H27" s="579">
        <f t="shared" si="0"/>
        <v>3197533.4699999997</v>
      </c>
    </row>
    <row r="28" spans="1:8" x14ac:dyDescent="0.2">
      <c r="A28" s="398" t="s">
        <v>935</v>
      </c>
      <c r="B28" s="575">
        <v>344</v>
      </c>
      <c r="C28" s="319" t="s">
        <v>611</v>
      </c>
      <c r="D28" s="369"/>
      <c r="E28" s="368">
        <f>SUMIFS(FCPIS!$T$6:$T$898,FCPIS!$B$6:$B$898,$A28,FCPIS!$E$6:$E$898,$B28,FCPIS!$D$6:$D$898,E$4)*1000</f>
        <v>290.22999999999996</v>
      </c>
      <c r="F28" s="369"/>
      <c r="G28" s="368">
        <f>SUMIFS(FCPIS!$T$6:$T$898,FCPIS!$B$6:$B$898,$A28,FCPIS!$E$6:$E$898,$B28,FCPIS!$D$6:$D$898,G$4)*1000</f>
        <v>715275.37</v>
      </c>
      <c r="H28" s="579">
        <f t="shared" si="0"/>
        <v>715565.6</v>
      </c>
    </row>
    <row r="29" spans="1:8" x14ac:dyDescent="0.2">
      <c r="A29" s="398" t="s">
        <v>935</v>
      </c>
      <c r="B29" s="575">
        <v>345</v>
      </c>
      <c r="C29" s="319" t="s">
        <v>606</v>
      </c>
      <c r="D29" s="369"/>
      <c r="E29" s="368">
        <f>SUMIFS(FCPIS!$T$6:$T$898,FCPIS!$B$6:$B$898,$A29,FCPIS!$E$6:$E$898,$B29,FCPIS!$D$6:$D$898,E$4)*1000</f>
        <v>234.52</v>
      </c>
      <c r="F29" s="369"/>
      <c r="G29" s="368">
        <f>SUMIFS(FCPIS!$T$6:$T$898,FCPIS!$B$6:$B$898,$A29,FCPIS!$E$6:$E$898,$B29,FCPIS!$D$6:$D$898,G$4)*1000</f>
        <v>358092.41</v>
      </c>
      <c r="H29" s="579">
        <f t="shared" si="0"/>
        <v>358326.93</v>
      </c>
    </row>
    <row r="30" spans="1:8" x14ac:dyDescent="0.2">
      <c r="A30" s="398" t="s">
        <v>935</v>
      </c>
      <c r="B30" s="575">
        <v>346</v>
      </c>
      <c r="C30" s="319" t="s">
        <v>607</v>
      </c>
      <c r="D30" s="369"/>
      <c r="E30" s="368">
        <f>SUMIFS(FCPIS!$T$6:$T$898,FCPIS!$B$6:$B$898,$A30,FCPIS!$E$6:$E$898,$B30,FCPIS!$D$6:$D$898,E$4)*1000</f>
        <v>25</v>
      </c>
      <c r="F30" s="369"/>
      <c r="G30" s="368">
        <f>SUMIFS(FCPIS!$T$6:$T$898,FCPIS!$B$6:$B$898,$A30,FCPIS!$E$6:$E$898,$B30,FCPIS!$D$6:$D$898,G$4)*1000</f>
        <v>34127.94</v>
      </c>
      <c r="H30" s="579">
        <f t="shared" si="0"/>
        <v>34152.94</v>
      </c>
    </row>
    <row r="31" spans="1:8" ht="13.5" thickBot="1" x14ac:dyDescent="0.25">
      <c r="A31" s="398"/>
      <c r="B31" s="575"/>
      <c r="C31" s="319"/>
      <c r="D31" s="576"/>
      <c r="E31" s="577">
        <f>SUM(E25:E30)</f>
        <v>1934.2600000000002</v>
      </c>
      <c r="F31" s="576"/>
      <c r="G31" s="577">
        <f>SUM(G25:G30)</f>
        <v>4982273.58</v>
      </c>
      <c r="H31" s="577">
        <f>SUM(H25:H30)</f>
        <v>4984207.84</v>
      </c>
    </row>
    <row r="32" spans="1:8" ht="13.5" thickTop="1" x14ac:dyDescent="0.2">
      <c r="A32" s="398"/>
      <c r="B32" s="575"/>
      <c r="C32" s="319"/>
      <c r="D32" s="369"/>
      <c r="F32" s="369"/>
    </row>
    <row r="33" spans="1:8" x14ac:dyDescent="0.2">
      <c r="A33" s="398"/>
      <c r="B33" s="575"/>
      <c r="C33" s="319"/>
      <c r="D33" s="369"/>
      <c r="F33" s="369"/>
    </row>
    <row r="34" spans="1:8" x14ac:dyDescent="0.2">
      <c r="A34" s="221" t="s">
        <v>785</v>
      </c>
      <c r="B34" s="339"/>
      <c r="C34" s="319"/>
      <c r="D34" s="369"/>
      <c r="F34" s="369"/>
    </row>
    <row r="35" spans="1:8" x14ac:dyDescent="0.2">
      <c r="A35" s="220" t="s">
        <v>933</v>
      </c>
      <c r="B35" s="316" t="s">
        <v>601</v>
      </c>
      <c r="C35" s="220" t="s">
        <v>602</v>
      </c>
      <c r="D35" s="572"/>
      <c r="E35" s="573" t="s">
        <v>2307</v>
      </c>
      <c r="F35" s="572"/>
      <c r="G35" s="574" t="s">
        <v>2308</v>
      </c>
      <c r="H35" s="574" t="s">
        <v>682</v>
      </c>
    </row>
    <row r="36" spans="1:8" x14ac:dyDescent="0.2">
      <c r="A36" s="398" t="s">
        <v>935</v>
      </c>
      <c r="B36" s="575">
        <v>350</v>
      </c>
      <c r="C36" s="319" t="s">
        <v>612</v>
      </c>
      <c r="D36" s="369"/>
      <c r="E36" s="368">
        <f>SUMIFS(FCPIS!$T$6:$T$898,FCPIS!$B$6:$B$898,$A36,FCPIS!$E$6:$E$898,$B36,FCPIS!$D$6:$D$898,E$4)*1000</f>
        <v>76670</v>
      </c>
      <c r="F36" s="369"/>
      <c r="G36" s="368">
        <f>SUMIFS(FCPIS!$T$6:$T$898,FCPIS!$B$6:$B$898,$A36,FCPIS!$E$6:$E$898,$B36,FCPIS!$D$6:$D$898,G$4)*1000</f>
        <v>5847.86</v>
      </c>
      <c r="H36" s="579">
        <f>SUM(D36:G36)</f>
        <v>82517.86</v>
      </c>
    </row>
    <row r="37" spans="1:8" x14ac:dyDescent="0.2">
      <c r="A37" s="398" t="s">
        <v>935</v>
      </c>
      <c r="B37" s="575">
        <v>352</v>
      </c>
      <c r="C37" s="319" t="s">
        <v>603</v>
      </c>
      <c r="D37" s="369"/>
      <c r="E37" s="368">
        <f>SUMIFS(FCPIS!$T$6:$T$898,FCPIS!$B$6:$B$898,$A37,FCPIS!$E$6:$E$898,$B37,FCPIS!$D$6:$D$898,E$4)*1000</f>
        <v>72901.48000000001</v>
      </c>
      <c r="F37" s="369"/>
      <c r="G37" s="368">
        <f>SUMIFS(FCPIS!$T$6:$T$898,FCPIS!$B$6:$B$898,$A37,FCPIS!$E$6:$E$898,$B37,FCPIS!$D$6:$D$898,G$4)*1000</f>
        <v>38295.990000000005</v>
      </c>
      <c r="H37" s="579">
        <f t="shared" ref="H37:H43" si="1">SUM(D37:G37)</f>
        <v>111197.47000000002</v>
      </c>
    </row>
    <row r="38" spans="1:8" x14ac:dyDescent="0.2">
      <c r="A38" s="398" t="s">
        <v>935</v>
      </c>
      <c r="B38" s="575">
        <v>353</v>
      </c>
      <c r="C38" s="319" t="s">
        <v>613</v>
      </c>
      <c r="D38" s="369"/>
      <c r="E38" s="368">
        <f>SUMIFS(FCPIS!$T$6:$T$898,FCPIS!$B$6:$B$898,$A38,FCPIS!$E$6:$E$898,$B38,FCPIS!$D$6:$D$898,E$4)*1000</f>
        <v>539842.31000000006</v>
      </c>
      <c r="F38" s="369"/>
      <c r="G38" s="368">
        <f>SUMIFS(FCPIS!$T$6:$T$898,FCPIS!$B$6:$B$898,$A38,FCPIS!$E$6:$E$898,$B38,FCPIS!$D$6:$D$898,G$4)*1000</f>
        <v>482691.92</v>
      </c>
      <c r="H38" s="579">
        <f t="shared" si="1"/>
        <v>1022534.23</v>
      </c>
    </row>
    <row r="39" spans="1:8" x14ac:dyDescent="0.2">
      <c r="A39" s="398" t="s">
        <v>935</v>
      </c>
      <c r="B39" s="575">
        <v>354</v>
      </c>
      <c r="C39" s="319" t="s">
        <v>614</v>
      </c>
      <c r="D39" s="369"/>
      <c r="E39" s="368">
        <f>SUMIFS(FCPIS!$T$6:$T$898,FCPIS!$B$6:$B$898,$A39,FCPIS!$E$6:$E$898,$B39,FCPIS!$D$6:$D$898,E$4)*1000</f>
        <v>842038.67</v>
      </c>
      <c r="F39" s="369"/>
      <c r="G39" s="368">
        <f>SUMIFS(FCPIS!$T$6:$T$898,FCPIS!$B$6:$B$898,$A39,FCPIS!$E$6:$E$898,$B39,FCPIS!$D$6:$D$898,G$4)*1000</f>
        <v>120310.06</v>
      </c>
      <c r="H39" s="579">
        <f t="shared" si="1"/>
        <v>962348.73</v>
      </c>
    </row>
    <row r="40" spans="1:8" x14ac:dyDescent="0.2">
      <c r="A40" s="398" t="s">
        <v>935</v>
      </c>
      <c r="B40" s="575">
        <v>355</v>
      </c>
      <c r="C40" s="319" t="s">
        <v>615</v>
      </c>
      <c r="D40" s="369"/>
      <c r="E40" s="368">
        <f>SUMIFS(FCPIS!$T$6:$T$898,FCPIS!$B$6:$B$898,$A40,FCPIS!$E$6:$E$898,$B40,FCPIS!$D$6:$D$898,E$4)*1000</f>
        <v>229757.81</v>
      </c>
      <c r="F40" s="369"/>
      <c r="G40" s="368">
        <f>SUMIFS(FCPIS!$T$6:$T$898,FCPIS!$B$6:$B$898,$A40,FCPIS!$E$6:$E$898,$B40,FCPIS!$D$6:$D$898,G$4)*1000</f>
        <v>579741.88</v>
      </c>
      <c r="H40" s="579">
        <f t="shared" si="1"/>
        <v>809499.69</v>
      </c>
    </row>
    <row r="41" spans="1:8" x14ac:dyDescent="0.2">
      <c r="A41" s="398" t="s">
        <v>935</v>
      </c>
      <c r="B41" s="575">
        <v>356</v>
      </c>
      <c r="C41" s="319" t="s">
        <v>616</v>
      </c>
      <c r="D41" s="369"/>
      <c r="E41" s="368">
        <f>SUMIFS(FCPIS!$T$6:$T$898,FCPIS!$B$6:$B$898,$A41,FCPIS!$E$6:$E$898,$B41,FCPIS!$D$6:$D$898,E$4)*1000</f>
        <v>1047148.39</v>
      </c>
      <c r="F41" s="369"/>
      <c r="G41" s="368">
        <f>SUMIFS(FCPIS!$T$6:$T$898,FCPIS!$B$6:$B$898,$A41,FCPIS!$E$6:$E$898,$B41,FCPIS!$D$6:$D$898,G$4)*1000</f>
        <v>191092.74</v>
      </c>
      <c r="H41" s="579">
        <f t="shared" si="1"/>
        <v>1238241.1299999999</v>
      </c>
    </row>
    <row r="42" spans="1:8" x14ac:dyDescent="0.2">
      <c r="A42" s="398" t="s">
        <v>935</v>
      </c>
      <c r="B42" s="575">
        <v>357</v>
      </c>
      <c r="C42" s="319" t="s">
        <v>617</v>
      </c>
      <c r="D42" s="369"/>
      <c r="E42" s="368">
        <f>SUMIFS(FCPIS!$T$6:$T$898,FCPIS!$B$6:$B$898,$A42,FCPIS!$E$6:$E$898,$B42,FCPIS!$D$6:$D$898,E$4)*1000</f>
        <v>275</v>
      </c>
      <c r="F42" s="369"/>
      <c r="G42" s="368">
        <f>SUMIFS(FCPIS!$T$6:$T$898,FCPIS!$B$6:$B$898,$A42,FCPIS!$E$6:$E$898,$B42,FCPIS!$D$6:$D$898,G$4)*1000</f>
        <v>1122</v>
      </c>
      <c r="H42" s="579">
        <f t="shared" si="1"/>
        <v>1397</v>
      </c>
    </row>
    <row r="43" spans="1:8" x14ac:dyDescent="0.2">
      <c r="A43" s="398" t="s">
        <v>935</v>
      </c>
      <c r="B43" s="575">
        <v>358</v>
      </c>
      <c r="C43" s="578" t="s">
        <v>618</v>
      </c>
      <c r="D43" s="369"/>
      <c r="E43" s="368">
        <f>SUMIFS(FCPIS!$T$6:$T$898,FCPIS!$B$6:$B$898,$A43,FCPIS!$E$6:$E$898,$B43,FCPIS!$D$6:$D$898,E$4)*1000</f>
        <v>2211</v>
      </c>
      <c r="F43" s="369"/>
      <c r="G43" s="368">
        <f>SUMIFS(FCPIS!$T$6:$T$898,FCPIS!$B$6:$B$898,$A43,FCPIS!$E$6:$E$898,$B43,FCPIS!$D$6:$D$898,G$4)*1000</f>
        <v>1128</v>
      </c>
      <c r="H43" s="579">
        <f t="shared" si="1"/>
        <v>3339</v>
      </c>
    </row>
    <row r="44" spans="1:8" ht="13.5" thickBot="1" x14ac:dyDescent="0.25">
      <c r="A44" s="398"/>
      <c r="B44" s="575"/>
      <c r="C44" s="578"/>
      <c r="D44" s="576"/>
      <c r="E44" s="577">
        <f>SUM(E36:E43)</f>
        <v>2810844.66</v>
      </c>
      <c r="F44" s="576"/>
      <c r="G44" s="577">
        <f>SUM(G36:G43)</f>
        <v>1420230.45</v>
      </c>
      <c r="H44" s="577">
        <f>SUM(H36:H43)</f>
        <v>4231075.1099999994</v>
      </c>
    </row>
    <row r="45" spans="1:8" ht="15.75" thickTop="1" x14ac:dyDescent="0.2">
      <c r="A45" s="398"/>
      <c r="B45" s="575"/>
      <c r="C45" s="319"/>
      <c r="D45" s="369"/>
      <c r="E45" s="820">
        <f>SUM(D44:E44)</f>
        <v>2810844.66</v>
      </c>
      <c r="F45" s="580"/>
      <c r="G45" s="820">
        <f>SUM(F44:G44)</f>
        <v>1420230.45</v>
      </c>
    </row>
    <row r="46" spans="1:8" x14ac:dyDescent="0.2">
      <c r="A46" s="398"/>
      <c r="B46" s="575"/>
      <c r="C46" s="319"/>
      <c r="D46" s="369"/>
      <c r="F46" s="369"/>
    </row>
    <row r="47" spans="1:8" x14ac:dyDescent="0.2">
      <c r="A47" s="221" t="s">
        <v>785</v>
      </c>
      <c r="B47" s="339"/>
      <c r="C47" s="319"/>
      <c r="D47" s="369"/>
      <c r="F47" s="369"/>
    </row>
    <row r="48" spans="1:8" x14ac:dyDescent="0.2">
      <c r="A48" s="222" t="s">
        <v>933</v>
      </c>
      <c r="B48" s="317" t="s">
        <v>601</v>
      </c>
      <c r="C48" s="222" t="s">
        <v>602</v>
      </c>
      <c r="D48" s="572"/>
      <c r="E48" s="573" t="s">
        <v>2307</v>
      </c>
      <c r="F48" s="572"/>
      <c r="G48" s="574" t="s">
        <v>2308</v>
      </c>
      <c r="H48" s="574" t="s">
        <v>682</v>
      </c>
    </row>
    <row r="49" spans="1:8" x14ac:dyDescent="0.2">
      <c r="A49" s="398" t="s">
        <v>937</v>
      </c>
      <c r="B49" s="575">
        <v>352</v>
      </c>
      <c r="C49" s="319" t="s">
        <v>603</v>
      </c>
      <c r="D49" s="369"/>
      <c r="E49" s="368">
        <f>SUMIFS(FCPIS!$T$6:$T$898,FCPIS!$B$6:$B$898,$A49,FCPIS!$E$6:$E$898,$B49,FCPIS!$D$6:$D$898,E$4)*1000</f>
        <v>0</v>
      </c>
      <c r="F49" s="369"/>
      <c r="G49" s="368">
        <f>SUMIFS(FCPIS!$T$6:$T$898,FCPIS!$B$6:$B$898,$A49,FCPIS!$E$6:$E$898,$B49,FCPIS!$D$6:$D$898,G$4)*1000</f>
        <v>3</v>
      </c>
      <c r="H49" s="579">
        <f>SUM(D49:G49)</f>
        <v>3</v>
      </c>
    </row>
    <row r="50" spans="1:8" x14ac:dyDescent="0.2">
      <c r="A50" s="398" t="s">
        <v>937</v>
      </c>
      <c r="B50" s="575">
        <v>353</v>
      </c>
      <c r="C50" s="319" t="s">
        <v>613</v>
      </c>
      <c r="D50" s="369"/>
      <c r="E50" s="368">
        <f>SUMIFS(FCPIS!$T$6:$T$898,FCPIS!$B$6:$B$898,$A50,FCPIS!$E$6:$E$898,$B50,FCPIS!$D$6:$D$898,E$4)*1000</f>
        <v>2</v>
      </c>
      <c r="F50" s="369"/>
      <c r="G50" s="368">
        <f>SUMIFS(FCPIS!$T$6:$T$898,FCPIS!$B$6:$B$898,$A50,FCPIS!$E$6:$E$898,$B50,FCPIS!$D$6:$D$898,G$4)*1000</f>
        <v>1571</v>
      </c>
      <c r="H50" s="579">
        <f>SUM(D50:G50)</f>
        <v>1573</v>
      </c>
    </row>
    <row r="51" spans="1:8" x14ac:dyDescent="0.2">
      <c r="A51" s="398" t="s">
        <v>937</v>
      </c>
      <c r="B51" s="575">
        <v>355</v>
      </c>
      <c r="C51" s="319" t="s">
        <v>615</v>
      </c>
      <c r="D51" s="369"/>
      <c r="E51" s="368">
        <f>SUMIFS(FCPIS!$T$6:$T$898,FCPIS!$B$6:$B$898,$A51,FCPIS!$E$6:$E$898,$B51,FCPIS!$D$6:$D$898,E$4)*1000</f>
        <v>0</v>
      </c>
      <c r="F51" s="369"/>
      <c r="G51" s="368">
        <f>SUMIFS(FCPIS!$T$6:$T$898,FCPIS!$B$6:$B$898,$A51,FCPIS!$E$6:$E$898,$B51,FCPIS!$D$6:$D$898,G$4)*1000</f>
        <v>649.77</v>
      </c>
      <c r="H51" s="579">
        <f>SUM(D51:G51)</f>
        <v>649.77</v>
      </c>
    </row>
    <row r="52" spans="1:8" x14ac:dyDescent="0.2">
      <c r="A52" s="398" t="s">
        <v>937</v>
      </c>
      <c r="B52" s="575">
        <v>356</v>
      </c>
      <c r="C52" s="319" t="s">
        <v>616</v>
      </c>
      <c r="D52" s="369"/>
      <c r="E52" s="368">
        <f>SUMIFS(FCPIS!$T$6:$T$898,FCPIS!$B$6:$B$898,$A52,FCPIS!$E$6:$E$898,$B52,FCPIS!$D$6:$D$898,E$4)*1000</f>
        <v>0</v>
      </c>
      <c r="F52" s="369"/>
      <c r="G52" s="368">
        <f>SUMIFS(FCPIS!$T$6:$T$898,FCPIS!$B$6:$B$898,$A52,FCPIS!$E$6:$E$898,$B52,FCPIS!$D$6:$D$898,G$4)*1000</f>
        <v>2064.61</v>
      </c>
      <c r="H52" s="579">
        <f>SUM(D52:G52)</f>
        <v>2064.61</v>
      </c>
    </row>
    <row r="53" spans="1:8" ht="13.5" thickBot="1" x14ac:dyDescent="0.25">
      <c r="A53" s="398"/>
      <c r="B53" s="339"/>
      <c r="C53" s="319"/>
      <c r="D53" s="576"/>
      <c r="E53" s="577">
        <f>SUM(E49:E52)</f>
        <v>2</v>
      </c>
      <c r="F53" s="576"/>
      <c r="G53" s="577">
        <f>SUM(G49:G52)</f>
        <v>4288.38</v>
      </c>
      <c r="H53" s="577">
        <f>SUM(H49:H52)</f>
        <v>4290.38</v>
      </c>
    </row>
    <row r="54" spans="1:8" ht="15.75" thickTop="1" x14ac:dyDescent="0.2">
      <c r="A54" s="398"/>
      <c r="B54" s="339"/>
      <c r="C54" s="319"/>
      <c r="D54" s="369"/>
      <c r="E54" s="820">
        <f>SUM(D53:E53)</f>
        <v>2</v>
      </c>
      <c r="F54" s="580"/>
      <c r="G54" s="820">
        <f>SUM(F53:G53)</f>
        <v>4288.38</v>
      </c>
    </row>
    <row r="55" spans="1:8" x14ac:dyDescent="0.2">
      <c r="A55" s="398"/>
      <c r="B55" s="339"/>
      <c r="C55" s="319"/>
      <c r="D55" s="369"/>
      <c r="E55" s="821">
        <f>(E54/(E45+E54))</f>
        <v>7.1152938666529744E-7</v>
      </c>
      <c r="F55" s="581"/>
      <c r="G55" s="821">
        <f>(G54/(G45+G54))</f>
        <v>3.0104059768729071E-3</v>
      </c>
    </row>
    <row r="56" spans="1:8" ht="13.5" thickBot="1" x14ac:dyDescent="0.25">
      <c r="A56" s="398"/>
      <c r="B56" s="339"/>
      <c r="C56" s="223" t="s">
        <v>547</v>
      </c>
      <c r="D56" s="576"/>
      <c r="E56" s="577">
        <f>SUM(E53,E44,E31,E20,E11)</f>
        <v>19596272.949999996</v>
      </c>
      <c r="F56" s="576"/>
      <c r="G56" s="577">
        <f>SUM(G53,G44,G31,G20,G11)</f>
        <v>31092434.520000003</v>
      </c>
      <c r="H56" s="577">
        <f>SUM(H53,H44,H31,H20,H11)</f>
        <v>50688707.469999991</v>
      </c>
    </row>
    <row r="57" spans="1:8" ht="13.5" thickTop="1" x14ac:dyDescent="0.2">
      <c r="D57" s="369"/>
      <c r="F57" s="369"/>
    </row>
  </sheetData>
  <mergeCells count="2">
    <mergeCell ref="A1:G1"/>
    <mergeCell ref="A2:G2"/>
  </mergeCells>
  <phoneticPr fontId="31" type="noConversion"/>
  <printOptions horizontalCentered="1"/>
  <pageMargins left="0.75" right="0.25" top="0.75" bottom="0.75" header="0.5" footer="0.5"/>
  <pageSetup scale="8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I103"/>
  <sheetViews>
    <sheetView topLeftCell="A16" zoomScaleNormal="100" workbookViewId="0">
      <selection activeCell="C20" sqref="C20"/>
    </sheetView>
  </sheetViews>
  <sheetFormatPr defaultColWidth="7" defaultRowHeight="11.25" x14ac:dyDescent="0.2"/>
  <cols>
    <col min="1" max="1" width="4.21875" style="105" customWidth="1"/>
    <col min="2" max="2" width="36.6640625" style="105" customWidth="1"/>
    <col min="3" max="3" width="12.88671875" style="22" customWidth="1"/>
    <col min="4" max="4" width="13.33203125" style="105" customWidth="1"/>
    <col min="5" max="5" width="11.21875" style="105" customWidth="1"/>
    <col min="6" max="6" width="11.21875" style="105" bestFit="1" customWidth="1"/>
    <col min="7" max="7" width="13.6640625" style="105" customWidth="1"/>
    <col min="8" max="8" width="14.109375" style="22" customWidth="1"/>
    <col min="9" max="9" width="9.109375" style="105" bestFit="1" customWidth="1"/>
    <col min="10" max="16384" width="7" style="105"/>
  </cols>
  <sheetData>
    <row r="1" spans="1:8" ht="14.1" customHeight="1" x14ac:dyDescent="0.2">
      <c r="B1" s="105" t="s">
        <v>707</v>
      </c>
    </row>
    <row r="2" spans="1:8" ht="14.1" customHeight="1" x14ac:dyDescent="0.2">
      <c r="B2" s="434"/>
    </row>
    <row r="3" spans="1:8" ht="14.1" customHeight="1" x14ac:dyDescent="0.2">
      <c r="B3" s="435" t="s">
        <v>1236</v>
      </c>
    </row>
    <row r="4" spans="1:8" ht="14.1" customHeight="1" x14ac:dyDescent="0.2">
      <c r="C4" s="436" t="s">
        <v>2469</v>
      </c>
      <c r="D4" s="436" t="str">
        <f>C4</f>
        <v>13MOAVG</v>
      </c>
    </row>
    <row r="5" spans="1:8" ht="14.1" customHeight="1" x14ac:dyDescent="0.2">
      <c r="A5" s="105" t="s">
        <v>1607</v>
      </c>
      <c r="B5" s="105" t="s">
        <v>708</v>
      </c>
      <c r="C5" s="437" t="s">
        <v>1235</v>
      </c>
      <c r="D5" s="105" t="s">
        <v>709</v>
      </c>
    </row>
    <row r="6" spans="1:8" ht="14.1" customHeight="1" x14ac:dyDescent="0.2">
      <c r="A6" s="105" t="s">
        <v>935</v>
      </c>
      <c r="B6" s="105" t="s">
        <v>710</v>
      </c>
      <c r="C6" s="392">
        <f>SUMIFS('FC CWIP &amp; RWIP'!$R$40:$R$58,'FC CWIP &amp; RWIP'!$A$40:$A$58,$A6,'FC CWIP &amp; RWIP'!$B$40:$B$58,$B6)*-1000</f>
        <v>-16126277.020769164</v>
      </c>
      <c r="D6" s="31">
        <f t="shared" ref="D6:D18" si="0">C6/$C$23*$D$23</f>
        <v>-16126277.020769162</v>
      </c>
      <c r="E6" s="438">
        <f t="shared" ref="E6:E22" si="1">+D6/$D$23</f>
        <v>0.84358699390794578</v>
      </c>
      <c r="G6" s="439"/>
      <c r="H6" s="392"/>
    </row>
    <row r="7" spans="1:8" ht="14.1" customHeight="1" x14ac:dyDescent="0.2">
      <c r="A7" s="105" t="s">
        <v>935</v>
      </c>
      <c r="B7" s="105" t="s">
        <v>2660</v>
      </c>
      <c r="C7" s="392">
        <f>SUMIFS('FC CWIP &amp; RWIP'!$R$40:$R$58,'FC CWIP &amp; RWIP'!$A$40:$A$58,$A7,'FC CWIP &amp; RWIP'!$B$40:$B$58,$B7)*-1000</f>
        <v>0</v>
      </c>
      <c r="D7" s="31">
        <f t="shared" si="0"/>
        <v>0</v>
      </c>
      <c r="E7" s="438">
        <f t="shared" si="1"/>
        <v>0</v>
      </c>
      <c r="G7" s="439"/>
      <c r="H7" s="392"/>
    </row>
    <row r="8" spans="1:8" ht="14.1" customHeight="1" x14ac:dyDescent="0.2">
      <c r="A8" s="105" t="s">
        <v>935</v>
      </c>
      <c r="B8" s="105" t="s">
        <v>711</v>
      </c>
      <c r="C8" s="392">
        <f>SUMIFS('FC CWIP &amp; RWIP'!$R$40:$R$58,'FC CWIP &amp; RWIP'!$A$40:$A$58,$A8,'FC CWIP &amp; RWIP'!$B$40:$B$58,$B8)*-1000</f>
        <v>0</v>
      </c>
      <c r="D8" s="31">
        <f t="shared" si="0"/>
        <v>0</v>
      </c>
      <c r="E8" s="438">
        <f t="shared" si="1"/>
        <v>0</v>
      </c>
      <c r="G8" s="439"/>
      <c r="H8" s="392"/>
    </row>
    <row r="9" spans="1:8" ht="14.1" customHeight="1" x14ac:dyDescent="0.2">
      <c r="A9" s="105" t="s">
        <v>935</v>
      </c>
      <c r="B9" s="105" t="s">
        <v>712</v>
      </c>
      <c r="C9" s="392">
        <f>SUMIFS('FC CWIP &amp; RWIP'!$R$40:$R$58,'FC CWIP &amp; RWIP'!$A$40:$A$58,$A9,'FC CWIP &amp; RWIP'!$B$40:$B$58,$B9)*-1000</f>
        <v>-301454.04538461566</v>
      </c>
      <c r="D9" s="31">
        <f t="shared" si="0"/>
        <v>-301454.04538461566</v>
      </c>
      <c r="E9" s="438">
        <f t="shared" si="1"/>
        <v>1.5769461954540334E-2</v>
      </c>
    </row>
    <row r="10" spans="1:8" ht="14.1" customHeight="1" x14ac:dyDescent="0.2">
      <c r="A10" s="105" t="s">
        <v>935</v>
      </c>
      <c r="B10" s="105" t="s">
        <v>713</v>
      </c>
      <c r="C10" s="392">
        <f>SUMIFS('FC CWIP &amp; RWIP'!$R$40:$R$58,'FC CWIP &amp; RWIP'!$A$40:$A$58,$A10,'FC CWIP &amp; RWIP'!$B$40:$B$58,$B10)*-1000</f>
        <v>0</v>
      </c>
      <c r="D10" s="31">
        <f t="shared" si="0"/>
        <v>0</v>
      </c>
      <c r="E10" s="438">
        <f t="shared" si="1"/>
        <v>0</v>
      </c>
    </row>
    <row r="11" spans="1:8" ht="14.1" customHeight="1" x14ac:dyDescent="0.2">
      <c r="A11" s="105" t="s">
        <v>935</v>
      </c>
      <c r="B11" s="105" t="s">
        <v>915</v>
      </c>
      <c r="C11" s="392">
        <f>SUMIFS('FC CWIP &amp; RWIP'!$R$40:$R$58,'FC CWIP &amp; RWIP'!$A$40:$A$58,$A11,'FC CWIP &amp; RWIP'!$B$40:$B$58,$B11)*-1000</f>
        <v>-1941220.6730769232</v>
      </c>
      <c r="D11" s="31">
        <f t="shared" si="0"/>
        <v>-1941220.6730769232</v>
      </c>
      <c r="E11" s="438">
        <f t="shared" si="1"/>
        <v>0.10154783463063777</v>
      </c>
    </row>
    <row r="12" spans="1:8" ht="14.1" customHeight="1" x14ac:dyDescent="0.2">
      <c r="A12" s="105" t="s">
        <v>939</v>
      </c>
      <c r="B12" s="105" t="s">
        <v>915</v>
      </c>
      <c r="C12" s="392">
        <f>SUMIFS('FC CWIP &amp; RWIP'!$R$40:$R$58,'FC CWIP &amp; RWIP'!$A$40:$A$58,$A12,'FC CWIP &amp; RWIP'!$B$40:$B$58,$B12)*-1000</f>
        <v>0</v>
      </c>
      <c r="D12" s="31">
        <f t="shared" si="0"/>
        <v>0</v>
      </c>
      <c r="E12" s="438">
        <f t="shared" si="1"/>
        <v>0</v>
      </c>
    </row>
    <row r="13" spans="1:8" ht="14.1" customHeight="1" x14ac:dyDescent="0.2">
      <c r="A13" s="105" t="s">
        <v>937</v>
      </c>
      <c r="B13" s="105" t="s">
        <v>915</v>
      </c>
      <c r="C13" s="392">
        <f>SUMIFS('FC CWIP &amp; RWIP'!$R$40:$R$58,'FC CWIP &amp; RWIP'!$A$40:$A$58,$A13,'FC CWIP &amp; RWIP'!$B$40:$B$58,$B13)*-1000</f>
        <v>-54734.664615384463</v>
      </c>
      <c r="D13" s="31">
        <f t="shared" si="0"/>
        <v>-54734.664615384463</v>
      </c>
      <c r="E13" s="438">
        <f t="shared" si="1"/>
        <v>2.8632430861744856E-3</v>
      </c>
      <c r="G13" s="31"/>
    </row>
    <row r="14" spans="1:8" ht="14.1" customHeight="1" x14ac:dyDescent="0.2">
      <c r="A14" s="105" t="s">
        <v>935</v>
      </c>
      <c r="B14" s="105" t="s">
        <v>714</v>
      </c>
      <c r="C14" s="392">
        <f>SUMIFS('FC CWIP &amp; RWIP'!$R$40:$R$58,'FC CWIP &amp; RWIP'!$A$40:$A$58,$A14,'FC CWIP &amp; RWIP'!$B$40:$B$58,$B14)*-1000</f>
        <v>0</v>
      </c>
      <c r="D14" s="31">
        <f t="shared" si="0"/>
        <v>0</v>
      </c>
      <c r="E14" s="438">
        <f t="shared" si="1"/>
        <v>0</v>
      </c>
      <c r="G14" s="31"/>
    </row>
    <row r="15" spans="1:8" ht="14.1" customHeight="1" x14ac:dyDescent="0.2">
      <c r="A15" s="105" t="s">
        <v>935</v>
      </c>
      <c r="B15" s="105" t="s">
        <v>450</v>
      </c>
      <c r="C15" s="392">
        <f>SUMIFS('FC CWIP &amp; RWIP'!$R$40:$R$58,'FC CWIP &amp; RWIP'!$A$40:$A$58,$A15,'FC CWIP &amp; RWIP'!$B$40:$B$58,$B15)*-1000</f>
        <v>-686853.96000000334</v>
      </c>
      <c r="D15" s="31">
        <f t="shared" si="0"/>
        <v>-686853.96000000322</v>
      </c>
      <c r="E15" s="438">
        <f t="shared" si="1"/>
        <v>3.5930243950536761E-2</v>
      </c>
      <c r="G15" s="31"/>
    </row>
    <row r="16" spans="1:8" ht="14.1" customHeight="1" x14ac:dyDescent="0.2">
      <c r="A16" s="105" t="s">
        <v>939</v>
      </c>
      <c r="B16" s="105" t="s">
        <v>450</v>
      </c>
      <c r="C16" s="392">
        <f>SUMIFS('FC CWIP &amp; RWIP'!$R$40:$R$58,'FC CWIP &amp; RWIP'!$A$40:$A$58,$A16,'FC CWIP &amp; RWIP'!$B$40:$B$58,$B16)*-1000</f>
        <v>0</v>
      </c>
      <c r="D16" s="31">
        <f t="shared" si="0"/>
        <v>0</v>
      </c>
      <c r="E16" s="438">
        <f t="shared" si="1"/>
        <v>0</v>
      </c>
      <c r="G16" s="31"/>
    </row>
    <row r="17" spans="1:7" ht="14.1" customHeight="1" x14ac:dyDescent="0.2">
      <c r="A17" s="105" t="s">
        <v>937</v>
      </c>
      <c r="B17" s="105" t="s">
        <v>450</v>
      </c>
      <c r="C17" s="392">
        <f>SUMIFS('FC CWIP &amp; RWIP'!$R$40:$R$58,'FC CWIP &amp; RWIP'!$A$40:$A$58,$A17,'FC CWIP &amp; RWIP'!$B$40:$B$58,$B17)*-1000</f>
        <v>-2102.0307692306578</v>
      </c>
      <c r="D17" s="31">
        <f t="shared" si="0"/>
        <v>-2102.0307692306578</v>
      </c>
      <c r="E17" s="438">
        <f t="shared" si="1"/>
        <v>1.0996002458803851E-4</v>
      </c>
      <c r="G17" s="31"/>
    </row>
    <row r="18" spans="1:7" ht="14.1" customHeight="1" x14ac:dyDescent="0.2">
      <c r="A18" s="105" t="s">
        <v>935</v>
      </c>
      <c r="B18" s="105" t="s">
        <v>100</v>
      </c>
      <c r="C18" s="392">
        <f>SUMIFS('FC CWIP &amp; RWIP'!$R$40:$R$58,'FC CWIP &amp; RWIP'!$A$40:$A$58,$A18,'FC CWIP &amp; RWIP'!$B$40:$B$58,$B18)*-1000</f>
        <v>1.0658141036401501E-11</v>
      </c>
      <c r="D18" s="31">
        <f t="shared" si="0"/>
        <v>1.0658141036401501E-11</v>
      </c>
      <c r="E18" s="438">
        <f t="shared" si="1"/>
        <v>-5.5754152963918389E-19</v>
      </c>
      <c r="G18" s="31"/>
    </row>
    <row r="19" spans="1:7" ht="14.1" customHeight="1" x14ac:dyDescent="0.2">
      <c r="A19" s="105" t="s">
        <v>935</v>
      </c>
      <c r="B19" s="105" t="s">
        <v>848</v>
      </c>
      <c r="C19" s="392">
        <f>SUMIFS('FC CWIP &amp; RWIP'!$R$40:$R$58,'FC CWIP &amp; RWIP'!$A$40:$A$58,$A19,'FC CWIP &amp; RWIP'!$B$40:$B$58,$B19)*-1000</f>
        <v>0</v>
      </c>
      <c r="D19" s="31">
        <v>0</v>
      </c>
      <c r="E19" s="438">
        <f t="shared" si="1"/>
        <v>0</v>
      </c>
      <c r="G19" s="31"/>
    </row>
    <row r="20" spans="1:7" ht="14.1" customHeight="1" x14ac:dyDescent="0.2">
      <c r="A20" s="105" t="s">
        <v>937</v>
      </c>
      <c r="B20" s="105" t="s">
        <v>100</v>
      </c>
      <c r="C20" s="392">
        <f>SUMIFS('FC CWIP &amp; RWIP'!$R$40:$R$58,'FC CWIP &amp; RWIP'!$A$40:$A$58,$A20,'FC CWIP &amp; RWIP'!$B$40:$B$58,$B20)*-1000</f>
        <v>0</v>
      </c>
      <c r="D20" s="31">
        <f>C20/$C$23*$D$23</f>
        <v>0</v>
      </c>
      <c r="E20" s="438">
        <f t="shared" si="1"/>
        <v>0</v>
      </c>
      <c r="G20" s="31"/>
    </row>
    <row r="21" spans="1:7" ht="14.1" customHeight="1" x14ac:dyDescent="0.2">
      <c r="A21" s="105" t="s">
        <v>939</v>
      </c>
      <c r="B21" s="435" t="s">
        <v>100</v>
      </c>
      <c r="C21" s="392">
        <f>SUMIFS('FC CWIP &amp; RWIP'!$R$40:$R$58,'FC CWIP &amp; RWIP'!$A$40:$A$58,$A21,'FC CWIP &amp; RWIP'!$B$40:$B$58,$B21)*-1000</f>
        <v>0</v>
      </c>
      <c r="D21" s="31">
        <f>C21/$C$23*$D$23</f>
        <v>0</v>
      </c>
      <c r="E21" s="438">
        <f t="shared" si="1"/>
        <v>0</v>
      </c>
      <c r="G21" s="31"/>
    </row>
    <row r="22" spans="1:7" ht="14.1" customHeight="1" x14ac:dyDescent="0.2">
      <c r="A22" s="105" t="s">
        <v>935</v>
      </c>
      <c r="B22" s="105" t="s">
        <v>2661</v>
      </c>
      <c r="C22" s="392">
        <f>SUMIFS('FC CWIP &amp; RWIP'!$R$40:$R$58,'FC CWIP &amp; RWIP'!$A$40:$A$58,$A22,'FC CWIP &amp; RWIP'!$B$40:$B$58,$B22)*-1000</f>
        <v>-3675.3500000000013</v>
      </c>
      <c r="D22" s="31">
        <f>C22/$C$23*$D$23</f>
        <v>-3675.3500000000017</v>
      </c>
      <c r="E22" s="438">
        <f t="shared" si="1"/>
        <v>1.9226244557664734E-4</v>
      </c>
      <c r="G22" s="31"/>
    </row>
    <row r="23" spans="1:7" ht="14.1" customHeight="1" x14ac:dyDescent="0.2">
      <c r="B23" s="105" t="s">
        <v>682</v>
      </c>
      <c r="C23" s="22">
        <f>SUM(C6:C22)</f>
        <v>-19116317.744615324</v>
      </c>
      <c r="D23" s="392">
        <f>SUM('FC CWIP &amp; RWIP'!R40:R51)*-1000</f>
        <v>-19116317.744615324</v>
      </c>
      <c r="E23" s="438"/>
      <c r="G23" s="31"/>
    </row>
    <row r="24" spans="1:7" ht="14.1" customHeight="1" x14ac:dyDescent="0.2">
      <c r="G24" s="31"/>
    </row>
    <row r="25" spans="1:7" ht="14.1" customHeight="1" x14ac:dyDescent="0.2">
      <c r="B25" s="105" t="s">
        <v>820</v>
      </c>
      <c r="D25" s="31">
        <f>SUM(D6:D22)</f>
        <v>-19116317.74461532</v>
      </c>
    </row>
    <row r="26" spans="1:7" ht="14.1" customHeight="1" x14ac:dyDescent="0.2">
      <c r="G26" s="31"/>
    </row>
    <row r="27" spans="1:7" ht="14.1" customHeight="1" x14ac:dyDescent="0.2"/>
    <row r="28" spans="1:7" ht="14.1" customHeight="1" x14ac:dyDescent="0.2">
      <c r="B28" s="105" t="s">
        <v>821</v>
      </c>
      <c r="C28" s="392">
        <f>-PIS!S95</f>
        <v>1908611450.7983718</v>
      </c>
    </row>
    <row r="29" spans="1:7" ht="14.1" customHeight="1" x14ac:dyDescent="0.2">
      <c r="B29" s="105" t="s">
        <v>822</v>
      </c>
      <c r="C29" s="22">
        <f>D6</f>
        <v>-16126277.020769162</v>
      </c>
    </row>
    <row r="30" spans="1:7" ht="14.1" customHeight="1" x14ac:dyDescent="0.2">
      <c r="B30" s="105" t="s">
        <v>823</v>
      </c>
      <c r="C30" s="22">
        <f>-'AFUDC Depr AccDepr'!I29</f>
        <v>-18008590.653333407</v>
      </c>
    </row>
    <row r="31" spans="1:7" ht="14.1" customHeight="1" x14ac:dyDescent="0.2">
      <c r="B31" s="105" t="s">
        <v>824</v>
      </c>
      <c r="C31" s="22">
        <f>-'AFUDC Depr AccDepr'!J29</f>
        <v>-7410604.1733333375</v>
      </c>
    </row>
    <row r="32" spans="1:7" ht="14.1" customHeight="1" x14ac:dyDescent="0.2">
      <c r="B32" s="440" t="s">
        <v>825</v>
      </c>
      <c r="D32" s="31">
        <f>SUM(C28:C31)</f>
        <v>1867065978.9509358</v>
      </c>
    </row>
    <row r="33" spans="2:4" ht="14.1" customHeight="1" x14ac:dyDescent="0.2"/>
    <row r="34" spans="2:4" ht="14.1" customHeight="1" x14ac:dyDescent="0.2"/>
    <row r="35" spans="2:4" ht="14.1" customHeight="1" x14ac:dyDescent="0.2">
      <c r="B35" s="105" t="s">
        <v>826</v>
      </c>
      <c r="C35" s="392">
        <f>-PIS!S59</f>
        <v>15284863.309092043</v>
      </c>
    </row>
    <row r="36" spans="2:4" ht="14.1" customHeight="1" x14ac:dyDescent="0.2">
      <c r="B36" s="105" t="s">
        <v>827</v>
      </c>
      <c r="C36" s="22">
        <f>D8</f>
        <v>0</v>
      </c>
    </row>
    <row r="37" spans="2:4" ht="14.1" customHeight="1" x14ac:dyDescent="0.2">
      <c r="B37" s="105" t="s">
        <v>823</v>
      </c>
      <c r="C37" s="22">
        <f>-'AFUDC Depr AccDepr'!I33</f>
        <v>-3414.3333333333408</v>
      </c>
    </row>
    <row r="38" spans="2:4" ht="14.1" customHeight="1" x14ac:dyDescent="0.2">
      <c r="B38" s="105" t="s">
        <v>824</v>
      </c>
      <c r="C38" s="22">
        <f>-'AFUDC Depr AccDepr'!J33</f>
        <v>-21448.5</v>
      </c>
    </row>
    <row r="39" spans="2:4" ht="14.1" customHeight="1" x14ac:dyDescent="0.2">
      <c r="B39" s="440" t="s">
        <v>828</v>
      </c>
      <c r="D39" s="31">
        <f>SUM(C35:C38)</f>
        <v>15260000.475758709</v>
      </c>
    </row>
    <row r="40" spans="2:4" ht="14.1" customHeight="1" x14ac:dyDescent="0.2"/>
    <row r="41" spans="2:4" ht="14.1" customHeight="1" x14ac:dyDescent="0.2"/>
    <row r="42" spans="2:4" ht="14.1" customHeight="1" x14ac:dyDescent="0.2">
      <c r="B42" s="105" t="s">
        <v>829</v>
      </c>
      <c r="C42" s="392">
        <f>-PIS!S80</f>
        <v>382386192.07841438</v>
      </c>
    </row>
    <row r="43" spans="2:4" ht="14.1" customHeight="1" x14ac:dyDescent="0.2">
      <c r="B43" s="105" t="s">
        <v>830</v>
      </c>
      <c r="C43" s="22">
        <f>D9</f>
        <v>-301454.04538461566</v>
      </c>
    </row>
    <row r="44" spans="2:4" ht="14.1" customHeight="1" x14ac:dyDescent="0.2">
      <c r="B44" s="105" t="s">
        <v>823</v>
      </c>
      <c r="C44" s="22">
        <f>-'AFUDC Depr AccDepr'!I51</f>
        <v>-1842.156666666667</v>
      </c>
    </row>
    <row r="45" spans="2:4" ht="14.1" customHeight="1" x14ac:dyDescent="0.2">
      <c r="B45" s="105" t="s">
        <v>824</v>
      </c>
      <c r="C45" s="22">
        <f>-'AFUDC Depr AccDepr'!J51</f>
        <v>-1868599.35</v>
      </c>
    </row>
    <row r="46" spans="2:4" ht="14.1" customHeight="1" x14ac:dyDescent="0.2">
      <c r="B46" s="440" t="s">
        <v>831</v>
      </c>
      <c r="D46" s="31">
        <f>SUM(C42:C45)</f>
        <v>380214296.52636307</v>
      </c>
    </row>
    <row r="47" spans="2:4" ht="14.1" customHeight="1" x14ac:dyDescent="0.2"/>
    <row r="48" spans="2:4" ht="14.1" customHeight="1" x14ac:dyDescent="0.2"/>
    <row r="49" spans="2:7" ht="14.1" customHeight="1" x14ac:dyDescent="0.2">
      <c r="B49" s="441" t="s">
        <v>832</v>
      </c>
      <c r="C49" s="392">
        <f>-PIS!S112</f>
        <v>333954786.7822814</v>
      </c>
      <c r="D49" s="442"/>
    </row>
    <row r="50" spans="2:7" ht="14.1" customHeight="1" x14ac:dyDescent="0.2">
      <c r="B50" s="443" t="s">
        <v>833</v>
      </c>
      <c r="C50" s="392">
        <v>0</v>
      </c>
      <c r="D50" s="442"/>
    </row>
    <row r="51" spans="2:7" ht="14.1" customHeight="1" x14ac:dyDescent="0.2">
      <c r="B51" s="441" t="s">
        <v>834</v>
      </c>
      <c r="C51" s="392">
        <f>-PIS!S311</f>
        <v>151850.03942592008</v>
      </c>
      <c r="D51" s="442"/>
    </row>
    <row r="52" spans="2:7" ht="14.1" customHeight="1" x14ac:dyDescent="0.2">
      <c r="B52" s="105" t="s">
        <v>835</v>
      </c>
      <c r="C52" s="22">
        <f>D11+D12</f>
        <v>-1941220.6730769232</v>
      </c>
    </row>
    <row r="53" spans="2:7" ht="14.1" customHeight="1" x14ac:dyDescent="0.2">
      <c r="B53" s="105" t="s">
        <v>823</v>
      </c>
      <c r="C53" s="608">
        <f>-'AFUDC Depr AccDepr'!I62</f>
        <v>-2703655.0896019167</v>
      </c>
    </row>
    <row r="54" spans="2:7" ht="14.1" customHeight="1" x14ac:dyDescent="0.2">
      <c r="B54" s="105" t="s">
        <v>824</v>
      </c>
      <c r="C54" s="608">
        <f>-'AFUDC Depr AccDepr'!J62</f>
        <v>-354042.53336061764</v>
      </c>
    </row>
    <row r="55" spans="2:7" ht="14.1" customHeight="1" x14ac:dyDescent="0.2">
      <c r="B55" s="444" t="s">
        <v>836</v>
      </c>
      <c r="D55" s="31">
        <f>SUM(C49:C54)</f>
        <v>329107718.52566785</v>
      </c>
    </row>
    <row r="56" spans="2:7" ht="14.1" customHeight="1" x14ac:dyDescent="0.2"/>
    <row r="57" spans="2:7" ht="14.1" customHeight="1" x14ac:dyDescent="0.2">
      <c r="F57" s="442"/>
    </row>
    <row r="58" spans="2:7" ht="14.1" customHeight="1" x14ac:dyDescent="0.2">
      <c r="B58" s="441" t="s">
        <v>837</v>
      </c>
      <c r="C58" s="392">
        <f>-PIS!S245</f>
        <v>32734559.617790025</v>
      </c>
      <c r="E58" s="31"/>
      <c r="F58" s="22"/>
      <c r="G58" s="31"/>
    </row>
    <row r="59" spans="2:7" ht="14.1" customHeight="1" x14ac:dyDescent="0.2">
      <c r="B59" s="105" t="s">
        <v>835</v>
      </c>
      <c r="C59" s="22">
        <f>D13</f>
        <v>-54734.664615384463</v>
      </c>
    </row>
    <row r="60" spans="2:7" ht="14.1" customHeight="1" x14ac:dyDescent="0.2">
      <c r="B60" s="105" t="s">
        <v>823</v>
      </c>
      <c r="C60" s="22">
        <f>-'AFUDC Depr AccDepr'!I59</f>
        <v>-1.9237314164503965</v>
      </c>
    </row>
    <row r="61" spans="2:7" ht="14.1" customHeight="1" x14ac:dyDescent="0.2">
      <c r="B61" s="105" t="s">
        <v>824</v>
      </c>
      <c r="C61" s="22">
        <f>-'AFUDC Depr AccDepr'!J59</f>
        <v>-1069.0299727153476</v>
      </c>
    </row>
    <row r="62" spans="2:7" ht="14.1" customHeight="1" x14ac:dyDescent="0.2">
      <c r="B62" s="440" t="s">
        <v>838</v>
      </c>
      <c r="D62" s="31">
        <f>SUM(C58:C61)</f>
        <v>32678753.999470506</v>
      </c>
    </row>
    <row r="63" spans="2:7" ht="14.1" customHeight="1" x14ac:dyDescent="0.2"/>
    <row r="64" spans="2:7" ht="14.1" customHeight="1" x14ac:dyDescent="0.2"/>
    <row r="65" spans="2:9" ht="14.1" customHeight="1" x14ac:dyDescent="0.2">
      <c r="B65" s="441" t="s">
        <v>839</v>
      </c>
      <c r="C65" s="392">
        <f>-PIS!S28</f>
        <v>680843701.42387569</v>
      </c>
    </row>
    <row r="66" spans="2:9" ht="14.1" customHeight="1" x14ac:dyDescent="0.2">
      <c r="B66" s="105" t="s">
        <v>840</v>
      </c>
      <c r="C66" s="392">
        <v>0</v>
      </c>
    </row>
    <row r="67" spans="2:9" ht="14.1" customHeight="1" x14ac:dyDescent="0.2">
      <c r="B67" s="105" t="s">
        <v>841</v>
      </c>
      <c r="C67" s="22">
        <f>D15</f>
        <v>-686853.96000000322</v>
      </c>
    </row>
    <row r="68" spans="2:9" ht="14.1" customHeight="1" x14ac:dyDescent="0.2">
      <c r="B68" s="105" t="s">
        <v>842</v>
      </c>
      <c r="C68" s="22">
        <f>D14</f>
        <v>0</v>
      </c>
    </row>
    <row r="69" spans="2:9" ht="14.1" customHeight="1" x14ac:dyDescent="0.2">
      <c r="B69" s="105" t="s">
        <v>823</v>
      </c>
      <c r="F69" s="442"/>
      <c r="G69" s="31"/>
      <c r="I69" s="31"/>
    </row>
    <row r="70" spans="2:9" ht="14.1" customHeight="1" x14ac:dyDescent="0.2">
      <c r="B70" s="105" t="s">
        <v>824</v>
      </c>
      <c r="F70" s="442"/>
      <c r="G70" s="31"/>
      <c r="I70" s="31"/>
    </row>
    <row r="71" spans="2:9" ht="14.1" customHeight="1" x14ac:dyDescent="0.2">
      <c r="B71" s="441" t="s">
        <v>843</v>
      </c>
      <c r="D71" s="31">
        <f>SUM(C65:C70)</f>
        <v>680156847.46387565</v>
      </c>
    </row>
    <row r="72" spans="2:9" ht="14.1" customHeight="1" x14ac:dyDescent="0.2"/>
    <row r="73" spans="2:9" ht="14.1" customHeight="1" x14ac:dyDescent="0.2">
      <c r="F73" s="442"/>
    </row>
    <row r="74" spans="2:9" ht="14.1" customHeight="1" x14ac:dyDescent="0.2">
      <c r="B74" s="441" t="s">
        <v>844</v>
      </c>
      <c r="C74" s="392">
        <f>-PIS!S213</f>
        <v>42245717.000263609</v>
      </c>
      <c r="E74" s="31"/>
      <c r="F74" s="22"/>
      <c r="G74" s="31"/>
    </row>
    <row r="75" spans="2:9" ht="14.1" customHeight="1" x14ac:dyDescent="0.2">
      <c r="B75" s="105" t="s">
        <v>841</v>
      </c>
      <c r="C75" s="22">
        <f>D17</f>
        <v>-2102.0307692306578</v>
      </c>
    </row>
    <row r="76" spans="2:9" ht="14.1" customHeight="1" x14ac:dyDescent="0.2">
      <c r="B76" s="441" t="s">
        <v>845</v>
      </c>
      <c r="C76" s="392">
        <f>-PIS!S305</f>
        <v>154289.7847823358</v>
      </c>
    </row>
    <row r="77" spans="2:9" ht="14.1" customHeight="1" x14ac:dyDescent="0.2">
      <c r="B77" s="105" t="s">
        <v>841</v>
      </c>
      <c r="C77" s="22">
        <f>D16</f>
        <v>0</v>
      </c>
    </row>
    <row r="78" spans="2:9" ht="14.1" customHeight="1" x14ac:dyDescent="0.2">
      <c r="B78" s="105" t="s">
        <v>823</v>
      </c>
      <c r="C78" s="22">
        <v>0</v>
      </c>
    </row>
    <row r="79" spans="2:9" ht="14.1" customHeight="1" x14ac:dyDescent="0.2">
      <c r="B79" s="105" t="s">
        <v>824</v>
      </c>
      <c r="C79" s="22">
        <v>0</v>
      </c>
    </row>
    <row r="80" spans="2:9" ht="14.1" customHeight="1" x14ac:dyDescent="0.2">
      <c r="B80" s="440" t="s">
        <v>846</v>
      </c>
      <c r="D80" s="31">
        <f>SUM(C74:C79)</f>
        <v>42397904.754276715</v>
      </c>
    </row>
    <row r="81" spans="2:7" ht="14.1" customHeight="1" x14ac:dyDescent="0.2"/>
    <row r="82" spans="2:7" ht="14.1" customHeight="1" x14ac:dyDescent="0.2"/>
    <row r="83" spans="2:7" ht="14.1" customHeight="1" x14ac:dyDescent="0.2">
      <c r="B83" s="105" t="s">
        <v>847</v>
      </c>
      <c r="C83" s="392">
        <f>-PIS!S48-PIS!S229-C84</f>
        <v>74742642.036585793</v>
      </c>
      <c r="F83" s="31"/>
      <c r="G83" s="31"/>
    </row>
    <row r="84" spans="2:7" ht="14.1" customHeight="1" x14ac:dyDescent="0.2">
      <c r="B84" s="105" t="s">
        <v>848</v>
      </c>
      <c r="C84" s="392">
        <f>-PIS!S38-PIS!S221</f>
        <v>4390835.7964297207</v>
      </c>
      <c r="F84" s="31"/>
      <c r="G84" s="31"/>
    </row>
    <row r="85" spans="2:7" ht="14.1" customHeight="1" x14ac:dyDescent="0.2">
      <c r="B85" s="435" t="s">
        <v>709</v>
      </c>
      <c r="C85" s="22">
        <f>D18+D20+D21</f>
        <v>1.0658141036401501E-11</v>
      </c>
    </row>
    <row r="86" spans="2:7" ht="14.1" customHeight="1" x14ac:dyDescent="0.2">
      <c r="B86" s="444" t="s">
        <v>849</v>
      </c>
      <c r="D86" s="31">
        <f>SUM(C83:C85)</f>
        <v>79133477.833015516</v>
      </c>
    </row>
    <row r="87" spans="2:7" ht="14.1" customHeight="1" x14ac:dyDescent="0.2"/>
    <row r="88" spans="2:7" ht="14.1" customHeight="1" x14ac:dyDescent="0.2"/>
    <row r="89" spans="2:7" ht="14.1" customHeight="1" x14ac:dyDescent="0.2">
      <c r="B89" s="141" t="s">
        <v>97</v>
      </c>
      <c r="C89" s="392">
        <f>-PIS!S66-PIS!S233-C92</f>
        <v>40307243.278576873</v>
      </c>
    </row>
    <row r="90" spans="2:7" ht="14.1" customHeight="1" x14ac:dyDescent="0.2">
      <c r="B90" s="435" t="s">
        <v>709</v>
      </c>
      <c r="C90" s="22">
        <f>D22</f>
        <v>-3675.3500000000017</v>
      </c>
    </row>
    <row r="91" spans="2:7" ht="14.1" customHeight="1" x14ac:dyDescent="0.2">
      <c r="B91" s="435" t="s">
        <v>98</v>
      </c>
      <c r="C91" s="31">
        <f>SUM(C89:C90)</f>
        <v>40303567.928576872</v>
      </c>
    </row>
    <row r="92" spans="2:7" ht="14.1" customHeight="1" x14ac:dyDescent="0.2">
      <c r="B92" s="141" t="s">
        <v>96</v>
      </c>
      <c r="C92" s="392">
        <f>-PIS!S63</f>
        <v>73066.841372800001</v>
      </c>
    </row>
    <row r="93" spans="2:7" ht="14.1" customHeight="1" x14ac:dyDescent="0.2">
      <c r="B93" s="445" t="s">
        <v>95</v>
      </c>
      <c r="D93" s="31">
        <f>SUM(C91:C92)</f>
        <v>40376634.769949675</v>
      </c>
    </row>
    <row r="94" spans="2:7" ht="14.1" customHeight="1" x14ac:dyDescent="0.2"/>
    <row r="95" spans="2:7" ht="14.1" customHeight="1" x14ac:dyDescent="0.2">
      <c r="B95" s="105" t="s">
        <v>850</v>
      </c>
      <c r="D95" s="31">
        <f>SUM(D32:D93)</f>
        <v>3466391613.2993135</v>
      </c>
    </row>
    <row r="96" spans="2:7" ht="14.1" customHeight="1" x14ac:dyDescent="0.2">
      <c r="B96" s="105" t="s">
        <v>1035</v>
      </c>
      <c r="C96" s="22">
        <f>(C30+C31+C37+C38+C44+C45+C53+C54+C60+C61)*-1</f>
        <v>30373267.74333341</v>
      </c>
      <c r="E96" s="105" t="str">
        <f>IF(C96=SUM('AFUDC Depr AccDepr'!I53:J53,'AFUDC Depr AccDepr'!I56:J56),"ok","err")</f>
        <v>ok</v>
      </c>
    </row>
    <row r="97" spans="2:4" ht="14.1" customHeight="1" x14ac:dyDescent="0.2"/>
    <row r="98" spans="2:4" ht="14.1" customHeight="1" thickBot="1" x14ac:dyDescent="0.25">
      <c r="B98" s="105" t="s">
        <v>851</v>
      </c>
      <c r="D98" s="132">
        <f>SUM(C95:D97)</f>
        <v>3496764881.0426469</v>
      </c>
    </row>
    <row r="99" spans="2:4" ht="14.1" customHeight="1" thickTop="1" x14ac:dyDescent="0.2">
      <c r="D99" s="22"/>
    </row>
    <row r="100" spans="2:4" ht="14.1" customHeight="1" x14ac:dyDescent="0.2"/>
    <row r="101" spans="2:4" ht="14.1" customHeight="1" x14ac:dyDescent="0.2">
      <c r="B101" s="141" t="s">
        <v>2309</v>
      </c>
      <c r="D101" s="582">
        <f>-SUM(PIS!Y115,PIS!Y248,PIS!Y314)</f>
        <v>3496764881.0426469</v>
      </c>
    </row>
    <row r="102" spans="2:4" ht="14.1" customHeight="1" x14ac:dyDescent="0.2"/>
    <row r="103" spans="2:4" ht="14.1" customHeight="1" x14ac:dyDescent="0.2">
      <c r="D103" s="31">
        <f>D98-D101</f>
        <v>0</v>
      </c>
    </row>
  </sheetData>
  <phoneticPr fontId="31" type="noConversion"/>
  <printOptions horizontalCentered="1"/>
  <pageMargins left="0.75" right="0.75" top="0.5" bottom="0.25" header="0.5" footer="0.5"/>
  <pageSetup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83"/>
  <sheetViews>
    <sheetView topLeftCell="A61" zoomScaleNormal="100" workbookViewId="0">
      <selection activeCell="F91" sqref="F91"/>
    </sheetView>
  </sheetViews>
  <sheetFormatPr defaultColWidth="7" defaultRowHeight="11.25" x14ac:dyDescent="0.2"/>
  <cols>
    <col min="1" max="1" width="16.33203125" style="25" customWidth="1"/>
    <col min="2" max="2" width="16.109375" style="26" customWidth="1"/>
    <col min="3" max="3" width="2.44140625" style="26" customWidth="1"/>
    <col min="4" max="4" width="17.33203125" style="26" customWidth="1"/>
    <col min="5" max="5" width="2.44140625" style="26" customWidth="1"/>
    <col min="6" max="6" width="17" style="26" customWidth="1"/>
    <col min="7" max="7" width="3.33203125" style="26" customWidth="1"/>
    <col min="8" max="8" width="17" style="26" customWidth="1"/>
    <col min="9" max="9" width="10.33203125" style="27" bestFit="1" customWidth="1"/>
    <col min="10" max="10" width="9" style="27" bestFit="1" customWidth="1"/>
    <col min="11" max="11" width="3" style="27" customWidth="1"/>
    <col min="12" max="12" width="21.33203125" style="26" customWidth="1"/>
    <col min="13" max="13" width="3.44140625" style="26" customWidth="1"/>
    <col min="14" max="15" width="7" style="26"/>
    <col min="16" max="16" width="14.44140625" style="26" customWidth="1"/>
    <col min="17" max="17" width="43.88671875" style="26" bestFit="1" customWidth="1"/>
    <col min="18" max="18" width="7" style="26" customWidth="1"/>
    <col min="19" max="19" width="20.109375" style="26" bestFit="1" customWidth="1"/>
    <col min="20" max="16384" width="7" style="26"/>
  </cols>
  <sheetData>
    <row r="1" spans="1:19" ht="15" x14ac:dyDescent="0.2">
      <c r="A1" s="158"/>
      <c r="B1" s="159"/>
      <c r="C1" s="159"/>
      <c r="D1" s="159"/>
      <c r="E1" s="159"/>
      <c r="F1" s="159"/>
      <c r="G1" s="159"/>
      <c r="H1" s="161"/>
      <c r="I1" s="28"/>
      <c r="J1" s="28"/>
      <c r="K1" s="28"/>
      <c r="L1" s="29"/>
      <c r="M1" s="29"/>
    </row>
    <row r="2" spans="1:19" ht="24" customHeight="1" x14ac:dyDescent="0.25">
      <c r="A2" s="879" t="s">
        <v>2477</v>
      </c>
      <c r="B2" s="880"/>
      <c r="C2" s="880"/>
      <c r="D2" s="880"/>
      <c r="E2" s="880"/>
      <c r="F2" s="880"/>
      <c r="G2" s="880"/>
      <c r="H2" s="881"/>
    </row>
    <row r="3" spans="1:19" ht="24" customHeight="1" x14ac:dyDescent="0.25">
      <c r="A3" s="879" t="s">
        <v>916</v>
      </c>
      <c r="B3" s="880"/>
      <c r="C3" s="880"/>
      <c r="D3" s="880"/>
      <c r="E3" s="880"/>
      <c r="F3" s="880"/>
      <c r="G3" s="880"/>
      <c r="H3" s="881"/>
      <c r="P3" s="314"/>
      <c r="Q3" s="314"/>
      <c r="R3" s="314"/>
      <c r="S3" s="315"/>
    </row>
    <row r="4" spans="1:19" ht="15" x14ac:dyDescent="0.2">
      <c r="A4" s="162"/>
      <c r="B4" s="160"/>
      <c r="C4" s="160"/>
      <c r="D4" s="160"/>
      <c r="E4" s="160"/>
      <c r="F4" s="160"/>
      <c r="G4" s="160"/>
      <c r="H4" s="163"/>
      <c r="P4" s="370"/>
      <c r="Q4" s="314"/>
      <c r="R4" s="314"/>
      <c r="S4" s="315"/>
    </row>
    <row r="5" spans="1:19" ht="20.100000000000001" customHeight="1" x14ac:dyDescent="0.2">
      <c r="A5" s="164"/>
      <c r="B5" s="165" t="s">
        <v>917</v>
      </c>
      <c r="C5" s="166"/>
      <c r="D5" s="165" t="s">
        <v>918</v>
      </c>
      <c r="E5" s="166"/>
      <c r="F5" s="165" t="s">
        <v>919</v>
      </c>
      <c r="G5" s="166"/>
      <c r="H5" s="167" t="s">
        <v>101</v>
      </c>
      <c r="P5" s="314"/>
      <c r="Q5" s="328"/>
      <c r="R5" s="314"/>
      <c r="S5" s="315"/>
    </row>
    <row r="6" spans="1:19" ht="20.100000000000001" customHeight="1" x14ac:dyDescent="0.2">
      <c r="A6" s="168"/>
      <c r="B6" s="169"/>
      <c r="C6" s="170"/>
      <c r="D6" s="169"/>
      <c r="E6" s="170"/>
      <c r="F6" s="169"/>
      <c r="G6" s="170"/>
      <c r="H6" s="171"/>
      <c r="P6" s="314"/>
      <c r="Q6" s="329"/>
      <c r="R6" s="314"/>
      <c r="S6" s="315"/>
    </row>
    <row r="7" spans="1:19" ht="20.100000000000001" customHeight="1" x14ac:dyDescent="0.2">
      <c r="A7" s="313" t="s">
        <v>2475</v>
      </c>
      <c r="B7" s="190"/>
      <c r="C7" s="191"/>
      <c r="D7" s="190"/>
      <c r="E7" s="191"/>
      <c r="F7" s="610"/>
      <c r="G7" s="417"/>
      <c r="H7" s="611">
        <f>'FC CWIP &amp; RWIP'!E$37*1000</f>
        <v>957505.39811577415</v>
      </c>
      <c r="P7" s="329"/>
      <c r="Q7" s="329"/>
      <c r="R7" s="314"/>
      <c r="S7" s="315"/>
    </row>
    <row r="8" spans="1:19" ht="20.100000000000001" customHeight="1" x14ac:dyDescent="0.2">
      <c r="A8" s="189" t="s">
        <v>924</v>
      </c>
      <c r="B8" s="416"/>
      <c r="C8" s="417"/>
      <c r="D8" s="416"/>
      <c r="E8" s="191"/>
      <c r="F8" s="612">
        <f>H8-H7</f>
        <v>699.24120119144209</v>
      </c>
      <c r="G8" s="417"/>
      <c r="H8" s="611">
        <f>'FC CWIP &amp; RWIP'!F$37*1000</f>
        <v>958204.63931696559</v>
      </c>
      <c r="P8" s="314"/>
      <c r="Q8" s="329"/>
      <c r="R8" s="314"/>
      <c r="S8" s="315"/>
    </row>
    <row r="9" spans="1:19" ht="20.100000000000001" customHeight="1" x14ac:dyDescent="0.2">
      <c r="A9" s="189" t="s">
        <v>925</v>
      </c>
      <c r="B9" s="416"/>
      <c r="C9" s="417"/>
      <c r="D9" s="416"/>
      <c r="E9" s="191"/>
      <c r="F9" s="612">
        <f t="shared" ref="F9:F19" si="0">H9-H8</f>
        <v>750.27732865058351</v>
      </c>
      <c r="G9" s="417"/>
      <c r="H9" s="611">
        <f>'FC CWIP &amp; RWIP'!G$37*1000</f>
        <v>958954.91664561618</v>
      </c>
      <c r="P9" s="314"/>
      <c r="Q9" s="329"/>
      <c r="R9" s="314"/>
      <c r="S9" s="315"/>
    </row>
    <row r="10" spans="1:19" ht="20.100000000000001" customHeight="1" x14ac:dyDescent="0.2">
      <c r="A10" s="189" t="s">
        <v>926</v>
      </c>
      <c r="B10" s="416"/>
      <c r="C10" s="417"/>
      <c r="D10" s="416"/>
      <c r="E10" s="191"/>
      <c r="F10" s="612">
        <f t="shared" si="0"/>
        <v>997.36718497204129</v>
      </c>
      <c r="G10" s="417"/>
      <c r="H10" s="611">
        <f>'FC CWIP &amp; RWIP'!H$37*1000</f>
        <v>959952.28383058822</v>
      </c>
      <c r="P10" s="314"/>
      <c r="Q10" s="329"/>
      <c r="R10" s="314"/>
      <c r="S10" s="315"/>
    </row>
    <row r="11" spans="1:19" ht="20.100000000000001" customHeight="1" x14ac:dyDescent="0.2">
      <c r="A11" s="189" t="s">
        <v>927</v>
      </c>
      <c r="B11" s="416"/>
      <c r="C11" s="417"/>
      <c r="D11" s="416"/>
      <c r="E11" s="191"/>
      <c r="F11" s="612">
        <f t="shared" si="0"/>
        <v>1189.8756684239488</v>
      </c>
      <c r="G11" s="417"/>
      <c r="H11" s="611">
        <f>'FC CWIP &amp; RWIP'!I$37*1000</f>
        <v>961142.15949901217</v>
      </c>
      <c r="P11" s="314"/>
      <c r="Q11" s="229"/>
      <c r="R11" s="314"/>
      <c r="S11" s="315"/>
    </row>
    <row r="12" spans="1:19" ht="20.100000000000001" customHeight="1" x14ac:dyDescent="0.2">
      <c r="A12" s="189" t="s">
        <v>928</v>
      </c>
      <c r="B12" s="416"/>
      <c r="C12" s="417"/>
      <c r="D12" s="416"/>
      <c r="E12" s="191"/>
      <c r="F12" s="612">
        <f t="shared" si="0"/>
        <v>871.91654045099858</v>
      </c>
      <c r="G12" s="417"/>
      <c r="H12" s="611">
        <f>'FC CWIP &amp; RWIP'!J$37*1000</f>
        <v>962014.07603946317</v>
      </c>
      <c r="P12" s="314"/>
      <c r="Q12" s="329"/>
      <c r="R12" s="314"/>
      <c r="S12" s="315"/>
    </row>
    <row r="13" spans="1:19" ht="20.100000000000001" customHeight="1" x14ac:dyDescent="0.2">
      <c r="A13" s="189" t="s">
        <v>929</v>
      </c>
      <c r="B13" s="416"/>
      <c r="C13" s="417"/>
      <c r="D13" s="416"/>
      <c r="E13" s="191"/>
      <c r="F13" s="612">
        <f t="shared" si="0"/>
        <v>742.36251437629107</v>
      </c>
      <c r="G13" s="417"/>
      <c r="H13" s="611">
        <f>'FC CWIP &amp; RWIP'!K$37*1000</f>
        <v>962756.43855383946</v>
      </c>
      <c r="P13" s="314"/>
      <c r="Q13" s="329"/>
      <c r="R13" s="314"/>
      <c r="S13" s="315"/>
    </row>
    <row r="14" spans="1:19" ht="20.100000000000001" customHeight="1" x14ac:dyDescent="0.2">
      <c r="A14" s="189" t="s">
        <v>930</v>
      </c>
      <c r="B14" s="416"/>
      <c r="C14" s="417"/>
      <c r="D14" s="416"/>
      <c r="E14" s="191"/>
      <c r="F14" s="612">
        <f t="shared" si="0"/>
        <v>490.84509637940209</v>
      </c>
      <c r="G14" s="417"/>
      <c r="H14" s="611">
        <f>'FC CWIP &amp; RWIP'!L$37*1000</f>
        <v>963247.28365021886</v>
      </c>
      <c r="P14" s="314"/>
      <c r="Q14" s="329"/>
      <c r="R14" s="314"/>
      <c r="S14" s="315"/>
    </row>
    <row r="15" spans="1:19" ht="20.100000000000001" customHeight="1" x14ac:dyDescent="0.2">
      <c r="A15" s="189" t="s">
        <v>931</v>
      </c>
      <c r="B15" s="416"/>
      <c r="C15" s="417"/>
      <c r="D15" s="416"/>
      <c r="E15" s="191"/>
      <c r="F15" s="612">
        <f t="shared" si="0"/>
        <v>234.45152158883866</v>
      </c>
      <c r="G15" s="417"/>
      <c r="H15" s="611">
        <f>'FC CWIP &amp; RWIP'!M$37*1000</f>
        <v>963481.7351718077</v>
      </c>
      <c r="P15" s="314"/>
      <c r="Q15" s="331"/>
      <c r="R15" s="314"/>
      <c r="S15" s="315"/>
    </row>
    <row r="16" spans="1:19" ht="20.100000000000001" customHeight="1" x14ac:dyDescent="0.2">
      <c r="A16" s="313" t="s">
        <v>2476</v>
      </c>
      <c r="B16" s="416"/>
      <c r="C16" s="417"/>
      <c r="D16" s="416"/>
      <c r="E16" s="191"/>
      <c r="F16" s="612">
        <f t="shared" si="0"/>
        <v>88.081176585052162</v>
      </c>
      <c r="G16" s="417"/>
      <c r="H16" s="611">
        <f>'FC CWIP &amp; RWIP'!N$37*1000</f>
        <v>963569.81634839275</v>
      </c>
      <c r="P16" s="314"/>
      <c r="Q16" s="331"/>
      <c r="R16" s="314"/>
      <c r="S16" s="315"/>
    </row>
    <row r="17" spans="1:19" ht="20.100000000000001" customHeight="1" x14ac:dyDescent="0.2">
      <c r="A17" s="189" t="s">
        <v>921</v>
      </c>
      <c r="B17" s="416"/>
      <c r="C17" s="417"/>
      <c r="D17" s="416"/>
      <c r="E17" s="191"/>
      <c r="F17" s="612">
        <f t="shared" si="0"/>
        <v>38.296163732884452</v>
      </c>
      <c r="G17" s="417"/>
      <c r="H17" s="611">
        <f>'FC CWIP &amp; RWIP'!O$37*1000</f>
        <v>963608.11251212563</v>
      </c>
      <c r="P17" s="314"/>
      <c r="Q17" s="315"/>
      <c r="R17" s="314"/>
      <c r="S17" s="315"/>
    </row>
    <row r="18" spans="1:19" ht="20.100000000000001" customHeight="1" x14ac:dyDescent="0.2">
      <c r="A18" s="189" t="s">
        <v>922</v>
      </c>
      <c r="B18" s="416"/>
      <c r="C18" s="417"/>
      <c r="D18" s="416"/>
      <c r="E18" s="191"/>
      <c r="F18" s="612">
        <f t="shared" si="0"/>
        <v>43.229396258131601</v>
      </c>
      <c r="G18" s="417"/>
      <c r="H18" s="611">
        <f>'FC CWIP &amp; RWIP'!P$37*1000</f>
        <v>963651.34190838377</v>
      </c>
      <c r="Q18" s="231"/>
    </row>
    <row r="19" spans="1:19" ht="20.100000000000001" customHeight="1" x14ac:dyDescent="0.2">
      <c r="A19" s="189" t="s">
        <v>923</v>
      </c>
      <c r="B19" s="418"/>
      <c r="C19" s="417"/>
      <c r="D19" s="418"/>
      <c r="E19" s="191"/>
      <c r="F19" s="613">
        <f t="shared" si="0"/>
        <v>60.390104347025044</v>
      </c>
      <c r="G19" s="417"/>
      <c r="H19" s="614">
        <f>'FC CWIP &amp; RWIP'!Q$37*1000</f>
        <v>963711.73201273079</v>
      </c>
      <c r="P19" s="314"/>
      <c r="Q19" s="330"/>
      <c r="R19" s="314"/>
      <c r="S19" s="315"/>
    </row>
    <row r="20" spans="1:19" ht="20.100000000000001" customHeight="1" x14ac:dyDescent="0.2">
      <c r="A20" s="172"/>
      <c r="B20" s="419"/>
      <c r="C20" s="420"/>
      <c r="D20" s="419"/>
      <c r="E20" s="173"/>
      <c r="F20" s="174"/>
      <c r="G20" s="173"/>
      <c r="H20" s="175"/>
      <c r="Q20" s="229"/>
    </row>
    <row r="21" spans="1:19" ht="20.100000000000001" customHeight="1" x14ac:dyDescent="0.2">
      <c r="A21" s="176" t="s">
        <v>102</v>
      </c>
      <c r="B21" s="177"/>
      <c r="C21" s="178"/>
      <c r="D21" s="177"/>
      <c r="E21" s="178"/>
      <c r="F21" s="177"/>
      <c r="G21" s="178"/>
      <c r="H21" s="179">
        <f>SUM(H7:H19)</f>
        <v>12501799.933604918</v>
      </c>
      <c r="Q21" s="329"/>
    </row>
    <row r="22" spans="1:19" ht="20.100000000000001" customHeight="1" x14ac:dyDescent="0.2">
      <c r="A22" s="180"/>
      <c r="B22" s="181"/>
      <c r="C22" s="182"/>
      <c r="D22" s="181"/>
      <c r="E22" s="182"/>
      <c r="F22" s="181"/>
      <c r="G22" s="182"/>
      <c r="H22" s="183"/>
      <c r="Q22" s="330"/>
    </row>
    <row r="23" spans="1:19" ht="20.100000000000001" customHeight="1" x14ac:dyDescent="0.2">
      <c r="A23" s="176" t="s">
        <v>103</v>
      </c>
      <c r="B23" s="177"/>
      <c r="C23" s="178"/>
      <c r="D23" s="177"/>
      <c r="E23" s="178"/>
      <c r="F23" s="177"/>
      <c r="G23" s="178"/>
      <c r="H23" s="179">
        <f>ROUND(H21/13,2)</f>
        <v>961676.92</v>
      </c>
      <c r="Q23" s="315"/>
    </row>
    <row r="24" spans="1:19" ht="15.75" thickBot="1" x14ac:dyDescent="0.25">
      <c r="A24" s="184"/>
      <c r="B24" s="185"/>
      <c r="C24" s="186"/>
      <c r="D24" s="185"/>
      <c r="E24" s="186"/>
      <c r="F24" s="185"/>
      <c r="G24" s="186"/>
      <c r="H24" s="187"/>
      <c r="Q24" s="331"/>
    </row>
    <row r="25" spans="1:19" ht="15" x14ac:dyDescent="0.2">
      <c r="A25" s="158"/>
      <c r="B25" s="159"/>
      <c r="C25" s="159"/>
      <c r="D25" s="159"/>
      <c r="E25" s="159"/>
      <c r="F25" s="160"/>
      <c r="G25" s="159"/>
      <c r="H25" s="161"/>
      <c r="Q25" s="329"/>
    </row>
    <row r="26" spans="1:19" ht="24" customHeight="1" x14ac:dyDescent="0.25">
      <c r="A26" s="879" t="s">
        <v>2477</v>
      </c>
      <c r="B26" s="880"/>
      <c r="C26" s="880"/>
      <c r="D26" s="880"/>
      <c r="E26" s="880"/>
      <c r="F26" s="880"/>
      <c r="G26" s="880"/>
      <c r="H26" s="881"/>
      <c r="Q26" s="329"/>
    </row>
    <row r="27" spans="1:19" ht="24" customHeight="1" x14ac:dyDescent="0.25">
      <c r="A27" s="879" t="s">
        <v>932</v>
      </c>
      <c r="B27" s="880"/>
      <c r="C27" s="880"/>
      <c r="D27" s="880"/>
      <c r="E27" s="880"/>
      <c r="F27" s="880"/>
      <c r="G27" s="880"/>
      <c r="H27" s="881"/>
      <c r="Q27" s="329"/>
    </row>
    <row r="28" spans="1:19" ht="15" x14ac:dyDescent="0.2">
      <c r="A28" s="162"/>
      <c r="B28" s="160"/>
      <c r="C28" s="160"/>
      <c r="D28" s="160"/>
      <c r="E28" s="160"/>
      <c r="F28" s="160"/>
      <c r="G28" s="160"/>
      <c r="H28" s="163"/>
      <c r="Q28" s="329"/>
    </row>
    <row r="29" spans="1:19" ht="20.100000000000001" customHeight="1" x14ac:dyDescent="0.2">
      <c r="A29" s="164"/>
      <c r="B29" s="165" t="s">
        <v>917</v>
      </c>
      <c r="C29" s="166"/>
      <c r="D29" s="165" t="s">
        <v>918</v>
      </c>
      <c r="E29" s="166"/>
      <c r="F29" s="165" t="s">
        <v>919</v>
      </c>
      <c r="G29" s="166"/>
      <c r="H29" s="167" t="s">
        <v>101</v>
      </c>
      <c r="Q29" s="330"/>
    </row>
    <row r="30" spans="1:19" ht="20.100000000000001" customHeight="1" x14ac:dyDescent="0.2">
      <c r="A30" s="168"/>
      <c r="B30" s="169"/>
      <c r="C30" s="170"/>
      <c r="D30" s="169"/>
      <c r="E30" s="170"/>
      <c r="F30" s="169"/>
      <c r="G30" s="170"/>
      <c r="H30" s="171"/>
      <c r="Q30" s="315"/>
    </row>
    <row r="31" spans="1:19" ht="20.100000000000001" customHeight="1" x14ac:dyDescent="0.2">
      <c r="A31" s="224" t="str">
        <f t="shared" ref="A31:A43" si="1">A7</f>
        <v>April 2019</v>
      </c>
      <c r="B31" s="190"/>
      <c r="C31" s="191"/>
      <c r="D31" s="190"/>
      <c r="E31" s="191"/>
      <c r="F31" s="190">
        <v>0</v>
      </c>
      <c r="G31" s="191"/>
      <c r="H31" s="192">
        <f>F31</f>
        <v>0</v>
      </c>
      <c r="Q31" s="315"/>
    </row>
    <row r="32" spans="1:19" ht="20.100000000000001" customHeight="1" x14ac:dyDescent="0.2">
      <c r="A32" s="224" t="str">
        <f t="shared" si="1"/>
        <v>May</v>
      </c>
      <c r="B32" s="416">
        <v>0</v>
      </c>
      <c r="C32" s="417"/>
      <c r="D32" s="416">
        <v>0</v>
      </c>
      <c r="E32" s="191"/>
      <c r="F32" s="190">
        <f>B32-D32</f>
        <v>0</v>
      </c>
      <c r="G32" s="191"/>
      <c r="H32" s="192">
        <f>+H31+F32</f>
        <v>0</v>
      </c>
      <c r="Q32" s="330"/>
    </row>
    <row r="33" spans="1:19" ht="20.100000000000001" customHeight="1" x14ac:dyDescent="0.2">
      <c r="A33" s="224" t="str">
        <f t="shared" si="1"/>
        <v>June</v>
      </c>
      <c r="B33" s="416">
        <v>0</v>
      </c>
      <c r="C33" s="417"/>
      <c r="D33" s="416">
        <v>0</v>
      </c>
      <c r="E33" s="191"/>
      <c r="F33" s="190">
        <f t="shared" ref="F33:F43" si="2">B33-D33</f>
        <v>0</v>
      </c>
      <c r="G33" s="191"/>
      <c r="H33" s="192">
        <f t="shared" ref="H33:H43" si="3">+H32+F33</f>
        <v>0</v>
      </c>
      <c r="Q33" s="332"/>
    </row>
    <row r="34" spans="1:19" ht="20.100000000000001" customHeight="1" x14ac:dyDescent="0.2">
      <c r="A34" s="224" t="str">
        <f t="shared" si="1"/>
        <v>July</v>
      </c>
      <c r="B34" s="416">
        <v>0</v>
      </c>
      <c r="C34" s="417"/>
      <c r="D34" s="416">
        <v>0</v>
      </c>
      <c r="E34" s="191"/>
      <c r="F34" s="190">
        <f t="shared" si="2"/>
        <v>0</v>
      </c>
      <c r="G34" s="191"/>
      <c r="H34" s="192">
        <f t="shared" si="3"/>
        <v>0</v>
      </c>
    </row>
    <row r="35" spans="1:19" ht="20.100000000000001" customHeight="1" x14ac:dyDescent="0.2">
      <c r="A35" s="224" t="str">
        <f t="shared" si="1"/>
        <v>August</v>
      </c>
      <c r="B35" s="416">
        <v>0</v>
      </c>
      <c r="C35" s="417"/>
      <c r="D35" s="416">
        <v>0</v>
      </c>
      <c r="E35" s="191"/>
      <c r="F35" s="190">
        <f t="shared" si="2"/>
        <v>0</v>
      </c>
      <c r="G35" s="191"/>
      <c r="H35" s="192">
        <f t="shared" si="3"/>
        <v>0</v>
      </c>
    </row>
    <row r="36" spans="1:19" ht="20.100000000000001" customHeight="1" x14ac:dyDescent="0.2">
      <c r="A36" s="224" t="str">
        <f t="shared" si="1"/>
        <v>September</v>
      </c>
      <c r="B36" s="416">
        <v>0</v>
      </c>
      <c r="C36" s="417"/>
      <c r="D36" s="416">
        <v>0</v>
      </c>
      <c r="E36" s="191"/>
      <c r="F36" s="190">
        <f t="shared" si="2"/>
        <v>0</v>
      </c>
      <c r="G36" s="191"/>
      <c r="H36" s="192">
        <f t="shared" si="3"/>
        <v>0</v>
      </c>
    </row>
    <row r="37" spans="1:19" ht="20.100000000000001" customHeight="1" x14ac:dyDescent="0.2">
      <c r="A37" s="224" t="str">
        <f t="shared" si="1"/>
        <v>October</v>
      </c>
      <c r="B37" s="416">
        <v>0</v>
      </c>
      <c r="C37" s="417"/>
      <c r="D37" s="416">
        <v>0</v>
      </c>
      <c r="E37" s="191"/>
      <c r="F37" s="190">
        <f t="shared" si="2"/>
        <v>0</v>
      </c>
      <c r="G37" s="191"/>
      <c r="H37" s="192">
        <f t="shared" si="3"/>
        <v>0</v>
      </c>
    </row>
    <row r="38" spans="1:19" ht="20.100000000000001" customHeight="1" x14ac:dyDescent="0.2">
      <c r="A38" s="224" t="str">
        <f t="shared" si="1"/>
        <v>November</v>
      </c>
      <c r="B38" s="416">
        <v>0</v>
      </c>
      <c r="C38" s="417"/>
      <c r="D38" s="416">
        <v>0</v>
      </c>
      <c r="E38" s="191"/>
      <c r="F38" s="190">
        <f t="shared" si="2"/>
        <v>0</v>
      </c>
      <c r="G38" s="191"/>
      <c r="H38" s="192">
        <f t="shared" si="3"/>
        <v>0</v>
      </c>
    </row>
    <row r="39" spans="1:19" ht="20.100000000000001" customHeight="1" x14ac:dyDescent="0.2">
      <c r="A39" s="224" t="str">
        <f t="shared" si="1"/>
        <v>December</v>
      </c>
      <c r="B39" s="416">
        <v>0</v>
      </c>
      <c r="C39" s="417"/>
      <c r="D39" s="416">
        <v>0</v>
      </c>
      <c r="E39" s="191"/>
      <c r="F39" s="190">
        <f t="shared" si="2"/>
        <v>0</v>
      </c>
      <c r="G39" s="191"/>
      <c r="H39" s="192">
        <f t="shared" si="3"/>
        <v>0</v>
      </c>
    </row>
    <row r="40" spans="1:19" ht="20.100000000000001" customHeight="1" x14ac:dyDescent="0.2">
      <c r="A40" s="224" t="str">
        <f t="shared" si="1"/>
        <v>January 2020</v>
      </c>
      <c r="B40" s="416">
        <v>0</v>
      </c>
      <c r="C40" s="417"/>
      <c r="D40" s="416">
        <v>0</v>
      </c>
      <c r="E40" s="191"/>
      <c r="F40" s="190">
        <f t="shared" si="2"/>
        <v>0</v>
      </c>
      <c r="G40" s="191"/>
      <c r="H40" s="429">
        <f>ROUND(+H39+F40,2)</f>
        <v>0</v>
      </c>
    </row>
    <row r="41" spans="1:19" ht="20.100000000000001" customHeight="1" x14ac:dyDescent="0.2">
      <c r="A41" s="224" t="str">
        <f t="shared" si="1"/>
        <v>February</v>
      </c>
      <c r="B41" s="416">
        <v>0</v>
      </c>
      <c r="C41" s="417"/>
      <c r="D41" s="416">
        <v>0</v>
      </c>
      <c r="E41" s="191"/>
      <c r="F41" s="190">
        <f t="shared" si="2"/>
        <v>0</v>
      </c>
      <c r="G41" s="191"/>
      <c r="H41" s="192">
        <f t="shared" si="3"/>
        <v>0</v>
      </c>
    </row>
    <row r="42" spans="1:19" ht="20.100000000000001" customHeight="1" x14ac:dyDescent="0.2">
      <c r="A42" s="224" t="str">
        <f t="shared" si="1"/>
        <v>March</v>
      </c>
      <c r="B42" s="416">
        <v>0</v>
      </c>
      <c r="C42" s="417"/>
      <c r="D42" s="416">
        <v>0</v>
      </c>
      <c r="E42" s="191"/>
      <c r="F42" s="190">
        <f t="shared" si="2"/>
        <v>0</v>
      </c>
      <c r="G42" s="191"/>
      <c r="H42" s="192">
        <f t="shared" si="3"/>
        <v>0</v>
      </c>
    </row>
    <row r="43" spans="1:19" ht="20.100000000000001" customHeight="1" x14ac:dyDescent="0.2">
      <c r="A43" s="189" t="str">
        <f t="shared" si="1"/>
        <v>April</v>
      </c>
      <c r="B43" s="418">
        <v>0</v>
      </c>
      <c r="C43" s="417"/>
      <c r="D43" s="418">
        <v>0</v>
      </c>
      <c r="E43" s="191"/>
      <c r="F43" s="193">
        <f t="shared" si="2"/>
        <v>0</v>
      </c>
      <c r="G43" s="191"/>
      <c r="H43" s="192">
        <f t="shared" si="3"/>
        <v>0</v>
      </c>
      <c r="P43" s="314"/>
      <c r="Q43" s="330"/>
      <c r="R43" s="314"/>
      <c r="S43" s="315"/>
    </row>
    <row r="44" spans="1:19" ht="20.100000000000001" customHeight="1" x14ac:dyDescent="0.2">
      <c r="A44" s="172"/>
      <c r="B44" s="419"/>
      <c r="C44" s="420"/>
      <c r="D44" s="419"/>
      <c r="E44" s="173"/>
      <c r="F44" s="174"/>
      <c r="G44" s="173"/>
      <c r="H44" s="175"/>
    </row>
    <row r="45" spans="1:19" ht="20.100000000000001" customHeight="1" x14ac:dyDescent="0.2">
      <c r="A45" s="176" t="s">
        <v>102</v>
      </c>
      <c r="B45" s="177"/>
      <c r="C45" s="178"/>
      <c r="D45" s="177"/>
      <c r="E45" s="178"/>
      <c r="F45" s="177"/>
      <c r="G45" s="178"/>
      <c r="H45" s="188">
        <f>SUM(H31:H43)</f>
        <v>0</v>
      </c>
    </row>
    <row r="46" spans="1:19" ht="20.100000000000001" customHeight="1" x14ac:dyDescent="0.2">
      <c r="A46" s="176"/>
      <c r="B46" s="177"/>
      <c r="C46" s="178"/>
      <c r="D46" s="177"/>
      <c r="E46" s="178"/>
      <c r="F46" s="177"/>
      <c r="G46" s="178"/>
      <c r="H46" s="188"/>
    </row>
    <row r="47" spans="1:19" ht="20.100000000000001" customHeight="1" x14ac:dyDescent="0.2">
      <c r="A47" s="176" t="s">
        <v>103</v>
      </c>
      <c r="B47" s="177"/>
      <c r="C47" s="178"/>
      <c r="D47" s="177"/>
      <c r="E47" s="178"/>
      <c r="F47" s="177"/>
      <c r="G47" s="178"/>
      <c r="H47" s="188">
        <f>ROUND(H45/13,2)</f>
        <v>0</v>
      </c>
    </row>
    <row r="48" spans="1:19" ht="15.75" thickBot="1" x14ac:dyDescent="0.25">
      <c r="A48" s="184"/>
      <c r="B48" s="185"/>
      <c r="C48" s="186"/>
      <c r="D48" s="185"/>
      <c r="E48" s="186"/>
      <c r="F48" s="185"/>
      <c r="G48" s="186"/>
      <c r="H48" s="187"/>
    </row>
    <row r="50" spans="1:6" ht="12.75" x14ac:dyDescent="0.2">
      <c r="A50" s="403"/>
    </row>
    <row r="51" spans="1:6" ht="12.75" x14ac:dyDescent="0.2">
      <c r="A51" s="403"/>
    </row>
    <row r="52" spans="1:6" ht="20.100000000000001" customHeight="1" x14ac:dyDescent="0.25">
      <c r="A52" s="878" t="s">
        <v>2478</v>
      </c>
      <c r="B52" s="878"/>
      <c r="C52" s="878"/>
      <c r="D52" s="878"/>
      <c r="E52" s="878"/>
      <c r="F52" s="878"/>
    </row>
    <row r="53" spans="1:6" ht="20.100000000000001" customHeight="1" x14ac:dyDescent="0.2">
      <c r="A53" s="225"/>
      <c r="D53" s="225"/>
      <c r="E53" s="225"/>
      <c r="F53" s="615" t="s">
        <v>2479</v>
      </c>
    </row>
    <row r="54" spans="1:6" ht="20.100000000000001" customHeight="1" x14ac:dyDescent="0.2">
      <c r="A54" s="226" t="s">
        <v>933</v>
      </c>
      <c r="D54" s="226" t="s">
        <v>708</v>
      </c>
      <c r="E54" s="226"/>
      <c r="F54" s="227" t="s">
        <v>934</v>
      </c>
    </row>
    <row r="55" spans="1:6" ht="20.100000000000001" customHeight="1" x14ac:dyDescent="0.2">
      <c r="A55" s="228" t="s">
        <v>935</v>
      </c>
      <c r="B55" s="726" t="s">
        <v>2663</v>
      </c>
      <c r="D55" s="309">
        <v>105</v>
      </c>
      <c r="E55" s="309"/>
      <c r="F55" s="495">
        <f>SUMIFS('FC CWIP &amp; RWIP'!$R$6:$R$25,'FC CWIP &amp; RWIP'!$A$6:$A$25,"KY",'FC CWIP &amp; RWIP'!$B$6:$B$25,$B55)*1000</f>
        <v>22118822.712157615</v>
      </c>
    </row>
    <row r="56" spans="1:6" ht="20.100000000000001" customHeight="1" x14ac:dyDescent="0.2">
      <c r="A56" s="228"/>
      <c r="B56" s="726"/>
      <c r="D56" s="309"/>
      <c r="E56" s="309"/>
      <c r="F56" s="496"/>
    </row>
    <row r="57" spans="1:6" ht="20.100000000000001" customHeight="1" x14ac:dyDescent="0.2">
      <c r="A57" s="228" t="s">
        <v>935</v>
      </c>
      <c r="B57" s="726" t="s">
        <v>2664</v>
      </c>
      <c r="D57" s="309">
        <v>111</v>
      </c>
      <c r="E57" s="309"/>
      <c r="F57" s="495">
        <f>SUMIFS('FC CWIP &amp; RWIP'!$R$6:$R$25,'FC CWIP &amp; RWIP'!$A$6:$A$25,"KY",'FC CWIP &amp; RWIP'!$B$6:$B$25,$B57)*1000</f>
        <v>127436768.97627653</v>
      </c>
    </row>
    <row r="58" spans="1:6" ht="20.100000000000001" customHeight="1" x14ac:dyDescent="0.2">
      <c r="A58" s="228"/>
      <c r="B58" s="726"/>
      <c r="D58" s="309"/>
      <c r="E58" s="309"/>
      <c r="F58" s="496"/>
    </row>
    <row r="59" spans="1:6" ht="20.100000000000001" customHeight="1" x14ac:dyDescent="0.2">
      <c r="A59" s="228" t="s">
        <v>935</v>
      </c>
      <c r="B59" s="726" t="s">
        <v>560</v>
      </c>
      <c r="D59" s="309">
        <v>121</v>
      </c>
      <c r="E59" s="309"/>
      <c r="F59" s="495">
        <f>SUMIFS('FC CWIP &amp; RWIP'!$R$6:$R$25,'FC CWIP &amp; RWIP'!$A$6:$A$25,"KY",'FC CWIP &amp; RWIP'!$B$6:$B$25,$B59)*1000</f>
        <v>59090176.029164001</v>
      </c>
    </row>
    <row r="60" spans="1:6" ht="20.100000000000001" customHeight="1" x14ac:dyDescent="0.2">
      <c r="A60" s="228"/>
      <c r="B60" s="726"/>
      <c r="D60" s="309"/>
      <c r="E60" s="309"/>
      <c r="F60" s="496"/>
    </row>
    <row r="61" spans="1:6" ht="20.100000000000001" customHeight="1" x14ac:dyDescent="0.2">
      <c r="A61" s="228" t="s">
        <v>935</v>
      </c>
      <c r="B61" s="726" t="s">
        <v>2665</v>
      </c>
      <c r="D61" s="309">
        <v>122</v>
      </c>
      <c r="E61" s="309"/>
      <c r="F61" s="495">
        <f>SUMIFS('FC CWIP &amp; RWIP'!$R$6:$R$25,'FC CWIP &amp; RWIP'!$A$6:$A$25,"KY",'FC CWIP &amp; RWIP'!$B$6:$B$25,$B61)*1000</f>
        <v>20275974.271796197</v>
      </c>
    </row>
    <row r="62" spans="1:6" ht="20.100000000000001" customHeight="1" x14ac:dyDescent="0.2">
      <c r="A62" s="228"/>
      <c r="B62" s="726"/>
      <c r="D62" s="309"/>
      <c r="E62" s="309"/>
      <c r="F62" s="496"/>
    </row>
    <row r="63" spans="1:6" ht="20.100000000000001" customHeight="1" thickBot="1" x14ac:dyDescent="0.25">
      <c r="A63" s="228"/>
      <c r="B63" s="726"/>
      <c r="D63" s="310" t="s">
        <v>936</v>
      </c>
      <c r="E63" s="310"/>
      <c r="F63" s="497">
        <f>SUM(F55:F61)</f>
        <v>228921741.98939434</v>
      </c>
    </row>
    <row r="64" spans="1:6" ht="20.100000000000001" customHeight="1" thickTop="1" x14ac:dyDescent="0.2">
      <c r="A64" s="228"/>
      <c r="B64" s="726"/>
      <c r="D64" s="309"/>
      <c r="E64" s="309"/>
      <c r="F64" s="496"/>
    </row>
    <row r="65" spans="1:6" ht="20.100000000000001" customHeight="1" x14ac:dyDescent="0.2">
      <c r="A65" s="226" t="s">
        <v>933</v>
      </c>
      <c r="B65" s="726"/>
      <c r="D65" s="311" t="s">
        <v>708</v>
      </c>
      <c r="E65" s="311"/>
      <c r="F65" s="498" t="s">
        <v>934</v>
      </c>
    </row>
    <row r="66" spans="1:6" ht="20.100000000000001" customHeight="1" x14ac:dyDescent="0.2">
      <c r="A66" s="228" t="s">
        <v>937</v>
      </c>
      <c r="B66" s="726" t="s">
        <v>2663</v>
      </c>
      <c r="D66" s="309">
        <v>105</v>
      </c>
      <c r="E66" s="309"/>
      <c r="F66" s="495">
        <f>SUMIFS('FC CWIP &amp; RWIP'!$R$6:$R$25,'FC CWIP &amp; RWIP'!$A$6:$A$25,"VA",'FC CWIP &amp; RWIP'!$B$6:$B$25,$B66)*1000</f>
        <v>939813.6224435427</v>
      </c>
    </row>
    <row r="67" spans="1:6" ht="20.100000000000001" customHeight="1" x14ac:dyDescent="0.2">
      <c r="A67" s="225"/>
      <c r="B67" s="726"/>
      <c r="D67" s="312"/>
      <c r="E67" s="312"/>
      <c r="F67" s="499"/>
    </row>
    <row r="68" spans="1:6" ht="20.100000000000001" customHeight="1" x14ac:dyDescent="0.2">
      <c r="A68" s="228" t="s">
        <v>937</v>
      </c>
      <c r="B68" s="726" t="s">
        <v>560</v>
      </c>
      <c r="D68" s="309">
        <v>121</v>
      </c>
      <c r="E68" s="309"/>
      <c r="F68" s="495">
        <f>SUMIFS('FC CWIP &amp; RWIP'!$R$6:$R$25,'FC CWIP &amp; RWIP'!$A$6:$A$25,"VA",'FC CWIP &amp; RWIP'!$B$6:$B$25,$B68)*1000</f>
        <v>3379185.996746521</v>
      </c>
    </row>
    <row r="69" spans="1:6" ht="20.100000000000001" customHeight="1" x14ac:dyDescent="0.2">
      <c r="A69" s="225"/>
      <c r="B69" s="726"/>
      <c r="D69" s="312"/>
      <c r="E69" s="312"/>
      <c r="F69" s="499"/>
    </row>
    <row r="70" spans="1:6" ht="20.100000000000001" customHeight="1" x14ac:dyDescent="0.2">
      <c r="A70" s="228" t="s">
        <v>937</v>
      </c>
      <c r="B70" s="726" t="s">
        <v>2665</v>
      </c>
      <c r="D70" s="309">
        <v>122</v>
      </c>
      <c r="E70" s="309"/>
      <c r="F70" s="495">
        <f>SUMIFS('FC CWIP &amp; RWIP'!$R$6:$R$25,'FC CWIP &amp; RWIP'!$A$6:$A$25,"VA",'FC CWIP &amp; RWIP'!$B$6:$B$25,$B70)*1000</f>
        <v>8760.6189088464362</v>
      </c>
    </row>
    <row r="71" spans="1:6" ht="20.100000000000001" customHeight="1" x14ac:dyDescent="0.2">
      <c r="A71" s="228"/>
      <c r="B71" s="726"/>
      <c r="D71" s="309"/>
      <c r="E71" s="309"/>
      <c r="F71" s="496"/>
    </row>
    <row r="72" spans="1:6" ht="20.100000000000001" customHeight="1" thickBot="1" x14ac:dyDescent="0.25">
      <c r="A72" s="228"/>
      <c r="B72" s="726"/>
      <c r="D72" s="310" t="s">
        <v>938</v>
      </c>
      <c r="E72" s="310"/>
      <c r="F72" s="497">
        <f>SUM(F66:F71)</f>
        <v>4327760.2380989101</v>
      </c>
    </row>
    <row r="73" spans="1:6" ht="20.100000000000001" customHeight="1" thickTop="1" x14ac:dyDescent="0.2">
      <c r="A73" s="225"/>
      <c r="B73" s="726"/>
      <c r="D73" s="312"/>
      <c r="E73" s="312"/>
      <c r="F73" s="499"/>
    </row>
    <row r="74" spans="1:6" ht="20.100000000000001" customHeight="1" x14ac:dyDescent="0.2">
      <c r="A74" s="226" t="s">
        <v>933</v>
      </c>
      <c r="B74" s="726"/>
      <c r="D74" s="311" t="s">
        <v>708</v>
      </c>
      <c r="E74" s="311"/>
      <c r="F74" s="498" t="s">
        <v>934</v>
      </c>
    </row>
    <row r="75" spans="1:6" ht="20.100000000000001" customHeight="1" x14ac:dyDescent="0.2">
      <c r="A75" s="228" t="s">
        <v>939</v>
      </c>
      <c r="B75" s="726" t="s">
        <v>560</v>
      </c>
      <c r="D75" s="309">
        <v>121</v>
      </c>
      <c r="E75" s="309"/>
      <c r="F75" s="495">
        <f>SUMIFS('FC CWIP &amp; RWIP'!$R$6:$R$25,'FC CWIP &amp; RWIP'!$A$6:$A$25,"TN",'FC CWIP &amp; RWIP'!$B$6:$B$25,$B75)*1000</f>
        <v>0</v>
      </c>
    </row>
    <row r="76" spans="1:6" ht="20.100000000000001" customHeight="1" x14ac:dyDescent="0.2">
      <c r="A76" s="228"/>
      <c r="B76" s="726"/>
      <c r="D76" s="309"/>
      <c r="E76" s="309"/>
      <c r="F76" s="496"/>
    </row>
    <row r="77" spans="1:6" ht="20.100000000000001" customHeight="1" x14ac:dyDescent="0.2">
      <c r="A77" s="228" t="s">
        <v>939</v>
      </c>
      <c r="B77" s="726" t="s">
        <v>2665</v>
      </c>
      <c r="D77" s="309">
        <v>122</v>
      </c>
      <c r="E77" s="309"/>
      <c r="F77" s="495">
        <f>SUMIFS('FC CWIP &amp; RWIP'!$R$6:$R$25,'FC CWIP &amp; RWIP'!$A$6:$A$25,"TN",'FC CWIP &amp; RWIP'!$B$6:$B$25,$B77)*1000</f>
        <v>0</v>
      </c>
    </row>
    <row r="78" spans="1:6" ht="20.100000000000001" customHeight="1" x14ac:dyDescent="0.2">
      <c r="A78" s="228"/>
      <c r="C78" s="726"/>
      <c r="D78" s="309"/>
      <c r="E78" s="309"/>
      <c r="F78" s="358"/>
    </row>
    <row r="79" spans="1:6" ht="20.100000000000001" customHeight="1" thickBot="1" x14ac:dyDescent="0.25">
      <c r="A79" s="228"/>
      <c r="D79" s="232" t="s">
        <v>940</v>
      </c>
      <c r="E79" s="232"/>
      <c r="F79" s="386">
        <f>SUM(F75:F78)</f>
        <v>0</v>
      </c>
    </row>
    <row r="80" spans="1:6" ht="20.100000000000001" customHeight="1" thickTop="1" x14ac:dyDescent="0.2">
      <c r="A80" s="225"/>
      <c r="D80" s="225"/>
      <c r="E80" s="225"/>
      <c r="F80" s="137"/>
    </row>
    <row r="81" spans="1:6" ht="20.100000000000001" customHeight="1" x14ac:dyDescent="0.2">
      <c r="A81" s="225"/>
      <c r="D81" s="225"/>
      <c r="E81" s="225"/>
      <c r="F81" s="137"/>
    </row>
    <row r="82" spans="1:6" ht="20.100000000000001" customHeight="1" thickBot="1" x14ac:dyDescent="0.25">
      <c r="A82" s="228"/>
      <c r="D82" s="230" t="s">
        <v>941</v>
      </c>
      <c r="E82" s="230"/>
      <c r="F82" s="142">
        <f>SUM(F79,F72,F63)</f>
        <v>233249502.22749326</v>
      </c>
    </row>
    <row r="83" spans="1:6" ht="12" thickTop="1" x14ac:dyDescent="0.2"/>
  </sheetData>
  <mergeCells count="5">
    <mergeCell ref="A52:F52"/>
    <mergeCell ref="A26:H26"/>
    <mergeCell ref="A27:H27"/>
    <mergeCell ref="A2:H2"/>
    <mergeCell ref="A3:H3"/>
  </mergeCells>
  <phoneticPr fontId="31" type="noConversion"/>
  <pageMargins left="1.25" right="0.75" top="1" bottom="1" header="0.5" footer="0.5"/>
  <pageSetup scale="78" orientation="portrait" cellComments="asDisplayed" r:id="rId1"/>
  <headerFooter alignWithMargins="0"/>
  <rowBreaks count="1" manualBreakCount="1">
    <brk id="4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834" transitionEvaluation="1" transitionEntry="1" codeName="Sheet1"/>
  <dimension ref="A1:XFC8130"/>
  <sheetViews>
    <sheetView showGridLines="0" topLeftCell="A834" zoomScale="85" zoomScaleNormal="85" workbookViewId="0">
      <selection activeCell="A853" sqref="A853"/>
    </sheetView>
  </sheetViews>
  <sheetFormatPr defaultColWidth="9.6640625" defaultRowHeight="12.75" x14ac:dyDescent="0.2"/>
  <cols>
    <col min="1" max="1" width="4.6640625" style="23" customWidth="1"/>
    <col min="2" max="2" width="34" style="23" customWidth="1"/>
    <col min="3" max="3" width="12.21875" style="23" customWidth="1"/>
    <col min="4" max="4" width="15.6640625" style="23" customWidth="1"/>
    <col min="5" max="5" width="1.6640625" style="23" customWidth="1"/>
    <col min="6" max="6" width="15.6640625" style="23" customWidth="1"/>
    <col min="7" max="7" width="1.6640625" style="23" customWidth="1"/>
    <col min="8" max="9" width="15.6640625" style="23" customWidth="1"/>
    <col min="10" max="11" width="1.6640625" style="23" customWidth="1"/>
    <col min="12" max="12" width="15.6640625" style="23" customWidth="1"/>
    <col min="13" max="13" width="2.109375" style="23" customWidth="1"/>
    <col min="14" max="17" width="15.6640625" style="23" customWidth="1"/>
    <col min="18" max="19" width="1.88671875" style="23" customWidth="1"/>
    <col min="20" max="20" width="15.6640625" style="23" customWidth="1"/>
    <col min="21" max="21" width="16.5546875" style="24" customWidth="1"/>
    <col min="22" max="22" width="10.33203125" style="24" customWidth="1"/>
    <col min="23" max="23" width="19.44140625" style="24" customWidth="1"/>
    <col min="24" max="24" width="14.21875" style="24" customWidth="1"/>
    <col min="25" max="25" width="20.88671875" style="24" customWidth="1"/>
    <col min="26" max="26" width="40.44140625" style="24" customWidth="1"/>
    <col min="27" max="27" width="14.21875" style="24" customWidth="1"/>
    <col min="28" max="28" width="37" style="24" customWidth="1"/>
    <col min="29" max="31" width="15.6640625" style="24" customWidth="1"/>
    <col min="32" max="32" width="34.77734375" style="24" customWidth="1"/>
    <col min="33" max="255" width="15.6640625" style="24" customWidth="1"/>
    <col min="256" max="16384" width="9.6640625" style="24"/>
  </cols>
  <sheetData>
    <row r="1" spans="1:173 16383:16383" x14ac:dyDescent="0.2">
      <c r="F1" s="36"/>
      <c r="G1" s="36"/>
      <c r="H1" s="36"/>
      <c r="I1" s="36"/>
      <c r="J1" s="37"/>
      <c r="K1" s="37"/>
      <c r="U1" s="38"/>
      <c r="V1" s="38"/>
      <c r="AD1" s="38"/>
      <c r="AE1" s="38"/>
      <c r="AQ1" s="38"/>
      <c r="AR1" s="38"/>
      <c r="BG1" s="38"/>
      <c r="BH1" s="38"/>
      <c r="BO1" s="38"/>
      <c r="BP1" s="38"/>
      <c r="BW1" s="38"/>
      <c r="BX1" s="38"/>
      <c r="CE1" s="38"/>
      <c r="CF1" s="38"/>
      <c r="CM1" s="38"/>
      <c r="CN1" s="38"/>
      <c r="CU1" s="38"/>
      <c r="CV1" s="38"/>
      <c r="DI1" s="38"/>
      <c r="DJ1" s="38"/>
      <c r="DW1" s="38"/>
      <c r="DX1" s="38"/>
      <c r="EE1" s="38"/>
      <c r="EF1" s="38"/>
      <c r="EM1" s="38"/>
      <c r="EN1" s="38"/>
      <c r="FC1" s="38"/>
      <c r="FD1" s="39"/>
      <c r="FK1" s="38"/>
      <c r="FL1" s="38"/>
      <c r="FP1" s="38"/>
      <c r="FQ1" s="38"/>
    </row>
    <row r="2" spans="1:173 16383:16383" x14ac:dyDescent="0.2">
      <c r="A2" s="40"/>
      <c r="F2" s="36"/>
      <c r="G2" s="41"/>
      <c r="H2" s="42"/>
      <c r="I2" s="36"/>
      <c r="V2" s="38"/>
      <c r="AE2" s="38"/>
      <c r="AR2" s="38"/>
      <c r="BH2" s="38"/>
      <c r="BP2" s="38"/>
      <c r="BX2" s="38"/>
      <c r="CF2" s="38"/>
      <c r="CN2" s="38"/>
      <c r="CV2" s="38"/>
      <c r="DJ2" s="38"/>
      <c r="DX2" s="38"/>
      <c r="EF2" s="38"/>
      <c r="EN2" s="38"/>
      <c r="FC2" s="38"/>
      <c r="FD2" s="39"/>
      <c r="FK2" s="38"/>
      <c r="FL2" s="38"/>
      <c r="FQ2" s="38"/>
      <c r="XFC2" s="432"/>
    </row>
    <row r="3" spans="1:173 16383:16383" x14ac:dyDescent="0.2">
      <c r="B3" s="37"/>
      <c r="F3" s="36"/>
      <c r="G3" s="43"/>
      <c r="H3" s="42"/>
      <c r="I3" s="36"/>
      <c r="J3" s="37"/>
      <c r="K3" s="37"/>
      <c r="V3" s="38"/>
      <c r="AE3" s="38"/>
      <c r="AR3" s="38"/>
      <c r="BH3" s="38"/>
      <c r="BP3" s="38"/>
      <c r="BX3" s="38"/>
      <c r="CF3" s="38"/>
      <c r="CN3" s="38"/>
      <c r="CV3" s="38"/>
      <c r="DJ3" s="38"/>
      <c r="DW3" s="39"/>
      <c r="DX3" s="38"/>
      <c r="EE3" s="38"/>
      <c r="EF3" s="38"/>
      <c r="EN3" s="38"/>
      <c r="EO3" s="38"/>
      <c r="EX3" s="38"/>
      <c r="FC3" s="38"/>
      <c r="FD3" s="39"/>
      <c r="FK3" s="38"/>
      <c r="FL3" s="38"/>
      <c r="FQ3" s="38"/>
    </row>
    <row r="4" spans="1:173 16383:16383" x14ac:dyDescent="0.2">
      <c r="A4" s="37"/>
      <c r="F4" s="36"/>
      <c r="G4" s="42"/>
      <c r="H4" s="42"/>
      <c r="I4" s="36"/>
      <c r="V4" s="38"/>
      <c r="AE4" s="38"/>
      <c r="AR4" s="38"/>
      <c r="BH4" s="38"/>
      <c r="BP4" s="38"/>
      <c r="BX4" s="38"/>
      <c r="CF4" s="38"/>
      <c r="CN4" s="38"/>
      <c r="CV4" s="38"/>
      <c r="DJ4" s="38"/>
      <c r="DX4" s="38"/>
      <c r="EF4" s="38"/>
      <c r="EN4" s="38"/>
      <c r="EO4" s="38"/>
      <c r="EX4" s="38"/>
      <c r="FC4" s="38"/>
      <c r="FD4" s="39"/>
      <c r="FK4" s="38"/>
      <c r="FL4" s="38"/>
      <c r="FQ4" s="38"/>
    </row>
    <row r="5" spans="1:173 16383:16383" x14ac:dyDescent="0.2">
      <c r="B5" s="40"/>
      <c r="F5" s="36"/>
      <c r="G5" s="42"/>
      <c r="H5" s="42"/>
      <c r="I5" s="36"/>
      <c r="J5" s="37"/>
      <c r="K5" s="37"/>
      <c r="V5" s="38"/>
      <c r="AE5" s="38"/>
      <c r="AR5" s="38"/>
      <c r="BH5" s="38"/>
      <c r="BP5" s="38"/>
      <c r="BX5" s="38"/>
      <c r="CF5" s="38"/>
      <c r="CN5" s="38"/>
      <c r="CV5" s="38"/>
      <c r="DJ5" s="38"/>
      <c r="DX5" s="44"/>
      <c r="EF5" s="38"/>
      <c r="EG5" s="38"/>
      <c r="EN5" s="38"/>
      <c r="EO5" s="38"/>
      <c r="FC5" s="38"/>
      <c r="FD5" s="44"/>
      <c r="FK5" s="38"/>
      <c r="FL5" s="38"/>
      <c r="FQ5" s="38"/>
    </row>
    <row r="6" spans="1:173 16383:16383" x14ac:dyDescent="0.2">
      <c r="B6" s="45"/>
      <c r="F6" s="36"/>
      <c r="G6" s="42"/>
      <c r="H6" s="42"/>
      <c r="I6" s="36"/>
      <c r="U6" s="46"/>
      <c r="V6" s="38"/>
      <c r="W6" s="38"/>
      <c r="AE6" s="38"/>
      <c r="AR6" s="38"/>
      <c r="BH6" s="38"/>
      <c r="BP6" s="38"/>
      <c r="BX6" s="38"/>
      <c r="CF6" s="38"/>
      <c r="CN6" s="38"/>
      <c r="CV6" s="38"/>
      <c r="DJ6" s="38"/>
      <c r="DX6" s="38"/>
      <c r="EF6" s="38"/>
      <c r="EG6" s="38"/>
      <c r="EM6" s="38"/>
      <c r="EN6" s="38"/>
      <c r="EO6" s="44"/>
      <c r="EX6" s="38"/>
      <c r="FC6" s="38"/>
      <c r="FD6" s="39"/>
      <c r="FK6" s="38"/>
      <c r="FL6" s="38"/>
      <c r="FQ6" s="39"/>
    </row>
    <row r="7" spans="1:173 16383:16383" x14ac:dyDescent="0.2">
      <c r="F7" s="36"/>
      <c r="G7" s="42"/>
      <c r="H7" s="42"/>
      <c r="I7" s="36"/>
      <c r="J7" s="37"/>
      <c r="K7" s="37"/>
      <c r="V7" s="38"/>
      <c r="W7" s="38"/>
      <c r="AE7" s="38"/>
      <c r="AF7" s="38"/>
      <c r="AR7" s="38"/>
      <c r="AS7" s="38"/>
      <c r="BH7" s="38"/>
      <c r="BI7" s="38"/>
      <c r="BP7" s="38"/>
      <c r="BQ7" s="38"/>
      <c r="BX7" s="38"/>
      <c r="BY7" s="38"/>
      <c r="CF7" s="38"/>
      <c r="CG7" s="38"/>
      <c r="CN7" s="38"/>
      <c r="CO7" s="38"/>
      <c r="CV7" s="38"/>
      <c r="CW7" s="38"/>
      <c r="DJ7" s="38"/>
      <c r="DK7" s="38"/>
      <c r="DX7" s="38"/>
      <c r="EF7" s="38"/>
      <c r="EG7" s="38"/>
      <c r="EN7" s="38"/>
      <c r="EX7" s="38"/>
      <c r="FC7" s="38"/>
      <c r="FD7" s="44"/>
      <c r="FK7" s="38"/>
      <c r="FL7" s="38"/>
      <c r="FQ7" s="38"/>
    </row>
    <row r="8" spans="1:173 16383:16383" x14ac:dyDescent="0.2">
      <c r="B8" s="40"/>
      <c r="C8" s="47"/>
      <c r="D8" s="47"/>
      <c r="F8" s="36"/>
      <c r="G8" s="42"/>
      <c r="H8" s="42"/>
      <c r="I8" s="36"/>
      <c r="V8" s="38"/>
      <c r="W8" s="38"/>
      <c r="AE8" s="38"/>
      <c r="AF8" s="38"/>
      <c r="AR8" s="38"/>
      <c r="AS8" s="38"/>
      <c r="BH8" s="38"/>
      <c r="BI8" s="38"/>
      <c r="BP8" s="38"/>
      <c r="BQ8" s="38"/>
      <c r="BX8" s="38"/>
      <c r="BY8" s="38"/>
      <c r="CF8" s="38"/>
      <c r="CG8" s="38"/>
      <c r="CN8" s="38"/>
      <c r="CO8" s="38"/>
      <c r="CV8" s="38"/>
      <c r="CW8" s="38"/>
      <c r="DJ8" s="38"/>
      <c r="DK8" s="38"/>
      <c r="DX8" s="38"/>
      <c r="EE8" s="38"/>
      <c r="EF8" s="38"/>
      <c r="EG8" s="38"/>
      <c r="EM8" s="38"/>
      <c r="EN8" s="38"/>
      <c r="FC8" s="38"/>
      <c r="FD8" s="39"/>
      <c r="FK8" s="38"/>
      <c r="FL8" s="38"/>
      <c r="FQ8" s="38"/>
    </row>
    <row r="9" spans="1:173 16383:16383" x14ac:dyDescent="0.2">
      <c r="C9" s="40"/>
      <c r="E9" s="48"/>
      <c r="F9" s="36"/>
      <c r="G9" s="42"/>
      <c r="H9" s="42"/>
      <c r="I9" s="36"/>
      <c r="J9" s="37"/>
      <c r="K9" s="37"/>
      <c r="U9" s="38"/>
      <c r="V9" s="38"/>
      <c r="AE9" s="38"/>
      <c r="AF9" s="38"/>
      <c r="AR9" s="38"/>
      <c r="AS9" s="38"/>
      <c r="BH9" s="38"/>
      <c r="BI9" s="38"/>
      <c r="BP9" s="38"/>
      <c r="BQ9" s="38"/>
      <c r="BX9" s="38"/>
      <c r="BY9" s="38"/>
      <c r="CF9" s="38"/>
      <c r="CG9" s="38"/>
      <c r="CN9" s="38"/>
      <c r="CO9" s="38"/>
      <c r="CV9" s="38"/>
      <c r="CW9" s="38"/>
      <c r="DJ9" s="38"/>
      <c r="DK9" s="38"/>
      <c r="DX9" s="38"/>
      <c r="EF9" s="38"/>
      <c r="EN9" s="38"/>
      <c r="FK9" s="38"/>
      <c r="FL9" s="38"/>
      <c r="FQ9" s="38"/>
    </row>
    <row r="10" spans="1:173 16383:16383" x14ac:dyDescent="0.2">
      <c r="C10" s="40"/>
      <c r="E10" s="48"/>
      <c r="F10" s="36"/>
      <c r="G10" s="42"/>
      <c r="H10" s="42"/>
      <c r="I10" s="36"/>
      <c r="V10" s="38"/>
      <c r="AD10" s="38"/>
      <c r="AE10" s="38"/>
      <c r="AQ10" s="38"/>
      <c r="AR10" s="38"/>
      <c r="BG10" s="38"/>
      <c r="BH10" s="38"/>
      <c r="BO10" s="38"/>
      <c r="BP10" s="38"/>
      <c r="BW10" s="38"/>
      <c r="BX10" s="38"/>
      <c r="CE10" s="38"/>
      <c r="CF10" s="38"/>
      <c r="CM10" s="38"/>
      <c r="CN10" s="38"/>
      <c r="CU10" s="38"/>
      <c r="CV10" s="38"/>
      <c r="DI10" s="38"/>
      <c r="DJ10" s="38"/>
      <c r="DX10" s="38"/>
      <c r="EE10" s="38"/>
      <c r="EF10" s="38"/>
      <c r="EG10" s="38"/>
      <c r="EN10" s="38"/>
      <c r="FK10" s="38"/>
      <c r="FL10" s="38"/>
      <c r="FQ10" s="38"/>
    </row>
    <row r="11" spans="1:173 16383:16383" x14ac:dyDescent="0.2">
      <c r="B11" s="37"/>
      <c r="E11" s="48"/>
      <c r="F11" s="36"/>
      <c r="G11" s="42"/>
      <c r="H11" s="42"/>
      <c r="I11" s="36"/>
      <c r="J11" s="37"/>
      <c r="K11" s="37"/>
      <c r="U11" s="38"/>
      <c r="V11" s="38"/>
      <c r="AE11" s="38"/>
      <c r="AR11" s="38"/>
      <c r="BH11" s="38"/>
      <c r="BP11" s="38"/>
      <c r="BX11" s="38"/>
      <c r="CF11" s="38"/>
      <c r="CN11" s="38"/>
      <c r="CV11" s="38"/>
      <c r="DJ11" s="38"/>
      <c r="DX11" s="38"/>
      <c r="EE11" s="38"/>
      <c r="EF11" s="38"/>
      <c r="EN11" s="38"/>
      <c r="EO11" s="44"/>
      <c r="EX11" s="38"/>
      <c r="FC11" s="38"/>
      <c r="FD11" s="38"/>
      <c r="FK11" s="38"/>
      <c r="FL11" s="38"/>
      <c r="FQ11" s="38"/>
    </row>
    <row r="12" spans="1:173 16383:16383" x14ac:dyDescent="0.2">
      <c r="A12" s="39">
        <v>1</v>
      </c>
      <c r="B12" s="36"/>
      <c r="C12" s="36"/>
      <c r="D12" s="36">
        <v>0</v>
      </c>
      <c r="E12" s="194">
        <v>1</v>
      </c>
      <c r="F12" s="49">
        <f t="shared" ref="F12:Y12" si="0">1+E12</f>
        <v>2</v>
      </c>
      <c r="G12" s="49">
        <f t="shared" si="0"/>
        <v>3</v>
      </c>
      <c r="H12" s="49">
        <f t="shared" si="0"/>
        <v>4</v>
      </c>
      <c r="I12" s="49">
        <f t="shared" si="0"/>
        <v>5</v>
      </c>
      <c r="J12" s="49">
        <f t="shared" si="0"/>
        <v>6</v>
      </c>
      <c r="K12" s="49">
        <f t="shared" si="0"/>
        <v>7</v>
      </c>
      <c r="L12" s="49">
        <f>1+K12</f>
        <v>8</v>
      </c>
      <c r="M12" s="49">
        <f t="shared" si="0"/>
        <v>9</v>
      </c>
      <c r="N12" s="49">
        <f t="shared" si="0"/>
        <v>10</v>
      </c>
      <c r="O12" s="49">
        <f t="shared" si="0"/>
        <v>11</v>
      </c>
      <c r="P12" s="49">
        <f t="shared" si="0"/>
        <v>12</v>
      </c>
      <c r="Q12" s="49">
        <f t="shared" si="0"/>
        <v>13</v>
      </c>
      <c r="R12" s="49">
        <f t="shared" si="0"/>
        <v>14</v>
      </c>
      <c r="S12" s="49">
        <f t="shared" si="0"/>
        <v>15</v>
      </c>
      <c r="T12" s="49">
        <f t="shared" si="0"/>
        <v>16</v>
      </c>
      <c r="U12" s="46">
        <f t="shared" si="0"/>
        <v>17</v>
      </c>
      <c r="V12" s="46">
        <f t="shared" si="0"/>
        <v>18</v>
      </c>
      <c r="W12" s="46">
        <f t="shared" si="0"/>
        <v>19</v>
      </c>
      <c r="X12" s="46">
        <f t="shared" si="0"/>
        <v>20</v>
      </c>
      <c r="Y12" s="46">
        <f t="shared" si="0"/>
        <v>21</v>
      </c>
    </row>
    <row r="13" spans="1:173 16383:16383" x14ac:dyDescent="0.2">
      <c r="B13" s="50">
        <f ca="1">NOW()</f>
        <v>43509.716912037038</v>
      </c>
      <c r="E13" s="40" t="s">
        <v>545</v>
      </c>
      <c r="M13" s="49" t="str">
        <f>E13</f>
        <v xml:space="preserve">         KENTUCKY UTILITIES COMPANY</v>
      </c>
    </row>
    <row r="14" spans="1:173 16383:16383" x14ac:dyDescent="0.2">
      <c r="B14" s="51">
        <f ca="1">NOW()</f>
        <v>43509.716912037038</v>
      </c>
      <c r="E14" s="40" t="s">
        <v>699</v>
      </c>
      <c r="I14" s="40"/>
      <c r="M14" s="49" t="str">
        <f>E14</f>
        <v xml:space="preserve">    ELECTRIC COST OF SERVICE STUDY</v>
      </c>
      <c r="Q14" s="49"/>
    </row>
    <row r="15" spans="1:173 16383:16383" x14ac:dyDescent="0.2">
      <c r="E15" s="40" t="s">
        <v>546</v>
      </c>
      <c r="M15" s="49" t="str">
        <f>E15</f>
        <v xml:space="preserve">          JURISDICTIONAL SEPARATION</v>
      </c>
    </row>
    <row r="16" spans="1:173 16383:16383" x14ac:dyDescent="0.2">
      <c r="B16" s="52" t="s">
        <v>2452</v>
      </c>
    </row>
    <row r="17" spans="1:27" x14ac:dyDescent="0.2">
      <c r="B17" s="52" t="s">
        <v>600</v>
      </c>
      <c r="D17" s="45"/>
      <c r="E17" s="101" t="s">
        <v>2453</v>
      </c>
      <c r="M17" s="49"/>
    </row>
    <row r="19" spans="1:27" x14ac:dyDescent="0.2">
      <c r="D19" s="48" t="s">
        <v>547</v>
      </c>
      <c r="F19" s="48" t="s">
        <v>548</v>
      </c>
      <c r="H19" s="48" t="s">
        <v>552</v>
      </c>
      <c r="I19" s="48" t="s">
        <v>700</v>
      </c>
      <c r="L19" s="48" t="s">
        <v>549</v>
      </c>
      <c r="T19" s="53" t="s">
        <v>550</v>
      </c>
      <c r="U19" s="39"/>
      <c r="V19" s="39"/>
      <c r="W19" s="39"/>
      <c r="X19" s="39"/>
      <c r="Y19" s="39"/>
    </row>
    <row r="20" spans="1:27" x14ac:dyDescent="0.2">
      <c r="D20" s="48" t="s">
        <v>548</v>
      </c>
      <c r="F20" s="48" t="s">
        <v>551</v>
      </c>
      <c r="H20" s="48" t="s">
        <v>551</v>
      </c>
      <c r="I20" s="54" t="s">
        <v>549</v>
      </c>
      <c r="L20" s="48" t="s">
        <v>551</v>
      </c>
      <c r="M20" s="48"/>
      <c r="N20" s="48" t="s">
        <v>553</v>
      </c>
      <c r="T20" s="53" t="s">
        <v>547</v>
      </c>
      <c r="U20" s="39"/>
      <c r="V20" s="39"/>
      <c r="W20" s="39"/>
      <c r="X20" s="39"/>
      <c r="Y20" s="39"/>
    </row>
    <row r="21" spans="1:27" x14ac:dyDescent="0.2">
      <c r="C21" s="37" t="s">
        <v>554</v>
      </c>
      <c r="D21" s="48" t="s">
        <v>557</v>
      </c>
      <c r="F21" s="48" t="s">
        <v>558</v>
      </c>
      <c r="H21" s="48" t="s">
        <v>558</v>
      </c>
      <c r="I21" s="48" t="s">
        <v>558</v>
      </c>
      <c r="L21" s="48" t="s">
        <v>558</v>
      </c>
      <c r="M21" s="48"/>
      <c r="N21" s="48" t="s">
        <v>558</v>
      </c>
      <c r="O21" s="48" t="s">
        <v>559</v>
      </c>
      <c r="P21" s="48" t="s">
        <v>560</v>
      </c>
      <c r="Q21" s="48" t="s">
        <v>561</v>
      </c>
      <c r="T21" s="53" t="s">
        <v>548</v>
      </c>
      <c r="U21" s="39"/>
      <c r="V21" s="39"/>
      <c r="W21" s="39"/>
      <c r="X21" s="39"/>
      <c r="Y21" s="39"/>
    </row>
    <row r="22" spans="1:27" x14ac:dyDescent="0.2">
      <c r="D22" s="53" t="s">
        <v>562</v>
      </c>
      <c r="F22" s="48" t="s">
        <v>563</v>
      </c>
      <c r="H22" s="48">
        <v>-3</v>
      </c>
      <c r="I22" s="48">
        <v>-4</v>
      </c>
      <c r="L22" s="48">
        <v>-5</v>
      </c>
      <c r="M22" s="48"/>
      <c r="N22" s="48" t="s">
        <v>564</v>
      </c>
      <c r="O22" s="48" t="s">
        <v>565</v>
      </c>
      <c r="P22" s="48" t="s">
        <v>566</v>
      </c>
      <c r="Q22" s="48" t="s">
        <v>567</v>
      </c>
      <c r="T22" s="53" t="s">
        <v>557</v>
      </c>
      <c r="U22" s="39"/>
      <c r="V22" s="39"/>
      <c r="W22" s="39"/>
      <c r="X22" s="39"/>
      <c r="Y22" s="39"/>
      <c r="Z22" s="39"/>
      <c r="AA22" s="39"/>
    </row>
    <row r="23" spans="1:27" x14ac:dyDescent="0.2">
      <c r="B23" s="53" t="s">
        <v>568</v>
      </c>
    </row>
    <row r="25" spans="1:27" x14ac:dyDescent="0.2">
      <c r="B25" s="53" t="s">
        <v>569</v>
      </c>
      <c r="D25" s="55"/>
      <c r="F25" s="55"/>
      <c r="H25" s="55"/>
      <c r="J25" s="55"/>
      <c r="K25" s="55"/>
      <c r="M25" s="55"/>
      <c r="N25" s="55"/>
    </row>
    <row r="26" spans="1:27" x14ac:dyDescent="0.2">
      <c r="B26" s="56" t="s">
        <v>451</v>
      </c>
    </row>
    <row r="27" spans="1:27" x14ac:dyDescent="0.2">
      <c r="B27" s="53" t="s">
        <v>570</v>
      </c>
      <c r="F27" s="47"/>
      <c r="G27" s="47"/>
      <c r="H27" s="47"/>
      <c r="I27" s="47"/>
      <c r="J27" s="47"/>
      <c r="K27" s="47"/>
      <c r="L27" s="47"/>
      <c r="M27" s="47"/>
      <c r="N27" s="49"/>
      <c r="O27" s="47"/>
      <c r="P27" s="47"/>
      <c r="Q27" s="47"/>
      <c r="R27" s="47"/>
      <c r="S27" s="47"/>
      <c r="T27" s="47"/>
    </row>
    <row r="28" spans="1:27" x14ac:dyDescent="0.2">
      <c r="A28" s="46">
        <v>1</v>
      </c>
      <c r="B28" s="38" t="s">
        <v>571</v>
      </c>
      <c r="C28" s="44" t="s">
        <v>572</v>
      </c>
      <c r="D28" s="46">
        <f t="shared" ref="D28:D33" si="1">SUM(F28:I28)+K28</f>
        <v>3323391</v>
      </c>
      <c r="E28" s="24"/>
      <c r="F28" s="274">
        <v>3115400</v>
      </c>
      <c r="G28" s="39"/>
      <c r="H28" s="274">
        <v>142658</v>
      </c>
      <c r="I28" s="46">
        <f t="shared" ref="I28:I33" si="2">(L28+M28+N28)</f>
        <v>65333</v>
      </c>
      <c r="J28" s="24"/>
      <c r="K28" s="24"/>
      <c r="L28" s="274">
        <v>10</v>
      </c>
      <c r="M28" s="39"/>
      <c r="N28" s="46">
        <f t="shared" ref="N28:N33" si="3">SUM(O28:Q28)</f>
        <v>65323</v>
      </c>
      <c r="O28" s="274">
        <v>33130</v>
      </c>
      <c r="P28" s="274">
        <v>32193</v>
      </c>
      <c r="Q28" s="39">
        <v>0</v>
      </c>
      <c r="R28" s="24"/>
      <c r="S28" s="24"/>
      <c r="T28" s="24"/>
    </row>
    <row r="29" spans="1:27" x14ac:dyDescent="0.2">
      <c r="A29" s="49">
        <v>2</v>
      </c>
      <c r="B29" s="37" t="s">
        <v>573</v>
      </c>
      <c r="C29" s="40" t="s">
        <v>574</v>
      </c>
      <c r="D29" s="49">
        <f t="shared" si="1"/>
        <v>438000</v>
      </c>
      <c r="F29" s="57">
        <f>172041+57978</f>
        <v>230019</v>
      </c>
      <c r="G29" s="57"/>
      <c r="H29" s="57">
        <f>H28</f>
        <v>142658</v>
      </c>
      <c r="I29" s="49">
        <f t="shared" si="2"/>
        <v>65323</v>
      </c>
      <c r="L29" s="57">
        <v>0</v>
      </c>
      <c r="M29" s="57"/>
      <c r="N29" s="49">
        <f t="shared" si="3"/>
        <v>65323</v>
      </c>
      <c r="O29" s="57">
        <f>O28</f>
        <v>33130</v>
      </c>
      <c r="P29" s="57">
        <f>P28</f>
        <v>32193</v>
      </c>
      <c r="Q29" s="57">
        <f>Q28</f>
        <v>0</v>
      </c>
    </row>
    <row r="30" spans="1:27" x14ac:dyDescent="0.2">
      <c r="A30" s="49">
        <v>3</v>
      </c>
      <c r="B30" s="37" t="s">
        <v>575</v>
      </c>
      <c r="C30" s="40" t="s">
        <v>576</v>
      </c>
      <c r="D30" s="49">
        <f t="shared" si="1"/>
        <v>142658</v>
      </c>
      <c r="F30" s="57">
        <v>0</v>
      </c>
      <c r="G30" s="57"/>
      <c r="H30" s="57">
        <f>H28</f>
        <v>142658</v>
      </c>
      <c r="I30" s="49">
        <f t="shared" si="2"/>
        <v>0</v>
      </c>
      <c r="L30" s="57">
        <v>0</v>
      </c>
      <c r="M30" s="57"/>
      <c r="N30" s="49">
        <f t="shared" si="3"/>
        <v>0</v>
      </c>
      <c r="O30" s="57">
        <v>0</v>
      </c>
      <c r="P30" s="57">
        <v>0</v>
      </c>
      <c r="Q30" s="57">
        <v>0</v>
      </c>
    </row>
    <row r="31" spans="1:27" x14ac:dyDescent="0.2">
      <c r="A31" s="49">
        <v>4</v>
      </c>
      <c r="B31" s="37" t="s">
        <v>577</v>
      </c>
      <c r="C31" s="40" t="s">
        <v>578</v>
      </c>
      <c r="D31" s="49">
        <f t="shared" si="1"/>
        <v>3180723</v>
      </c>
      <c r="F31" s="57">
        <f>F28</f>
        <v>3115400</v>
      </c>
      <c r="G31" s="57"/>
      <c r="H31" s="57">
        <v>0</v>
      </c>
      <c r="I31" s="49">
        <f t="shared" si="2"/>
        <v>65323</v>
      </c>
      <c r="L31" s="57">
        <v>0</v>
      </c>
      <c r="M31" s="57"/>
      <c r="N31" s="49">
        <f t="shared" si="3"/>
        <v>65323</v>
      </c>
      <c r="O31" s="57">
        <f>O28</f>
        <v>33130</v>
      </c>
      <c r="P31" s="57">
        <f>P28</f>
        <v>32193</v>
      </c>
      <c r="Q31" s="57">
        <f>Q28</f>
        <v>0</v>
      </c>
    </row>
    <row r="32" spans="1:27" x14ac:dyDescent="0.2">
      <c r="A32" s="49">
        <v>5</v>
      </c>
      <c r="B32" s="37" t="s">
        <v>579</v>
      </c>
      <c r="C32" s="40" t="s">
        <v>580</v>
      </c>
      <c r="D32" s="49">
        <f t="shared" si="1"/>
        <v>295342</v>
      </c>
      <c r="F32" s="57">
        <f>172041+57978</f>
        <v>230019</v>
      </c>
      <c r="G32" s="57"/>
      <c r="H32" s="57">
        <v>0</v>
      </c>
      <c r="I32" s="49">
        <f t="shared" si="2"/>
        <v>65323</v>
      </c>
      <c r="L32" s="57">
        <v>0</v>
      </c>
      <c r="M32" s="57"/>
      <c r="N32" s="49">
        <f t="shared" si="3"/>
        <v>65323</v>
      </c>
      <c r="O32" s="57">
        <f>O28</f>
        <v>33130</v>
      </c>
      <c r="P32" s="57">
        <f>P28</f>
        <v>32193</v>
      </c>
      <c r="Q32" s="57">
        <f>Q28</f>
        <v>0</v>
      </c>
    </row>
    <row r="33" spans="1:20" x14ac:dyDescent="0.2">
      <c r="A33" s="49">
        <v>6</v>
      </c>
      <c r="B33" s="37" t="s">
        <v>581</v>
      </c>
      <c r="C33" s="40" t="s">
        <v>582</v>
      </c>
      <c r="D33" s="49">
        <f t="shared" si="1"/>
        <v>3180733</v>
      </c>
      <c r="F33" s="57">
        <f>F28</f>
        <v>3115400</v>
      </c>
      <c r="G33" s="57"/>
      <c r="H33" s="57">
        <v>0</v>
      </c>
      <c r="I33" s="49">
        <f t="shared" si="2"/>
        <v>65333</v>
      </c>
      <c r="L33" s="57">
        <f>L28</f>
        <v>10</v>
      </c>
      <c r="M33" s="57"/>
      <c r="N33" s="49">
        <f t="shared" si="3"/>
        <v>65323</v>
      </c>
      <c r="O33" s="57">
        <f>O28</f>
        <v>33130</v>
      </c>
      <c r="P33" s="57">
        <f>P28</f>
        <v>32193</v>
      </c>
      <c r="Q33" s="57">
        <f>Q28</f>
        <v>0</v>
      </c>
    </row>
    <row r="34" spans="1:20" x14ac:dyDescent="0.2">
      <c r="B34" s="53" t="s">
        <v>583</v>
      </c>
    </row>
    <row r="35" spans="1:20" x14ac:dyDescent="0.2">
      <c r="A35" s="49">
        <v>7</v>
      </c>
      <c r="B35" s="37" t="s">
        <v>584</v>
      </c>
      <c r="C35" s="40" t="s">
        <v>585</v>
      </c>
      <c r="D35" s="49">
        <f>SUM(F35:I35)+K35</f>
        <v>3323391</v>
      </c>
      <c r="F35" s="57">
        <f>F28</f>
        <v>3115400</v>
      </c>
      <c r="G35" s="57"/>
      <c r="H35" s="57">
        <f>H28</f>
        <v>142658</v>
      </c>
      <c r="I35" s="49">
        <f>(L35+M35+N35)</f>
        <v>65333</v>
      </c>
      <c r="L35" s="57">
        <f>L28</f>
        <v>10</v>
      </c>
      <c r="M35" s="57"/>
      <c r="N35" s="49">
        <f>SUM(O35:Q35)</f>
        <v>65323</v>
      </c>
      <c r="O35" s="57">
        <f>O28</f>
        <v>33130</v>
      </c>
      <c r="P35" s="57">
        <f>P28</f>
        <v>32193</v>
      </c>
      <c r="Q35" s="57">
        <f>Q28</f>
        <v>0</v>
      </c>
    </row>
    <row r="36" spans="1:20" x14ac:dyDescent="0.2">
      <c r="A36" s="49">
        <v>8</v>
      </c>
      <c r="B36" s="37" t="s">
        <v>586</v>
      </c>
      <c r="C36" s="40" t="s">
        <v>587</v>
      </c>
      <c r="D36" s="49">
        <f>SUM(F36:I36)+K36</f>
        <v>142658</v>
      </c>
      <c r="F36" s="57">
        <v>0</v>
      </c>
      <c r="G36" s="57"/>
      <c r="H36" s="57">
        <f>H35</f>
        <v>142658</v>
      </c>
      <c r="I36" s="49">
        <f>(L36+M36+N36)</f>
        <v>0</v>
      </c>
      <c r="L36" s="57">
        <v>0</v>
      </c>
      <c r="M36" s="57"/>
      <c r="N36" s="49">
        <f>SUM(O36:Q36)</f>
        <v>0</v>
      </c>
      <c r="O36" s="57">
        <v>0</v>
      </c>
      <c r="P36" s="57">
        <v>0</v>
      </c>
      <c r="Q36" s="57">
        <v>0</v>
      </c>
    </row>
    <row r="37" spans="1:20" x14ac:dyDescent="0.2">
      <c r="A37" s="49">
        <v>9</v>
      </c>
      <c r="B37" s="59" t="s">
        <v>1240</v>
      </c>
      <c r="C37" s="45" t="s">
        <v>1241</v>
      </c>
      <c r="D37" s="49">
        <f>SUM(F37:I37)+K37</f>
        <v>3258068</v>
      </c>
      <c r="F37" s="57">
        <f>F28</f>
        <v>3115400</v>
      </c>
      <c r="G37" s="57"/>
      <c r="H37" s="57">
        <f>H28</f>
        <v>142658</v>
      </c>
      <c r="I37" s="49">
        <f>(L37+M37+N37)</f>
        <v>10</v>
      </c>
      <c r="L37" s="57">
        <f>L28</f>
        <v>10</v>
      </c>
      <c r="M37" s="57"/>
      <c r="N37" s="49">
        <f>SUM(O37:Q37)</f>
        <v>0</v>
      </c>
      <c r="O37" s="57">
        <v>0</v>
      </c>
      <c r="P37" s="57">
        <v>0</v>
      </c>
      <c r="Q37" s="57">
        <f>Q28</f>
        <v>0</v>
      </c>
    </row>
    <row r="38" spans="1:20" x14ac:dyDescent="0.2">
      <c r="A38" s="49">
        <v>10</v>
      </c>
      <c r="B38" s="37" t="s">
        <v>588</v>
      </c>
      <c r="C38" s="40" t="s">
        <v>589</v>
      </c>
      <c r="D38" s="49">
        <f>SUM(F38:I38)+K38</f>
        <v>207981</v>
      </c>
      <c r="F38" s="57">
        <v>0</v>
      </c>
      <c r="G38" s="57"/>
      <c r="H38" s="57">
        <f>H35</f>
        <v>142658</v>
      </c>
      <c r="I38" s="49">
        <f>(L38+M38+N38)</f>
        <v>65323</v>
      </c>
      <c r="L38" s="57">
        <v>0</v>
      </c>
      <c r="M38" s="57"/>
      <c r="N38" s="49">
        <f>SUM(O38:Q38)</f>
        <v>65323</v>
      </c>
      <c r="O38" s="57">
        <f>O29</f>
        <v>33130</v>
      </c>
      <c r="P38" s="57">
        <f>P29</f>
        <v>32193</v>
      </c>
      <c r="Q38" s="57">
        <f>Q29</f>
        <v>0</v>
      </c>
    </row>
    <row r="39" spans="1:20" x14ac:dyDescent="0.2">
      <c r="A39" s="49">
        <v>11</v>
      </c>
      <c r="B39" s="59" t="s">
        <v>1394</v>
      </c>
      <c r="C39" s="45" t="s">
        <v>1395</v>
      </c>
      <c r="D39" s="49">
        <f>SUM(F39:I39)+K39</f>
        <v>3115410</v>
      </c>
      <c r="F39" s="57">
        <f>F28</f>
        <v>3115400</v>
      </c>
      <c r="G39" s="57"/>
      <c r="H39" s="57">
        <v>0</v>
      </c>
      <c r="I39" s="49">
        <f>(L39+M39+N39)</f>
        <v>10</v>
      </c>
      <c r="L39" s="57">
        <f>L28</f>
        <v>10</v>
      </c>
      <c r="M39" s="57"/>
      <c r="N39" s="49">
        <f>SUM(O39:Q39)</f>
        <v>0</v>
      </c>
      <c r="O39" s="57">
        <v>0</v>
      </c>
      <c r="P39" s="57">
        <v>0</v>
      </c>
      <c r="Q39" s="57">
        <f>Q28</f>
        <v>0</v>
      </c>
    </row>
    <row r="40" spans="1:20" x14ac:dyDescent="0.2">
      <c r="A40" s="49"/>
    </row>
    <row r="41" spans="1:20" x14ac:dyDescent="0.2">
      <c r="B41" s="53" t="s">
        <v>590</v>
      </c>
    </row>
    <row r="42" spans="1:20" x14ac:dyDescent="0.2">
      <c r="A42" s="46">
        <v>12</v>
      </c>
      <c r="B42" s="195" t="s">
        <v>1164</v>
      </c>
      <c r="C42" s="73" t="s">
        <v>1157</v>
      </c>
      <c r="D42" s="46">
        <f t="shared" ref="D42:D80" si="4">SUM(F42:I42)+K42</f>
        <v>9234551.6115384512</v>
      </c>
      <c r="E42" s="24"/>
      <c r="F42" s="242">
        <f>SUM(PIS!Q11:Q12)+PIS!Q120-I42</f>
        <v>9225394.6115384512</v>
      </c>
      <c r="G42" s="39"/>
      <c r="H42" s="39">
        <v>0</v>
      </c>
      <c r="I42" s="46">
        <f t="shared" ref="I42:I79" si="5">(L42+M42+N42)</f>
        <v>9157</v>
      </c>
      <c r="J42" s="24"/>
      <c r="K42" s="24"/>
      <c r="L42" s="39">
        <v>0</v>
      </c>
      <c r="M42" s="39"/>
      <c r="N42" s="46">
        <f t="shared" ref="N42:N79" si="6">SUM(O42:Q42)</f>
        <v>9157</v>
      </c>
      <c r="O42" s="274">
        <v>9157</v>
      </c>
      <c r="P42" s="39">
        <v>0</v>
      </c>
      <c r="Q42" s="39">
        <v>0</v>
      </c>
      <c r="R42" s="24"/>
      <c r="S42" s="24"/>
      <c r="T42" s="89"/>
    </row>
    <row r="43" spans="1:20" x14ac:dyDescent="0.2">
      <c r="A43" s="46">
        <v>13</v>
      </c>
      <c r="B43" s="195" t="s">
        <v>1165</v>
      </c>
      <c r="C43" s="73" t="s">
        <v>1158</v>
      </c>
      <c r="D43" s="46">
        <f>SUM(F43:I43)+K43</f>
        <v>27775081.824615382</v>
      </c>
      <c r="E43" s="24"/>
      <c r="F43" s="242">
        <f>PIS!Q13+PIS!Q121-I43</f>
        <v>27419669.824615382</v>
      </c>
      <c r="G43" s="39"/>
      <c r="H43" s="39">
        <v>0</v>
      </c>
      <c r="I43" s="46">
        <f>(L43+M43+N43)</f>
        <v>355412</v>
      </c>
      <c r="J43" s="24"/>
      <c r="K43" s="24"/>
      <c r="L43" s="39">
        <v>0</v>
      </c>
      <c r="M43" s="39"/>
      <c r="N43" s="46">
        <f>SUM(O43:Q43)</f>
        <v>355412</v>
      </c>
      <c r="O43" s="274">
        <v>355412</v>
      </c>
      <c r="P43" s="39">
        <v>0</v>
      </c>
      <c r="Q43" s="39">
        <v>0</v>
      </c>
      <c r="R43" s="24"/>
      <c r="S43" s="24"/>
      <c r="T43" s="89"/>
    </row>
    <row r="44" spans="1:20" x14ac:dyDescent="0.2">
      <c r="A44" s="46">
        <v>14</v>
      </c>
      <c r="B44" s="195" t="s">
        <v>1166</v>
      </c>
      <c r="C44" s="73" t="s">
        <v>1159</v>
      </c>
      <c r="D44" s="46">
        <f>SUM(F44:I44)+K44</f>
        <v>245177243.63692296</v>
      </c>
      <c r="E44" s="24"/>
      <c r="F44" s="242">
        <f>PIS!Q14+PIS!Q122-I44</f>
        <v>241924160.63692296</v>
      </c>
      <c r="G44" s="39"/>
      <c r="H44" s="39">
        <v>0</v>
      </c>
      <c r="I44" s="46">
        <f>(L44+M44+N44)</f>
        <v>3253083</v>
      </c>
      <c r="J44" s="24"/>
      <c r="K44" s="24"/>
      <c r="L44" s="39">
        <v>0</v>
      </c>
      <c r="M44" s="39"/>
      <c r="N44" s="46">
        <f>SUM(O44:Q44)</f>
        <v>3253083</v>
      </c>
      <c r="O44" s="274">
        <v>3253083</v>
      </c>
      <c r="P44" s="39">
        <v>0</v>
      </c>
      <c r="Q44" s="39">
        <v>0</v>
      </c>
      <c r="R44" s="24"/>
      <c r="S44" s="24"/>
      <c r="T44" s="89"/>
    </row>
    <row r="45" spans="1:20" x14ac:dyDescent="0.2">
      <c r="A45" s="46">
        <v>15</v>
      </c>
      <c r="B45" s="195" t="s">
        <v>1167</v>
      </c>
      <c r="C45" s="73" t="s">
        <v>1160</v>
      </c>
      <c r="D45" s="46">
        <f t="shared" si="4"/>
        <v>397421920.64384615</v>
      </c>
      <c r="E45" s="24"/>
      <c r="F45" s="242">
        <f>PIS!Q15+PIS!Q123</f>
        <v>397421920.64384615</v>
      </c>
      <c r="G45" s="39"/>
      <c r="H45" s="39">
        <v>0</v>
      </c>
      <c r="I45" s="46">
        <f t="shared" si="5"/>
        <v>0</v>
      </c>
      <c r="J45" s="24"/>
      <c r="K45" s="24"/>
      <c r="L45" s="39">
        <v>0</v>
      </c>
      <c r="M45" s="39"/>
      <c r="N45" s="46">
        <f t="shared" si="6"/>
        <v>0</v>
      </c>
      <c r="O45" s="39">
        <v>0</v>
      </c>
      <c r="P45" s="39">
        <v>0</v>
      </c>
      <c r="Q45" s="39">
        <v>0</v>
      </c>
      <c r="R45" s="24"/>
      <c r="S45" s="24"/>
      <c r="T45" s="24"/>
    </row>
    <row r="46" spans="1:20" x14ac:dyDescent="0.2">
      <c r="A46" s="46">
        <v>16</v>
      </c>
      <c r="B46" s="195" t="s">
        <v>1168</v>
      </c>
      <c r="C46" s="73" t="s">
        <v>1161</v>
      </c>
      <c r="D46" s="46">
        <f>SUM(F46:I46)+K46</f>
        <v>398758262.67615396</v>
      </c>
      <c r="E46" s="24"/>
      <c r="F46" s="242">
        <f>PIS!Q16+PIS!Q124</f>
        <v>398758262.67615396</v>
      </c>
      <c r="G46" s="39"/>
      <c r="H46" s="39">
        <v>0</v>
      </c>
      <c r="I46" s="46">
        <f>(L46+M46+N46)</f>
        <v>0</v>
      </c>
      <c r="J46" s="24"/>
      <c r="K46" s="24"/>
      <c r="L46" s="39">
        <v>0</v>
      </c>
      <c r="M46" s="39"/>
      <c r="N46" s="46">
        <f>SUM(O46:Q46)</f>
        <v>0</v>
      </c>
      <c r="O46" s="39">
        <v>0</v>
      </c>
      <c r="P46" s="39">
        <v>0</v>
      </c>
      <c r="Q46" s="39">
        <v>0</v>
      </c>
      <c r="R46" s="24"/>
      <c r="S46" s="24"/>
      <c r="T46" s="24"/>
    </row>
    <row r="47" spans="1:20" x14ac:dyDescent="0.2">
      <c r="A47" s="46">
        <v>17</v>
      </c>
      <c r="B47" s="195" t="s">
        <v>0</v>
      </c>
      <c r="C47" s="73" t="s">
        <v>1162</v>
      </c>
      <c r="D47" s="46">
        <f t="shared" si="4"/>
        <v>2390106.04</v>
      </c>
      <c r="E47" s="24"/>
      <c r="F47" s="242">
        <f>PIS!Q17+PIS!Q125</f>
        <v>2390106.04</v>
      </c>
      <c r="G47" s="39"/>
      <c r="H47" s="39">
        <v>0</v>
      </c>
      <c r="I47" s="46">
        <f t="shared" si="5"/>
        <v>0</v>
      </c>
      <c r="J47" s="24"/>
      <c r="K47" s="24"/>
      <c r="L47" s="39">
        <v>0</v>
      </c>
      <c r="M47" s="39"/>
      <c r="N47" s="46">
        <f t="shared" si="6"/>
        <v>0</v>
      </c>
      <c r="O47" s="39">
        <v>0</v>
      </c>
      <c r="P47" s="39">
        <v>0</v>
      </c>
      <c r="Q47" s="39">
        <v>0</v>
      </c>
      <c r="R47" s="24"/>
      <c r="S47" s="24"/>
      <c r="T47" s="24"/>
    </row>
    <row r="48" spans="1:20" x14ac:dyDescent="0.2">
      <c r="A48" s="46">
        <v>18</v>
      </c>
      <c r="B48" s="195" t="s">
        <v>1</v>
      </c>
      <c r="C48" s="73" t="s">
        <v>1163</v>
      </c>
      <c r="D48" s="46">
        <f>SUM(F48:I48)+K48</f>
        <v>216528926.2153846</v>
      </c>
      <c r="E48" s="24"/>
      <c r="F48" s="242">
        <f>PIS!Q18+PIS!Q126</f>
        <v>216528926.2153846</v>
      </c>
      <c r="G48" s="39"/>
      <c r="H48" s="39">
        <v>0</v>
      </c>
      <c r="I48" s="46">
        <f>(L48+M48+N48)</f>
        <v>0</v>
      </c>
      <c r="J48" s="24"/>
      <c r="K48" s="24"/>
      <c r="L48" s="39">
        <v>0</v>
      </c>
      <c r="M48" s="39"/>
      <c r="N48" s="46">
        <f>SUM(O48:Q48)</f>
        <v>0</v>
      </c>
      <c r="O48" s="39">
        <v>0</v>
      </c>
      <c r="P48" s="39">
        <v>0</v>
      </c>
      <c r="Q48" s="39">
        <v>0</v>
      </c>
      <c r="R48" s="24"/>
      <c r="S48" s="24"/>
      <c r="T48" s="24"/>
    </row>
    <row r="49" spans="1:20" x14ac:dyDescent="0.2">
      <c r="A49" s="46">
        <v>19</v>
      </c>
      <c r="B49" s="195" t="s">
        <v>2</v>
      </c>
      <c r="C49" s="73" t="s">
        <v>591</v>
      </c>
      <c r="D49" s="46">
        <f t="shared" si="4"/>
        <v>315437142.83230776</v>
      </c>
      <c r="E49" s="24"/>
      <c r="F49" s="242">
        <f>PIS!Q19+PIS!Q127</f>
        <v>315437142.83230776</v>
      </c>
      <c r="G49" s="39"/>
      <c r="H49" s="39">
        <v>0</v>
      </c>
      <c r="I49" s="46">
        <f t="shared" si="5"/>
        <v>0</v>
      </c>
      <c r="J49" s="24"/>
      <c r="K49" s="24"/>
      <c r="L49" s="39">
        <v>0</v>
      </c>
      <c r="M49" s="39"/>
      <c r="N49" s="46">
        <f t="shared" si="6"/>
        <v>0</v>
      </c>
      <c r="O49" s="39">
        <v>0</v>
      </c>
      <c r="P49" s="39">
        <v>0</v>
      </c>
      <c r="Q49" s="39">
        <v>0</v>
      </c>
      <c r="R49" s="24"/>
      <c r="S49" s="24"/>
      <c r="T49" s="24"/>
    </row>
    <row r="50" spans="1:20" x14ac:dyDescent="0.2">
      <c r="A50" s="46">
        <v>20</v>
      </c>
      <c r="B50" s="195" t="s">
        <v>5</v>
      </c>
      <c r="C50" s="73" t="s">
        <v>4</v>
      </c>
      <c r="D50" s="46">
        <f>SUM(F50:I50)+K50</f>
        <v>658287.18999999994</v>
      </c>
      <c r="E50" s="24"/>
      <c r="F50" s="242">
        <f>PIS!Q26</f>
        <v>658287.18999999994</v>
      </c>
      <c r="G50" s="39"/>
      <c r="H50" s="39">
        <v>0</v>
      </c>
      <c r="I50" s="46">
        <f>(L50+M50+N50)</f>
        <v>0</v>
      </c>
      <c r="J50" s="24"/>
      <c r="K50" s="24"/>
      <c r="L50" s="39">
        <v>0</v>
      </c>
      <c r="M50" s="39"/>
      <c r="N50" s="46">
        <f>SUM(O50:Q50)</f>
        <v>0</v>
      </c>
      <c r="O50" s="39">
        <v>0</v>
      </c>
      <c r="P50" s="39">
        <v>0</v>
      </c>
      <c r="Q50" s="39">
        <v>0</v>
      </c>
      <c r="R50" s="24"/>
      <c r="S50" s="24"/>
      <c r="T50" s="24"/>
    </row>
    <row r="51" spans="1:20" x14ac:dyDescent="0.2">
      <c r="A51" s="46">
        <v>21</v>
      </c>
      <c r="B51" s="195" t="s">
        <v>12</v>
      </c>
      <c r="C51" s="73" t="s">
        <v>17</v>
      </c>
      <c r="D51" s="46">
        <f t="shared" si="4"/>
        <v>313284.18999999901</v>
      </c>
      <c r="E51" s="24"/>
      <c r="F51" s="39">
        <v>0</v>
      </c>
      <c r="G51" s="39"/>
      <c r="H51" s="242">
        <f>SUM(PIS!Q199:Q200)</f>
        <v>313284.18999999901</v>
      </c>
      <c r="I51" s="46">
        <f t="shared" si="5"/>
        <v>0</v>
      </c>
      <c r="J51" s="24"/>
      <c r="K51" s="24"/>
      <c r="L51" s="39">
        <v>0</v>
      </c>
      <c r="M51" s="39"/>
      <c r="N51" s="46">
        <f t="shared" si="6"/>
        <v>0</v>
      </c>
      <c r="O51" s="39">
        <v>0</v>
      </c>
      <c r="P51" s="39">
        <v>0</v>
      </c>
      <c r="Q51" s="39">
        <v>0</v>
      </c>
      <c r="R51" s="24"/>
      <c r="S51" s="24"/>
      <c r="T51" s="24"/>
    </row>
    <row r="52" spans="1:20" x14ac:dyDescent="0.2">
      <c r="A52" s="46">
        <v>22</v>
      </c>
      <c r="B52" s="195" t="s">
        <v>10</v>
      </c>
      <c r="C52" s="73" t="s">
        <v>18</v>
      </c>
      <c r="D52" s="46">
        <f>SUM(F52:I52)+K52</f>
        <v>767594.02000000025</v>
      </c>
      <c r="E52" s="24"/>
      <c r="F52" s="39">
        <v>0</v>
      </c>
      <c r="G52" s="39"/>
      <c r="H52" s="242">
        <f>PIS!Q201+PIS!Q253</f>
        <v>767594.02000000025</v>
      </c>
      <c r="I52" s="46">
        <f>(L52+M52+N52)</f>
        <v>0</v>
      </c>
      <c r="J52" s="24"/>
      <c r="K52" s="24"/>
      <c r="L52" s="39">
        <v>0</v>
      </c>
      <c r="M52" s="39"/>
      <c r="N52" s="46">
        <f>SUM(O52:Q52)</f>
        <v>0</v>
      </c>
      <c r="O52" s="39">
        <v>0</v>
      </c>
      <c r="P52" s="39">
        <v>0</v>
      </c>
      <c r="Q52" s="39">
        <v>0</v>
      </c>
      <c r="R52" s="24"/>
      <c r="S52" s="24"/>
      <c r="T52" s="24"/>
    </row>
    <row r="53" spans="1:20" x14ac:dyDescent="0.2">
      <c r="A53" s="46">
        <v>23</v>
      </c>
      <c r="B53" s="195" t="s">
        <v>11</v>
      </c>
      <c r="C53" s="73" t="s">
        <v>19</v>
      </c>
      <c r="D53" s="46">
        <f>SUM(F53:I53)+K53</f>
        <v>8513231.9299999978</v>
      </c>
      <c r="E53" s="24"/>
      <c r="F53" s="39">
        <v>0</v>
      </c>
      <c r="G53" s="39"/>
      <c r="H53" s="242">
        <f>PIS!Q202+PIS!Q254</f>
        <v>8513231.9299999978</v>
      </c>
      <c r="I53" s="46">
        <f>(L53+M53+N53)</f>
        <v>0</v>
      </c>
      <c r="J53" s="24"/>
      <c r="K53" s="24"/>
      <c r="L53" s="39">
        <v>0</v>
      </c>
      <c r="M53" s="39"/>
      <c r="N53" s="46">
        <f>SUM(O53:Q53)</f>
        <v>0</v>
      </c>
      <c r="O53" s="39">
        <v>0</v>
      </c>
      <c r="P53" s="39">
        <v>0</v>
      </c>
      <c r="Q53" s="39">
        <v>0</v>
      </c>
      <c r="R53" s="24"/>
      <c r="S53" s="24"/>
      <c r="T53" s="24"/>
    </row>
    <row r="54" spans="1:20" x14ac:dyDescent="0.2">
      <c r="A54" s="46">
        <v>24</v>
      </c>
      <c r="B54" s="195" t="s">
        <v>1448</v>
      </c>
      <c r="C54" s="44" t="s">
        <v>1449</v>
      </c>
      <c r="D54" s="46">
        <f t="shared" si="4"/>
        <v>1471422.59</v>
      </c>
      <c r="E54" s="24"/>
      <c r="F54" s="242">
        <f>PHFU!C12+PHFU!C14+PHFU!C16</f>
        <v>1147334.75</v>
      </c>
      <c r="G54" s="242"/>
      <c r="H54" s="242">
        <f>PHFU!C6</f>
        <v>324087.84000000003</v>
      </c>
      <c r="I54" s="46">
        <f t="shared" si="5"/>
        <v>0</v>
      </c>
      <c r="J54" s="24"/>
      <c r="K54" s="24"/>
      <c r="L54" s="39">
        <v>0</v>
      </c>
      <c r="M54" s="39"/>
      <c r="N54" s="46">
        <f t="shared" si="6"/>
        <v>0</v>
      </c>
      <c r="O54" s="39">
        <v>0</v>
      </c>
      <c r="P54" s="39">
        <v>0</v>
      </c>
      <c r="Q54" s="39">
        <v>0</v>
      </c>
      <c r="R54" s="24"/>
      <c r="S54" s="24"/>
      <c r="T54" s="24"/>
    </row>
    <row r="55" spans="1:20" x14ac:dyDescent="0.2">
      <c r="A55" s="46">
        <v>25</v>
      </c>
      <c r="B55" s="195" t="s">
        <v>13</v>
      </c>
      <c r="C55" s="73" t="s">
        <v>20</v>
      </c>
      <c r="D55" s="46">
        <f t="shared" si="4"/>
        <v>30706197.12153846</v>
      </c>
      <c r="E55" s="24"/>
      <c r="F55" s="39">
        <v>0</v>
      </c>
      <c r="G55" s="39"/>
      <c r="H55" s="242">
        <f>PIS!Q203+PIS!Q255</f>
        <v>30706197.12153846</v>
      </c>
      <c r="I55" s="46">
        <f t="shared" si="5"/>
        <v>0</v>
      </c>
      <c r="J55" s="24"/>
      <c r="K55" s="24"/>
      <c r="L55" s="39">
        <v>0</v>
      </c>
      <c r="M55" s="39"/>
      <c r="N55" s="46">
        <f t="shared" si="6"/>
        <v>0</v>
      </c>
      <c r="O55" s="39">
        <v>0</v>
      </c>
      <c r="P55" s="39">
        <v>0</v>
      </c>
      <c r="Q55" s="39">
        <v>0</v>
      </c>
      <c r="R55" s="24"/>
      <c r="S55" s="24"/>
      <c r="T55" s="24"/>
    </row>
    <row r="56" spans="1:20" x14ac:dyDescent="0.2">
      <c r="A56" s="46">
        <v>26</v>
      </c>
      <c r="B56" s="195" t="s">
        <v>14</v>
      </c>
      <c r="C56" s="73" t="s">
        <v>21</v>
      </c>
      <c r="D56" s="46">
        <f>SUM(F56:I56)+K56</f>
        <v>29286126.640769172</v>
      </c>
      <c r="E56" s="24"/>
      <c r="F56" s="39">
        <v>0</v>
      </c>
      <c r="G56" s="39"/>
      <c r="H56" s="242">
        <f>PIS!Q204+PIS!Q256</f>
        <v>29286126.640769172</v>
      </c>
      <c r="I56" s="46">
        <f>(L56+M56+N56)</f>
        <v>0</v>
      </c>
      <c r="J56" s="24"/>
      <c r="K56" s="24"/>
      <c r="L56" s="39">
        <v>0</v>
      </c>
      <c r="M56" s="39"/>
      <c r="N56" s="46">
        <f>SUM(O56:Q56)</f>
        <v>0</v>
      </c>
      <c r="O56" s="39">
        <v>0</v>
      </c>
      <c r="P56" s="39">
        <v>0</v>
      </c>
      <c r="Q56" s="39">
        <v>0</v>
      </c>
      <c r="R56" s="24"/>
      <c r="S56" s="24"/>
      <c r="T56" s="24"/>
    </row>
    <row r="57" spans="1:20" x14ac:dyDescent="0.2">
      <c r="A57" s="46">
        <v>27</v>
      </c>
      <c r="B57" s="195" t="s">
        <v>15</v>
      </c>
      <c r="C57" s="73" t="s">
        <v>22</v>
      </c>
      <c r="D57" s="46">
        <f t="shared" si="4"/>
        <v>5120978.2023076899</v>
      </c>
      <c r="E57" s="24"/>
      <c r="F57" s="39">
        <v>0</v>
      </c>
      <c r="G57" s="39"/>
      <c r="H57" s="242">
        <f>PIS!Q206+SUM(PIS!Q257:Q258)</f>
        <v>5120978.2023076899</v>
      </c>
      <c r="I57" s="46">
        <f t="shared" si="5"/>
        <v>0</v>
      </c>
      <c r="J57" s="24"/>
      <c r="K57" s="24"/>
      <c r="L57" s="39">
        <v>0</v>
      </c>
      <c r="M57" s="39"/>
      <c r="N57" s="46">
        <f t="shared" si="6"/>
        <v>0</v>
      </c>
      <c r="O57" s="39">
        <v>0</v>
      </c>
      <c r="P57" s="39">
        <v>0</v>
      </c>
      <c r="Q57" s="39">
        <v>0</v>
      </c>
      <c r="R57" s="24"/>
      <c r="S57" s="24"/>
      <c r="T57" s="24"/>
    </row>
    <row r="58" spans="1:20" x14ac:dyDescent="0.2">
      <c r="A58" s="46">
        <v>28</v>
      </c>
      <c r="B58" s="195" t="s">
        <v>16</v>
      </c>
      <c r="C58" s="44" t="s">
        <v>599</v>
      </c>
      <c r="D58" s="46">
        <f t="shared" si="4"/>
        <v>11174524.039230768</v>
      </c>
      <c r="E58" s="24"/>
      <c r="F58" s="39">
        <v>0</v>
      </c>
      <c r="G58" s="39"/>
      <c r="H58" s="242">
        <f>PIS!Q207+PIS!Q259</f>
        <v>11174524.039230768</v>
      </c>
      <c r="I58" s="46">
        <f t="shared" si="5"/>
        <v>0</v>
      </c>
      <c r="J58" s="24"/>
      <c r="K58" s="24"/>
      <c r="L58" s="39">
        <v>0</v>
      </c>
      <c r="M58" s="39"/>
      <c r="N58" s="46">
        <f t="shared" si="6"/>
        <v>0</v>
      </c>
      <c r="O58" s="39">
        <v>0</v>
      </c>
      <c r="P58" s="39">
        <v>0</v>
      </c>
      <c r="Q58" s="39">
        <v>0</v>
      </c>
      <c r="R58" s="24"/>
      <c r="S58" s="24"/>
      <c r="T58" s="24"/>
    </row>
    <row r="59" spans="1:20" x14ac:dyDescent="0.2">
      <c r="A59" s="46">
        <v>29</v>
      </c>
      <c r="B59" s="195" t="s">
        <v>34</v>
      </c>
      <c r="C59" s="73" t="s">
        <v>25</v>
      </c>
      <c r="D59" s="46">
        <f t="shared" si="4"/>
        <v>475572.53000000009</v>
      </c>
      <c r="E59" s="24"/>
      <c r="F59" s="39">
        <v>0</v>
      </c>
      <c r="G59" s="39"/>
      <c r="H59" s="39">
        <v>0</v>
      </c>
      <c r="I59" s="46">
        <f t="shared" si="5"/>
        <v>475572.53000000009</v>
      </c>
      <c r="J59" s="24"/>
      <c r="K59" s="24"/>
      <c r="L59" s="242">
        <f>PIS!Q292+PIS!Q293</f>
        <v>475572.53000000009</v>
      </c>
      <c r="M59" s="39"/>
      <c r="N59" s="46">
        <f t="shared" si="6"/>
        <v>0</v>
      </c>
      <c r="O59" s="39">
        <v>0</v>
      </c>
      <c r="P59" s="39">
        <v>0</v>
      </c>
      <c r="Q59" s="39">
        <v>0</v>
      </c>
      <c r="R59" s="24"/>
      <c r="S59" s="24"/>
      <c r="T59" s="24"/>
    </row>
    <row r="60" spans="1:20" x14ac:dyDescent="0.2">
      <c r="A60" s="46">
        <v>30</v>
      </c>
      <c r="B60" s="195" t="s">
        <v>35</v>
      </c>
      <c r="C60" s="73" t="s">
        <v>26</v>
      </c>
      <c r="D60" s="46">
        <f t="shared" ref="D60:D67" si="7">SUM(F60:I60)+K60</f>
        <v>2545.13</v>
      </c>
      <c r="E60" s="24"/>
      <c r="F60" s="39">
        <v>0</v>
      </c>
      <c r="G60" s="39"/>
      <c r="H60" s="39">
        <v>0</v>
      </c>
      <c r="I60" s="46">
        <f t="shared" ref="I60:I67" si="8">(L60+M60+N60)</f>
        <v>2545.13</v>
      </c>
      <c r="J60" s="24"/>
      <c r="K60" s="24"/>
      <c r="L60" s="242">
        <f>PIS!Q294</f>
        <v>2545.13</v>
      </c>
      <c r="M60" s="39"/>
      <c r="N60" s="46">
        <f t="shared" ref="N60:N67" si="9">SUM(O60:Q60)</f>
        <v>0</v>
      </c>
      <c r="O60" s="39">
        <v>0</v>
      </c>
      <c r="P60" s="39">
        <v>0</v>
      </c>
      <c r="Q60" s="39">
        <v>0</v>
      </c>
      <c r="R60" s="24"/>
      <c r="S60" s="24"/>
      <c r="T60" s="24"/>
    </row>
    <row r="61" spans="1:20" x14ac:dyDescent="0.2">
      <c r="A61" s="46">
        <v>31</v>
      </c>
      <c r="B61" s="195" t="s">
        <v>36</v>
      </c>
      <c r="C61" s="73" t="s">
        <v>27</v>
      </c>
      <c r="D61" s="46">
        <f t="shared" si="7"/>
        <v>66880.14999999998</v>
      </c>
      <c r="E61" s="24"/>
      <c r="F61" s="39">
        <v>0</v>
      </c>
      <c r="G61" s="39"/>
      <c r="H61" s="39">
        <v>0</v>
      </c>
      <c r="I61" s="46">
        <f t="shared" si="8"/>
        <v>66880.14999999998</v>
      </c>
      <c r="J61" s="24"/>
      <c r="K61" s="24"/>
      <c r="L61" s="242">
        <f>PIS!Q295</f>
        <v>66880.14999999998</v>
      </c>
      <c r="M61" s="39"/>
      <c r="N61" s="46">
        <f t="shared" si="9"/>
        <v>0</v>
      </c>
      <c r="O61" s="39">
        <v>0</v>
      </c>
      <c r="P61" s="39">
        <v>0</v>
      </c>
      <c r="Q61" s="39">
        <v>0</v>
      </c>
      <c r="R61" s="24"/>
      <c r="S61" s="24"/>
      <c r="T61" s="24"/>
    </row>
    <row r="62" spans="1:20" x14ac:dyDescent="0.2">
      <c r="A62" s="46">
        <v>32</v>
      </c>
      <c r="B62" s="195" t="s">
        <v>37</v>
      </c>
      <c r="C62" s="73" t="s">
        <v>28</v>
      </c>
      <c r="D62" s="46">
        <f t="shared" si="7"/>
        <v>47785.56</v>
      </c>
      <c r="E62" s="24"/>
      <c r="F62" s="39">
        <v>0</v>
      </c>
      <c r="G62" s="39"/>
      <c r="H62" s="39">
        <v>0</v>
      </c>
      <c r="I62" s="46">
        <f t="shared" si="8"/>
        <v>47785.56</v>
      </c>
      <c r="J62" s="24"/>
      <c r="K62" s="24"/>
      <c r="L62" s="242">
        <f>PIS!Q296</f>
        <v>47785.56</v>
      </c>
      <c r="M62" s="39"/>
      <c r="N62" s="46">
        <f t="shared" si="9"/>
        <v>0</v>
      </c>
      <c r="O62" s="39">
        <v>0</v>
      </c>
      <c r="P62" s="39">
        <v>0</v>
      </c>
      <c r="Q62" s="39">
        <v>0</v>
      </c>
      <c r="R62" s="24"/>
      <c r="S62" s="24"/>
      <c r="T62" s="24"/>
    </row>
    <row r="63" spans="1:20" x14ac:dyDescent="0.2">
      <c r="A63" s="46">
        <v>33</v>
      </c>
      <c r="B63" s="195" t="s">
        <v>38</v>
      </c>
      <c r="C63" s="73" t="s">
        <v>29</v>
      </c>
      <c r="D63" s="46">
        <f t="shared" si="7"/>
        <v>46763.22</v>
      </c>
      <c r="E63" s="24"/>
      <c r="F63" s="39">
        <v>0</v>
      </c>
      <c r="G63" s="39"/>
      <c r="H63" s="39">
        <v>0</v>
      </c>
      <c r="I63" s="46">
        <f t="shared" si="8"/>
        <v>46763.22</v>
      </c>
      <c r="J63" s="24"/>
      <c r="K63" s="24"/>
      <c r="L63" s="242">
        <f>PIS!Q297</f>
        <v>46763.22</v>
      </c>
      <c r="M63" s="39"/>
      <c r="N63" s="46">
        <f t="shared" si="9"/>
        <v>0</v>
      </c>
      <c r="O63" s="39">
        <v>0</v>
      </c>
      <c r="P63" s="39">
        <v>0</v>
      </c>
      <c r="Q63" s="39">
        <v>0</v>
      </c>
      <c r="R63" s="24"/>
      <c r="S63" s="24"/>
      <c r="T63" s="24"/>
    </row>
    <row r="64" spans="1:20" x14ac:dyDescent="0.2">
      <c r="A64" s="46">
        <v>34</v>
      </c>
      <c r="B64" s="195" t="s">
        <v>39</v>
      </c>
      <c r="C64" s="73" t="s">
        <v>30</v>
      </c>
      <c r="D64" s="46">
        <f t="shared" si="7"/>
        <v>3118.2799999999988</v>
      </c>
      <c r="E64" s="24"/>
      <c r="F64" s="39">
        <v>0</v>
      </c>
      <c r="G64" s="39"/>
      <c r="H64" s="39">
        <v>0</v>
      </c>
      <c r="I64" s="46">
        <f t="shared" si="8"/>
        <v>3118.2799999999988</v>
      </c>
      <c r="J64" s="24"/>
      <c r="K64" s="24"/>
      <c r="L64" s="242">
        <f>PIS!Q300</f>
        <v>3118.2799999999988</v>
      </c>
      <c r="M64" s="39"/>
      <c r="N64" s="46">
        <f t="shared" si="9"/>
        <v>0</v>
      </c>
      <c r="O64" s="39">
        <v>0</v>
      </c>
      <c r="P64" s="39">
        <v>0</v>
      </c>
      <c r="Q64" s="39">
        <v>0</v>
      </c>
      <c r="R64" s="24"/>
      <c r="S64" s="24"/>
      <c r="T64" s="24"/>
    </row>
    <row r="65" spans="1:25" x14ac:dyDescent="0.2">
      <c r="A65" s="46">
        <v>35</v>
      </c>
      <c r="B65" s="195" t="s">
        <v>40</v>
      </c>
      <c r="C65" s="73" t="s">
        <v>33</v>
      </c>
      <c r="D65" s="46">
        <f t="shared" si="7"/>
        <v>254.62</v>
      </c>
      <c r="E65" s="24"/>
      <c r="F65" s="39">
        <v>0</v>
      </c>
      <c r="G65" s="39"/>
      <c r="H65" s="39">
        <v>0</v>
      </c>
      <c r="I65" s="46">
        <f t="shared" si="8"/>
        <v>254.62</v>
      </c>
      <c r="J65" s="24"/>
      <c r="K65" s="24"/>
      <c r="L65" s="242">
        <f>PIS!Q301</f>
        <v>254.62</v>
      </c>
      <c r="M65" s="39"/>
      <c r="N65" s="46">
        <f t="shared" si="9"/>
        <v>0</v>
      </c>
      <c r="O65" s="39">
        <v>0</v>
      </c>
      <c r="P65" s="39">
        <v>0</v>
      </c>
      <c r="Q65" s="39">
        <v>0</v>
      </c>
      <c r="R65" s="24"/>
      <c r="S65" s="24"/>
      <c r="T65" s="24"/>
    </row>
    <row r="66" spans="1:25" x14ac:dyDescent="0.2">
      <c r="A66" s="46">
        <v>36</v>
      </c>
      <c r="B66" s="195" t="s">
        <v>41</v>
      </c>
      <c r="C66" s="73" t="s">
        <v>32</v>
      </c>
      <c r="D66" s="46">
        <f t="shared" si="7"/>
        <v>4199.21</v>
      </c>
      <c r="E66" s="24"/>
      <c r="F66" s="39">
        <v>0</v>
      </c>
      <c r="G66" s="39"/>
      <c r="H66" s="39">
        <v>0</v>
      </c>
      <c r="I66" s="46">
        <f t="shared" si="8"/>
        <v>4199.21</v>
      </c>
      <c r="J66" s="24"/>
      <c r="K66" s="24"/>
      <c r="L66" s="242">
        <f>PIS!Q302+PIS!Q303</f>
        <v>4199.21</v>
      </c>
      <c r="M66" s="39"/>
      <c r="N66" s="46">
        <f t="shared" si="9"/>
        <v>0</v>
      </c>
      <c r="O66" s="39">
        <v>0</v>
      </c>
      <c r="P66" s="39">
        <v>0</v>
      </c>
      <c r="Q66" s="39">
        <v>0</v>
      </c>
      <c r="R66" s="24"/>
      <c r="S66" s="24"/>
      <c r="T66" s="24"/>
    </row>
    <row r="67" spans="1:25" x14ac:dyDescent="0.2">
      <c r="A67" s="46">
        <v>37</v>
      </c>
      <c r="B67" s="195" t="s">
        <v>42</v>
      </c>
      <c r="C67" s="73" t="s">
        <v>31</v>
      </c>
      <c r="D67" s="46">
        <f t="shared" si="7"/>
        <v>0</v>
      </c>
      <c r="E67" s="24"/>
      <c r="F67" s="39">
        <v>0</v>
      </c>
      <c r="G67" s="39"/>
      <c r="H67" s="39">
        <v>0</v>
      </c>
      <c r="I67" s="46">
        <f t="shared" si="8"/>
        <v>0</v>
      </c>
      <c r="J67" s="24"/>
      <c r="K67" s="24"/>
      <c r="L67" s="242">
        <f>PIS!Q304</f>
        <v>0</v>
      </c>
      <c r="M67" s="39"/>
      <c r="N67" s="46">
        <f t="shared" si="9"/>
        <v>0</v>
      </c>
      <c r="O67" s="39">
        <v>0</v>
      </c>
      <c r="P67" s="39">
        <v>0</v>
      </c>
      <c r="Q67" s="39">
        <v>0</v>
      </c>
      <c r="R67" s="24"/>
      <c r="S67" s="24"/>
      <c r="T67" s="24"/>
    </row>
    <row r="68" spans="1:25" x14ac:dyDescent="0.2">
      <c r="A68" s="46">
        <v>38</v>
      </c>
      <c r="B68" s="38" t="s">
        <v>620</v>
      </c>
      <c r="C68" s="44" t="s">
        <v>621</v>
      </c>
      <c r="D68" s="46">
        <f t="shared" si="4"/>
        <v>42397904.754276715</v>
      </c>
      <c r="E68" s="24"/>
      <c r="F68" s="39">
        <v>0</v>
      </c>
      <c r="G68" s="39"/>
      <c r="H68" s="242">
        <f>'RWIP Allocation'!C74+'RWIP Allocation'!C75</f>
        <v>42243614.96949438</v>
      </c>
      <c r="I68" s="46">
        <f t="shared" si="5"/>
        <v>154289.7847823358</v>
      </c>
      <c r="J68" s="24"/>
      <c r="K68" s="24"/>
      <c r="L68" s="242">
        <f>'RWIP Allocation'!C76+'RWIP Allocation'!C77</f>
        <v>154289.7847823358</v>
      </c>
      <c r="M68" s="39"/>
      <c r="N68" s="46">
        <f t="shared" si="6"/>
        <v>0</v>
      </c>
      <c r="O68" s="39">
        <v>0</v>
      </c>
      <c r="P68" s="39">
        <v>0</v>
      </c>
      <c r="Q68" s="39">
        <v>0</v>
      </c>
      <c r="R68" s="24"/>
      <c r="S68" s="24"/>
      <c r="T68" s="24"/>
    </row>
    <row r="69" spans="1:25" x14ac:dyDescent="0.2">
      <c r="A69" s="46">
        <v>39</v>
      </c>
      <c r="B69" s="38" t="s">
        <v>622</v>
      </c>
      <c r="C69" s="44" t="s">
        <v>623</v>
      </c>
      <c r="D69" s="46">
        <f t="shared" si="4"/>
        <v>8760.6189088464362</v>
      </c>
      <c r="E69" s="24"/>
      <c r="F69" s="39">
        <v>0</v>
      </c>
      <c r="G69" s="39"/>
      <c r="H69" s="242">
        <f>'CWIP and AFUDC'!F70</f>
        <v>8760.6189088464362</v>
      </c>
      <c r="I69" s="46">
        <f t="shared" si="5"/>
        <v>0</v>
      </c>
      <c r="J69" s="24"/>
      <c r="K69" s="24"/>
      <c r="L69" s="242">
        <f>'CWIP and AFUDC'!F77</f>
        <v>0</v>
      </c>
      <c r="M69" s="39"/>
      <c r="N69" s="46">
        <f t="shared" si="6"/>
        <v>0</v>
      </c>
      <c r="O69" s="39">
        <v>0</v>
      </c>
      <c r="P69" s="39">
        <v>0</v>
      </c>
      <c r="Q69" s="39">
        <v>0</v>
      </c>
      <c r="R69" s="24"/>
      <c r="S69" s="24"/>
      <c r="T69" s="24"/>
    </row>
    <row r="70" spans="1:25" x14ac:dyDescent="0.2">
      <c r="A70" s="46">
        <v>40</v>
      </c>
      <c r="B70" s="38" t="s">
        <v>1406</v>
      </c>
      <c r="C70" s="44" t="s">
        <v>624</v>
      </c>
      <c r="D70" s="46">
        <f t="shared" si="4"/>
        <v>10084233</v>
      </c>
      <c r="E70" s="24"/>
      <c r="F70" s="39">
        <v>0</v>
      </c>
      <c r="G70" s="39"/>
      <c r="H70" s="274">
        <v>10084233</v>
      </c>
      <c r="I70" s="46">
        <f t="shared" si="5"/>
        <v>0</v>
      </c>
      <c r="J70" s="24"/>
      <c r="K70" s="24"/>
      <c r="L70" s="39">
        <v>0</v>
      </c>
      <c r="M70" s="39"/>
      <c r="N70" s="46">
        <f t="shared" si="6"/>
        <v>0</v>
      </c>
      <c r="O70" s="39">
        <v>0</v>
      </c>
      <c r="P70" s="39">
        <v>0</v>
      </c>
      <c r="Q70" s="39">
        <v>0</v>
      </c>
      <c r="R70" s="24"/>
      <c r="S70" s="24"/>
      <c r="T70" s="24"/>
    </row>
    <row r="71" spans="1:25" x14ac:dyDescent="0.2">
      <c r="A71" s="46">
        <v>41</v>
      </c>
      <c r="B71" s="38" t="s">
        <v>1407</v>
      </c>
      <c r="C71" s="44" t="s">
        <v>625</v>
      </c>
      <c r="D71" s="46">
        <f t="shared" si="4"/>
        <v>0</v>
      </c>
      <c r="E71" s="24"/>
      <c r="F71" s="39">
        <v>0</v>
      </c>
      <c r="G71" s="39"/>
      <c r="H71" s="39">
        <v>0</v>
      </c>
      <c r="I71" s="46">
        <f t="shared" si="5"/>
        <v>0</v>
      </c>
      <c r="J71" s="24"/>
      <c r="K71" s="24"/>
      <c r="L71" s="39">
        <v>0</v>
      </c>
      <c r="M71" s="39"/>
      <c r="N71" s="46">
        <f t="shared" si="6"/>
        <v>0</v>
      </c>
      <c r="O71" s="39">
        <v>0</v>
      </c>
      <c r="P71" s="39">
        <v>0</v>
      </c>
      <c r="Q71" s="39">
        <v>0</v>
      </c>
      <c r="R71" s="24"/>
      <c r="S71" s="24"/>
      <c r="T71" s="24"/>
      <c r="V71" s="24" t="s">
        <v>1457</v>
      </c>
      <c r="W71" s="24" t="s">
        <v>559</v>
      </c>
      <c r="X71" s="24" t="s">
        <v>560</v>
      </c>
    </row>
    <row r="72" spans="1:25" x14ac:dyDescent="0.2">
      <c r="A72" s="46">
        <v>42</v>
      </c>
      <c r="B72" s="195" t="s">
        <v>1278</v>
      </c>
      <c r="C72" s="73" t="s">
        <v>1277</v>
      </c>
      <c r="D72" s="46">
        <f t="shared" si="4"/>
        <v>3695780.1399999964</v>
      </c>
      <c r="E72" s="24"/>
      <c r="F72" s="274">
        <f>SUM(MiscRev!N7:N9)+MiscRev!N11-H72-I72</f>
        <v>3139768.4099999964</v>
      </c>
      <c r="G72" s="39"/>
      <c r="H72" s="274">
        <f>387734.87</f>
        <v>387734.87</v>
      </c>
      <c r="I72" s="46">
        <f t="shared" si="5"/>
        <v>168276.86000000002</v>
      </c>
      <c r="J72" s="24"/>
      <c r="K72" s="24"/>
      <c r="L72" s="274">
        <v>57.5</v>
      </c>
      <c r="M72" s="39"/>
      <c r="N72" s="46">
        <f t="shared" si="6"/>
        <v>168219.36000000002</v>
      </c>
      <c r="O72" s="274">
        <f>W72+W73</f>
        <v>168219.36000000002</v>
      </c>
      <c r="P72" s="274">
        <f>X72</f>
        <v>0</v>
      </c>
      <c r="Q72" s="39">
        <v>0</v>
      </c>
      <c r="R72" s="24"/>
      <c r="S72" s="24"/>
      <c r="T72" s="24"/>
      <c r="U72" s="359"/>
      <c r="V72" s="274"/>
    </row>
    <row r="73" spans="1:25" x14ac:dyDescent="0.2">
      <c r="A73" s="46">
        <v>43</v>
      </c>
      <c r="B73" s="195" t="s">
        <v>1286</v>
      </c>
      <c r="C73" s="73" t="s">
        <v>1287</v>
      </c>
      <c r="D73" s="46">
        <f t="shared" si="4"/>
        <v>36813.089999999997</v>
      </c>
      <c r="E73" s="24"/>
      <c r="F73" s="274">
        <v>35268.839999999997</v>
      </c>
      <c r="G73" s="39"/>
      <c r="H73" s="274">
        <v>1544.25</v>
      </c>
      <c r="I73" s="46">
        <f t="shared" si="5"/>
        <v>0</v>
      </c>
      <c r="J73" s="24"/>
      <c r="K73" s="24"/>
      <c r="L73" s="39">
        <v>0</v>
      </c>
      <c r="M73" s="39"/>
      <c r="N73" s="46">
        <f t="shared" si="6"/>
        <v>0</v>
      </c>
      <c r="O73" s="39">
        <v>0</v>
      </c>
      <c r="P73" s="39">
        <v>0</v>
      </c>
      <c r="Q73" s="39">
        <v>0</v>
      </c>
      <c r="R73" s="24"/>
      <c r="S73" s="24"/>
      <c r="T73" s="24"/>
      <c r="U73" s="359" t="s">
        <v>2422</v>
      </c>
      <c r="V73" s="274">
        <f>W73+X73</f>
        <v>168219.36000000002</v>
      </c>
      <c r="W73" s="24">
        <f>MiscRev!N9</f>
        <v>168219.36000000002</v>
      </c>
      <c r="X73" s="24">
        <v>0</v>
      </c>
      <c r="Y73" s="24" t="s">
        <v>2407</v>
      </c>
    </row>
    <row r="74" spans="1:25" x14ac:dyDescent="0.2">
      <c r="A74" s="46">
        <v>44</v>
      </c>
      <c r="B74" s="195" t="s">
        <v>1285</v>
      </c>
      <c r="C74" s="73" t="s">
        <v>1284</v>
      </c>
      <c r="D74" s="46">
        <f t="shared" si="4"/>
        <v>72900.206666669401</v>
      </c>
      <c r="E74" s="24"/>
      <c r="F74" s="274">
        <f>MiscRev!N19</f>
        <v>72900.206666669401</v>
      </c>
      <c r="G74" s="39"/>
      <c r="H74" s="274">
        <v>0</v>
      </c>
      <c r="I74" s="46">
        <f t="shared" si="5"/>
        <v>0</v>
      </c>
      <c r="J74" s="24"/>
      <c r="K74" s="24"/>
      <c r="L74" s="39">
        <v>0</v>
      </c>
      <c r="M74" s="39"/>
      <c r="N74" s="46">
        <f t="shared" si="6"/>
        <v>0</v>
      </c>
      <c r="O74" s="46">
        <f>W74</f>
        <v>0</v>
      </c>
      <c r="P74" s="46">
        <f>X74</f>
        <v>0</v>
      </c>
      <c r="Q74" s="39">
        <v>0</v>
      </c>
      <c r="R74" s="24"/>
      <c r="S74" s="24"/>
      <c r="T74" s="24"/>
      <c r="U74" s="359"/>
      <c r="V74" s="274"/>
    </row>
    <row r="75" spans="1:25" x14ac:dyDescent="0.2">
      <c r="A75" s="46">
        <v>45</v>
      </c>
      <c r="B75" s="195" t="s">
        <v>1273</v>
      </c>
      <c r="C75" s="73" t="s">
        <v>1274</v>
      </c>
      <c r="D75" s="46">
        <f t="shared" si="4"/>
        <v>2409014.85</v>
      </c>
      <c r="E75" s="24"/>
      <c r="F75" s="274">
        <f>2147992+108056.35</f>
        <v>2256048.35</v>
      </c>
      <c r="G75" s="39"/>
      <c r="H75" s="274">
        <f>143724+9242.5</f>
        <v>152966.5</v>
      </c>
      <c r="I75" s="46">
        <f t="shared" si="5"/>
        <v>0</v>
      </c>
      <c r="J75" s="24"/>
      <c r="K75" s="24"/>
      <c r="L75" s="39">
        <v>0</v>
      </c>
      <c r="M75" s="39"/>
      <c r="N75" s="46">
        <f t="shared" si="6"/>
        <v>0</v>
      </c>
      <c r="O75" s="39">
        <v>0</v>
      </c>
      <c r="P75" s="39">
        <v>0</v>
      </c>
      <c r="Q75" s="39">
        <v>0</v>
      </c>
      <c r="R75" s="24"/>
      <c r="S75" s="24"/>
      <c r="T75" s="24"/>
    </row>
    <row r="76" spans="1:25" x14ac:dyDescent="0.2">
      <c r="A76" s="46">
        <v>46</v>
      </c>
      <c r="B76" s="195" t="s">
        <v>1275</v>
      </c>
      <c r="C76" s="73" t="s">
        <v>1276</v>
      </c>
      <c r="D76" s="46">
        <f>SUM(F76:I76)+K76</f>
        <v>60477.13</v>
      </c>
      <c r="E76" s="24"/>
      <c r="F76" s="274">
        <f>57015.7+3001.43</f>
        <v>60017.13</v>
      </c>
      <c r="G76" s="39"/>
      <c r="H76" s="274">
        <v>460</v>
      </c>
      <c r="I76" s="46">
        <f>(L76+M76+N76)</f>
        <v>0</v>
      </c>
      <c r="J76" s="24"/>
      <c r="K76" s="24"/>
      <c r="L76" s="39">
        <v>0</v>
      </c>
      <c r="M76" s="39"/>
      <c r="N76" s="46">
        <f>SUM(O76:Q76)</f>
        <v>0</v>
      </c>
      <c r="O76" s="39">
        <v>0</v>
      </c>
      <c r="P76" s="39">
        <v>0</v>
      </c>
      <c r="Q76" s="39">
        <v>0</v>
      </c>
      <c r="R76" s="24"/>
      <c r="S76" s="24"/>
      <c r="T76" s="24"/>
    </row>
    <row r="77" spans="1:25" x14ac:dyDescent="0.2">
      <c r="A77" s="46">
        <v>47</v>
      </c>
      <c r="B77" s="195" t="s">
        <v>1282</v>
      </c>
      <c r="C77" s="73" t="s">
        <v>1281</v>
      </c>
      <c r="D77" s="46">
        <f>SUM(F77:I77)+K77</f>
        <v>187268</v>
      </c>
      <c r="E77" s="24"/>
      <c r="F77" s="274">
        <v>187268</v>
      </c>
      <c r="G77" s="39"/>
      <c r="H77" s="274">
        <v>0</v>
      </c>
      <c r="I77" s="46">
        <f>(L77+M77+N77)</f>
        <v>0</v>
      </c>
      <c r="J77" s="24"/>
      <c r="K77" s="24"/>
      <c r="L77" s="39">
        <v>0</v>
      </c>
      <c r="M77" s="39"/>
      <c r="N77" s="46">
        <f>SUM(O77:Q77)</f>
        <v>0</v>
      </c>
      <c r="O77" s="39">
        <v>0</v>
      </c>
      <c r="P77" s="39">
        <v>0</v>
      </c>
      <c r="Q77" s="39">
        <v>0</v>
      </c>
      <c r="R77" s="24"/>
      <c r="S77" s="24"/>
      <c r="T77" s="24"/>
    </row>
    <row r="78" spans="1:25" x14ac:dyDescent="0.2">
      <c r="A78" s="46">
        <v>48</v>
      </c>
      <c r="B78" s="38" t="s">
        <v>626</v>
      </c>
      <c r="C78" s="44" t="s">
        <v>627</v>
      </c>
      <c r="D78" s="46">
        <f t="shared" si="4"/>
        <v>17920</v>
      </c>
      <c r="E78" s="24"/>
      <c r="F78" s="274">
        <v>0</v>
      </c>
      <c r="G78" s="242"/>
      <c r="H78" s="609">
        <v>17920</v>
      </c>
      <c r="I78" s="46">
        <f t="shared" si="5"/>
        <v>0</v>
      </c>
      <c r="J78" s="24"/>
      <c r="K78" s="24"/>
      <c r="L78" s="39">
        <v>0</v>
      </c>
      <c r="M78" s="39"/>
      <c r="N78" s="46">
        <f t="shared" si="6"/>
        <v>0</v>
      </c>
      <c r="O78" s="39">
        <v>0</v>
      </c>
      <c r="P78" s="39">
        <v>0</v>
      </c>
      <c r="Q78" s="39">
        <v>0</v>
      </c>
      <c r="R78" s="24"/>
      <c r="S78" s="24"/>
      <c r="T78" s="24"/>
    </row>
    <row r="79" spans="1:25" x14ac:dyDescent="0.2">
      <c r="A79" s="46">
        <v>49</v>
      </c>
      <c r="B79" s="38" t="s">
        <v>628</v>
      </c>
      <c r="C79" s="44" t="s">
        <v>629</v>
      </c>
      <c r="D79" s="46">
        <f t="shared" si="4"/>
        <v>0</v>
      </c>
      <c r="E79" s="24"/>
      <c r="F79" s="39">
        <v>0</v>
      </c>
      <c r="G79" s="242"/>
      <c r="H79" s="39">
        <v>0</v>
      </c>
      <c r="I79" s="46">
        <f t="shared" si="5"/>
        <v>0</v>
      </c>
      <c r="J79" s="24"/>
      <c r="K79" s="24"/>
      <c r="L79" s="39">
        <v>0</v>
      </c>
      <c r="M79" s="39"/>
      <c r="N79" s="46">
        <f t="shared" si="6"/>
        <v>0</v>
      </c>
      <c r="O79" s="39">
        <v>0</v>
      </c>
      <c r="P79" s="39">
        <v>0</v>
      </c>
      <c r="Q79" s="39">
        <v>0</v>
      </c>
      <c r="R79" s="24"/>
      <c r="S79" s="24"/>
      <c r="T79" s="24"/>
    </row>
    <row r="80" spans="1:25" x14ac:dyDescent="0.2">
      <c r="A80" s="46">
        <v>50</v>
      </c>
      <c r="B80" s="38" t="s">
        <v>686</v>
      </c>
      <c r="C80" s="44" t="s">
        <v>687</v>
      </c>
      <c r="D80" s="46">
        <f t="shared" si="4"/>
        <v>-91173</v>
      </c>
      <c r="E80" s="24"/>
      <c r="F80" s="39">
        <v>0</v>
      </c>
      <c r="G80" s="242"/>
      <c r="H80" s="274">
        <v>-91173</v>
      </c>
      <c r="I80" s="46">
        <f>(L80+M80+N80)</f>
        <v>0</v>
      </c>
      <c r="J80" s="24"/>
      <c r="K80" s="24"/>
      <c r="L80" s="39">
        <v>0</v>
      </c>
      <c r="M80" s="46"/>
      <c r="N80" s="46">
        <f>SUM(O80:Q80)</f>
        <v>0</v>
      </c>
      <c r="O80" s="39">
        <v>0</v>
      </c>
      <c r="P80" s="39">
        <v>0</v>
      </c>
      <c r="Q80" s="39">
        <v>0</v>
      </c>
      <c r="R80" s="24"/>
      <c r="S80" s="24"/>
      <c r="T80" s="24"/>
    </row>
    <row r="81" spans="1:20" x14ac:dyDescent="0.2">
      <c r="A81" s="46"/>
      <c r="B81" s="24"/>
      <c r="C81" s="39"/>
      <c r="D81" s="24"/>
      <c r="E81" s="24"/>
      <c r="F81" s="39"/>
      <c r="G81" s="39"/>
      <c r="H81" s="39"/>
      <c r="I81" s="39"/>
      <c r="J81" s="24"/>
      <c r="K81" s="24"/>
      <c r="L81" s="39"/>
      <c r="M81" s="39"/>
      <c r="N81" s="24"/>
      <c r="O81" s="39"/>
      <c r="P81" s="39"/>
      <c r="Q81" s="39"/>
      <c r="R81" s="24"/>
      <c r="S81" s="24"/>
      <c r="T81" s="24"/>
    </row>
    <row r="82" spans="1:20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</row>
    <row r="83" spans="1:20" x14ac:dyDescent="0.2">
      <c r="A83" s="24"/>
      <c r="B83" s="86" t="s">
        <v>630</v>
      </c>
      <c r="C83" s="39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</row>
    <row r="84" spans="1:20" x14ac:dyDescent="0.2">
      <c r="A84" s="24"/>
      <c r="B84" s="197" t="s">
        <v>451</v>
      </c>
      <c r="C84" s="39"/>
      <c r="D84" s="39"/>
      <c r="E84" s="24"/>
      <c r="F84" s="39"/>
      <c r="G84" s="198"/>
      <c r="H84" s="39"/>
      <c r="I84" s="46"/>
      <c r="J84" s="39"/>
      <c r="K84" s="39"/>
      <c r="L84" s="39"/>
      <c r="M84" s="39"/>
      <c r="N84" s="46"/>
      <c r="O84" s="39"/>
      <c r="P84" s="39"/>
      <c r="Q84" s="39"/>
      <c r="R84" s="39"/>
      <c r="S84" s="39"/>
      <c r="T84" s="39"/>
    </row>
    <row r="85" spans="1:20" x14ac:dyDescent="0.2">
      <c r="A85" s="46">
        <v>1</v>
      </c>
      <c r="B85" s="38" t="s">
        <v>631</v>
      </c>
      <c r="C85" s="44" t="s">
        <v>630</v>
      </c>
      <c r="D85" s="46">
        <f>SUM(F85:I85)+K85</f>
        <v>19849967.070999999</v>
      </c>
      <c r="E85" s="24"/>
      <c r="F85" s="274">
        <v>18679000.831</v>
      </c>
      <c r="G85" s="242"/>
      <c r="H85" s="274">
        <v>762018.04</v>
      </c>
      <c r="I85" s="46">
        <f>(L85+M85+N85)</f>
        <v>408948.2</v>
      </c>
      <c r="J85" s="24"/>
      <c r="K85" s="24"/>
      <c r="L85" s="274">
        <v>83.596999999999994</v>
      </c>
      <c r="M85" s="46"/>
      <c r="N85" s="46">
        <f>SUM(O85:Q85)</f>
        <v>408864.603</v>
      </c>
      <c r="O85" s="274">
        <v>207052.166</v>
      </c>
      <c r="P85" s="274">
        <v>201812.43700000001</v>
      </c>
      <c r="Q85" s="24">
        <v>0</v>
      </c>
      <c r="R85" s="24"/>
      <c r="S85" s="24"/>
      <c r="T85" s="24"/>
    </row>
    <row r="86" spans="1:20" ht="12.75" customHeight="1" x14ac:dyDescent="0.2">
      <c r="A86" s="46">
        <v>2</v>
      </c>
      <c r="B86" s="38" t="s">
        <v>632</v>
      </c>
      <c r="C86" s="44" t="s">
        <v>633</v>
      </c>
      <c r="D86" s="46">
        <f>SUM(F86:I86)+K86</f>
        <v>19441102.467999998</v>
      </c>
      <c r="E86" s="24"/>
      <c r="F86" s="74">
        <f>F85</f>
        <v>18679000.831</v>
      </c>
      <c r="G86" s="39"/>
      <c r="H86" s="74">
        <f>H85</f>
        <v>762018.04</v>
      </c>
      <c r="I86" s="46">
        <f>(L86+M86+N86)</f>
        <v>83.596999999999994</v>
      </c>
      <c r="J86" s="24"/>
      <c r="K86" s="24"/>
      <c r="L86" s="39">
        <f>L85</f>
        <v>83.596999999999994</v>
      </c>
      <c r="M86" s="39"/>
      <c r="N86" s="46">
        <f>SUM(O86:Q86)</f>
        <v>0</v>
      </c>
      <c r="O86" s="39">
        <v>0</v>
      </c>
      <c r="P86" s="39">
        <v>0</v>
      </c>
      <c r="Q86" s="39">
        <v>0</v>
      </c>
      <c r="R86" s="24"/>
      <c r="S86" s="24"/>
      <c r="T86" s="24"/>
    </row>
    <row r="87" spans="1:20" x14ac:dyDescent="0.2">
      <c r="A87" s="49">
        <v>3</v>
      </c>
      <c r="C87" s="47"/>
      <c r="F87" s="47"/>
      <c r="G87" s="47"/>
      <c r="H87" s="47"/>
      <c r="I87" s="47"/>
      <c r="L87" s="47"/>
      <c r="M87" s="47"/>
      <c r="O87" s="47"/>
      <c r="P87" s="47"/>
      <c r="Q87" s="47"/>
    </row>
    <row r="88" spans="1:20" x14ac:dyDescent="0.2">
      <c r="A88" s="49">
        <v>4</v>
      </c>
      <c r="C88" s="47"/>
    </row>
    <row r="89" spans="1:20" x14ac:dyDescent="0.2">
      <c r="C89" s="47"/>
    </row>
    <row r="90" spans="1:20" x14ac:dyDescent="0.2">
      <c r="B90" s="53" t="s">
        <v>634</v>
      </c>
      <c r="C90" s="47"/>
    </row>
    <row r="91" spans="1:20" x14ac:dyDescent="0.2">
      <c r="B91" s="56" t="s">
        <v>451</v>
      </c>
      <c r="C91" s="47"/>
      <c r="P91" s="49"/>
    </row>
    <row r="92" spans="1:20" x14ac:dyDescent="0.2">
      <c r="A92" s="46">
        <v>1</v>
      </c>
      <c r="B92" s="195" t="s">
        <v>6</v>
      </c>
      <c r="C92" s="44" t="s">
        <v>636</v>
      </c>
      <c r="D92" s="46">
        <f t="shared" ref="D92:D110" si="10">SUM(F92:I92)+K92</f>
        <v>108671232.43846154</v>
      </c>
      <c r="E92" s="24"/>
      <c r="F92" s="243">
        <f>PIS!Q20+PIS!Q128</f>
        <v>108671232.43846154</v>
      </c>
      <c r="G92" s="198"/>
      <c r="H92" s="196">
        <v>0</v>
      </c>
      <c r="I92" s="46">
        <f t="shared" ref="I92:I109" si="11">(L92+M92+N92)</f>
        <v>0</v>
      </c>
      <c r="J92" s="24"/>
      <c r="K92" s="24"/>
      <c r="L92" s="39">
        <v>0</v>
      </c>
      <c r="M92" s="46"/>
      <c r="N92" s="46">
        <f t="shared" ref="N92:N109" si="12">SUM(O92:Q92)</f>
        <v>0</v>
      </c>
      <c r="O92" s="69">
        <v>0</v>
      </c>
      <c r="P92" s="69">
        <v>0</v>
      </c>
      <c r="Q92" s="69">
        <v>0</v>
      </c>
      <c r="R92" s="24"/>
      <c r="S92" s="24"/>
      <c r="T92" s="24"/>
    </row>
    <row r="93" spans="1:20" x14ac:dyDescent="0.2">
      <c r="A93" s="46">
        <v>2</v>
      </c>
      <c r="B93" s="195" t="s">
        <v>7</v>
      </c>
      <c r="C93" s="44" t="s">
        <v>638</v>
      </c>
      <c r="D93" s="46">
        <f t="shared" si="10"/>
        <v>78790854.271538451</v>
      </c>
      <c r="E93" s="24"/>
      <c r="F93" s="243">
        <f>PIS!Q21+PIS!Q22+PIS!Q23-N93</f>
        <v>78743546.271538451</v>
      </c>
      <c r="G93" s="198"/>
      <c r="H93" s="196">
        <v>0</v>
      </c>
      <c r="I93" s="46">
        <f>(L93+M93+N93)</f>
        <v>47308</v>
      </c>
      <c r="J93" s="24"/>
      <c r="K93" s="24"/>
      <c r="L93" s="39">
        <v>0</v>
      </c>
      <c r="M93" s="46"/>
      <c r="N93" s="46">
        <f t="shared" si="12"/>
        <v>47308</v>
      </c>
      <c r="O93" s="274">
        <v>20456</v>
      </c>
      <c r="P93" s="274">
        <v>26852</v>
      </c>
      <c r="Q93" s="69">
        <v>0</v>
      </c>
      <c r="R93" s="24"/>
      <c r="S93" s="24"/>
      <c r="T93" s="24"/>
    </row>
    <row r="94" spans="1:20" x14ac:dyDescent="0.2">
      <c r="A94" s="46">
        <v>3</v>
      </c>
      <c r="B94" s="195" t="s">
        <v>8</v>
      </c>
      <c r="C94" s="44" t="s">
        <v>640</v>
      </c>
      <c r="D94" s="46">
        <f t="shared" si="10"/>
        <v>145659.96</v>
      </c>
      <c r="E94" s="24"/>
      <c r="F94" s="243">
        <f>PIS!Q24</f>
        <v>145659.96</v>
      </c>
      <c r="G94" s="198"/>
      <c r="H94" s="196">
        <v>0</v>
      </c>
      <c r="I94" s="46">
        <f t="shared" si="11"/>
        <v>0</v>
      </c>
      <c r="J94" s="24"/>
      <c r="K94" s="24"/>
      <c r="L94" s="39">
        <v>0</v>
      </c>
      <c r="M94" s="46"/>
      <c r="N94" s="46">
        <f t="shared" si="12"/>
        <v>0</v>
      </c>
      <c r="O94" s="69">
        <v>0</v>
      </c>
      <c r="P94" s="69">
        <v>0</v>
      </c>
      <c r="Q94" s="69">
        <v>0</v>
      </c>
      <c r="R94" s="24"/>
      <c r="S94" s="24"/>
      <c r="T94" s="24"/>
    </row>
    <row r="95" spans="1:20" x14ac:dyDescent="0.2">
      <c r="A95" s="46">
        <v>4</v>
      </c>
      <c r="B95" s="195" t="s">
        <v>9</v>
      </c>
      <c r="C95" s="44" t="s">
        <v>642</v>
      </c>
      <c r="D95" s="46">
        <f t="shared" si="10"/>
        <v>126856868.76999998</v>
      </c>
      <c r="E95" s="24"/>
      <c r="F95" s="243">
        <f>PIS!Q25+PIS!Q129</f>
        <v>126856868.76999998</v>
      </c>
      <c r="G95" s="198"/>
      <c r="H95" s="196">
        <v>0</v>
      </c>
      <c r="I95" s="46">
        <f t="shared" si="11"/>
        <v>0</v>
      </c>
      <c r="J95" s="24"/>
      <c r="K95" s="24"/>
      <c r="L95" s="39">
        <v>0</v>
      </c>
      <c r="M95" s="46"/>
      <c r="N95" s="46">
        <f t="shared" si="12"/>
        <v>0</v>
      </c>
      <c r="O95" s="69">
        <v>0</v>
      </c>
      <c r="P95" s="69">
        <v>0</v>
      </c>
      <c r="Q95" s="69">
        <v>0</v>
      </c>
      <c r="R95" s="24"/>
      <c r="S95" s="24"/>
      <c r="T95" s="24"/>
    </row>
    <row r="96" spans="1:20" x14ac:dyDescent="0.2">
      <c r="A96" s="46">
        <v>5</v>
      </c>
      <c r="B96" s="38" t="s">
        <v>643</v>
      </c>
      <c r="C96" s="44" t="s">
        <v>644</v>
      </c>
      <c r="D96" s="46">
        <f t="shared" si="10"/>
        <v>842195.92</v>
      </c>
      <c r="E96" s="24"/>
      <c r="F96" s="274">
        <v>817011.28</v>
      </c>
      <c r="G96" s="198"/>
      <c r="H96" s="274">
        <v>25184.639999999999</v>
      </c>
      <c r="I96" s="46">
        <f t="shared" si="11"/>
        <v>0</v>
      </c>
      <c r="J96" s="24"/>
      <c r="K96" s="24"/>
      <c r="L96" s="39">
        <v>0</v>
      </c>
      <c r="M96" s="46"/>
      <c r="N96" s="46">
        <f t="shared" si="12"/>
        <v>0</v>
      </c>
      <c r="O96" s="69">
        <v>0</v>
      </c>
      <c r="P96" s="69">
        <v>0</v>
      </c>
      <c r="Q96" s="69">
        <v>0</v>
      </c>
      <c r="R96" s="24"/>
      <c r="S96" s="24"/>
      <c r="T96" s="24"/>
    </row>
    <row r="97" spans="1:20" x14ac:dyDescent="0.2">
      <c r="A97" s="46">
        <v>6</v>
      </c>
      <c r="B97" s="38" t="s">
        <v>645</v>
      </c>
      <c r="C97" s="44" t="s">
        <v>646</v>
      </c>
      <c r="D97" s="46">
        <f t="shared" si="10"/>
        <v>30584515.170000002</v>
      </c>
      <c r="E97" s="24"/>
      <c r="F97" s="274">
        <v>28891349.09</v>
      </c>
      <c r="G97" s="198"/>
      <c r="H97" s="274">
        <v>1693166.07</v>
      </c>
      <c r="I97" s="46">
        <f t="shared" si="11"/>
        <v>0.01</v>
      </c>
      <c r="J97" s="24"/>
      <c r="K97" s="24"/>
      <c r="L97" s="39">
        <v>0</v>
      </c>
      <c r="M97" s="46"/>
      <c r="N97" s="46">
        <f t="shared" si="12"/>
        <v>0.01</v>
      </c>
      <c r="O97" s="274">
        <v>0.01</v>
      </c>
      <c r="P97" s="69">
        <v>0</v>
      </c>
      <c r="Q97" s="69">
        <v>0</v>
      </c>
      <c r="R97" s="24"/>
      <c r="S97" s="24"/>
      <c r="T97" s="24"/>
    </row>
    <row r="98" spans="1:20" x14ac:dyDescent="0.2">
      <c r="A98" s="46">
        <v>7</v>
      </c>
      <c r="B98" s="38" t="s">
        <v>647</v>
      </c>
      <c r="C98" s="44" t="s">
        <v>648</v>
      </c>
      <c r="D98" s="46">
        <f t="shared" si="10"/>
        <v>758905</v>
      </c>
      <c r="E98" s="24"/>
      <c r="F98" s="274">
        <v>720984</v>
      </c>
      <c r="G98" s="198"/>
      <c r="H98" s="274">
        <v>37704</v>
      </c>
      <c r="I98" s="46">
        <f t="shared" si="11"/>
        <v>217</v>
      </c>
      <c r="J98" s="24"/>
      <c r="K98" s="24"/>
      <c r="L98" s="274">
        <v>5</v>
      </c>
      <c r="M98" s="46"/>
      <c r="N98" s="46">
        <f t="shared" si="12"/>
        <v>212</v>
      </c>
      <c r="O98" s="274">
        <v>85</v>
      </c>
      <c r="P98" s="274">
        <v>127</v>
      </c>
      <c r="Q98" s="69">
        <v>0</v>
      </c>
      <c r="R98" s="24"/>
      <c r="S98" s="24"/>
      <c r="T98" s="24"/>
    </row>
    <row r="99" spans="1:20" x14ac:dyDescent="0.2">
      <c r="A99" s="46">
        <v>8</v>
      </c>
      <c r="B99" s="38" t="s">
        <v>649</v>
      </c>
      <c r="C99" s="44" t="s">
        <v>650</v>
      </c>
      <c r="D99" s="46">
        <f t="shared" si="10"/>
        <v>758905</v>
      </c>
      <c r="E99" s="24"/>
      <c r="F99" s="24">
        <f>F98</f>
        <v>720984</v>
      </c>
      <c r="G99" s="198"/>
      <c r="H99" s="46">
        <f>H98</f>
        <v>37704</v>
      </c>
      <c r="I99" s="46">
        <f t="shared" si="11"/>
        <v>217</v>
      </c>
      <c r="J99" s="24"/>
      <c r="K99" s="24"/>
      <c r="L99" s="74">
        <f>L98</f>
        <v>5</v>
      </c>
      <c r="M99" s="46"/>
      <c r="N99" s="46">
        <f t="shared" si="12"/>
        <v>212</v>
      </c>
      <c r="O99" s="24">
        <f>O98</f>
        <v>85</v>
      </c>
      <c r="P99" s="24">
        <f>P98</f>
        <v>127</v>
      </c>
      <c r="Q99" s="24">
        <v>0</v>
      </c>
      <c r="R99" s="24"/>
      <c r="S99" s="24"/>
      <c r="T99" s="24"/>
    </row>
    <row r="100" spans="1:20" x14ac:dyDescent="0.2">
      <c r="A100" s="46">
        <v>9</v>
      </c>
      <c r="B100" s="38" t="s">
        <v>651</v>
      </c>
      <c r="C100" s="44" t="s">
        <v>652</v>
      </c>
      <c r="D100" s="46">
        <f t="shared" si="10"/>
        <v>758905</v>
      </c>
      <c r="E100" s="24"/>
      <c r="F100" s="24">
        <f>F98</f>
        <v>720984</v>
      </c>
      <c r="G100" s="198"/>
      <c r="H100" s="46">
        <f>H98</f>
        <v>37704</v>
      </c>
      <c r="I100" s="46">
        <f t="shared" si="11"/>
        <v>217</v>
      </c>
      <c r="J100" s="24"/>
      <c r="K100" s="24"/>
      <c r="L100" s="74">
        <f>L98</f>
        <v>5</v>
      </c>
      <c r="M100" s="46"/>
      <c r="N100" s="46">
        <f t="shared" si="12"/>
        <v>212</v>
      </c>
      <c r="O100" s="24">
        <f>O98</f>
        <v>85</v>
      </c>
      <c r="P100" s="24">
        <f>P98</f>
        <v>127</v>
      </c>
      <c r="Q100" s="24">
        <v>0</v>
      </c>
      <c r="R100" s="24"/>
      <c r="S100" s="24"/>
      <c r="T100" s="24"/>
    </row>
    <row r="101" spans="1:20" x14ac:dyDescent="0.2">
      <c r="A101" s="46">
        <v>10</v>
      </c>
      <c r="B101" s="38" t="s">
        <v>653</v>
      </c>
      <c r="C101" s="44" t="s">
        <v>654</v>
      </c>
      <c r="D101" s="46">
        <f t="shared" si="10"/>
        <v>5852947.5299999993</v>
      </c>
      <c r="E101" s="24"/>
      <c r="F101" s="69">
        <v>0</v>
      </c>
      <c r="G101" s="198"/>
      <c r="H101" s="275">
        <f>PIS!Q208+PIS!Q260</f>
        <v>5852947.5299999993</v>
      </c>
      <c r="I101" s="46">
        <f t="shared" si="11"/>
        <v>0</v>
      </c>
      <c r="J101" s="24"/>
      <c r="K101" s="24"/>
      <c r="L101" s="39">
        <v>0</v>
      </c>
      <c r="M101" s="46"/>
      <c r="N101" s="46">
        <f t="shared" si="12"/>
        <v>0</v>
      </c>
      <c r="O101" s="69">
        <v>0</v>
      </c>
      <c r="P101" s="69">
        <v>0</v>
      </c>
      <c r="Q101" s="69">
        <v>0</v>
      </c>
      <c r="R101" s="24"/>
      <c r="S101" s="24"/>
      <c r="T101" s="24"/>
    </row>
    <row r="102" spans="1:20" x14ac:dyDescent="0.2">
      <c r="A102" s="46">
        <v>11</v>
      </c>
      <c r="B102" s="38" t="s">
        <v>655</v>
      </c>
      <c r="C102" s="44" t="s">
        <v>656</v>
      </c>
      <c r="D102" s="46">
        <f t="shared" si="10"/>
        <v>3783545.2</v>
      </c>
      <c r="E102" s="24"/>
      <c r="F102" s="69">
        <v>0</v>
      </c>
      <c r="G102" s="198"/>
      <c r="H102" s="275">
        <f>PIS!Q209+PIS!Q210</f>
        <v>3783545.2</v>
      </c>
      <c r="I102" s="46">
        <f t="shared" si="11"/>
        <v>0</v>
      </c>
      <c r="J102" s="24"/>
      <c r="K102" s="24"/>
      <c r="L102" s="39">
        <v>0</v>
      </c>
      <c r="M102" s="46"/>
      <c r="N102" s="46">
        <f t="shared" si="12"/>
        <v>0</v>
      </c>
      <c r="O102" s="69">
        <v>0</v>
      </c>
      <c r="P102" s="69">
        <v>0</v>
      </c>
      <c r="Q102" s="69">
        <v>0</v>
      </c>
      <c r="R102" s="24"/>
      <c r="S102" s="24"/>
      <c r="T102" s="24"/>
    </row>
    <row r="103" spans="1:20" x14ac:dyDescent="0.2">
      <c r="A103" s="46">
        <v>12</v>
      </c>
      <c r="B103" s="195" t="s">
        <v>58</v>
      </c>
      <c r="C103" s="44" t="s">
        <v>658</v>
      </c>
      <c r="D103" s="46">
        <f t="shared" si="10"/>
        <v>0</v>
      </c>
      <c r="E103" s="24"/>
      <c r="F103" s="69">
        <v>0</v>
      </c>
      <c r="G103" s="198"/>
      <c r="H103" s="275">
        <f>PIS!Q211</f>
        <v>0</v>
      </c>
      <c r="I103" s="46">
        <f t="shared" si="11"/>
        <v>0</v>
      </c>
      <c r="J103" s="24"/>
      <c r="K103" s="24"/>
      <c r="L103" s="39">
        <v>0</v>
      </c>
      <c r="M103" s="46"/>
      <c r="N103" s="46">
        <f t="shared" si="12"/>
        <v>0</v>
      </c>
      <c r="O103" s="69">
        <v>0</v>
      </c>
      <c r="P103" s="69">
        <v>0</v>
      </c>
      <c r="Q103" s="69">
        <v>0</v>
      </c>
      <c r="R103" s="24"/>
      <c r="S103" s="24"/>
      <c r="T103" s="24"/>
    </row>
    <row r="104" spans="1:20" x14ac:dyDescent="0.2">
      <c r="A104" s="46">
        <v>13</v>
      </c>
      <c r="B104" s="38" t="s">
        <v>659</v>
      </c>
      <c r="C104" s="44" t="s">
        <v>660</v>
      </c>
      <c r="D104" s="46">
        <f t="shared" si="10"/>
        <v>3991840.8323076926</v>
      </c>
      <c r="E104" s="24"/>
      <c r="F104" s="69">
        <v>0</v>
      </c>
      <c r="G104" s="198"/>
      <c r="H104" s="275">
        <f>PIS!Q212+PIS!Q261</f>
        <v>3991840.8323076926</v>
      </c>
      <c r="I104" s="46">
        <f t="shared" si="11"/>
        <v>0</v>
      </c>
      <c r="J104" s="24"/>
      <c r="K104" s="24"/>
      <c r="L104" s="39">
        <v>0</v>
      </c>
      <c r="M104" s="46"/>
      <c r="N104" s="46">
        <f t="shared" si="12"/>
        <v>0</v>
      </c>
      <c r="O104" s="69">
        <v>0</v>
      </c>
      <c r="P104" s="69">
        <v>0</v>
      </c>
      <c r="Q104" s="69">
        <v>0</v>
      </c>
      <c r="R104" s="24"/>
      <c r="S104" s="24"/>
      <c r="T104" s="24"/>
    </row>
    <row r="105" spans="1:20" x14ac:dyDescent="0.2">
      <c r="A105" s="46">
        <v>14</v>
      </c>
      <c r="B105" s="38" t="s">
        <v>661</v>
      </c>
      <c r="C105" s="44" t="s">
        <v>662</v>
      </c>
      <c r="D105" s="46">
        <f t="shared" si="10"/>
        <v>522514</v>
      </c>
      <c r="E105" s="24"/>
      <c r="F105" s="274">
        <v>522514</v>
      </c>
      <c r="G105" s="196"/>
      <c r="H105" s="196">
        <v>0</v>
      </c>
      <c r="I105" s="46">
        <f t="shared" si="11"/>
        <v>0</v>
      </c>
      <c r="J105" s="24"/>
      <c r="K105" s="24"/>
      <c r="L105" s="196">
        <v>0</v>
      </c>
      <c r="M105" s="46"/>
      <c r="N105" s="46">
        <f t="shared" si="12"/>
        <v>0</v>
      </c>
      <c r="O105" s="69">
        <v>0</v>
      </c>
      <c r="P105" s="69">
        <v>0</v>
      </c>
      <c r="Q105" s="69">
        <v>0</v>
      </c>
      <c r="R105" s="24"/>
      <c r="S105" s="24"/>
      <c r="T105" s="24"/>
    </row>
    <row r="106" spans="1:20" x14ac:dyDescent="0.2">
      <c r="A106" s="46">
        <v>15</v>
      </c>
      <c r="B106" s="38" t="s">
        <v>663</v>
      </c>
      <c r="C106" s="44" t="s">
        <v>664</v>
      </c>
      <c r="D106" s="46">
        <f t="shared" si="10"/>
        <v>550637</v>
      </c>
      <c r="E106" s="24"/>
      <c r="F106" s="274">
        <f>522514-L106</f>
        <v>522511</v>
      </c>
      <c r="G106" s="196"/>
      <c r="H106" s="274">
        <v>28123</v>
      </c>
      <c r="I106" s="46">
        <f t="shared" si="11"/>
        <v>3</v>
      </c>
      <c r="J106" s="24"/>
      <c r="K106" s="24"/>
      <c r="L106" s="307">
        <v>3</v>
      </c>
      <c r="M106" s="46"/>
      <c r="N106" s="46">
        <f t="shared" si="12"/>
        <v>0</v>
      </c>
      <c r="O106" s="69">
        <v>0</v>
      </c>
      <c r="P106" s="69">
        <v>0</v>
      </c>
      <c r="Q106" s="69">
        <v>0</v>
      </c>
      <c r="R106" s="24"/>
      <c r="S106" s="24"/>
      <c r="T106" s="24"/>
    </row>
    <row r="107" spans="1:20" x14ac:dyDescent="0.2">
      <c r="A107" s="46">
        <v>16</v>
      </c>
      <c r="B107" s="38" t="s">
        <v>665</v>
      </c>
      <c r="C107" s="44" t="s">
        <v>666</v>
      </c>
      <c r="D107" s="46">
        <f t="shared" si="10"/>
        <v>550637</v>
      </c>
      <c r="E107" s="24"/>
      <c r="F107" s="24">
        <f>F106</f>
        <v>522511</v>
      </c>
      <c r="G107" s="198"/>
      <c r="H107" s="46">
        <f>H106</f>
        <v>28123</v>
      </c>
      <c r="I107" s="46">
        <f t="shared" si="11"/>
        <v>3</v>
      </c>
      <c r="J107" s="24"/>
      <c r="K107" s="24"/>
      <c r="L107" s="74">
        <v>3</v>
      </c>
      <c r="M107" s="46"/>
      <c r="N107" s="46">
        <f t="shared" si="12"/>
        <v>0</v>
      </c>
      <c r="O107" s="69">
        <v>0</v>
      </c>
      <c r="P107" s="69">
        <v>0</v>
      </c>
      <c r="Q107" s="69">
        <v>0</v>
      </c>
      <c r="R107" s="24"/>
      <c r="S107" s="24"/>
      <c r="T107" s="24"/>
    </row>
    <row r="108" spans="1:20" x14ac:dyDescent="0.2">
      <c r="A108" s="46">
        <v>17</v>
      </c>
      <c r="B108" s="38" t="s">
        <v>667</v>
      </c>
      <c r="C108" s="44" t="s">
        <v>668</v>
      </c>
      <c r="D108" s="46">
        <f t="shared" si="10"/>
        <v>550637</v>
      </c>
      <c r="E108" s="24"/>
      <c r="F108" s="24">
        <f>F106</f>
        <v>522511</v>
      </c>
      <c r="G108" s="198"/>
      <c r="H108" s="46">
        <f>H106</f>
        <v>28123</v>
      </c>
      <c r="I108" s="46">
        <f t="shared" si="11"/>
        <v>3</v>
      </c>
      <c r="J108" s="24"/>
      <c r="K108" s="24"/>
      <c r="L108" s="74">
        <f>L106</f>
        <v>3</v>
      </c>
      <c r="M108" s="46"/>
      <c r="N108" s="46">
        <f t="shared" si="12"/>
        <v>0</v>
      </c>
      <c r="O108" s="69">
        <v>0</v>
      </c>
      <c r="P108" s="69">
        <v>0</v>
      </c>
      <c r="Q108" s="69">
        <v>0</v>
      </c>
      <c r="R108" s="24"/>
      <c r="S108" s="24"/>
      <c r="T108" s="24"/>
    </row>
    <row r="109" spans="1:20" x14ac:dyDescent="0.2">
      <c r="A109" s="46">
        <v>18</v>
      </c>
      <c r="B109" s="38" t="s">
        <v>669</v>
      </c>
      <c r="C109" s="44" t="s">
        <v>670</v>
      </c>
      <c r="D109" s="46">
        <f t="shared" si="10"/>
        <v>0</v>
      </c>
      <c r="E109" s="24"/>
      <c r="F109" s="69">
        <v>0</v>
      </c>
      <c r="G109" s="198"/>
      <c r="H109" s="196">
        <v>0</v>
      </c>
      <c r="I109" s="46">
        <f t="shared" si="11"/>
        <v>0</v>
      </c>
      <c r="J109" s="24"/>
      <c r="K109" s="24"/>
      <c r="L109" s="39">
        <v>0</v>
      </c>
      <c r="M109" s="46"/>
      <c r="N109" s="46">
        <f t="shared" si="12"/>
        <v>0</v>
      </c>
      <c r="O109" s="69">
        <v>0</v>
      </c>
      <c r="P109" s="69">
        <v>0</v>
      </c>
      <c r="Q109" s="69">
        <v>0</v>
      </c>
      <c r="R109" s="24"/>
      <c r="S109" s="24"/>
      <c r="T109" s="24"/>
    </row>
    <row r="110" spans="1:20" x14ac:dyDescent="0.2">
      <c r="A110" s="46">
        <v>19</v>
      </c>
      <c r="B110" s="38" t="s">
        <v>688</v>
      </c>
      <c r="C110" s="44" t="s">
        <v>689</v>
      </c>
      <c r="D110" s="46">
        <f t="shared" si="10"/>
        <v>435510.91000000003</v>
      </c>
      <c r="E110" s="24"/>
      <c r="F110" s="274">
        <v>413608.63</v>
      </c>
      <c r="G110" s="198"/>
      <c r="H110" s="274">
        <v>21902.28</v>
      </c>
      <c r="I110" s="46">
        <f>(L110+M110+N110)</f>
        <v>0</v>
      </c>
      <c r="J110" s="24"/>
      <c r="K110" s="24"/>
      <c r="L110" s="39">
        <v>0</v>
      </c>
      <c r="M110" s="46"/>
      <c r="N110" s="46">
        <f>SUM(O110:Q110)</f>
        <v>0</v>
      </c>
      <c r="O110" s="69">
        <v>0</v>
      </c>
      <c r="P110" s="69">
        <v>0</v>
      </c>
      <c r="Q110" s="69">
        <v>0</v>
      </c>
      <c r="R110" s="24"/>
      <c r="S110" s="24"/>
      <c r="T110" s="24"/>
    </row>
    <row r="111" spans="1:20" x14ac:dyDescent="0.2">
      <c r="A111" s="46">
        <v>20</v>
      </c>
      <c r="B111" s="38" t="s">
        <v>1193</v>
      </c>
      <c r="C111" s="73" t="s">
        <v>1272</v>
      </c>
      <c r="D111" s="46">
        <f>SUM(F111:I111)+K111</f>
        <v>4283361.5500000007</v>
      </c>
      <c r="E111" s="24"/>
      <c r="F111" s="274">
        <v>4111497.58</v>
      </c>
      <c r="G111" s="198"/>
      <c r="H111" s="274">
        <v>171764.07</v>
      </c>
      <c r="I111" s="46">
        <f>(L111+M111+N111)</f>
        <v>99.9</v>
      </c>
      <c r="J111" s="24"/>
      <c r="K111" s="24"/>
      <c r="L111" s="274">
        <v>0</v>
      </c>
      <c r="M111" s="39"/>
      <c r="N111" s="46">
        <f>SUM(O111:Q111)</f>
        <v>99.9</v>
      </c>
      <c r="O111" s="274">
        <v>6.23</v>
      </c>
      <c r="P111" s="274">
        <v>93.67</v>
      </c>
      <c r="Q111" s="39">
        <v>0</v>
      </c>
      <c r="R111" s="24"/>
      <c r="S111" s="24"/>
      <c r="T111" s="24"/>
    </row>
    <row r="112" spans="1:20" x14ac:dyDescent="0.2">
      <c r="A112" s="49">
        <v>21</v>
      </c>
    </row>
    <row r="113" spans="1:17" x14ac:dyDescent="0.2">
      <c r="A113" s="49">
        <v>22</v>
      </c>
    </row>
    <row r="114" spans="1:17" x14ac:dyDescent="0.2">
      <c r="A114" s="49">
        <v>23</v>
      </c>
    </row>
    <row r="115" spans="1:17" x14ac:dyDescent="0.2">
      <c r="A115" s="49">
        <v>24</v>
      </c>
    </row>
    <row r="116" spans="1:17" x14ac:dyDescent="0.2">
      <c r="A116" s="49">
        <v>25</v>
      </c>
    </row>
    <row r="117" spans="1:17" x14ac:dyDescent="0.2">
      <c r="C117" s="47"/>
    </row>
    <row r="118" spans="1:17" x14ac:dyDescent="0.2">
      <c r="B118" s="58" t="s">
        <v>671</v>
      </c>
      <c r="C118" s="47"/>
    </row>
    <row r="119" spans="1:17" x14ac:dyDescent="0.2">
      <c r="B119" s="56" t="s">
        <v>451</v>
      </c>
      <c r="C119" s="47"/>
    </row>
    <row r="120" spans="1:17" x14ac:dyDescent="0.2">
      <c r="A120" s="49">
        <v>1</v>
      </c>
      <c r="B120" s="37" t="s">
        <v>672</v>
      </c>
      <c r="C120" s="40" t="s">
        <v>673</v>
      </c>
      <c r="D120" s="49">
        <f t="shared" ref="D120:D164" ca="1" si="13">SUM(F120:I120)+K120</f>
        <v>9965031317.6653824</v>
      </c>
      <c r="F120" s="49">
        <f ca="1">F643+F682+F735+F753+F760</f>
        <v>9317044458.2583141</v>
      </c>
      <c r="H120" s="49">
        <f ca="1">H643+H682+H735+H753+H760</f>
        <v>502996522.71076357</v>
      </c>
      <c r="I120" s="49">
        <f t="shared" ref="I120:I163" ca="1" si="14">(L120+M120+N120)</f>
        <v>144990336.69630399</v>
      </c>
      <c r="L120" s="49">
        <f ca="1">L643+L682+L735+L753+L760</f>
        <v>684830.67982355924</v>
      </c>
      <c r="M120" s="49"/>
      <c r="N120" s="49">
        <f t="shared" ref="N120:N163" ca="1" si="15">SUM(O120:Q120)</f>
        <v>144305506.01648045</v>
      </c>
      <c r="O120" s="49">
        <f ca="1">O643+O682+O735+O753+O760</f>
        <v>75003926.080928296</v>
      </c>
      <c r="P120" s="49">
        <f ca="1">P643+P682+P735+P753+P760</f>
        <v>69301579.935552165</v>
      </c>
      <c r="Q120" s="49">
        <f ca="1">Q643+Q682+Q735+Q753+Q760</f>
        <v>1.4864514249213905E-11</v>
      </c>
    </row>
    <row r="121" spans="1:17" x14ac:dyDescent="0.2">
      <c r="A121" s="49">
        <v>2</v>
      </c>
      <c r="B121" s="37" t="s">
        <v>674</v>
      </c>
      <c r="C121" s="40" t="s">
        <v>675</v>
      </c>
      <c r="D121" s="49">
        <f t="shared" ca="1" si="13"/>
        <v>9317044458.2583141</v>
      </c>
      <c r="F121" s="49">
        <f ca="1">F120</f>
        <v>9317044458.2583141</v>
      </c>
      <c r="G121" s="57"/>
      <c r="H121" s="57">
        <v>0</v>
      </c>
      <c r="I121" s="49">
        <f t="shared" si="14"/>
        <v>0</v>
      </c>
      <c r="L121" s="57">
        <v>0</v>
      </c>
      <c r="M121" s="57"/>
      <c r="N121" s="49">
        <f t="shared" si="15"/>
        <v>0</v>
      </c>
      <c r="O121" s="57">
        <v>0</v>
      </c>
      <c r="P121" s="57">
        <v>0</v>
      </c>
      <c r="Q121" s="57">
        <v>0</v>
      </c>
    </row>
    <row r="122" spans="1:17" x14ac:dyDescent="0.2">
      <c r="A122" s="49">
        <v>3</v>
      </c>
      <c r="B122" s="37" t="s">
        <v>676</v>
      </c>
      <c r="C122" s="40" t="s">
        <v>677</v>
      </c>
      <c r="D122" s="49">
        <f t="shared" ca="1" si="13"/>
        <v>178867174.00000003</v>
      </c>
      <c r="F122" s="49">
        <f ca="1">F1441</f>
        <v>168255995.62654746</v>
      </c>
      <c r="H122" s="49">
        <f ca="1">H1441</f>
        <v>8468966.3711773921</v>
      </c>
      <c r="I122" s="49">
        <f t="shared" ca="1" si="14"/>
        <v>2142212.0022751656</v>
      </c>
      <c r="L122" s="49">
        <f ca="1">L1441</f>
        <v>12052.401427364233</v>
      </c>
      <c r="M122" s="49"/>
      <c r="N122" s="49">
        <f t="shared" ca="1" si="15"/>
        <v>2130159.6008478012</v>
      </c>
      <c r="O122" s="49">
        <f ca="1">O1441</f>
        <v>1110408.9829098561</v>
      </c>
      <c r="P122" s="49">
        <f ca="1">P1441</f>
        <v>1019750.6179379449</v>
      </c>
      <c r="Q122" s="49">
        <v>9.533895433979988E-12</v>
      </c>
    </row>
    <row r="123" spans="1:17" x14ac:dyDescent="0.2">
      <c r="A123" s="49">
        <v>4</v>
      </c>
      <c r="B123" s="37" t="s">
        <v>678</v>
      </c>
      <c r="C123" s="40" t="s">
        <v>679</v>
      </c>
      <c r="D123" s="49">
        <f t="shared" ca="1" si="13"/>
        <v>5417083338.7715378</v>
      </c>
      <c r="F123" s="49">
        <f ca="1">SUM(F606:F612)</f>
        <v>5078060761.9172258</v>
      </c>
      <c r="H123" s="49">
        <f ca="1">SUM(H606:H612)</f>
        <v>232530651.65743962</v>
      </c>
      <c r="I123" s="49">
        <f t="shared" ca="1" si="14"/>
        <v>106491925.19687295</v>
      </c>
      <c r="L123" s="49">
        <f ca="1">SUM(L606:L612)</f>
        <v>16299.867631499083</v>
      </c>
      <c r="M123" s="49"/>
      <c r="N123" s="49">
        <f t="shared" ca="1" si="15"/>
        <v>106475625.32924145</v>
      </c>
      <c r="O123" s="49">
        <f ca="1">SUM(O606:O612)</f>
        <v>54001461.463156469</v>
      </c>
      <c r="P123" s="49">
        <f ca="1">SUM(P606:P612)</f>
        <v>52474163.866084993</v>
      </c>
      <c r="Q123" s="49">
        <f ca="1">SUM(Q606:Q612)</f>
        <v>0</v>
      </c>
    </row>
    <row r="124" spans="1:17" x14ac:dyDescent="0.2">
      <c r="A124" s="49">
        <v>5</v>
      </c>
      <c r="B124" s="59" t="s">
        <v>683</v>
      </c>
      <c r="C124" s="45" t="s">
        <v>684</v>
      </c>
      <c r="D124" s="49">
        <f t="shared" ca="1" si="13"/>
        <v>113366614.00000001</v>
      </c>
      <c r="F124" s="49">
        <f ca="1">F1423</f>
        <v>106641213.60457395</v>
      </c>
      <c r="H124" s="49">
        <f ca="1">H1423</f>
        <v>5367659.2530066371</v>
      </c>
      <c r="I124" s="49">
        <f t="shared" ca="1" si="14"/>
        <v>1357741.1424194344</v>
      </c>
      <c r="L124" s="49">
        <f ca="1">L1423</f>
        <v>7638.8523943977007</v>
      </c>
      <c r="M124" s="49"/>
      <c r="N124" s="49">
        <f t="shared" ca="1" si="15"/>
        <v>1350102.2900250368</v>
      </c>
      <c r="O124" s="49">
        <f ca="1">O1423</f>
        <v>703780.93270302494</v>
      </c>
      <c r="P124" s="49">
        <f ca="1">P1423</f>
        <v>646321.35732201196</v>
      </c>
      <c r="Q124" s="49">
        <f>Q1423</f>
        <v>0</v>
      </c>
    </row>
    <row r="125" spans="1:17" x14ac:dyDescent="0.2">
      <c r="A125" s="49">
        <v>6</v>
      </c>
      <c r="B125" s="37" t="s">
        <v>943</v>
      </c>
      <c r="C125" s="40" t="s">
        <v>944</v>
      </c>
      <c r="D125" s="49">
        <f t="shared" ca="1" si="13"/>
        <v>43745720.994615383</v>
      </c>
      <c r="F125" s="49">
        <f ca="1">SUM(F618:F625)</f>
        <v>41007940.139040142</v>
      </c>
      <c r="H125" s="49">
        <f ca="1">SUM(H618:H625)</f>
        <v>1877804.0458224264</v>
      </c>
      <c r="I125" s="49">
        <f t="shared" ca="1" si="14"/>
        <v>859976.80975281179</v>
      </c>
      <c r="L125" s="49">
        <f ca="1">SUM(L618:L625)</f>
        <v>131.62977511407891</v>
      </c>
      <c r="M125" s="49"/>
      <c r="N125" s="49">
        <f t="shared" ca="1" si="15"/>
        <v>859845.17997769767</v>
      </c>
      <c r="O125" s="49">
        <f ca="1">SUM(O618:O625)</f>
        <v>436089.44495294342</v>
      </c>
      <c r="P125" s="49">
        <f ca="1">SUM(P618:P625)</f>
        <v>423755.73502475425</v>
      </c>
      <c r="Q125" s="49">
        <f ca="1">SUM(Q618:Q625)</f>
        <v>0</v>
      </c>
    </row>
    <row r="126" spans="1:17" x14ac:dyDescent="0.2">
      <c r="A126" s="49">
        <v>7</v>
      </c>
      <c r="B126" s="37" t="s">
        <v>945</v>
      </c>
      <c r="C126" s="40" t="s">
        <v>946</v>
      </c>
      <c r="D126" s="49">
        <f t="shared" ca="1" si="13"/>
        <v>1062672890.0599995</v>
      </c>
      <c r="F126" s="49">
        <f ca="1">SUM(F631:F638)</f>
        <v>996166602.63355184</v>
      </c>
      <c r="H126" s="49">
        <f ca="1">SUM(H631:H638)</f>
        <v>45615694.6775686</v>
      </c>
      <c r="I126" s="49">
        <f t="shared" ca="1" si="14"/>
        <v>20890592.748879068</v>
      </c>
      <c r="L126" s="49">
        <f ca="1">SUM(L631:L638)</f>
        <v>3197.5560205224106</v>
      </c>
      <c r="M126" s="49"/>
      <c r="N126" s="49">
        <f t="shared" ca="1" si="15"/>
        <v>20887395.192858547</v>
      </c>
      <c r="O126" s="49">
        <f ca="1">SUM(O631:O638)</f>
        <v>10593503.095990747</v>
      </c>
      <c r="P126" s="49">
        <f ca="1">SUM(P631:P638)</f>
        <v>10293892.096867798</v>
      </c>
      <c r="Q126" s="49">
        <f ca="1">SUM(Q631:Q638)</f>
        <v>0</v>
      </c>
    </row>
    <row r="127" spans="1:17" x14ac:dyDescent="0.2">
      <c r="A127" s="49">
        <v>8</v>
      </c>
      <c r="B127" s="37" t="s">
        <v>947</v>
      </c>
      <c r="C127" s="40" t="s">
        <v>948</v>
      </c>
      <c r="D127" s="49">
        <f t="shared" ca="1" si="13"/>
        <v>1069988719.9069217</v>
      </c>
      <c r="F127" s="49">
        <f ca="1">F660</f>
        <v>1021671276.4083883</v>
      </c>
      <c r="H127" s="49">
        <f ca="1">H660</f>
        <v>47580842.050373152</v>
      </c>
      <c r="I127" s="49">
        <f t="shared" ca="1" si="14"/>
        <v>736601.44816027861</v>
      </c>
      <c r="L127" s="49">
        <f ca="1">L660</f>
        <v>3271.1338277682412</v>
      </c>
      <c r="M127" s="49"/>
      <c r="N127" s="49">
        <f t="shared" ca="1" si="15"/>
        <v>733330.31433251034</v>
      </c>
      <c r="O127" s="49">
        <f ca="1">O660</f>
        <v>371924.64084374672</v>
      </c>
      <c r="P127" s="49">
        <f ca="1">P660</f>
        <v>361405.67348876363</v>
      </c>
      <c r="Q127" s="49">
        <f ca="1">Q660</f>
        <v>0</v>
      </c>
    </row>
    <row r="128" spans="1:17" x14ac:dyDescent="0.2">
      <c r="A128" s="49">
        <v>9</v>
      </c>
      <c r="B128" s="37" t="s">
        <v>949</v>
      </c>
      <c r="C128" s="40" t="s">
        <v>950</v>
      </c>
      <c r="D128" s="49">
        <f t="shared" ca="1" si="13"/>
        <v>59688104.830769219</v>
      </c>
      <c r="F128" s="49">
        <f ca="1">F671</f>
        <v>0</v>
      </c>
      <c r="H128" s="49">
        <f ca="1">H671</f>
        <v>59688104.830769219</v>
      </c>
      <c r="I128" s="49">
        <f t="shared" ca="1" si="14"/>
        <v>0</v>
      </c>
      <c r="L128" s="49">
        <f ca="1">L671</f>
        <v>0</v>
      </c>
      <c r="M128" s="49"/>
      <c r="N128" s="49">
        <f t="shared" ca="1" si="15"/>
        <v>0</v>
      </c>
      <c r="O128" s="49">
        <f ca="1">O671</f>
        <v>0</v>
      </c>
      <c r="P128" s="49">
        <f ca="1">P671</f>
        <v>0</v>
      </c>
      <c r="Q128" s="49">
        <f ca="1">Q671</f>
        <v>0</v>
      </c>
    </row>
    <row r="129" spans="1:20" x14ac:dyDescent="0.2">
      <c r="A129" s="49">
        <v>10</v>
      </c>
      <c r="B129" s="37" t="s">
        <v>951</v>
      </c>
      <c r="C129" s="40" t="s">
        <v>952</v>
      </c>
      <c r="D129" s="49">
        <f t="shared" ca="1" si="13"/>
        <v>67918534.240769222</v>
      </c>
      <c r="F129" s="49">
        <f ca="1">F671+F680</f>
        <v>8230402.9915529564</v>
      </c>
      <c r="H129" s="49">
        <f ca="1">H671+H680</f>
        <v>59688104.830769219</v>
      </c>
      <c r="I129" s="49">
        <f t="shared" ca="1" si="14"/>
        <v>26.418447042283358</v>
      </c>
      <c r="L129" s="49">
        <f ca="1">L671+L680</f>
        <v>26.418447042283358</v>
      </c>
      <c r="M129" s="49"/>
      <c r="N129" s="49">
        <f t="shared" ca="1" si="15"/>
        <v>0</v>
      </c>
      <c r="O129" s="49">
        <f ca="1">O671+O680</f>
        <v>0</v>
      </c>
      <c r="P129" s="49">
        <f ca="1">P671+P680</f>
        <v>0</v>
      </c>
      <c r="Q129" s="49">
        <f ca="1">Q671+Q680</f>
        <v>0</v>
      </c>
    </row>
    <row r="130" spans="1:20" x14ac:dyDescent="0.2">
      <c r="A130" s="49">
        <v>11</v>
      </c>
      <c r="B130" s="37" t="s">
        <v>953</v>
      </c>
      <c r="C130" s="40" t="s">
        <v>954</v>
      </c>
      <c r="D130" s="49">
        <f t="shared" ca="1" si="13"/>
        <v>2028003526.516923</v>
      </c>
      <c r="F130" s="49">
        <f ca="1">F735</f>
        <v>1924181178.110769</v>
      </c>
      <c r="H130" s="49">
        <f ca="1">H735</f>
        <v>99510269.70615378</v>
      </c>
      <c r="I130" s="49">
        <f t="shared" ca="1" si="14"/>
        <v>4312078.7</v>
      </c>
      <c r="L130" s="49">
        <f ca="1">L735</f>
        <v>647118.70000000007</v>
      </c>
      <c r="M130" s="49"/>
      <c r="N130" s="49">
        <f t="shared" ca="1" si="15"/>
        <v>3664960</v>
      </c>
      <c r="O130" s="49">
        <f ca="1">O735</f>
        <v>3638108</v>
      </c>
      <c r="P130" s="49">
        <f ca="1">P735</f>
        <v>26852</v>
      </c>
      <c r="Q130" s="49">
        <f ca="1">Q735</f>
        <v>0</v>
      </c>
    </row>
    <row r="131" spans="1:20" x14ac:dyDescent="0.2">
      <c r="A131" s="49">
        <v>12</v>
      </c>
      <c r="B131" s="37" t="s">
        <v>955</v>
      </c>
      <c r="C131" s="40" t="s">
        <v>956</v>
      </c>
      <c r="D131" s="49">
        <f t="shared" ca="1" si="13"/>
        <v>1927846138.110769</v>
      </c>
      <c r="F131" s="49">
        <f ca="1">F704</f>
        <v>1924181178.110769</v>
      </c>
      <c r="H131" s="49">
        <f ca="1">H704</f>
        <v>0</v>
      </c>
      <c r="I131" s="49">
        <f t="shared" ca="1" si="14"/>
        <v>3664960</v>
      </c>
      <c r="L131" s="49">
        <f ca="1">L704</f>
        <v>0</v>
      </c>
      <c r="M131" s="49"/>
      <c r="N131" s="49">
        <f t="shared" ca="1" si="15"/>
        <v>3664960</v>
      </c>
      <c r="O131" s="49">
        <f ca="1">O704</f>
        <v>3638108</v>
      </c>
      <c r="P131" s="49">
        <f ca="1">P704</f>
        <v>26852</v>
      </c>
      <c r="Q131" s="49">
        <f ca="1">Q704</f>
        <v>0</v>
      </c>
    </row>
    <row r="132" spans="1:20" x14ac:dyDescent="0.2">
      <c r="A132" s="49">
        <v>13</v>
      </c>
      <c r="B132" s="37" t="s">
        <v>957</v>
      </c>
      <c r="C132" s="40" t="s">
        <v>958</v>
      </c>
      <c r="D132" s="49">
        <f t="shared" ca="1" si="13"/>
        <v>227252325.44461519</v>
      </c>
      <c r="F132" s="49">
        <f ca="1">F753</f>
        <v>214243630.79272455</v>
      </c>
      <c r="H132" s="49">
        <f ca="1">H753</f>
        <v>10382465.892327761</v>
      </c>
      <c r="I132" s="49">
        <f t="shared" ca="1" si="14"/>
        <v>2626228.7595628933</v>
      </c>
      <c r="L132" s="49">
        <f ca="1">L753</f>
        <v>14775.55126043734</v>
      </c>
      <c r="M132" s="49"/>
      <c r="N132" s="49">
        <f t="shared" ca="1" si="15"/>
        <v>2611453.208302456</v>
      </c>
      <c r="O132" s="49">
        <f ca="1">O753</f>
        <v>1361297.5759157678</v>
      </c>
      <c r="P132" s="49">
        <f ca="1">P753</f>
        <v>1250155.6323866884</v>
      </c>
      <c r="Q132" s="49">
        <f ca="1">Q753</f>
        <v>1.4857480774970084E-11</v>
      </c>
    </row>
    <row r="133" spans="1:20" x14ac:dyDescent="0.2">
      <c r="A133" s="49">
        <v>14</v>
      </c>
      <c r="B133" s="37" t="s">
        <v>959</v>
      </c>
      <c r="C133" s="45" t="s">
        <v>1199</v>
      </c>
      <c r="D133" s="49">
        <f t="shared" ca="1" si="13"/>
        <v>55918.829999999994</v>
      </c>
      <c r="F133" s="49">
        <f ca="1">F600</f>
        <v>55918.829999999994</v>
      </c>
      <c r="H133" s="49">
        <f ca="1">H600</f>
        <v>0</v>
      </c>
      <c r="I133" s="49">
        <f t="shared" ca="1" si="14"/>
        <v>0</v>
      </c>
      <c r="L133" s="49">
        <f ca="1">L600</f>
        <v>0</v>
      </c>
      <c r="M133" s="49"/>
      <c r="N133" s="49">
        <f t="shared" ca="1" si="15"/>
        <v>0</v>
      </c>
      <c r="O133" s="49">
        <f t="shared" ref="O133:Q134" ca="1" si="16">O600</f>
        <v>0</v>
      </c>
      <c r="P133" s="49">
        <f t="shared" ca="1" si="16"/>
        <v>0</v>
      </c>
      <c r="Q133" s="49">
        <f t="shared" ca="1" si="16"/>
        <v>0</v>
      </c>
    </row>
    <row r="134" spans="1:20" x14ac:dyDescent="0.2">
      <c r="A134" s="49">
        <v>15</v>
      </c>
      <c r="B134" s="37" t="s">
        <v>694</v>
      </c>
      <c r="C134" s="45" t="s">
        <v>1200</v>
      </c>
      <c r="D134" s="49">
        <f t="shared" ca="1" si="13"/>
        <v>97263001.621538445</v>
      </c>
      <c r="F134" s="49">
        <f ca="1">F601</f>
        <v>90938370.524241433</v>
      </c>
      <c r="H134" s="49">
        <f ca="1">H601</f>
        <v>4909462.9052813575</v>
      </c>
      <c r="I134" s="49">
        <f ca="1">(L134+M134+N134)</f>
        <v>1415168.1920156677</v>
      </c>
      <c r="L134" s="49">
        <f ca="1">L601</f>
        <v>6684.2426680665249</v>
      </c>
      <c r="M134" s="49"/>
      <c r="N134" s="49">
        <f ca="1">SUM(O134:Q134)</f>
        <v>1408483.949347601</v>
      </c>
      <c r="O134" s="49">
        <f t="shared" ca="1" si="16"/>
        <v>732070.65301428316</v>
      </c>
      <c r="P134" s="49">
        <f t="shared" ca="1" si="16"/>
        <v>676413.29633331788</v>
      </c>
      <c r="Q134" s="49">
        <f t="shared" ca="1" si="16"/>
        <v>1.4508406721830447E-13</v>
      </c>
    </row>
    <row r="135" spans="1:20" x14ac:dyDescent="0.2">
      <c r="A135" s="49">
        <v>16</v>
      </c>
      <c r="B135" s="37" t="s">
        <v>960</v>
      </c>
      <c r="C135" s="40" t="s">
        <v>961</v>
      </c>
      <c r="D135" s="49">
        <f t="shared" ca="1" si="13"/>
        <v>6523501949.8261528</v>
      </c>
      <c r="F135" s="49">
        <f ca="1">SUM(F606:F612,F618:F625,F631:F638)</f>
        <v>6115235304.6898174</v>
      </c>
      <c r="H135" s="49">
        <f ca="1">SUM(H606:H612,H618:H625,H631:H638)</f>
        <v>280024150.38083065</v>
      </c>
      <c r="I135" s="49">
        <f t="shared" ca="1" si="14"/>
        <v>128242494.75550485</v>
      </c>
      <c r="L135" s="49">
        <f ca="1">SUM(L606:L612,L618:L625,L631:L638)</f>
        <v>19629.053427135565</v>
      </c>
      <c r="M135" s="49"/>
      <c r="N135" s="49">
        <f t="shared" ca="1" si="15"/>
        <v>128222865.70207772</v>
      </c>
      <c r="O135" s="49">
        <f ca="1">SUM(O606:O612,O618:O625,O631:O638)</f>
        <v>65031054.004100159</v>
      </c>
      <c r="P135" s="49">
        <f ca="1">SUM(P606:P612,P618:P625,P631:P638)</f>
        <v>63191811.69797755</v>
      </c>
      <c r="Q135" s="49">
        <f ca="1">SUM(Q606:Q612,Q618:Q625,Q631:Q638)</f>
        <v>0</v>
      </c>
    </row>
    <row r="136" spans="1:20" x14ac:dyDescent="0.2">
      <c r="A136" s="49">
        <v>17</v>
      </c>
      <c r="B136" s="37" t="s">
        <v>962</v>
      </c>
      <c r="C136" s="40" t="s">
        <v>963</v>
      </c>
      <c r="D136" s="49">
        <f t="shared" ca="1" si="13"/>
        <v>6570264832.6561527</v>
      </c>
      <c r="F136" s="49">
        <f ca="1">F643+F756</f>
        <v>6147446507.1168594</v>
      </c>
      <c r="H136" s="49">
        <f ca="1">H643+H756</f>
        <v>285504504.55076247</v>
      </c>
      <c r="I136" s="49">
        <f t="shared" ca="1" si="14"/>
        <v>137313820.98853144</v>
      </c>
      <c r="L136" s="49">
        <f ca="1">L643+L756</f>
        <v>19629.984827774257</v>
      </c>
      <c r="M136" s="49"/>
      <c r="N136" s="49">
        <f t="shared" ca="1" si="15"/>
        <v>137294191.00370365</v>
      </c>
      <c r="O136" s="49">
        <f ca="1">O643+O756</f>
        <v>69631776.678240478</v>
      </c>
      <c r="P136" s="49">
        <f ca="1">P643+P756</f>
        <v>67662414.325463176</v>
      </c>
      <c r="Q136" s="49">
        <f ca="1">Q643+Q756</f>
        <v>0</v>
      </c>
    </row>
    <row r="137" spans="1:20" x14ac:dyDescent="0.2">
      <c r="A137" s="49">
        <v>18</v>
      </c>
      <c r="B137" s="37" t="s">
        <v>964</v>
      </c>
      <c r="C137" s="40" t="s">
        <v>965</v>
      </c>
      <c r="D137" s="49">
        <f t="shared" ca="1" si="13"/>
        <v>1137907254.147691</v>
      </c>
      <c r="F137" s="49">
        <f ca="1">F682</f>
        <v>1029901679.3999412</v>
      </c>
      <c r="H137" s="49">
        <f ca="1">H682</f>
        <v>107268946.88114238</v>
      </c>
      <c r="I137" s="49">
        <f t="shared" ca="1" si="14"/>
        <v>736627.86660732084</v>
      </c>
      <c r="L137" s="49">
        <f ca="1">L682</f>
        <v>3297.5522748105245</v>
      </c>
      <c r="M137" s="49"/>
      <c r="N137" s="49">
        <f t="shared" ca="1" si="15"/>
        <v>733330.31433251034</v>
      </c>
      <c r="O137" s="49">
        <f ca="1">O682</f>
        <v>371924.64084374672</v>
      </c>
      <c r="P137" s="49">
        <f ca="1">P682</f>
        <v>361405.67348876363</v>
      </c>
      <c r="Q137" s="49">
        <f ca="1">Q682</f>
        <v>0</v>
      </c>
    </row>
    <row r="138" spans="1:20" x14ac:dyDescent="0.2">
      <c r="A138" s="49">
        <v>19</v>
      </c>
      <c r="B138" s="37" t="s">
        <v>1370</v>
      </c>
      <c r="C138" s="40" t="s">
        <v>1369</v>
      </c>
      <c r="D138" s="49">
        <f ca="1">SUM(F138:I138)+K138</f>
        <v>1137173923.8333583</v>
      </c>
      <c r="F138" s="49">
        <f ca="1">F682</f>
        <v>1029901679.3999412</v>
      </c>
      <c r="H138" s="49">
        <f ca="1">H682</f>
        <v>107268946.88114238</v>
      </c>
      <c r="I138" s="49">
        <f ca="1">(L138+M138+N138)</f>
        <v>3297.5522748105245</v>
      </c>
      <c r="L138" s="49">
        <f ca="1">L682</f>
        <v>3297.5522748105245</v>
      </c>
      <c r="M138" s="49"/>
      <c r="N138" s="49">
        <f>SUM(O138:Q138)</f>
        <v>0</v>
      </c>
      <c r="O138" s="49">
        <v>0</v>
      </c>
      <c r="P138" s="49">
        <v>0</v>
      </c>
      <c r="Q138" s="49">
        <f>Q683</f>
        <v>0</v>
      </c>
    </row>
    <row r="139" spans="1:20" x14ac:dyDescent="0.2">
      <c r="A139" s="49">
        <v>20</v>
      </c>
      <c r="B139" s="37" t="s">
        <v>972</v>
      </c>
      <c r="C139" s="45" t="s">
        <v>592</v>
      </c>
      <c r="D139" s="49">
        <f t="shared" ca="1" si="13"/>
        <v>48204764</v>
      </c>
      <c r="F139" s="49">
        <f ca="1">SUM(F840:F843)</f>
        <v>44904121.00751958</v>
      </c>
      <c r="H139" s="49">
        <f ca="1">SUM(H840:H843)</f>
        <v>2627633.4712951239</v>
      </c>
      <c r="I139" s="49">
        <f t="shared" ca="1" si="14"/>
        <v>673009.52118529729</v>
      </c>
      <c r="L139" s="49">
        <f ca="1">SUM(L840:L843)</f>
        <v>2361.0170490595328</v>
      </c>
      <c r="M139" s="49"/>
      <c r="N139" s="49">
        <f t="shared" ca="1" si="15"/>
        <v>670648.50413623778</v>
      </c>
      <c r="O139" s="49">
        <f ca="1">SUM(O840:O843)</f>
        <v>346290.09994226391</v>
      </c>
      <c r="P139" s="49">
        <f ca="1">SUM(P840:P843)</f>
        <v>324358.40419397381</v>
      </c>
      <c r="Q139" s="49">
        <f ca="1">SUM(Q840:Q843)</f>
        <v>0</v>
      </c>
    </row>
    <row r="140" spans="1:20" x14ac:dyDescent="0.2">
      <c r="A140" s="84">
        <v>21</v>
      </c>
      <c r="B140" s="37" t="s">
        <v>974</v>
      </c>
      <c r="C140" s="45" t="s">
        <v>1201</v>
      </c>
      <c r="D140" s="49">
        <f t="shared" ca="1" si="13"/>
        <v>11206094.999999998</v>
      </c>
      <c r="F140" s="49">
        <f ca="1">F1090+F1098</f>
        <v>10505965.54958648</v>
      </c>
      <c r="H140" s="49">
        <f ca="1">H1090+H1098</f>
        <v>549970.73127012397</v>
      </c>
      <c r="I140" s="49">
        <f t="shared" ca="1" si="14"/>
        <v>150158.71914339473</v>
      </c>
      <c r="L140" s="49">
        <f ca="1">L1090+L1098</f>
        <v>763.39944367597059</v>
      </c>
      <c r="M140" s="49"/>
      <c r="N140" s="49">
        <f t="shared" ca="1" si="15"/>
        <v>149395.31969971876</v>
      </c>
      <c r="O140" s="49">
        <f ca="1">O1090+O1098</f>
        <v>77740.16748229404</v>
      </c>
      <c r="P140" s="49">
        <f ca="1">P1090+P1098</f>
        <v>71655.152217424722</v>
      </c>
      <c r="Q140" s="49">
        <f ca="1">Q1090+Q1098</f>
        <v>2.7620156649193054E-13</v>
      </c>
    </row>
    <row r="141" spans="1:20" x14ac:dyDescent="0.2">
      <c r="A141" s="55">
        <v>22</v>
      </c>
      <c r="B141" s="38" t="s">
        <v>977</v>
      </c>
      <c r="C141" s="73" t="s">
        <v>1267</v>
      </c>
      <c r="D141" s="46">
        <f t="shared" ca="1" si="13"/>
        <v>1598218900.76336</v>
      </c>
      <c r="E141" s="24"/>
      <c r="F141" s="46">
        <f ca="1">F928</f>
        <v>1598218900.76336</v>
      </c>
      <c r="G141" s="74"/>
      <c r="H141" s="74">
        <v>0</v>
      </c>
      <c r="I141" s="46">
        <f t="shared" si="14"/>
        <v>0</v>
      </c>
      <c r="J141" s="24"/>
      <c r="K141" s="24"/>
      <c r="L141" s="74">
        <v>0</v>
      </c>
      <c r="M141" s="74"/>
      <c r="N141" s="46">
        <f t="shared" si="15"/>
        <v>0</v>
      </c>
      <c r="O141" s="74">
        <v>0</v>
      </c>
      <c r="P141" s="74">
        <v>0</v>
      </c>
      <c r="Q141" s="74">
        <v>0</v>
      </c>
      <c r="R141" s="24"/>
      <c r="S141" s="24"/>
      <c r="T141" s="24"/>
    </row>
    <row r="142" spans="1:20" x14ac:dyDescent="0.2">
      <c r="A142" s="49">
        <v>23</v>
      </c>
      <c r="B142" s="37" t="s">
        <v>978</v>
      </c>
      <c r="C142" s="40" t="s">
        <v>2637</v>
      </c>
      <c r="D142" s="49">
        <f t="shared" ca="1" si="13"/>
        <v>2485934.5284356102</v>
      </c>
      <c r="F142" s="57">
        <v>0</v>
      </c>
      <c r="G142" s="57"/>
      <c r="H142" s="57">
        <v>0</v>
      </c>
      <c r="I142" s="49">
        <f t="shared" ca="1" si="14"/>
        <v>2485934.5284356102</v>
      </c>
      <c r="L142" s="57">
        <v>0</v>
      </c>
      <c r="M142" s="57"/>
      <c r="N142" s="49">
        <f t="shared" ca="1" si="15"/>
        <v>2485934.5284356102</v>
      </c>
      <c r="O142" s="49">
        <f ca="1">O815+O816</f>
        <v>1260796.517720738</v>
      </c>
      <c r="P142" s="49">
        <f ca="1">P815+P816</f>
        <v>1225138.0107148723</v>
      </c>
      <c r="Q142" s="49">
        <f ca="1">Q815+Q816</f>
        <v>0</v>
      </c>
    </row>
    <row r="143" spans="1:20" x14ac:dyDescent="0.2">
      <c r="A143" s="49">
        <v>24</v>
      </c>
      <c r="B143" s="37" t="s">
        <v>979</v>
      </c>
      <c r="C143" s="40" t="s">
        <v>980</v>
      </c>
      <c r="D143" s="49">
        <f t="shared" ca="1" si="13"/>
        <v>0</v>
      </c>
      <c r="F143" s="57">
        <v>0</v>
      </c>
      <c r="G143" s="57"/>
      <c r="H143" s="57">
        <v>0</v>
      </c>
      <c r="I143" s="49">
        <f t="shared" ca="1" si="14"/>
        <v>0</v>
      </c>
      <c r="L143" s="57">
        <v>0</v>
      </c>
      <c r="M143" s="57"/>
      <c r="N143" s="49">
        <f t="shared" ca="1" si="15"/>
        <v>0</v>
      </c>
      <c r="O143" s="49">
        <f ca="1">SUM(O821:O824)</f>
        <v>0</v>
      </c>
      <c r="P143" s="49">
        <f ca="1">SUM(P821:P824)</f>
        <v>0</v>
      </c>
      <c r="Q143" s="49">
        <f ca="1">SUM(Q821:Q824)</f>
        <v>0</v>
      </c>
    </row>
    <row r="144" spans="1:20" x14ac:dyDescent="0.2">
      <c r="A144" s="49">
        <v>25</v>
      </c>
      <c r="B144" s="37" t="s">
        <v>981</v>
      </c>
      <c r="C144" s="40" t="s">
        <v>982</v>
      </c>
      <c r="D144" s="49">
        <f t="shared" ca="1" si="13"/>
        <v>421019.48910862638</v>
      </c>
      <c r="F144" s="57">
        <v>0</v>
      </c>
      <c r="G144" s="57"/>
      <c r="H144" s="57">
        <v>0</v>
      </c>
      <c r="I144" s="49">
        <f t="shared" ca="1" si="14"/>
        <v>421019.48910862638</v>
      </c>
      <c r="L144" s="57">
        <v>0</v>
      </c>
      <c r="M144" s="57"/>
      <c r="N144" s="49">
        <f t="shared" ca="1" si="15"/>
        <v>421019.48910862638</v>
      </c>
      <c r="O144" s="49">
        <f ca="1">O871+O870</f>
        <v>213529.31852745268</v>
      </c>
      <c r="P144" s="49">
        <f ca="1">P871+P870</f>
        <v>207490.1705811737</v>
      </c>
      <c r="Q144" s="49">
        <f ca="1">Q871+Q870</f>
        <v>0</v>
      </c>
    </row>
    <row r="145" spans="1:17" x14ac:dyDescent="0.2">
      <c r="A145" s="49">
        <v>26</v>
      </c>
      <c r="B145" s="37" t="s">
        <v>983</v>
      </c>
      <c r="C145" s="40" t="s">
        <v>984</v>
      </c>
      <c r="D145" s="49">
        <f t="shared" ca="1" si="13"/>
        <v>468.59558447488581</v>
      </c>
      <c r="F145" s="57">
        <v>0</v>
      </c>
      <c r="G145" s="57"/>
      <c r="H145" s="57">
        <v>0</v>
      </c>
      <c r="I145" s="49">
        <f t="shared" ca="1" si="14"/>
        <v>468.59558447488581</v>
      </c>
      <c r="L145" s="57">
        <v>0</v>
      </c>
      <c r="M145" s="57"/>
      <c r="N145" s="49">
        <f t="shared" ca="1" si="15"/>
        <v>468.59558447488581</v>
      </c>
      <c r="O145" s="49">
        <f ca="1">SUM(O875:O878)</f>
        <v>237.65858447488583</v>
      </c>
      <c r="P145" s="49">
        <f ca="1">SUM(P875:P878)</f>
        <v>230.93699999999998</v>
      </c>
      <c r="Q145" s="49">
        <f ca="1">SUM(Q875:Q878)</f>
        <v>0</v>
      </c>
    </row>
    <row r="146" spans="1:17" x14ac:dyDescent="0.2">
      <c r="A146" s="49">
        <v>27</v>
      </c>
      <c r="B146" s="37" t="s">
        <v>985</v>
      </c>
      <c r="C146" s="40" t="s">
        <v>986</v>
      </c>
      <c r="D146" s="49">
        <f t="shared" ca="1" si="13"/>
        <v>1069988719.9069217</v>
      </c>
      <c r="F146" s="49">
        <f ca="1">F660</f>
        <v>1021671276.4083883</v>
      </c>
      <c r="H146" s="49">
        <f ca="1">H660</f>
        <v>47580842.050373152</v>
      </c>
      <c r="I146" s="49">
        <f t="shared" ca="1" si="14"/>
        <v>736601.44816027861</v>
      </c>
      <c r="L146" s="49">
        <f ca="1">L660</f>
        <v>3271.1338277682412</v>
      </c>
      <c r="M146" s="49"/>
      <c r="N146" s="49">
        <f t="shared" ca="1" si="15"/>
        <v>733330.31433251034</v>
      </c>
      <c r="O146" s="49">
        <f ca="1">O660</f>
        <v>371924.64084374672</v>
      </c>
      <c r="P146" s="49">
        <f ca="1">P660</f>
        <v>361405.67348876363</v>
      </c>
      <c r="Q146" s="49">
        <f ca="1">Q660</f>
        <v>0</v>
      </c>
    </row>
    <row r="147" spans="1:17" x14ac:dyDescent="0.2">
      <c r="A147" s="49">
        <v>28</v>
      </c>
      <c r="B147" s="37" t="s">
        <v>987</v>
      </c>
      <c r="C147" s="40" t="s">
        <v>988</v>
      </c>
      <c r="D147" s="49">
        <f t="shared" ca="1" si="13"/>
        <v>67918534.240769222</v>
      </c>
      <c r="F147" s="49">
        <f ca="1">F671+F680</f>
        <v>8230402.9915529564</v>
      </c>
      <c r="H147" s="49">
        <f ca="1">H671+H680</f>
        <v>59688104.830769219</v>
      </c>
      <c r="I147" s="49">
        <f t="shared" ca="1" si="14"/>
        <v>26.418447042283358</v>
      </c>
      <c r="L147" s="49">
        <f ca="1">L671+L680</f>
        <v>26.418447042283358</v>
      </c>
      <c r="M147" s="49"/>
      <c r="N147" s="49">
        <f t="shared" ca="1" si="15"/>
        <v>0</v>
      </c>
      <c r="O147" s="49">
        <f ca="1">O671+O680</f>
        <v>0</v>
      </c>
      <c r="P147" s="49">
        <f ca="1">P671+P680</f>
        <v>0</v>
      </c>
      <c r="Q147" s="49">
        <f ca="1">Q671+Q680</f>
        <v>0</v>
      </c>
    </row>
    <row r="148" spans="1:17" x14ac:dyDescent="0.2">
      <c r="A148" s="49">
        <v>29</v>
      </c>
      <c r="B148" s="37" t="s">
        <v>989</v>
      </c>
      <c r="C148" s="45" t="s">
        <v>1202</v>
      </c>
      <c r="D148" s="49">
        <f t="shared" ca="1" si="13"/>
        <v>856267055.86230779</v>
      </c>
      <c r="F148" s="49">
        <f ca="1">F691+F692+F710+F711+F727+F728</f>
        <v>796180183.32000017</v>
      </c>
      <c r="H148" s="49">
        <f ca="1">H691+H692+H710+H711+H727+H728</f>
        <v>59992323.762307629</v>
      </c>
      <c r="I148" s="49">
        <f t="shared" ca="1" si="14"/>
        <v>94548.78</v>
      </c>
      <c r="L148" s="49">
        <f ca="1">L691+L692+L710+L711+L727+L728</f>
        <v>94548.78</v>
      </c>
      <c r="M148" s="49"/>
      <c r="N148" s="49">
        <f t="shared" ca="1" si="15"/>
        <v>0</v>
      </c>
      <c r="O148" s="49">
        <f ca="1">O691+O692+O710+O711+O727+O728</f>
        <v>0</v>
      </c>
      <c r="P148" s="49">
        <f ca="1">P691+P692+P710+P711+P727+P728</f>
        <v>0</v>
      </c>
      <c r="Q148" s="49">
        <f ca="1">Q691+Q692+Q710+Q711+Q727+Q728</f>
        <v>0</v>
      </c>
    </row>
    <row r="149" spans="1:17" x14ac:dyDescent="0.2">
      <c r="A149" s="49">
        <v>30</v>
      </c>
      <c r="B149" s="37" t="s">
        <v>990</v>
      </c>
      <c r="C149" s="40" t="s">
        <v>991</v>
      </c>
      <c r="D149" s="49">
        <f t="shared" ca="1" si="13"/>
        <v>10062394693.696922</v>
      </c>
      <c r="F149" s="49">
        <f ca="1">F762</f>
        <v>9408080312.420742</v>
      </c>
      <c r="H149" s="49">
        <f ca="1">H762</f>
        <v>507908229.56304741</v>
      </c>
      <c r="I149" s="49">
        <f t="shared" ca="1" si="14"/>
        <v>146406151.71313202</v>
      </c>
      <c r="L149" s="49">
        <f ca="1">L762</f>
        <v>691517.97762954782</v>
      </c>
      <c r="M149" s="49"/>
      <c r="N149" s="49">
        <f t="shared" ca="1" si="15"/>
        <v>145714633.73550248</v>
      </c>
      <c r="O149" s="49">
        <f ca="1">O762</f>
        <v>75736331.338313594</v>
      </c>
      <c r="P149" s="49">
        <f ca="1">P762</f>
        <v>69978302.397188902</v>
      </c>
      <c r="Q149" s="49">
        <f ca="1">Q762</f>
        <v>1.5009664629380087E-11</v>
      </c>
    </row>
    <row r="150" spans="1:17" x14ac:dyDescent="0.2">
      <c r="A150" s="49">
        <v>31</v>
      </c>
      <c r="B150" s="37" t="s">
        <v>992</v>
      </c>
      <c r="C150" s="40" t="s">
        <v>993</v>
      </c>
      <c r="D150" s="49">
        <f t="shared" ca="1" si="13"/>
        <v>9408080312.420742</v>
      </c>
      <c r="F150" s="49">
        <f ca="1">F762</f>
        <v>9408080312.420742</v>
      </c>
      <c r="G150" s="57"/>
      <c r="H150" s="57">
        <v>0</v>
      </c>
      <c r="I150" s="49">
        <f t="shared" si="14"/>
        <v>0</v>
      </c>
      <c r="L150" s="57">
        <v>0</v>
      </c>
      <c r="M150" s="57"/>
      <c r="N150" s="49">
        <f t="shared" si="15"/>
        <v>0</v>
      </c>
      <c r="O150" s="57">
        <v>0</v>
      </c>
      <c r="P150" s="57">
        <v>0</v>
      </c>
      <c r="Q150" s="57">
        <v>0</v>
      </c>
    </row>
    <row r="151" spans="1:17" x14ac:dyDescent="0.2">
      <c r="A151" s="49">
        <v>32</v>
      </c>
      <c r="B151" s="37" t="s">
        <v>994</v>
      </c>
      <c r="C151" s="40" t="s">
        <v>995</v>
      </c>
      <c r="D151" s="49">
        <f t="shared" ca="1" si="13"/>
        <v>9554486464.1338749</v>
      </c>
      <c r="F151" s="49">
        <f ca="1">F762</f>
        <v>9408080312.420742</v>
      </c>
      <c r="G151" s="57"/>
      <c r="H151" s="57">
        <v>0</v>
      </c>
      <c r="I151" s="49">
        <f t="shared" ca="1" si="14"/>
        <v>146406151.71313202</v>
      </c>
      <c r="L151" s="57">
        <f ca="1">L762</f>
        <v>691517.97762954782</v>
      </c>
      <c r="M151" s="57"/>
      <c r="N151" s="49">
        <f t="shared" ca="1" si="15"/>
        <v>145714633.73550248</v>
      </c>
      <c r="O151" s="49">
        <f ca="1">O762</f>
        <v>75736331.338313594</v>
      </c>
      <c r="P151" s="49">
        <f ca="1">P762</f>
        <v>69978302.397188902</v>
      </c>
      <c r="Q151" s="49">
        <f ca="1">Q762</f>
        <v>1.5009664629380087E-11</v>
      </c>
    </row>
    <row r="152" spans="1:17" x14ac:dyDescent="0.2">
      <c r="A152" s="49">
        <v>33</v>
      </c>
      <c r="B152" s="37" t="s">
        <v>996</v>
      </c>
      <c r="C152" s="40" t="s">
        <v>997</v>
      </c>
      <c r="D152" s="49">
        <f t="shared" ca="1" si="13"/>
        <v>507908229.56304741</v>
      </c>
      <c r="F152" s="57">
        <v>0</v>
      </c>
      <c r="G152" s="57"/>
      <c r="H152" s="49">
        <f ca="1">H762</f>
        <v>507908229.56304741</v>
      </c>
      <c r="I152" s="49">
        <f t="shared" si="14"/>
        <v>0</v>
      </c>
      <c r="L152" s="57">
        <v>0</v>
      </c>
      <c r="M152" s="49"/>
      <c r="N152" s="49">
        <f t="shared" si="15"/>
        <v>0</v>
      </c>
      <c r="O152" s="57">
        <v>0</v>
      </c>
      <c r="P152" s="57">
        <v>0</v>
      </c>
      <c r="Q152" s="57">
        <v>0</v>
      </c>
    </row>
    <row r="153" spans="1:17" x14ac:dyDescent="0.2">
      <c r="A153" s="49">
        <v>34</v>
      </c>
      <c r="B153" s="37" t="s">
        <v>998</v>
      </c>
      <c r="C153" s="40" t="s">
        <v>999</v>
      </c>
      <c r="D153" s="49">
        <f t="shared" ca="1" si="13"/>
        <v>5458446316.1515388</v>
      </c>
      <c r="F153" s="49">
        <f ca="1">F615</f>
        <v>5106018003.8752146</v>
      </c>
      <c r="H153" s="49">
        <f ca="1">H615</f>
        <v>237996821.58085454</v>
      </c>
      <c r="I153" s="49">
        <f t="shared" ca="1" si="14"/>
        <v>114431490.69546951</v>
      </c>
      <c r="L153" s="49">
        <f ca="1">L615</f>
        <v>16299.867631499083</v>
      </c>
      <c r="M153" s="49"/>
      <c r="N153" s="49">
        <f t="shared" ca="1" si="15"/>
        <v>114415190.82783802</v>
      </c>
      <c r="O153" s="49">
        <f ca="1">O615</f>
        <v>58028187.194805413</v>
      </c>
      <c r="P153" s="49">
        <f ca="1">P615</f>
        <v>56387003.633032605</v>
      </c>
      <c r="Q153" s="49">
        <f ca="1">Q615</f>
        <v>0</v>
      </c>
    </row>
    <row r="154" spans="1:17" x14ac:dyDescent="0.2">
      <c r="A154" s="49">
        <v>35</v>
      </c>
      <c r="B154" s="37" t="s">
        <v>1000</v>
      </c>
      <c r="C154" s="40" t="s">
        <v>1001</v>
      </c>
      <c r="D154" s="49">
        <f t="shared" ca="1" si="13"/>
        <v>43851877.754615381</v>
      </c>
      <c r="F154" s="49">
        <f ca="1">F628</f>
        <v>41090409.40883974</v>
      </c>
      <c r="H154" s="49">
        <f ca="1">H628</f>
        <v>1878071.1224434311</v>
      </c>
      <c r="I154" s="49">
        <f t="shared" ca="1" si="14"/>
        <v>883397.22333220835</v>
      </c>
      <c r="L154" s="49">
        <f ca="1">L628</f>
        <v>131.62977511407891</v>
      </c>
      <c r="M154" s="49"/>
      <c r="N154" s="49">
        <f t="shared" ca="1" si="15"/>
        <v>883265.59355709422</v>
      </c>
      <c r="O154" s="49">
        <f ca="1">O628</f>
        <v>447967.62418361881</v>
      </c>
      <c r="P154" s="49">
        <f ca="1">P628</f>
        <v>435297.96937347541</v>
      </c>
      <c r="Q154" s="49">
        <f ca="1">Q628</f>
        <v>0</v>
      </c>
    </row>
    <row r="155" spans="1:17" x14ac:dyDescent="0.2">
      <c r="A155" s="49">
        <v>36</v>
      </c>
      <c r="B155" s="37" t="s">
        <v>1002</v>
      </c>
      <c r="C155" s="40" t="s">
        <v>1003</v>
      </c>
      <c r="D155" s="49">
        <f t="shared" ca="1" si="13"/>
        <v>1067657097.8999995</v>
      </c>
      <c r="F155" s="49">
        <f ca="1">F641</f>
        <v>1000047925.2778294</v>
      </c>
      <c r="H155" s="49">
        <f ca="1">H641</f>
        <v>45616324.672233164</v>
      </c>
      <c r="I155" s="49">
        <f t="shared" ca="1" si="14"/>
        <v>21992847.949936979</v>
      </c>
      <c r="L155" s="49">
        <f ca="1">L641</f>
        <v>3197.5560205224106</v>
      </c>
      <c r="M155" s="49"/>
      <c r="N155" s="49">
        <f t="shared" ca="1" si="15"/>
        <v>21989650.393916458</v>
      </c>
      <c r="O155" s="49">
        <f ca="1">O641</f>
        <v>11152536.128935479</v>
      </c>
      <c r="P155" s="49">
        <f ca="1">P641</f>
        <v>10837114.264980981</v>
      </c>
      <c r="Q155" s="49">
        <f ca="1">Q641</f>
        <v>0</v>
      </c>
    </row>
    <row r="156" spans="1:17" x14ac:dyDescent="0.2">
      <c r="A156" s="49">
        <v>37</v>
      </c>
      <c r="B156" s="37" t="s">
        <v>1004</v>
      </c>
      <c r="C156" s="45" t="s">
        <v>1203</v>
      </c>
      <c r="D156" s="49">
        <f t="shared" ca="1" si="13"/>
        <v>292325985.02307677</v>
      </c>
      <c r="F156" s="49">
        <f ca="1">SUM(F688:F690,F707:F709,F724:F726)</f>
        <v>278569225.07307678</v>
      </c>
      <c r="H156" s="49">
        <f ca="1">SUM(H688:H690,H707:H709,H724:H726)</f>
        <v>9594110.1399999969</v>
      </c>
      <c r="I156" s="49">
        <f t="shared" ca="1" si="14"/>
        <v>4162649.81</v>
      </c>
      <c r="L156" s="49">
        <f ca="1">SUM(L688:L690,L707:L709,L724:L726)</f>
        <v>544997.81000000006</v>
      </c>
      <c r="M156" s="49"/>
      <c r="N156" s="49">
        <f t="shared" ca="1" si="15"/>
        <v>3617652</v>
      </c>
      <c r="O156" s="49">
        <f ca="1">SUM(O688:O690,O707:O709,O724:O726)</f>
        <v>3617652</v>
      </c>
      <c r="P156" s="49">
        <f ca="1">SUM(P688:P690,P707:P709,P724:P726)</f>
        <v>0</v>
      </c>
      <c r="Q156" s="49">
        <f ca="1">SUM(Q688:Q690,Q707:Q709,Q724:Q726)</f>
        <v>0</v>
      </c>
    </row>
    <row r="157" spans="1:17" x14ac:dyDescent="0.2">
      <c r="A157" s="49">
        <v>38</v>
      </c>
      <c r="B157" s="37" t="s">
        <v>1005</v>
      </c>
      <c r="C157" s="45" t="s">
        <v>1204</v>
      </c>
      <c r="D157" s="49">
        <f t="shared" ca="1" si="13"/>
        <v>224040010.4576923</v>
      </c>
      <c r="F157" s="49">
        <f ca="1">SUM(F693:F694,F712)</f>
        <v>218919032.25538459</v>
      </c>
      <c r="H157" s="49">
        <f ca="1">SUM(H693:H694,H712)</f>
        <v>5120978.2023076899</v>
      </c>
      <c r="I157" s="49">
        <f t="shared" ca="1" si="14"/>
        <v>0</v>
      </c>
      <c r="L157" s="49">
        <f ca="1">SUM(L693:L694,L712)</f>
        <v>0</v>
      </c>
      <c r="M157" s="49"/>
      <c r="N157" s="49">
        <f t="shared" ca="1" si="15"/>
        <v>0</v>
      </c>
      <c r="O157" s="49">
        <f ca="1">SUM(O693:O694,O712)</f>
        <v>0</v>
      </c>
      <c r="P157" s="49">
        <f ca="1">SUM(P693:P694,P712)</f>
        <v>0</v>
      </c>
      <c r="Q157" s="49">
        <f ca="1">SUM(Q693:Q694,Q712)</f>
        <v>0</v>
      </c>
    </row>
    <row r="158" spans="1:17" x14ac:dyDescent="0.2">
      <c r="A158" s="49">
        <v>39</v>
      </c>
      <c r="B158" s="37" t="s">
        <v>1006</v>
      </c>
      <c r="C158" s="45" t="s">
        <v>1205</v>
      </c>
      <c r="D158" s="49">
        <f t="shared" ca="1" si="13"/>
        <v>130848709.60230768</v>
      </c>
      <c r="F158" s="49">
        <f ca="1">SUM(F702,F720)</f>
        <v>126856868.76999998</v>
      </c>
      <c r="H158" s="49">
        <f ca="1">SUM(H702,H720)</f>
        <v>3991840.8323076926</v>
      </c>
      <c r="I158" s="49">
        <f t="shared" ca="1" si="14"/>
        <v>0</v>
      </c>
      <c r="L158" s="49">
        <f ca="1">SUM(L702,L720)</f>
        <v>0</v>
      </c>
      <c r="M158" s="49"/>
      <c r="N158" s="49">
        <f t="shared" ca="1" si="15"/>
        <v>0</v>
      </c>
      <c r="O158" s="49">
        <f ca="1">SUM(O702,O720)</f>
        <v>0</v>
      </c>
      <c r="P158" s="49">
        <f ca="1">SUM(P702,P720)</f>
        <v>0</v>
      </c>
      <c r="Q158" s="49">
        <f ca="1">SUM(Q702,Q720)</f>
        <v>0</v>
      </c>
    </row>
    <row r="159" spans="1:17" x14ac:dyDescent="0.2">
      <c r="A159" s="49">
        <v>40</v>
      </c>
      <c r="B159" s="37" t="s">
        <v>1007</v>
      </c>
      <c r="C159" s="45" t="s">
        <v>1206</v>
      </c>
      <c r="D159" s="49">
        <f t="shared" ca="1" si="13"/>
        <v>82578598.681538448</v>
      </c>
      <c r="F159" s="49">
        <f ca="1">SUM(F700,F718,F731)</f>
        <v>78743546.271538451</v>
      </c>
      <c r="H159" s="49">
        <f ca="1">SUM(H700,H718,H731)</f>
        <v>3783545.2</v>
      </c>
      <c r="I159" s="49">
        <f t="shared" ca="1" si="14"/>
        <v>51507.21</v>
      </c>
      <c r="L159" s="49">
        <f ca="1">SUM(L700,L718,L731)</f>
        <v>4199.21</v>
      </c>
      <c r="M159" s="49"/>
      <c r="N159" s="49">
        <f t="shared" ca="1" si="15"/>
        <v>47308</v>
      </c>
      <c r="O159" s="49">
        <f t="shared" ref="O159:Q160" ca="1" si="17">SUM(O700,O718,O731)</f>
        <v>20456</v>
      </c>
      <c r="P159" s="49">
        <f t="shared" ca="1" si="17"/>
        <v>26852</v>
      </c>
      <c r="Q159" s="49">
        <f t="shared" ca="1" si="17"/>
        <v>0</v>
      </c>
    </row>
    <row r="160" spans="1:17" x14ac:dyDescent="0.2">
      <c r="A160" s="49">
        <v>41</v>
      </c>
      <c r="B160" s="37" t="s">
        <v>1008</v>
      </c>
      <c r="C160" s="45" t="s">
        <v>1207</v>
      </c>
      <c r="D160" s="49">
        <f t="shared" ca="1" si="13"/>
        <v>145659.96</v>
      </c>
      <c r="F160" s="49">
        <f ca="1">SUM(F701,F719,F732)</f>
        <v>145659.96</v>
      </c>
      <c r="H160" s="49">
        <f ca="1">SUM(H701,H719,H732)</f>
        <v>0</v>
      </c>
      <c r="I160" s="49">
        <f t="shared" ca="1" si="14"/>
        <v>0</v>
      </c>
      <c r="L160" s="49">
        <f ca="1">SUM(L701,L719,L732)</f>
        <v>0</v>
      </c>
      <c r="M160" s="49"/>
      <c r="N160" s="49">
        <f t="shared" ca="1" si="15"/>
        <v>0</v>
      </c>
      <c r="O160" s="49">
        <f t="shared" ca="1" si="17"/>
        <v>0</v>
      </c>
      <c r="P160" s="49">
        <f t="shared" ca="1" si="17"/>
        <v>0</v>
      </c>
      <c r="Q160" s="49">
        <f t="shared" ca="1" si="17"/>
        <v>0</v>
      </c>
    </row>
    <row r="161" spans="1:20" x14ac:dyDescent="0.2">
      <c r="A161" s="49">
        <v>42</v>
      </c>
      <c r="B161" s="37" t="s">
        <v>1009</v>
      </c>
      <c r="C161" s="45" t="s">
        <v>1208</v>
      </c>
      <c r="D161" s="49">
        <f t="shared" ca="1" si="13"/>
        <v>326614785.15153849</v>
      </c>
      <c r="F161" s="49">
        <f ca="1">SUM(F698,F716,F729)</f>
        <v>315437142.83230776</v>
      </c>
      <c r="H161" s="49">
        <f ca="1">SUM(H698,H716,H729)</f>
        <v>11174524.039230768</v>
      </c>
      <c r="I161" s="49">
        <f t="shared" ca="1" si="14"/>
        <v>3118.2799999999988</v>
      </c>
      <c r="L161" s="49">
        <f ca="1">SUM(L698,L716,L729)</f>
        <v>3118.2799999999988</v>
      </c>
      <c r="M161" s="49"/>
      <c r="N161" s="49">
        <f t="shared" ca="1" si="15"/>
        <v>0</v>
      </c>
      <c r="O161" s="49">
        <f ca="1">SUM(O698,O716,O729)</f>
        <v>0</v>
      </c>
      <c r="P161" s="49">
        <f ca="1">SUM(P698,P716,P729)</f>
        <v>0</v>
      </c>
      <c r="Q161" s="49">
        <f ca="1">SUM(Q698,Q716,Q729)</f>
        <v>0</v>
      </c>
    </row>
    <row r="162" spans="1:20" x14ac:dyDescent="0.2">
      <c r="A162" s="49">
        <v>43</v>
      </c>
      <c r="B162" s="37" t="s">
        <v>1010</v>
      </c>
      <c r="C162" s="45" t="s">
        <v>1222</v>
      </c>
      <c r="D162" s="49">
        <f t="shared" ca="1" si="13"/>
        <v>35444542.129999995</v>
      </c>
      <c r="F162" s="49">
        <f ca="1">SUM(F1067:F1069)</f>
        <v>33673447.616046697</v>
      </c>
      <c r="H162" s="49">
        <f ca="1">SUM(H1067:H1069)</f>
        <v>1760959.5620921196</v>
      </c>
      <c r="I162" s="49">
        <f t="shared" ca="1" si="14"/>
        <v>10134.951861181571</v>
      </c>
      <c r="L162" s="49">
        <f ca="1">SUM(L1067:L1069)</f>
        <v>233.52423643275509</v>
      </c>
      <c r="M162" s="49"/>
      <c r="N162" s="49">
        <f t="shared" ca="1" si="15"/>
        <v>9901.427624748816</v>
      </c>
      <c r="O162" s="49">
        <f ca="1">SUM(O1067:O1069)</f>
        <v>3969.9120193568365</v>
      </c>
      <c r="P162" s="49">
        <f ca="1">SUM(P1067:P1069)</f>
        <v>5931.5156053919791</v>
      </c>
      <c r="Q162" s="49">
        <f ca="1">SUM(Q1067:Q1069)</f>
        <v>0</v>
      </c>
    </row>
    <row r="163" spans="1:20" x14ac:dyDescent="0.2">
      <c r="A163" s="49">
        <v>44</v>
      </c>
      <c r="B163" s="37" t="s">
        <v>1011</v>
      </c>
      <c r="C163" s="45" t="s">
        <v>1223</v>
      </c>
      <c r="D163" s="49">
        <f t="shared" ca="1" si="13"/>
        <v>10205363.999999998</v>
      </c>
      <c r="F163" s="49">
        <f ca="1">F1075+F1076</f>
        <v>10110400.332189808</v>
      </c>
      <c r="H163" s="49">
        <f ca="1">H1075+H1076</f>
        <v>94953.538712436683</v>
      </c>
      <c r="I163" s="49">
        <f t="shared" ca="1" si="14"/>
        <v>10.129097754055758</v>
      </c>
      <c r="L163" s="49">
        <f ca="1">L1075+L1076</f>
        <v>10.129097754055758</v>
      </c>
      <c r="M163" s="49"/>
      <c r="N163" s="49">
        <f t="shared" ca="1" si="15"/>
        <v>0</v>
      </c>
      <c r="O163" s="49">
        <f ca="1">O1075+O1076</f>
        <v>0</v>
      </c>
      <c r="P163" s="49">
        <f ca="1">P1075+P1076</f>
        <v>0</v>
      </c>
      <c r="Q163" s="49">
        <f ca="1">Q1075+Q1076</f>
        <v>0</v>
      </c>
    </row>
    <row r="164" spans="1:20" x14ac:dyDescent="0.2">
      <c r="A164" s="49">
        <v>45</v>
      </c>
      <c r="B164" s="37" t="s">
        <v>690</v>
      </c>
      <c r="C164" s="40" t="s">
        <v>691</v>
      </c>
      <c r="D164" s="49">
        <f t="shared" ca="1" si="13"/>
        <v>3165910780.6646137</v>
      </c>
      <c r="F164" s="49">
        <f ca="1">F682+F735</f>
        <v>2954082857.5107102</v>
      </c>
      <c r="H164" s="49">
        <f ca="1">H682+H735</f>
        <v>206779216.58729616</v>
      </c>
      <c r="I164" s="49">
        <f ca="1">(L164+M164+N164)</f>
        <v>5048706.5666073207</v>
      </c>
      <c r="L164" s="49">
        <f ca="1">L682+L735</f>
        <v>650416.25227481057</v>
      </c>
      <c r="M164" s="49"/>
      <c r="N164" s="49">
        <f ca="1">SUM(O164:Q164)</f>
        <v>4398290.3143325103</v>
      </c>
      <c r="O164" s="49">
        <f ca="1">O682+O735</f>
        <v>4010032.6408437467</v>
      </c>
      <c r="P164" s="49">
        <f ca="1">P682+P735</f>
        <v>388257.67348876363</v>
      </c>
      <c r="Q164" s="49">
        <f ca="1">Q682+Q735</f>
        <v>0</v>
      </c>
    </row>
    <row r="165" spans="1:20" x14ac:dyDescent="0.2">
      <c r="C165" s="47"/>
    </row>
    <row r="166" spans="1:20" x14ac:dyDescent="0.2">
      <c r="B166" s="58" t="s">
        <v>1012</v>
      </c>
      <c r="C166" s="47"/>
    </row>
    <row r="167" spans="1:20" x14ac:dyDescent="0.2">
      <c r="B167" s="56" t="s">
        <v>451</v>
      </c>
      <c r="C167" s="47"/>
    </row>
    <row r="168" spans="1:20" x14ac:dyDescent="0.2">
      <c r="A168" s="49">
        <v>1</v>
      </c>
      <c r="B168" s="37" t="s">
        <v>1013</v>
      </c>
      <c r="C168" s="45" t="s">
        <v>1224</v>
      </c>
      <c r="D168" s="49">
        <f t="shared" ref="D168:D207" ca="1" si="18">SUM(F168:I168)+K168</f>
        <v>1044482.0000000001</v>
      </c>
      <c r="F168" s="49">
        <f ca="1">F1082+F1083</f>
        <v>991130.87987548974</v>
      </c>
      <c r="H168" s="49">
        <f ca="1">H1082+H1083</f>
        <v>53345.429540695593</v>
      </c>
      <c r="I168" s="49">
        <f t="shared" ref="I168:I207" ca="1" si="19">(L168+M168+N168)</f>
        <v>5.6905838147454677</v>
      </c>
      <c r="L168" s="49">
        <f ca="1">L1082+L1083</f>
        <v>5.6905838147454677</v>
      </c>
      <c r="M168" s="49"/>
      <c r="N168" s="49">
        <f t="shared" ref="N168:N207" ca="1" si="20">SUM(O168:Q168)</f>
        <v>0</v>
      </c>
      <c r="O168" s="49">
        <f ca="1">O1082+O1083</f>
        <v>0</v>
      </c>
      <c r="P168" s="49">
        <f ca="1">P1082+P1083</f>
        <v>0</v>
      </c>
      <c r="Q168" s="49">
        <f ca="1">Q1082+Q1083</f>
        <v>0</v>
      </c>
    </row>
    <row r="169" spans="1:20" x14ac:dyDescent="0.2">
      <c r="A169" s="49">
        <v>2</v>
      </c>
      <c r="B169" s="37" t="s">
        <v>1014</v>
      </c>
      <c r="C169" s="40" t="s">
        <v>1015</v>
      </c>
      <c r="D169" s="49">
        <f t="shared" ca="1" si="18"/>
        <v>25065995.426900454</v>
      </c>
      <c r="F169" s="57">
        <v>0</v>
      </c>
      <c r="G169" s="57"/>
      <c r="H169" s="57">
        <v>0</v>
      </c>
      <c r="I169" s="49">
        <f t="shared" ca="1" si="19"/>
        <v>25065995.426900454</v>
      </c>
      <c r="L169" s="57">
        <v>0</v>
      </c>
      <c r="M169" s="57"/>
      <c r="N169" s="49">
        <f t="shared" ca="1" si="20"/>
        <v>25065995.426900454</v>
      </c>
      <c r="O169" s="49">
        <f ca="1">O928</f>
        <v>12691491.179060366</v>
      </c>
      <c r="P169" s="49">
        <f ca="1">P928</f>
        <v>12374504.247840088</v>
      </c>
      <c r="Q169" s="49">
        <f ca="1">Q928</f>
        <v>0</v>
      </c>
    </row>
    <row r="170" spans="1:20" x14ac:dyDescent="0.2">
      <c r="A170" s="46">
        <v>3</v>
      </c>
      <c r="B170" s="38" t="s">
        <v>1016</v>
      </c>
      <c r="C170" s="44" t="s">
        <v>1017</v>
      </c>
      <c r="D170" s="46">
        <f t="shared" ca="1" si="18"/>
        <v>71559280.30532819</v>
      </c>
      <c r="E170" s="24"/>
      <c r="F170" s="74">
        <v>0</v>
      </c>
      <c r="G170" s="74"/>
      <c r="H170" s="46">
        <f ca="1">H928</f>
        <v>71559280.30532819</v>
      </c>
      <c r="I170" s="46">
        <f t="shared" si="19"/>
        <v>0</v>
      </c>
      <c r="J170" s="24"/>
      <c r="K170" s="24"/>
      <c r="L170" s="74">
        <v>0</v>
      </c>
      <c r="M170" s="46"/>
      <c r="N170" s="46">
        <f t="shared" si="20"/>
        <v>0</v>
      </c>
      <c r="O170" s="74">
        <v>0</v>
      </c>
      <c r="P170" s="74">
        <v>0</v>
      </c>
      <c r="Q170" s="74">
        <v>0</v>
      </c>
      <c r="R170" s="24"/>
      <c r="S170" s="24"/>
      <c r="T170" s="24"/>
    </row>
    <row r="171" spans="1:20" x14ac:dyDescent="0.2">
      <c r="A171" s="46">
        <v>4</v>
      </c>
      <c r="B171" s="38" t="s">
        <v>1018</v>
      </c>
      <c r="C171" s="44" t="s">
        <v>1019</v>
      </c>
      <c r="D171" s="46">
        <f t="shared" ca="1" si="18"/>
        <v>1694844219.1825507</v>
      </c>
      <c r="E171" s="24"/>
      <c r="F171" s="46">
        <f ca="1">F928</f>
        <v>1598218900.76336</v>
      </c>
      <c r="G171" s="24"/>
      <c r="H171" s="46">
        <f ca="1">H928</f>
        <v>71559280.30532819</v>
      </c>
      <c r="I171" s="46">
        <f t="shared" ca="1" si="19"/>
        <v>25066038.1138625</v>
      </c>
      <c r="J171" s="24"/>
      <c r="K171" s="24"/>
      <c r="L171" s="46">
        <f ca="1">L928</f>
        <v>42.686962046929459</v>
      </c>
      <c r="M171" s="46"/>
      <c r="N171" s="46">
        <f t="shared" ca="1" si="20"/>
        <v>25065995.426900454</v>
      </c>
      <c r="O171" s="46">
        <f ca="1">O928</f>
        <v>12691491.179060366</v>
      </c>
      <c r="P171" s="46">
        <f ca="1">P928</f>
        <v>12374504.247840088</v>
      </c>
      <c r="Q171" s="46">
        <f ca="1">Q928</f>
        <v>0</v>
      </c>
      <c r="R171" s="24"/>
      <c r="S171" s="24"/>
      <c r="T171" s="24"/>
    </row>
    <row r="172" spans="1:20" x14ac:dyDescent="0.2">
      <c r="A172" s="46">
        <v>5</v>
      </c>
      <c r="B172" s="38" t="s">
        <v>1020</v>
      </c>
      <c r="C172" s="44" t="s">
        <v>1021</v>
      </c>
      <c r="D172" s="46">
        <f t="shared" si="18"/>
        <v>1</v>
      </c>
      <c r="E172" s="24"/>
      <c r="F172" s="74">
        <v>0</v>
      </c>
      <c r="G172" s="74"/>
      <c r="H172" s="74">
        <v>1</v>
      </c>
      <c r="I172" s="46">
        <f t="shared" si="19"/>
        <v>0</v>
      </c>
      <c r="J172" s="24"/>
      <c r="K172" s="24"/>
      <c r="L172" s="74">
        <v>0</v>
      </c>
      <c r="M172" s="74"/>
      <c r="N172" s="46">
        <f t="shared" si="20"/>
        <v>0</v>
      </c>
      <c r="O172" s="74">
        <v>0</v>
      </c>
      <c r="P172" s="74">
        <v>0</v>
      </c>
      <c r="Q172" s="74">
        <v>0</v>
      </c>
      <c r="R172" s="24"/>
      <c r="S172" s="24"/>
      <c r="T172" s="24"/>
    </row>
    <row r="173" spans="1:20" x14ac:dyDescent="0.2">
      <c r="A173" s="46">
        <v>6</v>
      </c>
      <c r="B173" s="38" t="s">
        <v>1022</v>
      </c>
      <c r="C173" s="44" t="s">
        <v>1023</v>
      </c>
      <c r="D173" s="46">
        <f t="shared" ca="1" si="18"/>
        <v>1669778223.7556503</v>
      </c>
      <c r="E173" s="24"/>
      <c r="F173" s="46">
        <f ca="1">F928</f>
        <v>1598218900.76336</v>
      </c>
      <c r="G173" s="24"/>
      <c r="H173" s="46">
        <f ca="1">H928</f>
        <v>71559280.30532819</v>
      </c>
      <c r="I173" s="46">
        <f t="shared" ca="1" si="19"/>
        <v>42.686962046929459</v>
      </c>
      <c r="J173" s="24"/>
      <c r="K173" s="24"/>
      <c r="L173" s="46">
        <f ca="1">L928</f>
        <v>42.686962046929459</v>
      </c>
      <c r="M173" s="46"/>
      <c r="N173" s="46">
        <f t="shared" si="20"/>
        <v>0</v>
      </c>
      <c r="O173" s="74">
        <v>0</v>
      </c>
      <c r="P173" s="74">
        <v>0</v>
      </c>
      <c r="Q173" s="74">
        <v>0</v>
      </c>
      <c r="R173" s="24"/>
      <c r="S173" s="24"/>
      <c r="T173" s="24"/>
    </row>
    <row r="174" spans="1:20" x14ac:dyDescent="0.2">
      <c r="A174" s="49">
        <v>7</v>
      </c>
      <c r="B174" s="37" t="s">
        <v>1024</v>
      </c>
      <c r="C174" s="40" t="s">
        <v>1025</v>
      </c>
      <c r="D174" s="49">
        <f t="shared" ca="1" si="18"/>
        <v>1927846138.110769</v>
      </c>
      <c r="F174" s="49">
        <f ca="1">F704</f>
        <v>1924181178.110769</v>
      </c>
      <c r="H174" s="49">
        <f ca="1">H704</f>
        <v>0</v>
      </c>
      <c r="I174" s="49">
        <f t="shared" ca="1" si="19"/>
        <v>3664960</v>
      </c>
      <c r="L174" s="49">
        <f ca="1">L704</f>
        <v>0</v>
      </c>
      <c r="M174" s="49"/>
      <c r="N174" s="49">
        <f t="shared" ca="1" si="20"/>
        <v>3664960</v>
      </c>
      <c r="O174" s="49">
        <f ca="1">O704</f>
        <v>3638108</v>
      </c>
      <c r="P174" s="49">
        <f ca="1">P704</f>
        <v>26852</v>
      </c>
      <c r="Q174" s="49">
        <f ca="1">Q704</f>
        <v>0</v>
      </c>
    </row>
    <row r="175" spans="1:20" x14ac:dyDescent="0.2">
      <c r="A175" s="49">
        <v>8</v>
      </c>
      <c r="B175" s="37" t="s">
        <v>1026</v>
      </c>
      <c r="C175" s="40" t="s">
        <v>1027</v>
      </c>
      <c r="D175" s="49">
        <f t="shared" ca="1" si="18"/>
        <v>99510269.70615378</v>
      </c>
      <c r="F175" s="49">
        <f ca="1">F721</f>
        <v>0</v>
      </c>
      <c r="H175" s="49">
        <f ca="1">H721</f>
        <v>99510269.70615378</v>
      </c>
      <c r="I175" s="49">
        <f t="shared" ca="1" si="19"/>
        <v>0</v>
      </c>
      <c r="L175" s="49">
        <f ca="1">L721</f>
        <v>0</v>
      </c>
      <c r="M175" s="49"/>
      <c r="N175" s="49">
        <f t="shared" ca="1" si="20"/>
        <v>0</v>
      </c>
      <c r="O175" s="49">
        <f ca="1">O721</f>
        <v>0</v>
      </c>
      <c r="P175" s="49">
        <f ca="1">P721</f>
        <v>0</v>
      </c>
      <c r="Q175" s="49">
        <f ca="1">Q721</f>
        <v>0</v>
      </c>
    </row>
    <row r="176" spans="1:20" x14ac:dyDescent="0.2">
      <c r="A176" s="49">
        <v>9</v>
      </c>
      <c r="B176" s="37" t="s">
        <v>1028</v>
      </c>
      <c r="C176" s="40" t="s">
        <v>1029</v>
      </c>
      <c r="D176" s="49">
        <f t="shared" ca="1" si="18"/>
        <v>647118.70000000007</v>
      </c>
      <c r="F176" s="49">
        <f ca="1">F733</f>
        <v>0</v>
      </c>
      <c r="H176" s="49">
        <f ca="1">H733</f>
        <v>0</v>
      </c>
      <c r="I176" s="49">
        <f t="shared" ca="1" si="19"/>
        <v>647118.70000000007</v>
      </c>
      <c r="L176" s="49">
        <f ca="1">L733</f>
        <v>647118.70000000007</v>
      </c>
      <c r="M176" s="49"/>
      <c r="N176" s="49">
        <f t="shared" ca="1" si="20"/>
        <v>0</v>
      </c>
      <c r="O176" s="49">
        <f ca="1">O733</f>
        <v>0</v>
      </c>
      <c r="P176" s="49">
        <f ca="1">P733</f>
        <v>0</v>
      </c>
      <c r="Q176" s="49">
        <f ca="1">Q733</f>
        <v>0</v>
      </c>
    </row>
    <row r="177" spans="1:17" x14ac:dyDescent="0.2">
      <c r="A177" s="49">
        <v>10</v>
      </c>
      <c r="B177" s="37" t="s">
        <v>1030</v>
      </c>
      <c r="C177" s="40" t="s">
        <v>1031</v>
      </c>
      <c r="D177" s="49">
        <f t="shared" ca="1" si="18"/>
        <v>6565629812.6542749</v>
      </c>
      <c r="F177" s="49">
        <f ca="1">F807</f>
        <v>6159093660.3643436</v>
      </c>
      <c r="H177" s="49">
        <f ca="1">H807</f>
        <v>312782906.26836491</v>
      </c>
      <c r="I177" s="49">
        <f t="shared" ca="1" si="19"/>
        <v>93753246.021566063</v>
      </c>
      <c r="L177" s="49">
        <f ca="1">L807</f>
        <v>521485.80889177148</v>
      </c>
      <c r="M177" s="49"/>
      <c r="N177" s="49">
        <f t="shared" ca="1" si="20"/>
        <v>93231760.21267429</v>
      </c>
      <c r="O177" s="49">
        <f ca="1">O807</f>
        <v>48470546.244551659</v>
      </c>
      <c r="P177" s="49">
        <f ca="1">P807</f>
        <v>44761213.968122631</v>
      </c>
      <c r="Q177" s="49">
        <f ca="1">Q807</f>
        <v>9.7758945223846052E-12</v>
      </c>
    </row>
    <row r="178" spans="1:17" x14ac:dyDescent="0.2">
      <c r="A178" s="49">
        <v>11</v>
      </c>
      <c r="B178" s="37" t="s">
        <v>1032</v>
      </c>
      <c r="C178" s="40" t="s">
        <v>1033</v>
      </c>
      <c r="D178" s="49">
        <f t="shared" ca="1" si="18"/>
        <v>5648763444.5205717</v>
      </c>
      <c r="F178" s="49">
        <f ca="1">F908</f>
        <v>5299519247.5164509</v>
      </c>
      <c r="H178" s="49">
        <f ca="1">H908</f>
        <v>267523170.52161622</v>
      </c>
      <c r="I178" s="49">
        <f t="shared" ca="1" si="19"/>
        <v>81721026.482505113</v>
      </c>
      <c r="L178" s="49">
        <f ca="1">L908</f>
        <v>433424.77757689013</v>
      </c>
      <c r="M178" s="49"/>
      <c r="N178" s="49">
        <f t="shared" ca="1" si="20"/>
        <v>81287601.704928219</v>
      </c>
      <c r="O178" s="49">
        <f ca="1">O908</f>
        <v>42169762.772069015</v>
      </c>
      <c r="P178" s="49">
        <f ca="1">P908</f>
        <v>39117838.932859212</v>
      </c>
      <c r="Q178" s="49">
        <f ca="1">Q908</f>
        <v>8.478121058865866E-12</v>
      </c>
    </row>
    <row r="179" spans="1:17" x14ac:dyDescent="0.2">
      <c r="A179" s="49">
        <v>12</v>
      </c>
      <c r="B179" s="37" t="s">
        <v>1034</v>
      </c>
      <c r="C179" s="40" t="s">
        <v>1035</v>
      </c>
      <c r="D179" s="49">
        <f t="shared" ca="1" si="18"/>
        <v>961676.92</v>
      </c>
      <c r="F179" s="49">
        <f ca="1">F817+F825</f>
        <v>748975.63997494429</v>
      </c>
      <c r="H179" s="49">
        <f ca="1">H817+H825</f>
        <v>0</v>
      </c>
      <c r="I179" s="49">
        <f t="shared" ca="1" si="19"/>
        <v>212701.28002505572</v>
      </c>
      <c r="L179" s="49">
        <f ca="1">L817+L825</f>
        <v>0</v>
      </c>
      <c r="M179" s="49"/>
      <c r="N179" s="49">
        <f t="shared" ca="1" si="20"/>
        <v>212701.28002505572</v>
      </c>
      <c r="O179" s="49">
        <f ca="1">O817+O825</f>
        <v>107876.14480703727</v>
      </c>
      <c r="P179" s="49">
        <f ca="1">P817+P825</f>
        <v>104825.13521801845</v>
      </c>
      <c r="Q179" s="49">
        <f ca="1">Q817+Q825</f>
        <v>0</v>
      </c>
    </row>
    <row r="180" spans="1:17" x14ac:dyDescent="0.2">
      <c r="A180" s="49">
        <v>13</v>
      </c>
      <c r="B180" s="37" t="s">
        <v>1036</v>
      </c>
      <c r="C180" s="40" t="s">
        <v>1356</v>
      </c>
      <c r="D180" s="49">
        <f t="shared" ca="1" si="18"/>
        <v>-17139454</v>
      </c>
      <c r="F180" s="49">
        <f ca="1">F1285+F1293</f>
        <v>-16101274</v>
      </c>
      <c r="H180" s="49">
        <f ca="1">H1285+H1293</f>
        <v>-787616</v>
      </c>
      <c r="I180" s="49">
        <f t="shared" ca="1" si="19"/>
        <v>-250564</v>
      </c>
      <c r="L180" s="49">
        <f ca="1">L1285+L1293</f>
        <v>-1183</v>
      </c>
      <c r="M180" s="49"/>
      <c r="N180" s="49">
        <f t="shared" ca="1" si="20"/>
        <v>-249381</v>
      </c>
      <c r="O180" s="49">
        <f ca="1">O1285+O1293</f>
        <v>-129618</v>
      </c>
      <c r="P180" s="49">
        <f ca="1">P1285+P1293</f>
        <v>-119763</v>
      </c>
      <c r="Q180" s="49"/>
    </row>
    <row r="181" spans="1:17" x14ac:dyDescent="0.2">
      <c r="A181" s="49">
        <v>14</v>
      </c>
      <c r="B181" s="37" t="s">
        <v>1037</v>
      </c>
      <c r="C181" s="45" t="s">
        <v>1209</v>
      </c>
      <c r="D181" s="49">
        <f t="shared" ca="1" si="18"/>
        <v>360402687.23587352</v>
      </c>
      <c r="F181" s="49">
        <f ca="1">SUM(F953:F958)</f>
        <v>338847269.3918457</v>
      </c>
      <c r="H181" s="49">
        <f ca="1">SUM(H953:H958)</f>
        <v>14104675.588343311</v>
      </c>
      <c r="I181" s="49">
        <f t="shared" ca="1" si="19"/>
        <v>7450742.2556845136</v>
      </c>
      <c r="L181" s="49">
        <f ca="1">SUM(L953:L958)</f>
        <v>1460.0939808382836</v>
      </c>
      <c r="M181" s="49"/>
      <c r="N181" s="49">
        <f t="shared" ca="1" si="20"/>
        <v>7449282.1617036751</v>
      </c>
      <c r="O181" s="49">
        <f ca="1">SUM(O953:O958)</f>
        <v>3773307.6594109978</v>
      </c>
      <c r="P181" s="49">
        <f ca="1">SUM(P953:P958)</f>
        <v>3675974.5022926773</v>
      </c>
      <c r="Q181" s="49">
        <f ca="1">SUM(Q953:Q958)</f>
        <v>0</v>
      </c>
    </row>
    <row r="182" spans="1:17" x14ac:dyDescent="0.2">
      <c r="A182" s="49">
        <v>15</v>
      </c>
      <c r="B182" s="37" t="s">
        <v>1038</v>
      </c>
      <c r="C182" s="45" t="s">
        <v>1210</v>
      </c>
      <c r="D182" s="49">
        <f t="shared" ca="1" si="18"/>
        <v>70228787.99999997</v>
      </c>
      <c r="F182" s="49">
        <f ca="1">SUM(F962:F965)</f>
        <v>65122827.442171216</v>
      </c>
      <c r="H182" s="49">
        <f ca="1">SUM(H962:H965)</f>
        <v>3337327.8329507462</v>
      </c>
      <c r="I182" s="49">
        <f t="shared" ca="1" si="19"/>
        <v>1768632.7248780131</v>
      </c>
      <c r="L182" s="49">
        <f ca="1">SUM(L962:L965)</f>
        <v>191.1804438215695</v>
      </c>
      <c r="M182" s="49"/>
      <c r="N182" s="49">
        <f t="shared" ca="1" si="20"/>
        <v>1768441.5444341917</v>
      </c>
      <c r="O182" s="49">
        <f ca="1">SUM(O962:O965)</f>
        <v>895698.62993073219</v>
      </c>
      <c r="P182" s="49">
        <f ca="1">SUM(P962:P965)</f>
        <v>872742.91450345959</v>
      </c>
      <c r="Q182" s="49">
        <f ca="1">SUM(Q962:Q965)</f>
        <v>0</v>
      </c>
    </row>
    <row r="183" spans="1:17" x14ac:dyDescent="0.2">
      <c r="A183" s="49">
        <v>16</v>
      </c>
      <c r="B183" s="37" t="s">
        <v>1039</v>
      </c>
      <c r="C183" s="45" t="s">
        <v>1211</v>
      </c>
      <c r="D183" s="49">
        <f t="shared" ca="1" si="18"/>
        <v>10111.9999999999</v>
      </c>
      <c r="F183" s="49">
        <f ca="1">SUM(F972:F976)</f>
        <v>9475.2207024578693</v>
      </c>
      <c r="H183" s="49">
        <f ca="1">SUM(H972:H976)</f>
        <v>433.0727932887433</v>
      </c>
      <c r="I183" s="49">
        <f t="shared" ca="1" si="19"/>
        <v>203.70650425328751</v>
      </c>
      <c r="L183" s="49">
        <f ca="1">SUM(L972:L976)</f>
        <v>3.0353096699797799E-2</v>
      </c>
      <c r="M183" s="49"/>
      <c r="N183" s="49">
        <f t="shared" ca="1" si="20"/>
        <v>203.67615115658771</v>
      </c>
      <c r="O183" s="49">
        <f ca="1">SUM(O972:O976)</f>
        <v>103.29885167273014</v>
      </c>
      <c r="P183" s="49">
        <f ca="1">SUM(P972:P976)</f>
        <v>100.37729948385757</v>
      </c>
      <c r="Q183" s="49">
        <f ca="1">SUM(Q972:Q976)</f>
        <v>0</v>
      </c>
    </row>
    <row r="184" spans="1:17" x14ac:dyDescent="0.2">
      <c r="A184" s="49">
        <v>17</v>
      </c>
      <c r="B184" s="37" t="s">
        <v>1040</v>
      </c>
      <c r="C184" s="45" t="s">
        <v>1212</v>
      </c>
      <c r="D184" s="49">
        <f t="shared" ca="1" si="18"/>
        <v>314366.99999999889</v>
      </c>
      <c r="F184" s="49">
        <f ca="1">SUM(F979:F982)</f>
        <v>294746.17402464</v>
      </c>
      <c r="H184" s="49">
        <f ca="1">SUM(H979:H982)</f>
        <v>13267.732856502023</v>
      </c>
      <c r="I184" s="49">
        <f t="shared" ca="1" si="19"/>
        <v>6353.0931188568711</v>
      </c>
      <c r="L184" s="49">
        <f ca="1">SUM(L979:L982)</f>
        <v>0.99701160906745434</v>
      </c>
      <c r="M184" s="49"/>
      <c r="N184" s="49">
        <f t="shared" ca="1" si="20"/>
        <v>6352.096107247804</v>
      </c>
      <c r="O184" s="49">
        <f ca="1">SUM(O979:O982)</f>
        <v>3220.9108977431538</v>
      </c>
      <c r="P184" s="49">
        <f ca="1">SUM(P979:P982)</f>
        <v>3131.1852095046506</v>
      </c>
      <c r="Q184" s="49">
        <f ca="1">SUM(Q979:Q982)</f>
        <v>0</v>
      </c>
    </row>
    <row r="185" spans="1:17" x14ac:dyDescent="0.2">
      <c r="A185" s="49">
        <v>18</v>
      </c>
      <c r="B185" s="37" t="s">
        <v>1041</v>
      </c>
      <c r="C185" s="45" t="s">
        <v>1213</v>
      </c>
      <c r="D185" s="49">
        <f t="shared" ca="1" si="18"/>
        <v>126175143.15006201</v>
      </c>
      <c r="F185" s="49">
        <f ca="1">SUM(F989:F990)</f>
        <v>118729230.17427993</v>
      </c>
      <c r="H185" s="49">
        <f ca="1">SUM(H989:H990)</f>
        <v>4846459.6602255227</v>
      </c>
      <c r="I185" s="49">
        <f t="shared" ca="1" si="19"/>
        <v>2599453.315556556</v>
      </c>
      <c r="L185" s="49">
        <f ca="1">SUM(L989:L990)</f>
        <v>530.61162800092166</v>
      </c>
      <c r="M185" s="49"/>
      <c r="N185" s="49">
        <f t="shared" ca="1" si="20"/>
        <v>2598922.7039285549</v>
      </c>
      <c r="O185" s="49">
        <f ca="1">SUM(O989:O990)</f>
        <v>1316124.2956122607</v>
      </c>
      <c r="P185" s="49">
        <f ca="1">SUM(P989:P990)</f>
        <v>1282798.4083162942</v>
      </c>
      <c r="Q185" s="49">
        <f ca="1">SUM(Q989:Q990)</f>
        <v>0</v>
      </c>
    </row>
    <row r="186" spans="1:17" x14ac:dyDescent="0.2">
      <c r="A186" s="49">
        <v>19</v>
      </c>
      <c r="B186" s="37" t="s">
        <v>1042</v>
      </c>
      <c r="C186" s="45" t="s">
        <v>1214</v>
      </c>
      <c r="D186" s="49">
        <f t="shared" ca="1" si="18"/>
        <v>12718233</v>
      </c>
      <c r="F186" s="49">
        <f ca="1">SUM(F995:F997)</f>
        <v>11594579.690997576</v>
      </c>
      <c r="H186" s="49">
        <f ca="1">SUM(H995:H997)</f>
        <v>757926.92549646506</v>
      </c>
      <c r="I186" s="49">
        <f t="shared" ca="1" si="19"/>
        <v>365726.38350595941</v>
      </c>
      <c r="L186" s="49">
        <f ca="1">SUM(L995:L997)</f>
        <v>28.815417204378576</v>
      </c>
      <c r="M186" s="49"/>
      <c r="N186" s="49">
        <f t="shared" ca="1" si="20"/>
        <v>365697.56808875501</v>
      </c>
      <c r="O186" s="49">
        <f ca="1">SUM(O995:O997)</f>
        <v>185471.58628324559</v>
      </c>
      <c r="P186" s="49">
        <f ca="1">SUM(P995:P997)</f>
        <v>180225.98180550939</v>
      </c>
      <c r="Q186" s="49">
        <f ca="1">SUM(Q995:Q997)</f>
        <v>0</v>
      </c>
    </row>
    <row r="187" spans="1:17" x14ac:dyDescent="0.2">
      <c r="A187" s="49">
        <v>20</v>
      </c>
      <c r="B187" s="37" t="s">
        <v>1043</v>
      </c>
      <c r="C187" s="40" t="s">
        <v>1044</v>
      </c>
      <c r="D187" s="49">
        <f t="shared" ca="1" si="18"/>
        <v>0</v>
      </c>
      <c r="F187" s="49">
        <f ca="1">F1366</f>
        <v>0</v>
      </c>
      <c r="H187" s="49">
        <f ca="1">H1366</f>
        <v>0</v>
      </c>
      <c r="I187" s="49">
        <f t="shared" ca="1" si="19"/>
        <v>0</v>
      </c>
      <c r="L187" s="49">
        <f ca="1">L1366</f>
        <v>0</v>
      </c>
      <c r="M187" s="49"/>
      <c r="N187" s="49">
        <f t="shared" ca="1" si="20"/>
        <v>0</v>
      </c>
      <c r="O187" s="49">
        <f ca="1">O1366</f>
        <v>0</v>
      </c>
      <c r="P187" s="49">
        <f ca="1">P1366</f>
        <v>0</v>
      </c>
      <c r="Q187" s="49">
        <f ca="1">Q1366</f>
        <v>0</v>
      </c>
    </row>
    <row r="188" spans="1:17" x14ac:dyDescent="0.2">
      <c r="A188" s="49">
        <v>21</v>
      </c>
      <c r="B188" s="37" t="s">
        <v>1045</v>
      </c>
      <c r="C188" s="40" t="s">
        <v>1046</v>
      </c>
      <c r="D188" s="49">
        <f t="shared" ca="1" si="18"/>
        <v>0</v>
      </c>
      <c r="F188" s="49">
        <f ca="1">F1366</f>
        <v>0</v>
      </c>
      <c r="H188" s="49">
        <f ca="1">H1366</f>
        <v>0</v>
      </c>
      <c r="I188" s="49">
        <f t="shared" ca="1" si="19"/>
        <v>0</v>
      </c>
      <c r="L188" s="49">
        <f ca="1">L1366</f>
        <v>0</v>
      </c>
      <c r="M188" s="49"/>
      <c r="N188" s="49">
        <f t="shared" ca="1" si="20"/>
        <v>0</v>
      </c>
      <c r="O188" s="49">
        <f ca="1">O1366</f>
        <v>0</v>
      </c>
      <c r="P188" s="49">
        <f ca="1">P1366</f>
        <v>0</v>
      </c>
      <c r="Q188" s="49">
        <f ca="1">Q1366</f>
        <v>0</v>
      </c>
    </row>
    <row r="189" spans="1:17" x14ac:dyDescent="0.2">
      <c r="A189" s="49">
        <v>22</v>
      </c>
      <c r="B189" s="37" t="s">
        <v>1047</v>
      </c>
      <c r="C189" s="40" t="s">
        <v>1048</v>
      </c>
      <c r="D189" s="49">
        <f t="shared" ca="1" si="18"/>
        <v>0</v>
      </c>
      <c r="F189" s="49">
        <f ca="1">F1366</f>
        <v>0</v>
      </c>
      <c r="H189" s="49">
        <f ca="1">H1366</f>
        <v>0</v>
      </c>
      <c r="I189" s="49">
        <f t="shared" ca="1" si="19"/>
        <v>0</v>
      </c>
      <c r="L189" s="49">
        <f ca="1">L1366</f>
        <v>0</v>
      </c>
      <c r="M189" s="49"/>
      <c r="N189" s="49">
        <f t="shared" ca="1" si="20"/>
        <v>0</v>
      </c>
      <c r="O189" s="49">
        <f ca="1">O1366</f>
        <v>0</v>
      </c>
      <c r="P189" s="49">
        <f ca="1">P1366</f>
        <v>0</v>
      </c>
      <c r="Q189" s="49">
        <f ca="1">Q1366</f>
        <v>0</v>
      </c>
    </row>
    <row r="190" spans="1:17" x14ac:dyDescent="0.2">
      <c r="A190" s="49">
        <v>23</v>
      </c>
      <c r="B190" s="37" t="s">
        <v>1049</v>
      </c>
      <c r="C190" s="40" t="s">
        <v>1050</v>
      </c>
      <c r="D190" s="49">
        <f t="shared" ca="1" si="18"/>
        <v>0</v>
      </c>
      <c r="F190" s="49">
        <f ca="1">F1366</f>
        <v>0</v>
      </c>
      <c r="H190" s="49">
        <f ca="1">H1366</f>
        <v>0</v>
      </c>
      <c r="I190" s="49">
        <f t="shared" ca="1" si="19"/>
        <v>0</v>
      </c>
      <c r="L190" s="49">
        <f ca="1">L1366</f>
        <v>0</v>
      </c>
      <c r="M190" s="49"/>
      <c r="N190" s="49">
        <f t="shared" ca="1" si="20"/>
        <v>0</v>
      </c>
      <c r="O190" s="49">
        <f ca="1">O1366</f>
        <v>0</v>
      </c>
      <c r="P190" s="49">
        <f ca="1">P1366</f>
        <v>0</v>
      </c>
      <c r="Q190" s="49">
        <f ca="1">Q1366</f>
        <v>0</v>
      </c>
    </row>
    <row r="191" spans="1:17" x14ac:dyDescent="0.2">
      <c r="A191" s="49">
        <v>24</v>
      </c>
      <c r="B191" s="37" t="s">
        <v>1051</v>
      </c>
      <c r="C191" s="40" t="s">
        <v>1052</v>
      </c>
      <c r="D191" s="49">
        <f t="shared" ca="1" si="18"/>
        <v>0</v>
      </c>
      <c r="F191" s="49">
        <f ca="1">F1366</f>
        <v>0</v>
      </c>
      <c r="H191" s="49">
        <f ca="1">H1366</f>
        <v>0</v>
      </c>
      <c r="I191" s="49">
        <f t="shared" ca="1" si="19"/>
        <v>0</v>
      </c>
      <c r="L191" s="49">
        <f ca="1">L1366</f>
        <v>0</v>
      </c>
      <c r="M191" s="49"/>
      <c r="N191" s="49">
        <f t="shared" ca="1" si="20"/>
        <v>0</v>
      </c>
      <c r="O191" s="49">
        <f ca="1">O1366</f>
        <v>0</v>
      </c>
      <c r="P191" s="49">
        <f ca="1">P1366</f>
        <v>0</v>
      </c>
      <c r="Q191" s="49">
        <f ca="1">Q1366</f>
        <v>0</v>
      </c>
    </row>
    <row r="192" spans="1:17" x14ac:dyDescent="0.2">
      <c r="A192" s="49">
        <v>25</v>
      </c>
      <c r="B192" s="37" t="s">
        <v>1053</v>
      </c>
      <c r="C192" s="40" t="s">
        <v>1054</v>
      </c>
      <c r="D192" s="49">
        <f t="shared" ca="1" si="18"/>
        <v>0</v>
      </c>
      <c r="F192" s="49">
        <f ca="1">F1366</f>
        <v>0</v>
      </c>
      <c r="H192" s="49">
        <f ca="1">H1366</f>
        <v>0</v>
      </c>
      <c r="I192" s="49">
        <f t="shared" ca="1" si="19"/>
        <v>0</v>
      </c>
      <c r="L192" s="49">
        <f ca="1">L1366</f>
        <v>0</v>
      </c>
      <c r="M192" s="49"/>
      <c r="N192" s="49">
        <f t="shared" ca="1" si="20"/>
        <v>0</v>
      </c>
      <c r="O192" s="49">
        <f ca="1">O1366</f>
        <v>0</v>
      </c>
      <c r="P192" s="49">
        <f ca="1">P1366</f>
        <v>0</v>
      </c>
      <c r="Q192" s="49">
        <f ca="1">Q1366</f>
        <v>0</v>
      </c>
    </row>
    <row r="193" spans="1:17" x14ac:dyDescent="0.2">
      <c r="A193" s="49">
        <v>26</v>
      </c>
      <c r="B193" s="37" t="s">
        <v>1055</v>
      </c>
      <c r="C193" s="45" t="s">
        <v>1215</v>
      </c>
      <c r="D193" s="49">
        <f t="shared" ca="1" si="18"/>
        <v>29803591.999999892</v>
      </c>
      <c r="F193" s="49">
        <f ca="1">SUM(F1019:F1024)</f>
        <v>26992150.285578091</v>
      </c>
      <c r="H193" s="49">
        <f ca="1">SUM(H1019:H1024)</f>
        <v>2811355.2906122711</v>
      </c>
      <c r="I193" s="49">
        <f t="shared" ca="1" si="19"/>
        <v>86.4238095311146</v>
      </c>
      <c r="L193" s="49">
        <f ca="1">SUM(L1019:L1024)</f>
        <v>86.4238095311146</v>
      </c>
      <c r="M193" s="49"/>
      <c r="N193" s="49">
        <f t="shared" ca="1" si="20"/>
        <v>0</v>
      </c>
      <c r="O193" s="49">
        <f ca="1">SUM(O1019:O1024)</f>
        <v>0</v>
      </c>
      <c r="P193" s="49">
        <f ca="1">SUM(P1019:P1024)</f>
        <v>0</v>
      </c>
      <c r="Q193" s="49">
        <f ca="1">SUM(Q1019:Q1024)</f>
        <v>0</v>
      </c>
    </row>
    <row r="194" spans="1:17" x14ac:dyDescent="0.2">
      <c r="A194" s="49">
        <v>27</v>
      </c>
      <c r="B194" s="37" t="s">
        <v>1056</v>
      </c>
      <c r="C194" s="45" t="s">
        <v>1216</v>
      </c>
      <c r="D194" s="49">
        <f t="shared" ca="1" si="18"/>
        <v>15907907</v>
      </c>
      <c r="F194" s="49">
        <f ca="1">SUM(F1028:F1032)</f>
        <v>14412224.289105205</v>
      </c>
      <c r="H194" s="49">
        <f ca="1">SUM(H1028:H1032)</f>
        <v>1495636.7335597277</v>
      </c>
      <c r="I194" s="49">
        <f t="shared" ca="1" si="19"/>
        <v>45.977335067014494</v>
      </c>
      <c r="L194" s="49">
        <f ca="1">SUM(L1028:L1032)</f>
        <v>45.977335067014494</v>
      </c>
      <c r="M194" s="49"/>
      <c r="N194" s="49">
        <f t="shared" ca="1" si="20"/>
        <v>0</v>
      </c>
      <c r="O194" s="49">
        <f ca="1">SUM(O1028:O1032)</f>
        <v>0</v>
      </c>
      <c r="P194" s="49">
        <f ca="1">SUM(P1028:P1032)</f>
        <v>0</v>
      </c>
      <c r="Q194" s="49">
        <f ca="1">SUM(Q1028:Q1032)</f>
        <v>0</v>
      </c>
    </row>
    <row r="195" spans="1:17" x14ac:dyDescent="0.2">
      <c r="A195" s="49">
        <v>28</v>
      </c>
      <c r="B195" s="37" t="s">
        <v>1057</v>
      </c>
      <c r="C195" s="40" t="s">
        <v>1058</v>
      </c>
      <c r="D195" s="49">
        <f t="shared" ca="1" si="18"/>
        <v>7409761.0000000009</v>
      </c>
      <c r="F195" s="49">
        <f ca="1">F1373</f>
        <v>6710781.1196790012</v>
      </c>
      <c r="H195" s="49">
        <f ca="1">H1373</f>
        <v>698958.39365679654</v>
      </c>
      <c r="I195" s="49">
        <f t="shared" ca="1" si="19"/>
        <v>21.48666420259288</v>
      </c>
      <c r="L195" s="49">
        <f ca="1">L1373</f>
        <v>21.48666420259288</v>
      </c>
      <c r="M195" s="49"/>
      <c r="N195" s="49">
        <f t="shared" ca="1" si="20"/>
        <v>0</v>
      </c>
      <c r="O195" s="49">
        <f t="shared" ref="O195:Q196" ca="1" si="21">O1373</f>
        <v>0</v>
      </c>
      <c r="P195" s="49">
        <f t="shared" ca="1" si="21"/>
        <v>0</v>
      </c>
      <c r="Q195" s="49">
        <f t="shared" ca="1" si="21"/>
        <v>0</v>
      </c>
    </row>
    <row r="196" spans="1:17" x14ac:dyDescent="0.2">
      <c r="A196" s="49">
        <v>29</v>
      </c>
      <c r="B196" s="37" t="s">
        <v>1059</v>
      </c>
      <c r="C196" s="40" t="s">
        <v>1060</v>
      </c>
      <c r="D196" s="49">
        <f t="shared" si="18"/>
        <v>0</v>
      </c>
      <c r="F196" s="49">
        <f>F1374</f>
        <v>0</v>
      </c>
      <c r="H196" s="49">
        <f>H1374</f>
        <v>0</v>
      </c>
      <c r="I196" s="49">
        <f t="shared" si="19"/>
        <v>0</v>
      </c>
      <c r="L196" s="49">
        <f>L1374</f>
        <v>0</v>
      </c>
      <c r="M196" s="49"/>
      <c r="N196" s="49">
        <f t="shared" si="20"/>
        <v>0</v>
      </c>
      <c r="O196" s="49">
        <f t="shared" si="21"/>
        <v>0</v>
      </c>
      <c r="P196" s="49">
        <f t="shared" si="21"/>
        <v>0</v>
      </c>
      <c r="Q196" s="49">
        <f t="shared" si="21"/>
        <v>0</v>
      </c>
    </row>
    <row r="197" spans="1:17" x14ac:dyDescent="0.2">
      <c r="A197" s="49">
        <v>30</v>
      </c>
      <c r="B197" s="37" t="s">
        <v>1061</v>
      </c>
      <c r="C197" s="45" t="s">
        <v>1217</v>
      </c>
      <c r="D197" s="49">
        <f t="shared" ca="1" si="18"/>
        <v>25125956.000000004</v>
      </c>
      <c r="F197" s="49">
        <f ca="1">SUM(F1040:F1047)</f>
        <v>23778825.600000083</v>
      </c>
      <c r="H197" s="49">
        <f ca="1">SUM(H1040:H1047)</f>
        <v>1293097.0626162165</v>
      </c>
      <c r="I197" s="49">
        <f t="shared" ca="1" si="19"/>
        <v>54033.337383703976</v>
      </c>
      <c r="L197" s="49">
        <f ca="1">SUM(L1040:L1047)</f>
        <v>7690.6787542715101</v>
      </c>
      <c r="M197" s="49"/>
      <c r="N197" s="49">
        <f t="shared" ca="1" si="20"/>
        <v>46342.658629432466</v>
      </c>
      <c r="O197" s="49">
        <f ca="1">SUM(O1040:O1047)</f>
        <v>43296.287436368315</v>
      </c>
      <c r="P197" s="49">
        <f ca="1">SUM(P1040:P1047)</f>
        <v>3046.3711930641548</v>
      </c>
      <c r="Q197" s="49">
        <f ca="1">SUM(Q1040:Q1047)</f>
        <v>0</v>
      </c>
    </row>
    <row r="198" spans="1:17" x14ac:dyDescent="0.2">
      <c r="A198" s="49">
        <v>31</v>
      </c>
      <c r="B198" s="37" t="s">
        <v>1062</v>
      </c>
      <c r="C198" s="45" t="s">
        <v>1218</v>
      </c>
      <c r="D198" s="49">
        <f t="shared" ca="1" si="18"/>
        <v>34902097</v>
      </c>
      <c r="F198" s="49">
        <f ca="1">SUM(F1050:F1057)</f>
        <v>32828071.36991775</v>
      </c>
      <c r="H198" s="49">
        <f ca="1">SUM(H1050:H1057)</f>
        <v>2052194.1314103054</v>
      </c>
      <c r="I198" s="49">
        <f t="shared" ca="1" si="19"/>
        <v>21831.498671943591</v>
      </c>
      <c r="L198" s="49">
        <f ca="1">SUM(L1050:L1057)</f>
        <v>5577.5294800409811</v>
      </c>
      <c r="M198" s="49"/>
      <c r="N198" s="49">
        <f t="shared" ca="1" si="20"/>
        <v>16253.96919190261</v>
      </c>
      <c r="O198" s="49">
        <f ca="1">SUM(O1050:O1057)</f>
        <v>16249.300447547781</v>
      </c>
      <c r="P198" s="49">
        <f ca="1">SUM(P1050:P1057)</f>
        <v>4.6687443548294008</v>
      </c>
      <c r="Q198" s="49">
        <f ca="1">SUM(Q1050:Q1057)</f>
        <v>0</v>
      </c>
    </row>
    <row r="199" spans="1:17" x14ac:dyDescent="0.2">
      <c r="A199" s="49">
        <v>32</v>
      </c>
      <c r="B199" s="37" t="s">
        <v>1063</v>
      </c>
      <c r="C199" s="40" t="s">
        <v>1064</v>
      </c>
      <c r="D199" s="49">
        <f t="shared" ca="1" si="18"/>
        <v>22794160.000000004</v>
      </c>
      <c r="F199" s="49">
        <f ca="1">F1396</f>
        <v>21627227.502002757</v>
      </c>
      <c r="H199" s="49">
        <f ca="1">H1396</f>
        <v>1118466.0084003534</v>
      </c>
      <c r="I199" s="49">
        <f t="shared" ca="1" si="19"/>
        <v>48466.489596891632</v>
      </c>
      <c r="L199" s="49">
        <f ca="1">L1396</f>
        <v>7273.4228485913409</v>
      </c>
      <c r="M199" s="49"/>
      <c r="N199" s="49">
        <f t="shared" ca="1" si="20"/>
        <v>41193.066748300291</v>
      </c>
      <c r="O199" s="49">
        <f t="shared" ref="O199:Q200" ca="1" si="22">O1396</f>
        <v>40891.258207872736</v>
      </c>
      <c r="P199" s="49">
        <f t="shared" ca="1" si="22"/>
        <v>301.80854042755169</v>
      </c>
      <c r="Q199" s="49">
        <f t="shared" ca="1" si="22"/>
        <v>0</v>
      </c>
    </row>
    <row r="200" spans="1:17" x14ac:dyDescent="0.2">
      <c r="A200" s="49">
        <v>33</v>
      </c>
      <c r="B200" s="37" t="s">
        <v>1065</v>
      </c>
      <c r="C200" s="40" t="s">
        <v>1066</v>
      </c>
      <c r="D200" s="49">
        <f t="shared" si="18"/>
        <v>0</v>
      </c>
      <c r="F200" s="49">
        <f>F1397</f>
        <v>0</v>
      </c>
      <c r="H200" s="49">
        <f>H1397</f>
        <v>0</v>
      </c>
      <c r="I200" s="49">
        <f t="shared" si="19"/>
        <v>0</v>
      </c>
      <c r="L200" s="49">
        <f>L1397</f>
        <v>0</v>
      </c>
      <c r="M200" s="49"/>
      <c r="N200" s="49">
        <f t="shared" si="20"/>
        <v>0</v>
      </c>
      <c r="O200" s="49">
        <f t="shared" si="22"/>
        <v>0</v>
      </c>
      <c r="P200" s="49">
        <f t="shared" si="22"/>
        <v>0</v>
      </c>
      <c r="Q200" s="49">
        <f t="shared" si="22"/>
        <v>0</v>
      </c>
    </row>
    <row r="201" spans="1:17" x14ac:dyDescent="0.2">
      <c r="A201" s="49">
        <v>34</v>
      </c>
      <c r="B201" s="37" t="s">
        <v>1069</v>
      </c>
      <c r="C201" s="45" t="s">
        <v>1219</v>
      </c>
      <c r="D201" s="49">
        <f t="shared" ca="1" si="18"/>
        <v>30289429</v>
      </c>
      <c r="F201" s="49">
        <f ca="1">F1067+F1068+F1070</f>
        <v>28775925.416403897</v>
      </c>
      <c r="H201" s="49">
        <f ca="1">H1067+H1068+H1070</f>
        <v>1504842.6759818422</v>
      </c>
      <c r="I201" s="49">
        <f t="shared" ca="1" si="19"/>
        <v>8660.9076142600188</v>
      </c>
      <c r="L201" s="49">
        <f ca="1">L1067+L1068+L1070</f>
        <v>199.56008327788064</v>
      </c>
      <c r="M201" s="49"/>
      <c r="N201" s="49">
        <f t="shared" ca="1" si="20"/>
        <v>8461.3475309821388</v>
      </c>
      <c r="O201" s="49">
        <f ca="1">O1067+O1068+O1070</f>
        <v>3392.5214157239707</v>
      </c>
      <c r="P201" s="49">
        <f ca="1">P1067+P1068+P1070</f>
        <v>5068.8261152581681</v>
      </c>
      <c r="Q201" s="49">
        <f ca="1">Q1067+Q1068+Q1070</f>
        <v>0</v>
      </c>
    </row>
    <row r="202" spans="1:17" x14ac:dyDescent="0.2">
      <c r="A202" s="49">
        <v>35</v>
      </c>
      <c r="B202" s="37" t="s">
        <v>1070</v>
      </c>
      <c r="C202" s="40" t="s">
        <v>1071</v>
      </c>
      <c r="D202" s="49">
        <f t="shared" ca="1" si="18"/>
        <v>3641154</v>
      </c>
      <c r="F202" s="49">
        <f ca="1">F1404</f>
        <v>3459212.6491932455</v>
      </c>
      <c r="H202" s="49">
        <f ca="1">H1404</f>
        <v>180900.20544863981</v>
      </c>
      <c r="I202" s="49">
        <f t="shared" ca="1" si="19"/>
        <v>1041.145358114652</v>
      </c>
      <c r="L202" s="49">
        <f ca="1">L1404</f>
        <v>23.989524380521935</v>
      </c>
      <c r="M202" s="49"/>
      <c r="N202" s="49">
        <f t="shared" ca="1" si="20"/>
        <v>1017.1558337341302</v>
      </c>
      <c r="O202" s="49">
        <f ca="1">O1404</f>
        <v>407.82191446887293</v>
      </c>
      <c r="P202" s="49">
        <f ca="1">P1404</f>
        <v>609.33391926525724</v>
      </c>
      <c r="Q202" s="49">
        <f ca="1">Q1404</f>
        <v>0</v>
      </c>
    </row>
    <row r="203" spans="1:17" x14ac:dyDescent="0.2">
      <c r="A203" s="49">
        <v>36</v>
      </c>
      <c r="B203" s="37" t="s">
        <v>1072</v>
      </c>
      <c r="C203" s="45" t="s">
        <v>1220</v>
      </c>
      <c r="D203" s="49">
        <f t="shared" ca="1" si="18"/>
        <v>12770043.999999991</v>
      </c>
      <c r="F203" s="49">
        <f ca="1">SUM(F1075:F1077,F1082:F1084)</f>
        <v>12607583.359170897</v>
      </c>
      <c r="H203" s="49">
        <f ca="1">SUM(H1075:H1077,H1082:H1084)</f>
        <v>162443.31231019559</v>
      </c>
      <c r="I203" s="49">
        <f t="shared" ca="1" si="19"/>
        <v>17.328518896653513</v>
      </c>
      <c r="L203" s="49">
        <f ca="1">SUM(L1075:L1077,L1082:L1084)</f>
        <v>17.328518896653513</v>
      </c>
      <c r="M203" s="49"/>
      <c r="N203" s="49">
        <f t="shared" ca="1" si="20"/>
        <v>0</v>
      </c>
      <c r="O203" s="49">
        <f ca="1">SUM(O1075:O1077,O1082:O1084)</f>
        <v>0</v>
      </c>
      <c r="P203" s="49">
        <f ca="1">SUM(P1075:P1077,P1082:P1084)</f>
        <v>0</v>
      </c>
      <c r="Q203" s="49">
        <f ca="1">SUM(Q1075:Q1077,Q1082:Q1084)</f>
        <v>0</v>
      </c>
    </row>
    <row r="204" spans="1:17" x14ac:dyDescent="0.2">
      <c r="A204" s="49">
        <v>37</v>
      </c>
      <c r="B204" s="37" t="s">
        <v>1073</v>
      </c>
      <c r="C204" s="40" t="s">
        <v>1074</v>
      </c>
      <c r="D204" s="49">
        <f t="shared" ca="1" si="18"/>
        <v>3641154</v>
      </c>
      <c r="F204" s="49">
        <f ca="1">F1404</f>
        <v>3459212.6491932455</v>
      </c>
      <c r="H204" s="49">
        <f ca="1">H1404</f>
        <v>180900.20544863981</v>
      </c>
      <c r="I204" s="49">
        <f t="shared" ca="1" si="19"/>
        <v>1041.145358114652</v>
      </c>
      <c r="L204" s="49">
        <f ca="1">L1404</f>
        <v>23.989524380521935</v>
      </c>
      <c r="M204" s="49"/>
      <c r="N204" s="49">
        <f t="shared" ca="1" si="20"/>
        <v>1017.1558337341302</v>
      </c>
      <c r="O204" s="49">
        <f ca="1">O1404</f>
        <v>407.82191446887293</v>
      </c>
      <c r="P204" s="49">
        <f ca="1">P1404</f>
        <v>609.33391926525724</v>
      </c>
      <c r="Q204" s="49">
        <f ca="1">Q1404</f>
        <v>0</v>
      </c>
    </row>
    <row r="205" spans="1:17" x14ac:dyDescent="0.2">
      <c r="A205" s="49">
        <v>38</v>
      </c>
      <c r="B205" s="37" t="s">
        <v>1075</v>
      </c>
      <c r="C205" s="45" t="s">
        <v>1221</v>
      </c>
      <c r="D205" s="49">
        <f t="shared" ca="1" si="18"/>
        <v>1044482.0000000001</v>
      </c>
      <c r="F205" s="49">
        <f ca="1">SUM(F1082:F1084)</f>
        <v>991130.87987548974</v>
      </c>
      <c r="H205" s="49">
        <f ca="1">SUM(H1082:H1084)</f>
        <v>53345.429540695593</v>
      </c>
      <c r="I205" s="49">
        <f t="shared" ca="1" si="19"/>
        <v>5.6905838147454677</v>
      </c>
      <c r="L205" s="49">
        <f ca="1">SUM(L1082:L1084)</f>
        <v>5.6905838147454677</v>
      </c>
      <c r="M205" s="49"/>
      <c r="N205" s="49">
        <f t="shared" ca="1" si="20"/>
        <v>0</v>
      </c>
      <c r="O205" s="49">
        <f ca="1">SUM(O1082:O1084)</f>
        <v>0</v>
      </c>
      <c r="P205" s="49">
        <f ca="1">SUM(P1082:P1084)</f>
        <v>0</v>
      </c>
      <c r="Q205" s="49">
        <f ca="1">SUM(Q1082:Q1084)</f>
        <v>0</v>
      </c>
    </row>
    <row r="206" spans="1:17" x14ac:dyDescent="0.2">
      <c r="A206" s="49">
        <v>39</v>
      </c>
      <c r="B206" s="37" t="s">
        <v>1076</v>
      </c>
      <c r="C206" s="40" t="s">
        <v>1077</v>
      </c>
      <c r="D206" s="49">
        <f t="shared" ca="1" si="18"/>
        <v>1701224.9999999998</v>
      </c>
      <c r="F206" s="49">
        <f ca="1">F1421</f>
        <v>1679581.996757844</v>
      </c>
      <c r="H206" s="49">
        <f ca="1">H1421</f>
        <v>21640.694737223512</v>
      </c>
      <c r="I206" s="49">
        <f t="shared" ca="1" si="19"/>
        <v>2.3085049323212505</v>
      </c>
      <c r="L206" s="49">
        <f ca="1">L1421</f>
        <v>2.3085049323212505</v>
      </c>
      <c r="M206" s="49"/>
      <c r="N206" s="49">
        <f t="shared" ca="1" si="20"/>
        <v>0</v>
      </c>
      <c r="O206" s="49">
        <f ca="1">O1421</f>
        <v>0</v>
      </c>
      <c r="P206" s="49">
        <f ca="1">P1421</f>
        <v>0</v>
      </c>
      <c r="Q206" s="49">
        <f ca="1">Q1421</f>
        <v>0</v>
      </c>
    </row>
    <row r="207" spans="1:17" x14ac:dyDescent="0.2">
      <c r="A207" s="49">
        <v>40</v>
      </c>
      <c r="B207" s="37" t="s">
        <v>1078</v>
      </c>
      <c r="C207" s="40" t="s">
        <v>416</v>
      </c>
      <c r="D207" s="49">
        <f t="shared" ca="1" si="18"/>
        <v>115982377.99999997</v>
      </c>
      <c r="F207" s="49">
        <f ca="1">F1120</f>
        <v>109038721.97839193</v>
      </c>
      <c r="H207" s="49">
        <f ca="1">H1120</f>
        <v>5526225.6610029377</v>
      </c>
      <c r="I207" s="49">
        <f t="shared" ca="1" si="19"/>
        <v>1417430.3606050992</v>
      </c>
      <c r="L207" s="49">
        <f ca="1">L1120</f>
        <v>7718.3760793046158</v>
      </c>
      <c r="M207" s="49"/>
      <c r="N207" s="49">
        <f t="shared" ca="1" si="20"/>
        <v>1409711.9845257946</v>
      </c>
      <c r="O207" s="49">
        <f ca="1">O1120</f>
        <v>734582.36658578459</v>
      </c>
      <c r="P207" s="49">
        <f ca="1">P1120</f>
        <v>675129.61794001015</v>
      </c>
      <c r="Q207" s="49">
        <f ca="1">Q1120</f>
        <v>5.7407053870481153E-12</v>
      </c>
    </row>
    <row r="208" spans="1:17" x14ac:dyDescent="0.2">
      <c r="C208" s="47"/>
    </row>
    <row r="209" spans="1:17" x14ac:dyDescent="0.2">
      <c r="B209" s="58" t="s">
        <v>1012</v>
      </c>
    </row>
    <row r="210" spans="1:17" x14ac:dyDescent="0.2">
      <c r="B210" s="56" t="s">
        <v>451</v>
      </c>
    </row>
    <row r="211" spans="1:17" x14ac:dyDescent="0.2">
      <c r="A211" s="49">
        <v>1</v>
      </c>
      <c r="B211" s="37" t="s">
        <v>1418</v>
      </c>
      <c r="C211" s="40" t="s">
        <v>1080</v>
      </c>
      <c r="D211" s="49">
        <f t="shared" ref="D211:D217" ca="1" si="23">SUM(F211:I211)+K211</f>
        <v>3709646.9999999898</v>
      </c>
      <c r="F211" s="49">
        <f ca="1">F1104+F1105</f>
        <v>3495689.4081818983</v>
      </c>
      <c r="H211" s="49">
        <f ca="1">H1104+H1105</f>
        <v>170795.19027622245</v>
      </c>
      <c r="I211" s="49">
        <f t="shared" ref="I211:I217" ca="1" si="24">(L211+M211+N211)</f>
        <v>43162.401541869323</v>
      </c>
      <c r="L211" s="49">
        <f ca="1">L1104+L1105</f>
        <v>243.06297898144908</v>
      </c>
      <c r="M211" s="49"/>
      <c r="N211" s="49">
        <f t="shared" ref="N211:N217" ca="1" si="25">SUM(O211:Q211)</f>
        <v>42919.338562887875</v>
      </c>
      <c r="O211" s="49">
        <f ca="1">O1104+O1105</f>
        <v>22372.980438560684</v>
      </c>
      <c r="P211" s="49">
        <f ca="1">P1104+P1105</f>
        <v>20546.358124327187</v>
      </c>
      <c r="Q211" s="49">
        <f ca="1">Q1104+Q1105</f>
        <v>1.9209287688645555E-13</v>
      </c>
    </row>
    <row r="212" spans="1:17" x14ac:dyDescent="0.2">
      <c r="A212" s="49">
        <v>2</v>
      </c>
      <c r="B212" s="37" t="s">
        <v>1081</v>
      </c>
      <c r="C212" s="40" t="s">
        <v>1082</v>
      </c>
      <c r="D212" s="49">
        <f t="shared" ca="1" si="23"/>
        <v>12381934.999999989</v>
      </c>
      <c r="F212" s="49">
        <f ca="1">F1078</f>
        <v>12264475.094738947</v>
      </c>
      <c r="H212" s="49">
        <f ca="1">H1078</f>
        <v>117447.37664994238</v>
      </c>
      <c r="I212" s="49">
        <f t="shared" ca="1" si="24"/>
        <v>12.528611099449819</v>
      </c>
      <c r="L212" s="49">
        <f ca="1">L1078</f>
        <v>12.528611099449819</v>
      </c>
      <c r="M212" s="49"/>
      <c r="N212" s="49">
        <f t="shared" ca="1" si="25"/>
        <v>0</v>
      </c>
      <c r="O212" s="49">
        <f ca="1">O1078</f>
        <v>0</v>
      </c>
      <c r="P212" s="49">
        <f ca="1">P1078</f>
        <v>0</v>
      </c>
      <c r="Q212" s="49">
        <f ca="1">Q1078</f>
        <v>0</v>
      </c>
    </row>
    <row r="213" spans="1:17" x14ac:dyDescent="0.2">
      <c r="A213" s="49">
        <v>3</v>
      </c>
      <c r="B213" s="37" t="s">
        <v>1083</v>
      </c>
      <c r="C213" s="40" t="s">
        <v>1084</v>
      </c>
      <c r="D213" s="49">
        <f t="shared" ca="1" si="23"/>
        <v>1928493256.8107691</v>
      </c>
      <c r="F213" s="49">
        <f ca="1">F735-F721</f>
        <v>1924181178.110769</v>
      </c>
      <c r="H213" s="49">
        <f ca="1">H735-H721</f>
        <v>0</v>
      </c>
      <c r="I213" s="49">
        <f t="shared" ca="1" si="24"/>
        <v>4312078.7</v>
      </c>
      <c r="L213" s="49">
        <f ca="1">L735-L721</f>
        <v>647118.70000000007</v>
      </c>
      <c r="M213" s="49"/>
      <c r="N213" s="49">
        <f t="shared" ca="1" si="25"/>
        <v>3664960</v>
      </c>
      <c r="O213" s="49">
        <f ca="1">O735-O721</f>
        <v>3638108</v>
      </c>
      <c r="P213" s="49">
        <f ca="1">P735-P721</f>
        <v>26852</v>
      </c>
      <c r="Q213" s="49">
        <f ca="1">Q735-Q721</f>
        <v>0</v>
      </c>
    </row>
    <row r="214" spans="1:17" x14ac:dyDescent="0.2">
      <c r="A214" s="49">
        <v>4</v>
      </c>
      <c r="B214" s="37" t="s">
        <v>1085</v>
      </c>
      <c r="C214" s="40" t="s">
        <v>1086</v>
      </c>
      <c r="D214" s="49">
        <f t="shared" ca="1" si="23"/>
        <v>87183813.808233812</v>
      </c>
      <c r="F214" s="49">
        <f ca="1">F1398</f>
        <v>87183813.808233812</v>
      </c>
      <c r="G214" s="57"/>
      <c r="H214" s="57">
        <v>0</v>
      </c>
      <c r="I214" s="49">
        <f t="shared" si="24"/>
        <v>0</v>
      </c>
      <c r="L214" s="57">
        <v>0</v>
      </c>
      <c r="M214" s="57"/>
      <c r="N214" s="49">
        <f t="shared" si="25"/>
        <v>0</v>
      </c>
      <c r="O214" s="57">
        <v>0</v>
      </c>
      <c r="P214" s="57">
        <v>0</v>
      </c>
      <c r="Q214" s="57">
        <v>0</v>
      </c>
    </row>
    <row r="215" spans="1:17" x14ac:dyDescent="0.2">
      <c r="A215" s="49">
        <v>5</v>
      </c>
      <c r="B215" s="37" t="s">
        <v>1087</v>
      </c>
      <c r="C215" s="40" t="s">
        <v>1088</v>
      </c>
      <c r="D215" s="49">
        <f t="shared" ca="1" si="23"/>
        <v>4416324.0819489257</v>
      </c>
      <c r="F215" s="57">
        <v>0</v>
      </c>
      <c r="G215" s="57"/>
      <c r="H215" s="49">
        <f ca="1">H1398</f>
        <v>4416324.0819489257</v>
      </c>
      <c r="I215" s="49">
        <f t="shared" si="24"/>
        <v>0</v>
      </c>
      <c r="L215" s="57">
        <v>0</v>
      </c>
      <c r="M215" s="49"/>
      <c r="N215" s="49">
        <f t="shared" si="25"/>
        <v>0</v>
      </c>
      <c r="O215" s="57">
        <v>0</v>
      </c>
      <c r="P215" s="57">
        <v>0</v>
      </c>
      <c r="Q215" s="57">
        <v>0</v>
      </c>
    </row>
    <row r="216" spans="1:17" x14ac:dyDescent="0.2">
      <c r="A216" s="49">
        <v>6</v>
      </c>
      <c r="B216" s="37" t="s">
        <v>1089</v>
      </c>
      <c r="C216" s="40" t="s">
        <v>1090</v>
      </c>
      <c r="D216" s="49">
        <f t="shared" si="23"/>
        <v>0</v>
      </c>
      <c r="F216" s="57">
        <v>0</v>
      </c>
      <c r="G216" s="57"/>
      <c r="H216" s="57">
        <v>0</v>
      </c>
      <c r="I216" s="49">
        <f t="shared" si="24"/>
        <v>0</v>
      </c>
      <c r="L216" s="57">
        <v>0</v>
      </c>
      <c r="M216" s="57"/>
      <c r="N216" s="49">
        <f t="shared" si="25"/>
        <v>0</v>
      </c>
      <c r="O216" s="57">
        <v>0</v>
      </c>
      <c r="P216" s="57">
        <v>0</v>
      </c>
      <c r="Q216" s="57">
        <v>0</v>
      </c>
    </row>
    <row r="217" spans="1:17" x14ac:dyDescent="0.2">
      <c r="A217" s="49">
        <v>7</v>
      </c>
      <c r="B217" s="37" t="s">
        <v>1091</v>
      </c>
      <c r="C217" s="40" t="s">
        <v>1092</v>
      </c>
      <c r="D217" s="49">
        <f t="shared" ca="1" si="23"/>
        <v>1344874.8545014865</v>
      </c>
      <c r="F217" s="57">
        <v>0</v>
      </c>
      <c r="G217" s="57"/>
      <c r="H217" s="57">
        <v>0</v>
      </c>
      <c r="I217" s="49">
        <f t="shared" ca="1" si="24"/>
        <v>1344874.8545014865</v>
      </c>
      <c r="L217" s="57">
        <v>0</v>
      </c>
      <c r="M217" s="57"/>
      <c r="N217" s="49">
        <f t="shared" ca="1" si="25"/>
        <v>1344874.8545014865</v>
      </c>
      <c r="O217" s="49">
        <f ca="1">O1398</f>
        <v>701685.02695065807</v>
      </c>
      <c r="P217" s="49">
        <f ca="1">P1398</f>
        <v>643189.82755082846</v>
      </c>
      <c r="Q217" s="57">
        <v>0</v>
      </c>
    </row>
    <row r="218" spans="1:17" x14ac:dyDescent="0.2">
      <c r="A218" s="49">
        <v>8</v>
      </c>
      <c r="B218" s="59" t="s">
        <v>1354</v>
      </c>
      <c r="C218" s="40" t="s">
        <v>1355</v>
      </c>
      <c r="D218" s="49">
        <f ca="1">SUM(F218:I218)+K218</f>
        <v>-1535639</v>
      </c>
      <c r="F218" s="57">
        <f ca="1">F1285</f>
        <v>-1512108</v>
      </c>
      <c r="G218" s="57"/>
      <c r="H218" s="57">
        <f ca="1">H1285</f>
        <v>0</v>
      </c>
      <c r="I218" s="49">
        <f ca="1">(L218+M218+N218)</f>
        <v>-23531</v>
      </c>
      <c r="L218" s="57">
        <f ca="1">L1285</f>
        <v>-111</v>
      </c>
      <c r="M218" s="57"/>
      <c r="N218" s="49">
        <f ca="1">SUM(O218:Q218)</f>
        <v>-23420</v>
      </c>
      <c r="O218" s="57">
        <f ca="1">O1285</f>
        <v>-12173</v>
      </c>
      <c r="P218" s="57">
        <f ca="1">P1285</f>
        <v>-11247</v>
      </c>
      <c r="Q218" s="57">
        <v>0</v>
      </c>
    </row>
    <row r="219" spans="1:17" x14ac:dyDescent="0.2">
      <c r="A219" s="49">
        <v>9</v>
      </c>
      <c r="B219" s="37" t="s">
        <v>1381</v>
      </c>
      <c r="C219" s="40" t="s">
        <v>1380</v>
      </c>
      <c r="D219" s="49">
        <f ca="1">SUM(F219:I219)+K219</f>
        <v>176737014.39915222</v>
      </c>
      <c r="F219" s="49">
        <f ca="1">F1441</f>
        <v>168255995.62654746</v>
      </c>
      <c r="H219" s="49">
        <f ca="1">H1441</f>
        <v>8468966.3711773921</v>
      </c>
      <c r="I219" s="49">
        <f ca="1">(L219+M219+N219)</f>
        <v>12052.401427364233</v>
      </c>
      <c r="L219" s="49">
        <f ca="1">L1441</f>
        <v>12052.401427364233</v>
      </c>
      <c r="M219" s="49"/>
      <c r="N219" s="49">
        <f>SUM(O219:Q219)</f>
        <v>0</v>
      </c>
      <c r="O219" s="49">
        <v>0</v>
      </c>
      <c r="P219" s="49">
        <v>0</v>
      </c>
      <c r="Q219" s="49">
        <v>0</v>
      </c>
    </row>
    <row r="220" spans="1:17" x14ac:dyDescent="0.2">
      <c r="A220" s="49">
        <v>10</v>
      </c>
      <c r="B220" s="37" t="s">
        <v>1392</v>
      </c>
      <c r="C220" s="40" t="s">
        <v>1393</v>
      </c>
      <c r="D220" s="49">
        <f ca="1">SUM(F220:I220)+K220</f>
        <v>1069255389.5925893</v>
      </c>
      <c r="F220" s="49">
        <f ca="1">F660</f>
        <v>1021671276.4083883</v>
      </c>
      <c r="H220" s="49">
        <f ca="1">H660</f>
        <v>47580842.050373152</v>
      </c>
      <c r="I220" s="49">
        <f ca="1">(L220+M220+N220)</f>
        <v>3271.1338277682412</v>
      </c>
      <c r="L220" s="49">
        <f ca="1">L660</f>
        <v>3271.1338277682412</v>
      </c>
      <c r="M220" s="49"/>
      <c r="N220" s="49">
        <f>SUM(O220:Q220)</f>
        <v>0</v>
      </c>
      <c r="O220" s="49">
        <v>0</v>
      </c>
      <c r="P220" s="49">
        <v>0</v>
      </c>
      <c r="Q220" s="49">
        <v>0</v>
      </c>
    </row>
    <row r="221" spans="1:17" x14ac:dyDescent="0.2">
      <c r="A221" s="49">
        <v>11</v>
      </c>
      <c r="C221" s="47"/>
    </row>
    <row r="222" spans="1:17" x14ac:dyDescent="0.2">
      <c r="A222" s="49">
        <v>12</v>
      </c>
    </row>
    <row r="223" spans="1:17" x14ac:dyDescent="0.2">
      <c r="A223" s="49">
        <v>13</v>
      </c>
    </row>
    <row r="224" spans="1:17" x14ac:dyDescent="0.2">
      <c r="A224" s="49">
        <v>14</v>
      </c>
    </row>
    <row r="225" spans="1:3" x14ac:dyDescent="0.2">
      <c r="A225" s="49">
        <v>15</v>
      </c>
    </row>
    <row r="226" spans="1:3" x14ac:dyDescent="0.2">
      <c r="A226" s="49">
        <v>16</v>
      </c>
    </row>
    <row r="227" spans="1:3" x14ac:dyDescent="0.2">
      <c r="A227" s="49">
        <v>17</v>
      </c>
    </row>
    <row r="228" spans="1:3" x14ac:dyDescent="0.2">
      <c r="A228" s="49">
        <v>18</v>
      </c>
      <c r="C228" s="47"/>
    </row>
    <row r="229" spans="1:3" x14ac:dyDescent="0.2">
      <c r="A229" s="49">
        <v>19</v>
      </c>
      <c r="C229" s="47"/>
    </row>
    <row r="230" spans="1:3" x14ac:dyDescent="0.2">
      <c r="A230" s="49">
        <v>20</v>
      </c>
      <c r="C230" s="47"/>
    </row>
    <row r="231" spans="1:3" x14ac:dyDescent="0.2">
      <c r="A231" s="49">
        <v>21</v>
      </c>
      <c r="C231" s="47"/>
    </row>
    <row r="232" spans="1:3" x14ac:dyDescent="0.2">
      <c r="A232" s="49">
        <v>22</v>
      </c>
      <c r="C232" s="47"/>
    </row>
    <row r="233" spans="1:3" x14ac:dyDescent="0.2">
      <c r="A233" s="49">
        <v>23</v>
      </c>
      <c r="C233" s="47"/>
    </row>
    <row r="234" spans="1:3" x14ac:dyDescent="0.2">
      <c r="A234" s="49">
        <v>24</v>
      </c>
      <c r="C234" s="47"/>
    </row>
    <row r="235" spans="1:3" x14ac:dyDescent="0.2">
      <c r="A235" s="49">
        <v>25</v>
      </c>
      <c r="C235" s="47"/>
    </row>
    <row r="236" spans="1:3" x14ac:dyDescent="0.2">
      <c r="A236" s="49">
        <v>26</v>
      </c>
      <c r="C236" s="47"/>
    </row>
    <row r="237" spans="1:3" x14ac:dyDescent="0.2">
      <c r="A237" s="49">
        <v>27</v>
      </c>
      <c r="C237" s="47"/>
    </row>
    <row r="238" spans="1:3" x14ac:dyDescent="0.2">
      <c r="A238" s="49">
        <v>28</v>
      </c>
      <c r="C238" s="47"/>
    </row>
    <row r="239" spans="1:3" x14ac:dyDescent="0.2">
      <c r="A239" s="49">
        <v>29</v>
      </c>
      <c r="C239" s="47"/>
    </row>
    <row r="240" spans="1:3" x14ac:dyDescent="0.2">
      <c r="A240" s="49">
        <v>30</v>
      </c>
      <c r="C240" s="47"/>
    </row>
    <row r="241" spans="1:20" x14ac:dyDescent="0.2">
      <c r="A241" s="49">
        <v>31</v>
      </c>
      <c r="C241" s="47"/>
    </row>
    <row r="242" spans="1:20" x14ac:dyDescent="0.2">
      <c r="A242" s="49">
        <v>32</v>
      </c>
      <c r="C242" s="47"/>
    </row>
    <row r="243" spans="1:20" x14ac:dyDescent="0.2">
      <c r="A243" s="49">
        <v>33</v>
      </c>
      <c r="C243" s="47"/>
    </row>
    <row r="244" spans="1:20" x14ac:dyDescent="0.2">
      <c r="A244" s="49">
        <v>34</v>
      </c>
      <c r="C244" s="47"/>
    </row>
    <row r="245" spans="1:20" x14ac:dyDescent="0.2">
      <c r="A245" s="49">
        <v>35</v>
      </c>
      <c r="C245" s="47"/>
    </row>
    <row r="246" spans="1:20" x14ac:dyDescent="0.2">
      <c r="A246" s="49">
        <v>36</v>
      </c>
      <c r="C246" s="47"/>
    </row>
    <row r="247" spans="1:20" x14ac:dyDescent="0.2">
      <c r="A247" s="49">
        <v>37</v>
      </c>
      <c r="C247" s="47"/>
    </row>
    <row r="248" spans="1:20" x14ac:dyDescent="0.2">
      <c r="A248" s="49">
        <v>38</v>
      </c>
      <c r="C248" s="47"/>
    </row>
    <row r="249" spans="1:20" x14ac:dyDescent="0.2">
      <c r="A249" s="49">
        <v>39</v>
      </c>
      <c r="C249" s="47"/>
    </row>
    <row r="250" spans="1:20" x14ac:dyDescent="0.2">
      <c r="A250" s="49">
        <v>40</v>
      </c>
      <c r="C250" s="47"/>
    </row>
    <row r="252" spans="1:20" x14ac:dyDescent="0.2">
      <c r="B252" s="53" t="s">
        <v>1093</v>
      </c>
      <c r="C252" s="47"/>
    </row>
    <row r="253" spans="1:20" x14ac:dyDescent="0.2">
      <c r="B253" s="56" t="s">
        <v>451</v>
      </c>
      <c r="C253" s="47"/>
    </row>
    <row r="254" spans="1:20" x14ac:dyDescent="0.2">
      <c r="A254" s="46">
        <v>1</v>
      </c>
      <c r="B254" s="195" t="s">
        <v>1244</v>
      </c>
      <c r="C254" s="39"/>
      <c r="D254" s="46">
        <f t="shared" ref="D254:D264" si="26">SUM(F254:I254)+K254</f>
        <v>665780256.86918175</v>
      </c>
      <c r="E254" s="24"/>
      <c r="F254" s="274">
        <f>Revenues!B20*1000-L254</f>
        <v>627615321.31252027</v>
      </c>
      <c r="G254" s="242"/>
      <c r="H254" s="274">
        <f>Revenues!B31*1000</f>
        <v>38164935.556661539</v>
      </c>
      <c r="I254" s="46">
        <f t="shared" ref="I254:I262" si="27">(L254+M254+N254)</f>
        <v>0</v>
      </c>
      <c r="J254" s="24"/>
      <c r="K254" s="24"/>
      <c r="L254" s="274">
        <f>Revenues!C52</f>
        <v>0</v>
      </c>
      <c r="M254" s="39"/>
      <c r="N254" s="46">
        <f t="shared" ref="N254:N262" si="28">SUM(O254:Q254)</f>
        <v>0</v>
      </c>
      <c r="O254" s="274">
        <v>0</v>
      </c>
      <c r="P254" s="274">
        <v>0</v>
      </c>
      <c r="Q254" s="39">
        <v>0</v>
      </c>
      <c r="R254" s="24"/>
      <c r="S254" s="24"/>
      <c r="T254" s="24"/>
    </row>
    <row r="255" spans="1:20" x14ac:dyDescent="0.2">
      <c r="A255" s="46">
        <v>2</v>
      </c>
      <c r="B255" s="195" t="s">
        <v>1365</v>
      </c>
      <c r="C255" s="39"/>
      <c r="D255" s="46">
        <f t="shared" si="26"/>
        <v>416945597.73430771</v>
      </c>
      <c r="E255" s="24"/>
      <c r="F255" s="274">
        <f>Revenues!B21*1000</f>
        <v>399084022.75055635</v>
      </c>
      <c r="G255" s="242"/>
      <c r="H255" s="274">
        <f>Revenues!B32*1000</f>
        <v>17861574.983751338</v>
      </c>
      <c r="I255" s="46">
        <f t="shared" si="27"/>
        <v>0</v>
      </c>
      <c r="J255" s="24"/>
      <c r="K255" s="24"/>
      <c r="L255" s="274">
        <v>0</v>
      </c>
      <c r="M255" s="39"/>
      <c r="N255" s="46">
        <f t="shared" si="28"/>
        <v>0</v>
      </c>
      <c r="O255" s="274">
        <v>0</v>
      </c>
      <c r="P255" s="274">
        <v>0</v>
      </c>
      <c r="Q255" s="39">
        <v>0</v>
      </c>
      <c r="R255" s="24"/>
      <c r="S255" s="24"/>
      <c r="T255" s="24"/>
    </row>
    <row r="256" spans="1:20" x14ac:dyDescent="0.2">
      <c r="A256" s="46">
        <v>3</v>
      </c>
      <c r="B256" s="195" t="s">
        <v>1247</v>
      </c>
      <c r="C256" s="39"/>
      <c r="D256" s="46">
        <f t="shared" si="26"/>
        <v>0</v>
      </c>
      <c r="E256" s="24"/>
      <c r="F256" s="274">
        <v>0</v>
      </c>
      <c r="G256" s="242"/>
      <c r="H256" s="274">
        <v>0</v>
      </c>
      <c r="I256" s="46">
        <f t="shared" si="27"/>
        <v>0</v>
      </c>
      <c r="J256" s="24"/>
      <c r="K256" s="24"/>
      <c r="L256" s="274">
        <v>0</v>
      </c>
      <c r="M256" s="39"/>
      <c r="N256" s="46">
        <f t="shared" si="28"/>
        <v>0</v>
      </c>
      <c r="O256" s="274">
        <v>0</v>
      </c>
      <c r="P256" s="274">
        <v>0</v>
      </c>
      <c r="Q256" s="39">
        <v>0</v>
      </c>
      <c r="R256" s="24"/>
      <c r="S256" s="24"/>
      <c r="T256" s="24"/>
    </row>
    <row r="257" spans="1:21" x14ac:dyDescent="0.2">
      <c r="A257" s="46">
        <v>4</v>
      </c>
      <c r="B257" s="195" t="s">
        <v>1245</v>
      </c>
      <c r="C257" s="39"/>
      <c r="D257" s="46">
        <f t="shared" si="26"/>
        <v>432591682.68587506</v>
      </c>
      <c r="E257" s="24"/>
      <c r="F257" s="274">
        <f>Revenues!B22*1000</f>
        <v>424467890.24351609</v>
      </c>
      <c r="G257" s="242"/>
      <c r="H257" s="274">
        <f>Revenues!B33*1000</f>
        <v>8123792.442358966</v>
      </c>
      <c r="I257" s="46">
        <f t="shared" si="27"/>
        <v>0</v>
      </c>
      <c r="J257" s="24"/>
      <c r="K257" s="24"/>
      <c r="L257" s="274">
        <v>0</v>
      </c>
      <c r="M257" s="39"/>
      <c r="N257" s="46">
        <f t="shared" si="28"/>
        <v>0</v>
      </c>
      <c r="O257" s="274">
        <v>0</v>
      </c>
      <c r="P257" s="274">
        <v>0</v>
      </c>
      <c r="Q257" s="39">
        <v>0</v>
      </c>
      <c r="R257" s="24"/>
      <c r="S257" s="24"/>
      <c r="T257" s="24"/>
    </row>
    <row r="258" spans="1:21" x14ac:dyDescent="0.2">
      <c r="A258" s="46">
        <v>5</v>
      </c>
      <c r="B258" s="195" t="s">
        <v>1246</v>
      </c>
      <c r="C258" s="39"/>
      <c r="D258" s="46">
        <f t="shared" si="26"/>
        <v>0</v>
      </c>
      <c r="E258" s="24"/>
      <c r="F258" s="274">
        <v>0</v>
      </c>
      <c r="G258" s="242"/>
      <c r="H258" s="274">
        <v>0</v>
      </c>
      <c r="I258" s="46">
        <f t="shared" si="27"/>
        <v>0</v>
      </c>
      <c r="J258" s="24"/>
      <c r="K258" s="24"/>
      <c r="L258" s="274">
        <v>0</v>
      </c>
      <c r="M258" s="39"/>
      <c r="N258" s="46">
        <f t="shared" si="28"/>
        <v>0</v>
      </c>
      <c r="O258" s="274">
        <v>0</v>
      </c>
      <c r="P258" s="274">
        <v>0</v>
      </c>
      <c r="Q258" s="39">
        <v>0</v>
      </c>
      <c r="R258" s="24"/>
      <c r="S258" s="24"/>
      <c r="T258" s="24"/>
    </row>
    <row r="259" spans="1:21" x14ac:dyDescent="0.2">
      <c r="A259" s="46">
        <v>6</v>
      </c>
      <c r="B259" s="195" t="s">
        <v>1248</v>
      </c>
      <c r="C259" s="39"/>
      <c r="D259" s="46">
        <f t="shared" si="26"/>
        <v>13596736.40943232</v>
      </c>
      <c r="E259" s="24"/>
      <c r="F259" s="274">
        <f>Revenues!B23*1000</f>
        <v>13142540.284420729</v>
      </c>
      <c r="G259" s="242"/>
      <c r="H259" s="274">
        <f>Revenues!B34*1000</f>
        <v>454196.12501159054</v>
      </c>
      <c r="I259" s="46">
        <f t="shared" si="27"/>
        <v>0</v>
      </c>
      <c r="J259" s="24"/>
      <c r="K259" s="24"/>
      <c r="L259" s="274">
        <v>0</v>
      </c>
      <c r="M259" s="39"/>
      <c r="N259" s="46">
        <f t="shared" si="28"/>
        <v>0</v>
      </c>
      <c r="O259" s="274">
        <v>0</v>
      </c>
      <c r="P259" s="274">
        <v>0</v>
      </c>
      <c r="Q259" s="39">
        <v>0</v>
      </c>
      <c r="R259" s="24"/>
      <c r="S259" s="24"/>
      <c r="T259" s="24"/>
    </row>
    <row r="260" spans="1:21" x14ac:dyDescent="0.2">
      <c r="A260" s="46">
        <v>7</v>
      </c>
      <c r="B260" s="195" t="s">
        <v>1249</v>
      </c>
      <c r="C260" s="39"/>
      <c r="D260" s="46">
        <f t="shared" si="26"/>
        <v>130933810.87643737</v>
      </c>
      <c r="E260" s="24"/>
      <c r="F260" s="274">
        <f>Revenues!B24*1000</f>
        <v>124371106.8708469</v>
      </c>
      <c r="G260" s="242"/>
      <c r="H260" s="274">
        <f>Revenues!B35*1000</f>
        <v>6562704.0055904742</v>
      </c>
      <c r="I260" s="46">
        <f t="shared" si="27"/>
        <v>0</v>
      </c>
      <c r="J260" s="24"/>
      <c r="K260" s="24"/>
      <c r="L260" s="274">
        <v>0</v>
      </c>
      <c r="M260" s="39"/>
      <c r="N260" s="46">
        <f t="shared" si="28"/>
        <v>0</v>
      </c>
      <c r="O260" s="274">
        <v>0</v>
      </c>
      <c r="P260" s="274">
        <v>0</v>
      </c>
      <c r="Q260" s="39">
        <v>0</v>
      </c>
      <c r="R260" s="24"/>
      <c r="S260" s="24"/>
      <c r="T260" s="24"/>
    </row>
    <row r="261" spans="1:21" x14ac:dyDescent="0.2">
      <c r="A261" s="46">
        <v>8</v>
      </c>
      <c r="B261" s="195" t="s">
        <v>1250</v>
      </c>
      <c r="C261" s="39"/>
      <c r="D261" s="46">
        <f t="shared" si="26"/>
        <v>0</v>
      </c>
      <c r="E261" s="24"/>
      <c r="F261" s="274">
        <v>0</v>
      </c>
      <c r="G261" s="242"/>
      <c r="H261" s="274">
        <v>0</v>
      </c>
      <c r="I261" s="46">
        <f t="shared" si="27"/>
        <v>0</v>
      </c>
      <c r="J261" s="24"/>
      <c r="K261" s="24"/>
      <c r="L261" s="274">
        <v>0</v>
      </c>
      <c r="M261" s="39"/>
      <c r="N261" s="46">
        <f t="shared" si="28"/>
        <v>0</v>
      </c>
      <c r="O261" s="274">
        <v>0</v>
      </c>
      <c r="P261" s="274">
        <v>0</v>
      </c>
      <c r="Q261" s="39">
        <v>0</v>
      </c>
      <c r="R261" s="24"/>
      <c r="S261" s="24"/>
      <c r="T261" s="24"/>
    </row>
    <row r="262" spans="1:21" x14ac:dyDescent="0.2">
      <c r="A262" s="46">
        <v>9</v>
      </c>
      <c r="B262" s="195" t="s">
        <v>1251</v>
      </c>
      <c r="C262" s="39"/>
      <c r="D262" s="46">
        <f t="shared" si="26"/>
        <v>24857217.745995708</v>
      </c>
      <c r="E262" s="24"/>
      <c r="F262" s="274">
        <v>0</v>
      </c>
      <c r="G262" s="242"/>
      <c r="H262" s="274">
        <v>0</v>
      </c>
      <c r="I262" s="46">
        <f t="shared" si="27"/>
        <v>24857217.745995708</v>
      </c>
      <c r="J262" s="24"/>
      <c r="K262" s="24"/>
      <c r="L262" s="274">
        <v>0</v>
      </c>
      <c r="M262" s="39"/>
      <c r="N262" s="46">
        <f t="shared" si="28"/>
        <v>24857217.745995708</v>
      </c>
      <c r="O262" s="274">
        <f>Revenues!B11*1000</f>
        <v>12585764.562653359</v>
      </c>
      <c r="P262" s="274">
        <f>SUM(Revenues!B12:B13)*1000</f>
        <v>12271453.183342351</v>
      </c>
      <c r="Q262" s="39">
        <v>0</v>
      </c>
      <c r="R262" s="24"/>
      <c r="S262" s="24"/>
      <c r="T262" s="24"/>
    </row>
    <row r="263" spans="1:21" x14ac:dyDescent="0.2">
      <c r="A263" s="49">
        <v>10</v>
      </c>
      <c r="B263" s="37" t="s">
        <v>1094</v>
      </c>
      <c r="C263" s="47"/>
      <c r="D263" s="49">
        <f t="shared" si="26"/>
        <v>0</v>
      </c>
      <c r="F263" s="47">
        <v>0</v>
      </c>
      <c r="G263" s="47"/>
      <c r="H263" s="47">
        <v>0</v>
      </c>
      <c r="I263" s="49">
        <f>(L263+M263+N263)</f>
        <v>0</v>
      </c>
      <c r="L263" s="47">
        <v>0</v>
      </c>
      <c r="M263" s="47"/>
      <c r="N263" s="49">
        <f>SUM(O263:Q263)</f>
        <v>0</v>
      </c>
      <c r="O263" s="47">
        <v>0</v>
      </c>
      <c r="P263" s="47">
        <v>0</v>
      </c>
      <c r="Q263" s="47">
        <v>0</v>
      </c>
    </row>
    <row r="264" spans="1:21" x14ac:dyDescent="0.2">
      <c r="A264" s="49">
        <v>11</v>
      </c>
      <c r="B264" s="101" t="s">
        <v>1243</v>
      </c>
      <c r="C264" s="47"/>
      <c r="D264" s="49">
        <f t="shared" si="26"/>
        <v>0</v>
      </c>
      <c r="F264" s="47">
        <v>0</v>
      </c>
      <c r="G264" s="47"/>
      <c r="H264" s="274">
        <v>0</v>
      </c>
      <c r="I264" s="49">
        <f>(L264+M264+N264)</f>
        <v>0</v>
      </c>
      <c r="L264" s="47">
        <v>0</v>
      </c>
      <c r="M264" s="47"/>
      <c r="N264" s="49">
        <f>SUM(O264:Q264)</f>
        <v>0</v>
      </c>
      <c r="O264" s="274">
        <v>0</v>
      </c>
      <c r="P264" s="274">
        <v>0</v>
      </c>
      <c r="Q264" s="47">
        <v>0</v>
      </c>
      <c r="U264" s="39"/>
    </row>
    <row r="265" spans="1:21" x14ac:dyDescent="0.2">
      <c r="A265" s="49">
        <v>12</v>
      </c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</row>
    <row r="266" spans="1:21" x14ac:dyDescent="0.2">
      <c r="A266" s="49">
        <v>13</v>
      </c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</row>
    <row r="267" spans="1:21" x14ac:dyDescent="0.2">
      <c r="C267" s="47"/>
    </row>
    <row r="268" spans="1:21" x14ac:dyDescent="0.2">
      <c r="C268" s="47"/>
    </row>
    <row r="269" spans="1:21" x14ac:dyDescent="0.2">
      <c r="C269" s="47"/>
    </row>
    <row r="270" spans="1:21" x14ac:dyDescent="0.2">
      <c r="C270" s="47"/>
    </row>
    <row r="271" spans="1:21" x14ac:dyDescent="0.2">
      <c r="C271" s="47"/>
    </row>
    <row r="272" spans="1:21" x14ac:dyDescent="0.2">
      <c r="B272" s="53" t="s">
        <v>1095</v>
      </c>
      <c r="C272" s="47"/>
    </row>
    <row r="273" spans="1:17" x14ac:dyDescent="0.2">
      <c r="C273" s="47"/>
    </row>
    <row r="274" spans="1:17" x14ac:dyDescent="0.2">
      <c r="B274" s="53" t="s">
        <v>1096</v>
      </c>
      <c r="C274" s="47"/>
    </row>
    <row r="275" spans="1:17" x14ac:dyDescent="0.2">
      <c r="B275" s="56" t="s">
        <v>451</v>
      </c>
      <c r="C275" s="47"/>
    </row>
    <row r="276" spans="1:17" x14ac:dyDescent="0.2">
      <c r="B276" s="53" t="s">
        <v>570</v>
      </c>
    </row>
    <row r="277" spans="1:17" x14ac:dyDescent="0.2">
      <c r="A277" s="49">
        <v>1</v>
      </c>
      <c r="B277" s="37" t="s">
        <v>571</v>
      </c>
      <c r="C277" s="40" t="s">
        <v>572</v>
      </c>
      <c r="D277" s="60">
        <f t="shared" ref="D277:D282" si="29">SUM(F277:I277)+K277</f>
        <v>1</v>
      </c>
      <c r="F277" s="60">
        <f t="shared" ref="F277:F282" si="30">IF(AND(OR(OR($A$12=1,$A$12=2),$A$12=5),F28&lt;&gt;0),IF($D28=0,1,+F28/$D28),0)</f>
        <v>0.93741603079505242</v>
      </c>
      <c r="G277" s="60"/>
      <c r="H277" s="60">
        <f t="shared" ref="H277:H282" si="31">IF(AND(OR(OR($A$12=1,$A$12=2),$A$12=5),H28&lt;&gt;0),IF($D28=0,1,+H28/$D28),0)</f>
        <v>4.2925433691070353E-2</v>
      </c>
      <c r="I277" s="60">
        <f t="shared" ref="I277:I282" si="32">(L277+M277+N277)</f>
        <v>1.9658535513877244E-2</v>
      </c>
      <c r="K277" s="60"/>
      <c r="L277" s="60">
        <f t="shared" ref="L277:L282" si="33">IF(AND(OR(OR($A$12=1,$A$12=2),$A$12=5),L28&lt;&gt;0),IF($D28=0,1,+L28/$D28),0)</f>
        <v>3.0089748693427888E-6</v>
      </c>
      <c r="M277" s="60"/>
      <c r="N277" s="60">
        <f t="shared" ref="N277:N282" si="34">SUM(O277:Q277)</f>
        <v>1.96555265390079E-2</v>
      </c>
      <c r="O277" s="60">
        <f t="shared" ref="O277:Q282" si="35">IF(AND(OR(OR($A$12=1,$A$12=2),$A$12=5),O28&lt;&gt;0),IF($D28=0,1,+O28/$D28),0)</f>
        <v>9.9687337421326596E-3</v>
      </c>
      <c r="P277" s="60">
        <f t="shared" si="35"/>
        <v>9.686792796875239E-3</v>
      </c>
      <c r="Q277" s="60">
        <f t="shared" si="35"/>
        <v>0</v>
      </c>
    </row>
    <row r="278" spans="1:17" x14ac:dyDescent="0.2">
      <c r="A278" s="49">
        <v>2</v>
      </c>
      <c r="B278" s="37" t="s">
        <v>573</v>
      </c>
      <c r="C278" s="40" t="s">
        <v>574</v>
      </c>
      <c r="D278" s="60">
        <f t="shared" si="29"/>
        <v>1</v>
      </c>
      <c r="F278" s="60">
        <f t="shared" si="30"/>
        <v>0.5251575342465753</v>
      </c>
      <c r="G278" s="60"/>
      <c r="H278" s="60">
        <f t="shared" si="31"/>
        <v>0.32570319634703199</v>
      </c>
      <c r="I278" s="60">
        <f t="shared" si="32"/>
        <v>0.14913926940639269</v>
      </c>
      <c r="K278" s="60"/>
      <c r="L278" s="60">
        <f t="shared" si="33"/>
        <v>0</v>
      </c>
      <c r="M278" s="60"/>
      <c r="N278" s="60">
        <f t="shared" si="34"/>
        <v>0.14913926940639269</v>
      </c>
      <c r="O278" s="60">
        <f t="shared" si="35"/>
        <v>7.5639269406392692E-2</v>
      </c>
      <c r="P278" s="60">
        <f t="shared" si="35"/>
        <v>7.3499999999999996E-2</v>
      </c>
      <c r="Q278" s="60">
        <f t="shared" si="35"/>
        <v>0</v>
      </c>
    </row>
    <row r="279" spans="1:17" x14ac:dyDescent="0.2">
      <c r="A279" s="49">
        <v>3</v>
      </c>
      <c r="B279" s="37" t="s">
        <v>575</v>
      </c>
      <c r="C279" s="40" t="s">
        <v>576</v>
      </c>
      <c r="D279" s="60">
        <f t="shared" si="29"/>
        <v>1</v>
      </c>
      <c r="F279" s="60">
        <f t="shared" si="30"/>
        <v>0</v>
      </c>
      <c r="G279" s="60"/>
      <c r="H279" s="60">
        <f t="shared" si="31"/>
        <v>1</v>
      </c>
      <c r="I279" s="60">
        <f t="shared" si="32"/>
        <v>0</v>
      </c>
      <c r="K279" s="60"/>
      <c r="L279" s="60">
        <f t="shared" si="33"/>
        <v>0</v>
      </c>
      <c r="M279" s="60"/>
      <c r="N279" s="60">
        <f t="shared" si="34"/>
        <v>0</v>
      </c>
      <c r="O279" s="60">
        <f t="shared" si="35"/>
        <v>0</v>
      </c>
      <c r="P279" s="60">
        <f t="shared" si="35"/>
        <v>0</v>
      </c>
      <c r="Q279" s="60">
        <f t="shared" si="35"/>
        <v>0</v>
      </c>
    </row>
    <row r="280" spans="1:17" x14ac:dyDescent="0.2">
      <c r="A280" s="49">
        <v>4</v>
      </c>
      <c r="B280" s="37" t="s">
        <v>577</v>
      </c>
      <c r="C280" s="40" t="s">
        <v>578</v>
      </c>
      <c r="D280" s="60">
        <f t="shared" si="29"/>
        <v>1</v>
      </c>
      <c r="F280" s="60">
        <f t="shared" si="30"/>
        <v>0.97946284539709993</v>
      </c>
      <c r="G280" s="60"/>
      <c r="H280" s="60">
        <f t="shared" si="31"/>
        <v>0</v>
      </c>
      <c r="I280" s="60">
        <f t="shared" si="32"/>
        <v>2.053715460290003E-2</v>
      </c>
      <c r="K280" s="60"/>
      <c r="L280" s="60">
        <f t="shared" si="33"/>
        <v>0</v>
      </c>
      <c r="M280" s="60"/>
      <c r="N280" s="60">
        <f t="shared" si="34"/>
        <v>2.053715460290003E-2</v>
      </c>
      <c r="O280" s="60">
        <f t="shared" si="35"/>
        <v>1.0415870857034706E-2</v>
      </c>
      <c r="P280" s="60">
        <f t="shared" si="35"/>
        <v>1.0121283745865326E-2</v>
      </c>
      <c r="Q280" s="60">
        <f t="shared" si="35"/>
        <v>0</v>
      </c>
    </row>
    <row r="281" spans="1:17" x14ac:dyDescent="0.2">
      <c r="A281" s="49">
        <v>5</v>
      </c>
      <c r="B281" s="37" t="s">
        <v>579</v>
      </c>
      <c r="C281" s="40" t="s">
        <v>580</v>
      </c>
      <c r="D281" s="60">
        <f t="shared" si="29"/>
        <v>1</v>
      </c>
      <c r="F281" s="60">
        <f t="shared" si="30"/>
        <v>0.7788225176236363</v>
      </c>
      <c r="G281" s="60"/>
      <c r="H281" s="60">
        <f t="shared" si="31"/>
        <v>0</v>
      </c>
      <c r="I281" s="60">
        <f t="shared" si="32"/>
        <v>0.2211774823763637</v>
      </c>
      <c r="K281" s="60"/>
      <c r="L281" s="60">
        <f t="shared" si="33"/>
        <v>0</v>
      </c>
      <c r="M281" s="60"/>
      <c r="N281" s="60">
        <f t="shared" si="34"/>
        <v>0.2211774823763637</v>
      </c>
      <c r="O281" s="60">
        <f t="shared" si="35"/>
        <v>0.11217503775284247</v>
      </c>
      <c r="P281" s="60">
        <f t="shared" si="35"/>
        <v>0.10900244462352121</v>
      </c>
      <c r="Q281" s="60">
        <f t="shared" si="35"/>
        <v>0</v>
      </c>
    </row>
    <row r="282" spans="1:17" x14ac:dyDescent="0.2">
      <c r="A282" s="49">
        <v>6</v>
      </c>
      <c r="B282" s="37" t="s">
        <v>581</v>
      </c>
      <c r="C282" s="40" t="s">
        <v>582</v>
      </c>
      <c r="D282" s="60">
        <f t="shared" si="29"/>
        <v>1</v>
      </c>
      <c r="F282" s="60">
        <f t="shared" si="30"/>
        <v>0.97945976603506169</v>
      </c>
      <c r="G282" s="60"/>
      <c r="H282" s="60">
        <f t="shared" si="31"/>
        <v>0</v>
      </c>
      <c r="I282" s="60">
        <f t="shared" si="32"/>
        <v>2.054023396493827E-2</v>
      </c>
      <c r="K282" s="60"/>
      <c r="L282" s="60">
        <f t="shared" si="33"/>
        <v>3.1439294024364822E-6</v>
      </c>
      <c r="M282" s="60"/>
      <c r="N282" s="60">
        <f t="shared" si="34"/>
        <v>2.0537090035535832E-2</v>
      </c>
      <c r="O282" s="60">
        <f t="shared" si="35"/>
        <v>1.0415838110272066E-2</v>
      </c>
      <c r="P282" s="60">
        <f t="shared" si="35"/>
        <v>1.0121251925263768E-2</v>
      </c>
      <c r="Q282" s="60">
        <f t="shared" si="35"/>
        <v>0</v>
      </c>
    </row>
    <row r="283" spans="1:17" x14ac:dyDescent="0.2">
      <c r="B283" s="53" t="s">
        <v>583</v>
      </c>
    </row>
    <row r="284" spans="1:17" x14ac:dyDescent="0.2">
      <c r="A284" s="49">
        <v>7</v>
      </c>
      <c r="B284" s="37" t="s">
        <v>584</v>
      </c>
      <c r="C284" s="40" t="s">
        <v>585</v>
      </c>
      <c r="D284" s="60">
        <f>SUM(F284:I284)+K284</f>
        <v>1</v>
      </c>
      <c r="F284" s="60">
        <f>IF(AND(OR(OR($A$12=1,$A$12=2),$A$12=6),F35&lt;&gt;0),IF($D35=0,1,+F35/$D35),0)</f>
        <v>0.93741603079505242</v>
      </c>
      <c r="G284" s="60"/>
      <c r="H284" s="60">
        <f>IF(AND(OR(OR($A$12=1,$A$12=2),$A$12=6),H35&lt;&gt;0),IF($D35=0,1,+H35/$D35),0)</f>
        <v>4.2925433691070353E-2</v>
      </c>
      <c r="I284" s="60">
        <f>(L284+M284+N284)</f>
        <v>1.9658535513877244E-2</v>
      </c>
      <c r="K284" s="60"/>
      <c r="L284" s="60">
        <f>IF(AND(OR(OR($A$12=1,$A$12=2),$A$12=6),L35&lt;&gt;0),IF($D35=0,1,+L35/$D35),0)</f>
        <v>3.0089748693427888E-6</v>
      </c>
      <c r="M284" s="60"/>
      <c r="N284" s="60">
        <f>SUM(O284:Q284)</f>
        <v>1.96555265390079E-2</v>
      </c>
      <c r="O284" s="60">
        <f t="shared" ref="O284:Q288" si="36">IF(AND(OR(OR($A$12=1,$A$12=2),$A$12=6),O35&lt;&gt;0),IF($D35=0,1,+O35/$D35),0)</f>
        <v>9.9687337421326596E-3</v>
      </c>
      <c r="P284" s="60">
        <f t="shared" si="36"/>
        <v>9.686792796875239E-3</v>
      </c>
      <c r="Q284" s="60">
        <f t="shared" si="36"/>
        <v>0</v>
      </c>
    </row>
    <row r="285" spans="1:17" x14ac:dyDescent="0.2">
      <c r="A285" s="49">
        <v>8</v>
      </c>
      <c r="B285" s="37" t="s">
        <v>586</v>
      </c>
      <c r="C285" s="40" t="s">
        <v>587</v>
      </c>
      <c r="D285" s="60">
        <f>SUM(F285:I285)+K285</f>
        <v>1</v>
      </c>
      <c r="F285" s="60">
        <f>IF(AND(OR(OR($A$12=1,$A$12=2),$A$12=6),F36&lt;&gt;0),IF($D36=0,1,+F36/$D36),0)</f>
        <v>0</v>
      </c>
      <c r="G285" s="60"/>
      <c r="H285" s="60">
        <f>IF(AND(OR(OR($A$12=1,$A$12=2),$A$12=6),H36&lt;&gt;0),IF($D36=0,1,+H36/$D36),0)</f>
        <v>1</v>
      </c>
      <c r="I285" s="60">
        <f>(L285+M285+N285)</f>
        <v>0</v>
      </c>
      <c r="K285" s="60"/>
      <c r="L285" s="60">
        <f>IF(AND(OR(OR($A$12=1,$A$12=2),$A$12=6),L36&lt;&gt;0),IF($D36=0,1,+L36/$D36),0)</f>
        <v>0</v>
      </c>
      <c r="M285" s="60"/>
      <c r="N285" s="60">
        <f>SUM(O285:Q285)</f>
        <v>0</v>
      </c>
      <c r="O285" s="60">
        <f t="shared" si="36"/>
        <v>0</v>
      </c>
      <c r="P285" s="60">
        <f t="shared" si="36"/>
        <v>0</v>
      </c>
      <c r="Q285" s="60">
        <f t="shared" si="36"/>
        <v>0</v>
      </c>
    </row>
    <row r="286" spans="1:17" x14ac:dyDescent="0.2">
      <c r="A286" s="49">
        <v>9</v>
      </c>
      <c r="B286" s="59" t="s">
        <v>1240</v>
      </c>
      <c r="C286" s="45" t="s">
        <v>1241</v>
      </c>
      <c r="D286" s="60">
        <f>SUM(F286:I286)+K286</f>
        <v>1</v>
      </c>
      <c r="F286" s="60">
        <f>IF(AND(OR(OR($A$12=1,$A$12=2),$A$12=6),F37&lt;&gt;0),IF($D37=0,1,+F37/$D37),0)</f>
        <v>0.95621085870522038</v>
      </c>
      <c r="G286" s="60"/>
      <c r="H286" s="60">
        <f>IF(AND(OR(OR($A$12=1,$A$12=2),$A$12=6),H37&lt;&gt;0),IF($D37=0,1,+H37/$D37),0)</f>
        <v>4.3786071991130937E-2</v>
      </c>
      <c r="I286" s="60">
        <f>(L286+M286+N286)</f>
        <v>3.0693036486654055E-6</v>
      </c>
      <c r="K286" s="60"/>
      <c r="L286" s="60">
        <f>IF(AND(OR(OR($A$12=1,$A$12=2),$A$12=6),L37&lt;&gt;0),IF($D37=0,1,+L37/$D37),0)</f>
        <v>3.0693036486654055E-6</v>
      </c>
      <c r="M286" s="60"/>
      <c r="N286" s="60">
        <f>SUM(O286:Q286)</f>
        <v>0</v>
      </c>
      <c r="O286" s="60">
        <f t="shared" si="36"/>
        <v>0</v>
      </c>
      <c r="P286" s="60">
        <f t="shared" si="36"/>
        <v>0</v>
      </c>
      <c r="Q286" s="60">
        <f t="shared" si="36"/>
        <v>0</v>
      </c>
    </row>
    <row r="287" spans="1:17" x14ac:dyDescent="0.2">
      <c r="A287" s="49">
        <v>10</v>
      </c>
      <c r="B287" s="37" t="s">
        <v>588</v>
      </c>
      <c r="C287" s="40" t="s">
        <v>589</v>
      </c>
      <c r="D287" s="60">
        <f>SUM(F287:I287)+K287</f>
        <v>1</v>
      </c>
      <c r="F287" s="60">
        <f>IF(AND(OR(OR($A$12=1,$A$12=2),$A$12=6),F38&lt;&gt;0),IF($D38=0,1,+F38/$D38),0)</f>
        <v>0</v>
      </c>
      <c r="G287" s="60"/>
      <c r="H287" s="60">
        <f>IF(AND(OR(OR($A$12=1,$A$12=2),$A$12=6),H38&lt;&gt;0),IF($D38=0,1,+H38/$D38),0)</f>
        <v>0.68591842524076718</v>
      </c>
      <c r="I287" s="60">
        <f>(L287+M287+N287)</f>
        <v>0.31408157475923282</v>
      </c>
      <c r="K287" s="60"/>
      <c r="L287" s="60">
        <f>IF(AND(OR(OR($A$12=1,$A$12=2),$A$12=6),L38&lt;&gt;0),IF($D38=0,1,+L38/$D38),0)</f>
        <v>0</v>
      </c>
      <c r="M287" s="60"/>
      <c r="N287" s="60">
        <f>SUM(O287:Q287)</f>
        <v>0.31408157475923282</v>
      </c>
      <c r="O287" s="60">
        <f t="shared" si="36"/>
        <v>0.15929339699299455</v>
      </c>
      <c r="P287" s="60">
        <f t="shared" si="36"/>
        <v>0.15478817776623827</v>
      </c>
      <c r="Q287" s="60">
        <f t="shared" si="36"/>
        <v>0</v>
      </c>
    </row>
    <row r="288" spans="1:17" x14ac:dyDescent="0.2">
      <c r="A288" s="49">
        <v>11</v>
      </c>
      <c r="B288" s="59" t="s">
        <v>1394</v>
      </c>
      <c r="C288" s="45" t="s">
        <v>1395</v>
      </c>
      <c r="D288" s="60">
        <f>SUM(F288:I288)+K288</f>
        <v>1</v>
      </c>
      <c r="F288" s="60">
        <f>IF(AND(OR(OR($A$12=1,$A$12=2),$A$12=6),F39&lt;&gt;0),IF($D39=0,1,+F39/$D39),0)</f>
        <v>0.99999679014961118</v>
      </c>
      <c r="G288" s="60"/>
      <c r="H288" s="60">
        <f>IF(AND(OR(OR($A$12=1,$A$12=2),$A$12=6),H39&lt;&gt;0),IF($D39=0,1,+H39/$D39),0)</f>
        <v>0</v>
      </c>
      <c r="I288" s="60">
        <f>(L288+M288+N288)</f>
        <v>3.2098503888733748E-6</v>
      </c>
      <c r="K288" s="60"/>
      <c r="L288" s="60">
        <f>IF(AND(OR(OR($A$12=1,$A$12=2),$A$12=6),L39&lt;&gt;0),IF($D39=0,1,+L39/$D39),0)</f>
        <v>3.2098503888733748E-6</v>
      </c>
      <c r="M288" s="60"/>
      <c r="N288" s="60">
        <f>SUM(O288:Q288)</f>
        <v>0</v>
      </c>
      <c r="O288" s="60">
        <f t="shared" si="36"/>
        <v>0</v>
      </c>
      <c r="P288" s="60">
        <f t="shared" si="36"/>
        <v>0</v>
      </c>
      <c r="Q288" s="60">
        <f t="shared" si="36"/>
        <v>0</v>
      </c>
    </row>
    <row r="289" spans="1:17" x14ac:dyDescent="0.2">
      <c r="A289" s="49"/>
    </row>
    <row r="290" spans="1:17" x14ac:dyDescent="0.2">
      <c r="B290" s="53" t="s">
        <v>590</v>
      </c>
    </row>
    <row r="291" spans="1:17" x14ac:dyDescent="0.2">
      <c r="A291" s="49">
        <v>12</v>
      </c>
      <c r="B291" s="37" t="s">
        <v>1164</v>
      </c>
      <c r="C291" s="40" t="s">
        <v>1157</v>
      </c>
      <c r="D291" s="60">
        <f t="shared" ref="D291:D329" si="37">SUM(F291:I291)+K291</f>
        <v>1</v>
      </c>
      <c r="F291" s="60">
        <f t="shared" ref="F291:F329" si="38">IF(AND(OR(OR($A$12=1,$A$12=2),$A$12=8),F42&lt;&gt;0),IF($D42=0,1,+F42/$D42),0)</f>
        <v>0.9990083979834431</v>
      </c>
      <c r="G291" s="60"/>
      <c r="H291" s="60">
        <f t="shared" ref="H291:H329" si="39">IF(AND(OR(OR($A$12=1,$A$12=2),$A$12=8),H42&lt;&gt;0),IF($D42=0,1,+H42/$D42),0)</f>
        <v>0</v>
      </c>
      <c r="I291" s="60">
        <f t="shared" ref="I291:I328" si="40">(L291+M291+N291)</f>
        <v>9.916020165568677E-4</v>
      </c>
      <c r="K291" s="60"/>
      <c r="L291" s="60">
        <f t="shared" ref="L291:L329" si="41">IF(AND(OR(OR($A$12=1,$A$12=2),$A$12=8),L42&lt;&gt;0),IF($D42=0,1,+L42/$D42),0)</f>
        <v>0</v>
      </c>
      <c r="M291" s="60"/>
      <c r="N291" s="60">
        <f t="shared" ref="N291:N328" si="42">SUM(O291:Q291)</f>
        <v>9.916020165568677E-4</v>
      </c>
      <c r="O291" s="60">
        <f t="shared" ref="O291:Q310" si="43">IF(AND(OR(OR($A$12=1,$A$12=2),$A$12=8),O42&lt;&gt;0),IF($D42=0,1,+O42/$D42),0)</f>
        <v>9.916020165568677E-4</v>
      </c>
      <c r="P291" s="60">
        <f t="shared" si="43"/>
        <v>0</v>
      </c>
      <c r="Q291" s="60">
        <f t="shared" si="43"/>
        <v>0</v>
      </c>
    </row>
    <row r="292" spans="1:17" x14ac:dyDescent="0.2">
      <c r="A292" s="49">
        <v>13</v>
      </c>
      <c r="B292" s="37" t="s">
        <v>1165</v>
      </c>
      <c r="C292" s="40" t="s">
        <v>1158</v>
      </c>
      <c r="D292" s="60">
        <f>SUM(F292:I292)+K292</f>
        <v>1</v>
      </c>
      <c r="F292" s="60">
        <f t="shared" si="38"/>
        <v>0.9872039260858263</v>
      </c>
      <c r="G292" s="60"/>
      <c r="H292" s="60">
        <f t="shared" si="39"/>
        <v>0</v>
      </c>
      <c r="I292" s="60">
        <f>(L292+M292+N292)</f>
        <v>1.2796073914173665E-2</v>
      </c>
      <c r="K292" s="60"/>
      <c r="L292" s="60">
        <f t="shared" si="41"/>
        <v>0</v>
      </c>
      <c r="M292" s="60"/>
      <c r="N292" s="60">
        <f>SUM(O292:Q292)</f>
        <v>1.2796073914173665E-2</v>
      </c>
      <c r="O292" s="60">
        <f t="shared" si="43"/>
        <v>1.2796073914173665E-2</v>
      </c>
      <c r="P292" s="60">
        <f t="shared" si="43"/>
        <v>0</v>
      </c>
      <c r="Q292" s="60">
        <f t="shared" si="43"/>
        <v>0</v>
      </c>
    </row>
    <row r="293" spans="1:17" x14ac:dyDescent="0.2">
      <c r="A293" s="49">
        <v>14</v>
      </c>
      <c r="B293" s="37" t="s">
        <v>1166</v>
      </c>
      <c r="C293" s="40" t="s">
        <v>1159</v>
      </c>
      <c r="D293" s="60">
        <f>SUM(F293:I293)+K293</f>
        <v>1</v>
      </c>
      <c r="F293" s="60">
        <f t="shared" si="38"/>
        <v>0.98673170906180263</v>
      </c>
      <c r="G293" s="60"/>
      <c r="H293" s="60">
        <f t="shared" si="39"/>
        <v>0</v>
      </c>
      <c r="I293" s="60">
        <f>(L293+M293+N293)</f>
        <v>1.3268290938197395E-2</v>
      </c>
      <c r="K293" s="60"/>
      <c r="L293" s="60">
        <f t="shared" si="41"/>
        <v>0</v>
      </c>
      <c r="M293" s="60"/>
      <c r="N293" s="60">
        <f>SUM(O293:Q293)</f>
        <v>1.3268290938197395E-2</v>
      </c>
      <c r="O293" s="60">
        <f t="shared" si="43"/>
        <v>1.3268290938197395E-2</v>
      </c>
      <c r="P293" s="60">
        <f t="shared" si="43"/>
        <v>0</v>
      </c>
      <c r="Q293" s="60">
        <f t="shared" si="43"/>
        <v>0</v>
      </c>
    </row>
    <row r="294" spans="1:17" x14ac:dyDescent="0.2">
      <c r="A294" s="49">
        <v>15</v>
      </c>
      <c r="B294" s="37" t="s">
        <v>1167</v>
      </c>
      <c r="C294" s="40" t="s">
        <v>1160</v>
      </c>
      <c r="D294" s="60">
        <f t="shared" si="37"/>
        <v>1</v>
      </c>
      <c r="F294" s="60">
        <f t="shared" si="38"/>
        <v>1</v>
      </c>
      <c r="G294" s="60"/>
      <c r="H294" s="60">
        <f t="shared" si="39"/>
        <v>0</v>
      </c>
      <c r="I294" s="60">
        <f t="shared" si="40"/>
        <v>0</v>
      </c>
      <c r="K294" s="60"/>
      <c r="L294" s="60">
        <f t="shared" si="41"/>
        <v>0</v>
      </c>
      <c r="M294" s="60"/>
      <c r="N294" s="60">
        <f t="shared" si="42"/>
        <v>0</v>
      </c>
      <c r="O294" s="60">
        <f t="shared" si="43"/>
        <v>0</v>
      </c>
      <c r="P294" s="60">
        <f t="shared" si="43"/>
        <v>0</v>
      </c>
      <c r="Q294" s="60">
        <f t="shared" si="43"/>
        <v>0</v>
      </c>
    </row>
    <row r="295" spans="1:17" x14ac:dyDescent="0.2">
      <c r="A295" s="49">
        <v>16</v>
      </c>
      <c r="B295" s="37" t="s">
        <v>1168</v>
      </c>
      <c r="C295" s="40" t="s">
        <v>1161</v>
      </c>
      <c r="D295" s="60">
        <f>SUM(F295:I295)+K295</f>
        <v>1</v>
      </c>
      <c r="F295" s="60">
        <f t="shared" si="38"/>
        <v>1</v>
      </c>
      <c r="G295" s="60"/>
      <c r="H295" s="60">
        <f t="shared" si="39"/>
        <v>0</v>
      </c>
      <c r="I295" s="60">
        <f>(L295+M295+N295)</f>
        <v>0</v>
      </c>
      <c r="K295" s="60"/>
      <c r="L295" s="60">
        <f t="shared" si="41"/>
        <v>0</v>
      </c>
      <c r="M295" s="60"/>
      <c r="N295" s="60">
        <f>SUM(O295:Q295)</f>
        <v>0</v>
      </c>
      <c r="O295" s="60">
        <f t="shared" si="43"/>
        <v>0</v>
      </c>
      <c r="P295" s="60">
        <f t="shared" si="43"/>
        <v>0</v>
      </c>
      <c r="Q295" s="60">
        <f t="shared" si="43"/>
        <v>0</v>
      </c>
    </row>
    <row r="296" spans="1:17" x14ac:dyDescent="0.2">
      <c r="A296" s="49">
        <v>17</v>
      </c>
      <c r="B296" s="37" t="s">
        <v>0</v>
      </c>
      <c r="C296" s="40" t="s">
        <v>1162</v>
      </c>
      <c r="D296" s="60">
        <f t="shared" si="37"/>
        <v>1</v>
      </c>
      <c r="F296" s="60">
        <f t="shared" si="38"/>
        <v>1</v>
      </c>
      <c r="G296" s="60"/>
      <c r="H296" s="60">
        <f t="shared" si="39"/>
        <v>0</v>
      </c>
      <c r="I296" s="60">
        <f t="shared" si="40"/>
        <v>0</v>
      </c>
      <c r="K296" s="60"/>
      <c r="L296" s="60">
        <f t="shared" si="41"/>
        <v>0</v>
      </c>
      <c r="M296" s="60"/>
      <c r="N296" s="60">
        <f t="shared" si="42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</row>
    <row r="297" spans="1:17" x14ac:dyDescent="0.2">
      <c r="A297" s="49">
        <v>18</v>
      </c>
      <c r="B297" s="37" t="s">
        <v>1</v>
      </c>
      <c r="C297" s="40" t="s">
        <v>1163</v>
      </c>
      <c r="D297" s="60">
        <f>SUM(F297:I297)+K297</f>
        <v>1</v>
      </c>
      <c r="F297" s="60">
        <f t="shared" si="38"/>
        <v>1</v>
      </c>
      <c r="G297" s="60"/>
      <c r="H297" s="60">
        <f t="shared" si="39"/>
        <v>0</v>
      </c>
      <c r="I297" s="60">
        <f>(L297+M297+N297)</f>
        <v>0</v>
      </c>
      <c r="K297" s="60"/>
      <c r="L297" s="60">
        <f t="shared" si="41"/>
        <v>0</v>
      </c>
      <c r="M297" s="60"/>
      <c r="N297" s="60">
        <f>SUM(O297:Q297)</f>
        <v>0</v>
      </c>
      <c r="O297" s="60">
        <f t="shared" si="43"/>
        <v>0</v>
      </c>
      <c r="P297" s="60">
        <f t="shared" si="43"/>
        <v>0</v>
      </c>
      <c r="Q297" s="60">
        <f t="shared" si="43"/>
        <v>0</v>
      </c>
    </row>
    <row r="298" spans="1:17" x14ac:dyDescent="0.2">
      <c r="A298" s="49">
        <v>19</v>
      </c>
      <c r="B298" s="37" t="s">
        <v>2</v>
      </c>
      <c r="C298" s="40" t="s">
        <v>591</v>
      </c>
      <c r="D298" s="60">
        <f t="shared" si="37"/>
        <v>1</v>
      </c>
      <c r="F298" s="60">
        <f t="shared" si="38"/>
        <v>1</v>
      </c>
      <c r="G298" s="60"/>
      <c r="H298" s="60">
        <f t="shared" si="39"/>
        <v>0</v>
      </c>
      <c r="I298" s="60">
        <f t="shared" si="40"/>
        <v>0</v>
      </c>
      <c r="K298" s="60"/>
      <c r="L298" s="60">
        <f t="shared" si="41"/>
        <v>0</v>
      </c>
      <c r="M298" s="60"/>
      <c r="N298" s="60">
        <f t="shared" si="42"/>
        <v>0</v>
      </c>
      <c r="O298" s="60">
        <f t="shared" si="43"/>
        <v>0</v>
      </c>
      <c r="P298" s="60">
        <f t="shared" si="43"/>
        <v>0</v>
      </c>
      <c r="Q298" s="60">
        <f t="shared" si="43"/>
        <v>0</v>
      </c>
    </row>
    <row r="299" spans="1:17" x14ac:dyDescent="0.2">
      <c r="A299" s="49">
        <v>20</v>
      </c>
      <c r="B299" s="59" t="s">
        <v>5</v>
      </c>
      <c r="C299" s="45" t="s">
        <v>4</v>
      </c>
      <c r="D299" s="60">
        <f>SUM(F299:I299)+K299</f>
        <v>1</v>
      </c>
      <c r="F299" s="60">
        <f t="shared" si="38"/>
        <v>1</v>
      </c>
      <c r="G299" s="60"/>
      <c r="H299" s="60">
        <f t="shared" si="39"/>
        <v>0</v>
      </c>
      <c r="I299" s="60">
        <f>(L299+M299+N299)</f>
        <v>0</v>
      </c>
      <c r="K299" s="60"/>
      <c r="L299" s="60">
        <f t="shared" si="41"/>
        <v>0</v>
      </c>
      <c r="M299" s="60"/>
      <c r="N299" s="60">
        <f>SUM(O299:Q299)</f>
        <v>0</v>
      </c>
      <c r="O299" s="60">
        <f t="shared" si="43"/>
        <v>0</v>
      </c>
      <c r="P299" s="60">
        <f t="shared" si="43"/>
        <v>0</v>
      </c>
      <c r="Q299" s="60">
        <f t="shared" si="43"/>
        <v>0</v>
      </c>
    </row>
    <row r="300" spans="1:17" x14ac:dyDescent="0.2">
      <c r="A300" s="49">
        <v>21</v>
      </c>
      <c r="B300" s="37" t="s">
        <v>12</v>
      </c>
      <c r="C300" s="40" t="s">
        <v>17</v>
      </c>
      <c r="D300" s="60">
        <f t="shared" si="37"/>
        <v>1</v>
      </c>
      <c r="F300" s="60">
        <f t="shared" si="38"/>
        <v>0</v>
      </c>
      <c r="G300" s="60"/>
      <c r="H300" s="60">
        <f t="shared" si="39"/>
        <v>1</v>
      </c>
      <c r="I300" s="60">
        <f t="shared" si="40"/>
        <v>0</v>
      </c>
      <c r="K300" s="60"/>
      <c r="L300" s="60">
        <f t="shared" si="41"/>
        <v>0</v>
      </c>
      <c r="M300" s="60"/>
      <c r="N300" s="60">
        <f t="shared" si="42"/>
        <v>0</v>
      </c>
      <c r="O300" s="60">
        <f t="shared" si="43"/>
        <v>0</v>
      </c>
      <c r="P300" s="60">
        <f t="shared" si="43"/>
        <v>0</v>
      </c>
      <c r="Q300" s="60">
        <f t="shared" si="43"/>
        <v>0</v>
      </c>
    </row>
    <row r="301" spans="1:17" x14ac:dyDescent="0.2">
      <c r="A301" s="49">
        <v>22</v>
      </c>
      <c r="B301" s="37" t="s">
        <v>10</v>
      </c>
      <c r="C301" s="40" t="s">
        <v>18</v>
      </c>
      <c r="D301" s="60">
        <f>SUM(F301:I301)+K301</f>
        <v>1</v>
      </c>
      <c r="F301" s="60">
        <f t="shared" si="38"/>
        <v>0</v>
      </c>
      <c r="G301" s="60"/>
      <c r="H301" s="60">
        <f t="shared" si="39"/>
        <v>1</v>
      </c>
      <c r="I301" s="60">
        <f>(L301+M301+N301)</f>
        <v>0</v>
      </c>
      <c r="K301" s="60"/>
      <c r="L301" s="60">
        <f t="shared" si="41"/>
        <v>0</v>
      </c>
      <c r="M301" s="60"/>
      <c r="N301" s="60">
        <f>SUM(O301:Q301)</f>
        <v>0</v>
      </c>
      <c r="O301" s="60">
        <f t="shared" si="43"/>
        <v>0</v>
      </c>
      <c r="P301" s="60">
        <f t="shared" si="43"/>
        <v>0</v>
      </c>
      <c r="Q301" s="60">
        <f t="shared" si="43"/>
        <v>0</v>
      </c>
    </row>
    <row r="302" spans="1:17" x14ac:dyDescent="0.2">
      <c r="A302" s="49">
        <v>23</v>
      </c>
      <c r="B302" s="37" t="s">
        <v>11</v>
      </c>
      <c r="C302" s="40" t="s">
        <v>19</v>
      </c>
      <c r="D302" s="60">
        <f>SUM(F302:I302)+K302</f>
        <v>1</v>
      </c>
      <c r="F302" s="60">
        <f t="shared" si="38"/>
        <v>0</v>
      </c>
      <c r="G302" s="60"/>
      <c r="H302" s="60">
        <f t="shared" si="39"/>
        <v>1</v>
      </c>
      <c r="I302" s="60">
        <f>(L302+M302+N302)</f>
        <v>0</v>
      </c>
      <c r="K302" s="60"/>
      <c r="L302" s="60">
        <f t="shared" si="41"/>
        <v>0</v>
      </c>
      <c r="M302" s="60"/>
      <c r="N302" s="60">
        <f>SUM(O302:Q302)</f>
        <v>0</v>
      </c>
      <c r="O302" s="60">
        <f t="shared" si="43"/>
        <v>0</v>
      </c>
      <c r="P302" s="60">
        <f t="shared" si="43"/>
        <v>0</v>
      </c>
      <c r="Q302" s="60">
        <f t="shared" si="43"/>
        <v>0</v>
      </c>
    </row>
    <row r="303" spans="1:17" x14ac:dyDescent="0.2">
      <c r="A303" s="49">
        <v>24</v>
      </c>
      <c r="B303" s="195" t="s">
        <v>1448</v>
      </c>
      <c r="C303" s="44" t="s">
        <v>1449</v>
      </c>
      <c r="D303" s="60">
        <f t="shared" si="37"/>
        <v>1</v>
      </c>
      <c r="F303" s="60">
        <f t="shared" si="38"/>
        <v>0.7797452328090192</v>
      </c>
      <c r="G303" s="60"/>
      <c r="H303" s="60">
        <f t="shared" si="39"/>
        <v>0.2202547671909808</v>
      </c>
      <c r="I303" s="60">
        <f t="shared" si="40"/>
        <v>0</v>
      </c>
      <c r="K303" s="60"/>
      <c r="L303" s="60">
        <f t="shared" si="41"/>
        <v>0</v>
      </c>
      <c r="M303" s="60"/>
      <c r="N303" s="60">
        <f t="shared" si="42"/>
        <v>0</v>
      </c>
      <c r="O303" s="60">
        <f t="shared" si="43"/>
        <v>0</v>
      </c>
      <c r="P303" s="60">
        <f t="shared" si="43"/>
        <v>0</v>
      </c>
      <c r="Q303" s="60">
        <f t="shared" si="43"/>
        <v>0</v>
      </c>
    </row>
    <row r="304" spans="1:17" x14ac:dyDescent="0.2">
      <c r="A304" s="49">
        <v>25</v>
      </c>
      <c r="B304" s="37" t="s">
        <v>13</v>
      </c>
      <c r="C304" s="40" t="s">
        <v>20</v>
      </c>
      <c r="D304" s="60">
        <f t="shared" si="37"/>
        <v>1</v>
      </c>
      <c r="F304" s="60">
        <f t="shared" si="38"/>
        <v>0</v>
      </c>
      <c r="G304" s="60"/>
      <c r="H304" s="60">
        <f t="shared" si="39"/>
        <v>1</v>
      </c>
      <c r="I304" s="60">
        <f t="shared" si="40"/>
        <v>0</v>
      </c>
      <c r="K304" s="60"/>
      <c r="L304" s="60">
        <f t="shared" si="41"/>
        <v>0</v>
      </c>
      <c r="M304" s="60"/>
      <c r="N304" s="60">
        <f t="shared" si="42"/>
        <v>0</v>
      </c>
      <c r="O304" s="60">
        <f t="shared" si="43"/>
        <v>0</v>
      </c>
      <c r="P304" s="60">
        <f t="shared" si="43"/>
        <v>0</v>
      </c>
      <c r="Q304" s="60">
        <f t="shared" si="43"/>
        <v>0</v>
      </c>
    </row>
    <row r="305" spans="1:17" x14ac:dyDescent="0.2">
      <c r="A305" s="49">
        <v>26</v>
      </c>
      <c r="B305" s="37" t="s">
        <v>14</v>
      </c>
      <c r="C305" s="40" t="s">
        <v>21</v>
      </c>
      <c r="D305" s="60">
        <f>SUM(F305:I305)+K305</f>
        <v>1</v>
      </c>
      <c r="F305" s="60">
        <f t="shared" si="38"/>
        <v>0</v>
      </c>
      <c r="G305" s="60"/>
      <c r="H305" s="60">
        <f t="shared" si="39"/>
        <v>1</v>
      </c>
      <c r="I305" s="60">
        <f>(L305+M305+N305)</f>
        <v>0</v>
      </c>
      <c r="K305" s="60"/>
      <c r="L305" s="60">
        <f t="shared" si="41"/>
        <v>0</v>
      </c>
      <c r="M305" s="60"/>
      <c r="N305" s="60">
        <f>SUM(O305:Q305)</f>
        <v>0</v>
      </c>
      <c r="O305" s="60">
        <f t="shared" si="43"/>
        <v>0</v>
      </c>
      <c r="P305" s="60">
        <f t="shared" si="43"/>
        <v>0</v>
      </c>
      <c r="Q305" s="60">
        <f t="shared" si="43"/>
        <v>0</v>
      </c>
    </row>
    <row r="306" spans="1:17" x14ac:dyDescent="0.2">
      <c r="A306" s="49">
        <v>27</v>
      </c>
      <c r="B306" s="37" t="s">
        <v>15</v>
      </c>
      <c r="C306" s="40" t="s">
        <v>22</v>
      </c>
      <c r="D306" s="60">
        <f t="shared" si="37"/>
        <v>1</v>
      </c>
      <c r="F306" s="60">
        <f t="shared" si="38"/>
        <v>0</v>
      </c>
      <c r="G306" s="60"/>
      <c r="H306" s="60">
        <f t="shared" si="39"/>
        <v>1</v>
      </c>
      <c r="I306" s="60">
        <f t="shared" si="40"/>
        <v>0</v>
      </c>
      <c r="K306" s="60"/>
      <c r="L306" s="60">
        <f t="shared" si="41"/>
        <v>0</v>
      </c>
      <c r="M306" s="60"/>
      <c r="N306" s="60">
        <f t="shared" si="42"/>
        <v>0</v>
      </c>
      <c r="O306" s="60">
        <f t="shared" si="43"/>
        <v>0</v>
      </c>
      <c r="P306" s="60">
        <f t="shared" si="43"/>
        <v>0</v>
      </c>
      <c r="Q306" s="60">
        <f t="shared" si="43"/>
        <v>0</v>
      </c>
    </row>
    <row r="307" spans="1:17" x14ac:dyDescent="0.2">
      <c r="A307" s="49">
        <v>28</v>
      </c>
      <c r="B307" s="37" t="s">
        <v>16</v>
      </c>
      <c r="C307" s="40" t="s">
        <v>599</v>
      </c>
      <c r="D307" s="60">
        <f t="shared" si="37"/>
        <v>1</v>
      </c>
      <c r="F307" s="60">
        <f t="shared" si="38"/>
        <v>0</v>
      </c>
      <c r="G307" s="60"/>
      <c r="H307" s="60">
        <f t="shared" si="39"/>
        <v>1</v>
      </c>
      <c r="I307" s="60">
        <f t="shared" si="40"/>
        <v>0</v>
      </c>
      <c r="K307" s="60"/>
      <c r="L307" s="60">
        <f t="shared" si="41"/>
        <v>0</v>
      </c>
      <c r="M307" s="60"/>
      <c r="N307" s="60">
        <f t="shared" si="42"/>
        <v>0</v>
      </c>
      <c r="O307" s="60">
        <f t="shared" si="43"/>
        <v>0</v>
      </c>
      <c r="P307" s="60">
        <f t="shared" si="43"/>
        <v>0</v>
      </c>
      <c r="Q307" s="60">
        <f t="shared" si="43"/>
        <v>0</v>
      </c>
    </row>
    <row r="308" spans="1:17" x14ac:dyDescent="0.2">
      <c r="A308" s="49">
        <v>29</v>
      </c>
      <c r="B308" s="37" t="s">
        <v>34</v>
      </c>
      <c r="C308" s="40" t="s">
        <v>25</v>
      </c>
      <c r="D308" s="60">
        <f t="shared" si="37"/>
        <v>1</v>
      </c>
      <c r="F308" s="60">
        <f t="shared" si="38"/>
        <v>0</v>
      </c>
      <c r="G308" s="60"/>
      <c r="H308" s="60">
        <f t="shared" si="39"/>
        <v>0</v>
      </c>
      <c r="I308" s="60">
        <f t="shared" si="40"/>
        <v>1</v>
      </c>
      <c r="K308" s="60"/>
      <c r="L308" s="60">
        <f t="shared" si="41"/>
        <v>1</v>
      </c>
      <c r="M308" s="60"/>
      <c r="N308" s="60">
        <f t="shared" si="42"/>
        <v>0</v>
      </c>
      <c r="O308" s="60">
        <f t="shared" si="43"/>
        <v>0</v>
      </c>
      <c r="P308" s="60">
        <f t="shared" si="43"/>
        <v>0</v>
      </c>
      <c r="Q308" s="60">
        <f t="shared" si="43"/>
        <v>0</v>
      </c>
    </row>
    <row r="309" spans="1:17" x14ac:dyDescent="0.2">
      <c r="A309" s="49">
        <v>30</v>
      </c>
      <c r="B309" s="37" t="s">
        <v>35</v>
      </c>
      <c r="C309" s="40" t="s">
        <v>26</v>
      </c>
      <c r="D309" s="60">
        <f t="shared" ref="D309:D316" si="44">SUM(F309:I309)+K309</f>
        <v>1</v>
      </c>
      <c r="F309" s="60">
        <f t="shared" si="38"/>
        <v>0</v>
      </c>
      <c r="G309" s="60"/>
      <c r="H309" s="60">
        <f t="shared" si="39"/>
        <v>0</v>
      </c>
      <c r="I309" s="60">
        <f t="shared" ref="I309:I316" si="45">(L309+M309+N309)</f>
        <v>1</v>
      </c>
      <c r="K309" s="60"/>
      <c r="L309" s="60">
        <f t="shared" si="41"/>
        <v>1</v>
      </c>
      <c r="M309" s="60"/>
      <c r="N309" s="60">
        <f t="shared" ref="N309:N316" si="46">SUM(O309:Q309)</f>
        <v>0</v>
      </c>
      <c r="O309" s="60">
        <f t="shared" si="43"/>
        <v>0</v>
      </c>
      <c r="P309" s="60">
        <f t="shared" si="43"/>
        <v>0</v>
      </c>
      <c r="Q309" s="60">
        <f t="shared" si="43"/>
        <v>0</v>
      </c>
    </row>
    <row r="310" spans="1:17" x14ac:dyDescent="0.2">
      <c r="A310" s="49">
        <v>31</v>
      </c>
      <c r="B310" s="37" t="s">
        <v>36</v>
      </c>
      <c r="C310" s="40" t="s">
        <v>27</v>
      </c>
      <c r="D310" s="60">
        <f t="shared" si="44"/>
        <v>1</v>
      </c>
      <c r="F310" s="60">
        <f t="shared" si="38"/>
        <v>0</v>
      </c>
      <c r="G310" s="60"/>
      <c r="H310" s="60">
        <f t="shared" si="39"/>
        <v>0</v>
      </c>
      <c r="I310" s="60">
        <f t="shared" si="45"/>
        <v>1</v>
      </c>
      <c r="K310" s="60"/>
      <c r="L310" s="60">
        <f t="shared" si="41"/>
        <v>1</v>
      </c>
      <c r="M310" s="60"/>
      <c r="N310" s="60">
        <f t="shared" si="46"/>
        <v>0</v>
      </c>
      <c r="O310" s="60">
        <f t="shared" si="43"/>
        <v>0</v>
      </c>
      <c r="P310" s="60">
        <f t="shared" si="43"/>
        <v>0</v>
      </c>
      <c r="Q310" s="60">
        <f t="shared" si="43"/>
        <v>0</v>
      </c>
    </row>
    <row r="311" spans="1:17" x14ac:dyDescent="0.2">
      <c r="A311" s="49">
        <v>32</v>
      </c>
      <c r="B311" s="37" t="s">
        <v>37</v>
      </c>
      <c r="C311" s="40" t="s">
        <v>28</v>
      </c>
      <c r="D311" s="60">
        <f t="shared" si="44"/>
        <v>1</v>
      </c>
      <c r="F311" s="60">
        <f t="shared" si="38"/>
        <v>0</v>
      </c>
      <c r="G311" s="60"/>
      <c r="H311" s="60">
        <f t="shared" si="39"/>
        <v>0</v>
      </c>
      <c r="I311" s="60">
        <f t="shared" si="45"/>
        <v>1</v>
      </c>
      <c r="K311" s="60"/>
      <c r="L311" s="60">
        <f t="shared" si="41"/>
        <v>1</v>
      </c>
      <c r="M311" s="60"/>
      <c r="N311" s="60">
        <f t="shared" si="46"/>
        <v>0</v>
      </c>
      <c r="O311" s="60">
        <f t="shared" ref="O311:Q329" si="47">IF(AND(OR(OR($A$12=1,$A$12=2),$A$12=8),O62&lt;&gt;0),IF($D62=0,1,+O62/$D62),0)</f>
        <v>0</v>
      </c>
      <c r="P311" s="60">
        <f t="shared" si="47"/>
        <v>0</v>
      </c>
      <c r="Q311" s="60">
        <f t="shared" si="47"/>
        <v>0</v>
      </c>
    </row>
    <row r="312" spans="1:17" x14ac:dyDescent="0.2">
      <c r="A312" s="49">
        <v>33</v>
      </c>
      <c r="B312" s="37" t="s">
        <v>38</v>
      </c>
      <c r="C312" s="40" t="s">
        <v>29</v>
      </c>
      <c r="D312" s="60">
        <f t="shared" si="44"/>
        <v>1</v>
      </c>
      <c r="F312" s="60">
        <f t="shared" si="38"/>
        <v>0</v>
      </c>
      <c r="G312" s="60"/>
      <c r="H312" s="60">
        <f t="shared" si="39"/>
        <v>0</v>
      </c>
      <c r="I312" s="60">
        <f t="shared" si="45"/>
        <v>1</v>
      </c>
      <c r="K312" s="60"/>
      <c r="L312" s="60">
        <f t="shared" si="41"/>
        <v>1</v>
      </c>
      <c r="M312" s="60"/>
      <c r="N312" s="60">
        <f t="shared" si="46"/>
        <v>0</v>
      </c>
      <c r="O312" s="60">
        <f t="shared" si="47"/>
        <v>0</v>
      </c>
      <c r="P312" s="60">
        <f t="shared" si="47"/>
        <v>0</v>
      </c>
      <c r="Q312" s="60">
        <f t="shared" si="47"/>
        <v>0</v>
      </c>
    </row>
    <row r="313" spans="1:17" x14ac:dyDescent="0.2">
      <c r="A313" s="49">
        <v>34</v>
      </c>
      <c r="B313" s="37" t="s">
        <v>39</v>
      </c>
      <c r="C313" s="40" t="s">
        <v>30</v>
      </c>
      <c r="D313" s="60">
        <f t="shared" si="44"/>
        <v>1</v>
      </c>
      <c r="F313" s="60">
        <f t="shared" si="38"/>
        <v>0</v>
      </c>
      <c r="G313" s="60"/>
      <c r="H313" s="60">
        <f t="shared" si="39"/>
        <v>0</v>
      </c>
      <c r="I313" s="60">
        <f t="shared" si="45"/>
        <v>1</v>
      </c>
      <c r="K313" s="60"/>
      <c r="L313" s="60">
        <f t="shared" si="41"/>
        <v>1</v>
      </c>
      <c r="M313" s="60"/>
      <c r="N313" s="60">
        <f t="shared" si="46"/>
        <v>0</v>
      </c>
      <c r="O313" s="60">
        <f t="shared" si="47"/>
        <v>0</v>
      </c>
      <c r="P313" s="60">
        <f t="shared" si="47"/>
        <v>0</v>
      </c>
      <c r="Q313" s="60">
        <f t="shared" si="47"/>
        <v>0</v>
      </c>
    </row>
    <row r="314" spans="1:17" x14ac:dyDescent="0.2">
      <c r="A314" s="49">
        <v>35</v>
      </c>
      <c r="B314" s="37" t="s">
        <v>40</v>
      </c>
      <c r="C314" s="40" t="s">
        <v>33</v>
      </c>
      <c r="D314" s="60">
        <f t="shared" si="44"/>
        <v>1</v>
      </c>
      <c r="F314" s="60">
        <f t="shared" si="38"/>
        <v>0</v>
      </c>
      <c r="G314" s="60"/>
      <c r="H314" s="60">
        <f t="shared" si="39"/>
        <v>0</v>
      </c>
      <c r="I314" s="60">
        <f t="shared" si="45"/>
        <v>1</v>
      </c>
      <c r="K314" s="60"/>
      <c r="L314" s="60">
        <f t="shared" si="41"/>
        <v>1</v>
      </c>
      <c r="M314" s="60"/>
      <c r="N314" s="60">
        <f t="shared" si="46"/>
        <v>0</v>
      </c>
      <c r="O314" s="60">
        <f t="shared" si="47"/>
        <v>0</v>
      </c>
      <c r="P314" s="60">
        <f t="shared" si="47"/>
        <v>0</v>
      </c>
      <c r="Q314" s="60">
        <f t="shared" si="47"/>
        <v>0</v>
      </c>
    </row>
    <row r="315" spans="1:17" x14ac:dyDescent="0.2">
      <c r="A315" s="49">
        <v>36</v>
      </c>
      <c r="B315" s="37" t="s">
        <v>41</v>
      </c>
      <c r="C315" s="40" t="s">
        <v>32</v>
      </c>
      <c r="D315" s="60">
        <f t="shared" si="44"/>
        <v>1</v>
      </c>
      <c r="F315" s="60">
        <f t="shared" si="38"/>
        <v>0</v>
      </c>
      <c r="G315" s="60"/>
      <c r="H315" s="60">
        <f t="shared" si="39"/>
        <v>0</v>
      </c>
      <c r="I315" s="60">
        <f t="shared" si="45"/>
        <v>1</v>
      </c>
      <c r="K315" s="60"/>
      <c r="L315" s="60">
        <f t="shared" si="41"/>
        <v>1</v>
      </c>
      <c r="M315" s="60"/>
      <c r="N315" s="60">
        <f t="shared" si="46"/>
        <v>0</v>
      </c>
      <c r="O315" s="60">
        <f t="shared" si="47"/>
        <v>0</v>
      </c>
      <c r="P315" s="60">
        <f t="shared" si="47"/>
        <v>0</v>
      </c>
      <c r="Q315" s="60">
        <f t="shared" si="47"/>
        <v>0</v>
      </c>
    </row>
    <row r="316" spans="1:17" x14ac:dyDescent="0.2">
      <c r="A316" s="49">
        <v>37</v>
      </c>
      <c r="B316" s="37" t="s">
        <v>42</v>
      </c>
      <c r="C316" s="40" t="s">
        <v>31</v>
      </c>
      <c r="D316" s="60">
        <f t="shared" si="44"/>
        <v>0</v>
      </c>
      <c r="F316" s="60">
        <f t="shared" si="38"/>
        <v>0</v>
      </c>
      <c r="G316" s="60"/>
      <c r="H316" s="60">
        <f t="shared" si="39"/>
        <v>0</v>
      </c>
      <c r="I316" s="60">
        <f t="shared" si="45"/>
        <v>0</v>
      </c>
      <c r="K316" s="60"/>
      <c r="L316" s="60">
        <f t="shared" si="41"/>
        <v>0</v>
      </c>
      <c r="M316" s="60"/>
      <c r="N316" s="60">
        <f t="shared" si="46"/>
        <v>0</v>
      </c>
      <c r="O316" s="60">
        <f t="shared" si="47"/>
        <v>0</v>
      </c>
      <c r="P316" s="60">
        <f t="shared" si="47"/>
        <v>0</v>
      </c>
      <c r="Q316" s="60">
        <f t="shared" si="47"/>
        <v>0</v>
      </c>
    </row>
    <row r="317" spans="1:17" x14ac:dyDescent="0.2">
      <c r="A317" s="49">
        <v>38</v>
      </c>
      <c r="B317" s="37" t="s">
        <v>1097</v>
      </c>
      <c r="C317" s="40" t="s">
        <v>621</v>
      </c>
      <c r="D317" s="60">
        <f t="shared" si="37"/>
        <v>1</v>
      </c>
      <c r="F317" s="60">
        <f t="shared" si="38"/>
        <v>0</v>
      </c>
      <c r="G317" s="60"/>
      <c r="H317" s="60">
        <f t="shared" si="39"/>
        <v>0.99636091015165618</v>
      </c>
      <c r="I317" s="60">
        <f t="shared" si="40"/>
        <v>3.6390898483438018E-3</v>
      </c>
      <c r="K317" s="60"/>
      <c r="L317" s="60">
        <f t="shared" si="41"/>
        <v>3.6390898483438018E-3</v>
      </c>
      <c r="M317" s="60"/>
      <c r="N317" s="60">
        <f t="shared" si="42"/>
        <v>0</v>
      </c>
      <c r="O317" s="60">
        <f t="shared" si="47"/>
        <v>0</v>
      </c>
      <c r="P317" s="60">
        <f t="shared" si="47"/>
        <v>0</v>
      </c>
      <c r="Q317" s="60">
        <f t="shared" si="47"/>
        <v>0</v>
      </c>
    </row>
    <row r="318" spans="1:17" x14ac:dyDescent="0.2">
      <c r="A318" s="49">
        <v>39</v>
      </c>
      <c r="B318" s="37" t="s">
        <v>1098</v>
      </c>
      <c r="C318" s="40" t="s">
        <v>623</v>
      </c>
      <c r="D318" s="60">
        <f t="shared" si="37"/>
        <v>1</v>
      </c>
      <c r="F318" s="60">
        <f t="shared" si="38"/>
        <v>0</v>
      </c>
      <c r="G318" s="60"/>
      <c r="H318" s="60">
        <f t="shared" si="39"/>
        <v>1</v>
      </c>
      <c r="I318" s="60">
        <f t="shared" si="40"/>
        <v>0</v>
      </c>
      <c r="K318" s="60"/>
      <c r="L318" s="60">
        <f t="shared" si="41"/>
        <v>0</v>
      </c>
      <c r="M318" s="60"/>
      <c r="N318" s="60">
        <f t="shared" si="42"/>
        <v>0</v>
      </c>
      <c r="O318" s="60">
        <f t="shared" si="47"/>
        <v>0</v>
      </c>
      <c r="P318" s="60">
        <f t="shared" si="47"/>
        <v>0</v>
      </c>
      <c r="Q318" s="60">
        <f t="shared" si="47"/>
        <v>0</v>
      </c>
    </row>
    <row r="319" spans="1:17" x14ac:dyDescent="0.2">
      <c r="A319" s="49">
        <v>40</v>
      </c>
      <c r="B319" s="37" t="s">
        <v>1099</v>
      </c>
      <c r="C319" s="40" t="s">
        <v>624</v>
      </c>
      <c r="D319" s="60">
        <f t="shared" si="37"/>
        <v>1</v>
      </c>
      <c r="F319" s="60">
        <f t="shared" si="38"/>
        <v>0</v>
      </c>
      <c r="G319" s="60"/>
      <c r="H319" s="60">
        <f t="shared" si="39"/>
        <v>1</v>
      </c>
      <c r="I319" s="60">
        <f t="shared" si="40"/>
        <v>0</v>
      </c>
      <c r="K319" s="60"/>
      <c r="L319" s="60">
        <f t="shared" si="41"/>
        <v>0</v>
      </c>
      <c r="M319" s="60"/>
      <c r="N319" s="60">
        <f t="shared" si="42"/>
        <v>0</v>
      </c>
      <c r="O319" s="60">
        <f t="shared" si="47"/>
        <v>0</v>
      </c>
      <c r="P319" s="60">
        <f t="shared" si="47"/>
        <v>0</v>
      </c>
      <c r="Q319" s="60">
        <f t="shared" si="47"/>
        <v>0</v>
      </c>
    </row>
    <row r="320" spans="1:17" x14ac:dyDescent="0.2">
      <c r="A320" s="49">
        <v>41</v>
      </c>
      <c r="B320" s="37" t="s">
        <v>1100</v>
      </c>
      <c r="C320" s="40" t="s">
        <v>625</v>
      </c>
      <c r="D320" s="60">
        <f t="shared" si="37"/>
        <v>0</v>
      </c>
      <c r="F320" s="60">
        <f t="shared" si="38"/>
        <v>0</v>
      </c>
      <c r="G320" s="60"/>
      <c r="H320" s="60">
        <f t="shared" si="39"/>
        <v>0</v>
      </c>
      <c r="I320" s="60">
        <f t="shared" si="40"/>
        <v>0</v>
      </c>
      <c r="K320" s="60"/>
      <c r="L320" s="60">
        <f t="shared" si="41"/>
        <v>0</v>
      </c>
      <c r="M320" s="60"/>
      <c r="N320" s="60">
        <f t="shared" si="42"/>
        <v>0</v>
      </c>
      <c r="O320" s="60">
        <f t="shared" si="47"/>
        <v>0</v>
      </c>
      <c r="P320" s="60">
        <f t="shared" si="47"/>
        <v>0</v>
      </c>
      <c r="Q320" s="60">
        <f t="shared" si="47"/>
        <v>0</v>
      </c>
    </row>
    <row r="321" spans="1:17" x14ac:dyDescent="0.2">
      <c r="A321" s="49">
        <v>42</v>
      </c>
      <c r="B321" s="59" t="s">
        <v>1278</v>
      </c>
      <c r="C321" s="45" t="s">
        <v>1277</v>
      </c>
      <c r="D321" s="60">
        <f t="shared" si="37"/>
        <v>1</v>
      </c>
      <c r="F321" s="60">
        <f t="shared" si="38"/>
        <v>0.84955497650355349</v>
      </c>
      <c r="G321" s="60"/>
      <c r="H321" s="60">
        <f t="shared" si="39"/>
        <v>0.10491286151020887</v>
      </c>
      <c r="I321" s="60">
        <f t="shared" si="40"/>
        <v>4.5532161986237683E-2</v>
      </c>
      <c r="K321" s="60"/>
      <c r="L321" s="60">
        <f t="shared" si="41"/>
        <v>1.5558284806411686E-5</v>
      </c>
      <c r="M321" s="60"/>
      <c r="N321" s="60">
        <f t="shared" si="42"/>
        <v>4.551660370143127E-2</v>
      </c>
      <c r="O321" s="60">
        <f t="shared" si="47"/>
        <v>4.551660370143127E-2</v>
      </c>
      <c r="P321" s="60">
        <f t="shared" si="47"/>
        <v>0</v>
      </c>
      <c r="Q321" s="60">
        <f t="shared" si="47"/>
        <v>0</v>
      </c>
    </row>
    <row r="322" spans="1:17" x14ac:dyDescent="0.2">
      <c r="A322" s="49">
        <v>43</v>
      </c>
      <c r="B322" s="59" t="s">
        <v>1286</v>
      </c>
      <c r="C322" s="45" t="s">
        <v>1287</v>
      </c>
      <c r="D322" s="60">
        <f t="shared" si="37"/>
        <v>1</v>
      </c>
      <c r="F322" s="60">
        <f t="shared" si="38"/>
        <v>0.95805160609989548</v>
      </c>
      <c r="G322" s="60"/>
      <c r="H322" s="60">
        <f t="shared" si="39"/>
        <v>4.1948393900104561E-2</v>
      </c>
      <c r="I322" s="60">
        <f t="shared" si="40"/>
        <v>0</v>
      </c>
      <c r="K322" s="60"/>
      <c r="L322" s="60">
        <f t="shared" si="41"/>
        <v>0</v>
      </c>
      <c r="M322" s="60"/>
      <c r="N322" s="60">
        <f t="shared" si="42"/>
        <v>0</v>
      </c>
      <c r="O322" s="60">
        <f t="shared" si="47"/>
        <v>0</v>
      </c>
      <c r="P322" s="60">
        <f t="shared" si="47"/>
        <v>0</v>
      </c>
      <c r="Q322" s="60">
        <f t="shared" si="47"/>
        <v>0</v>
      </c>
    </row>
    <row r="323" spans="1:17" x14ac:dyDescent="0.2">
      <c r="A323" s="49">
        <v>44</v>
      </c>
      <c r="B323" s="59" t="s">
        <v>1285</v>
      </c>
      <c r="C323" s="45" t="s">
        <v>1284</v>
      </c>
      <c r="D323" s="60">
        <f t="shared" si="37"/>
        <v>1</v>
      </c>
      <c r="F323" s="60">
        <f t="shared" si="38"/>
        <v>1</v>
      </c>
      <c r="G323" s="60"/>
      <c r="H323" s="60">
        <f t="shared" si="39"/>
        <v>0</v>
      </c>
      <c r="I323" s="60">
        <f t="shared" si="40"/>
        <v>0</v>
      </c>
      <c r="K323" s="60"/>
      <c r="L323" s="60">
        <f t="shared" si="41"/>
        <v>0</v>
      </c>
      <c r="M323" s="60"/>
      <c r="N323" s="60">
        <f t="shared" si="42"/>
        <v>0</v>
      </c>
      <c r="O323" s="60">
        <f t="shared" si="47"/>
        <v>0</v>
      </c>
      <c r="P323" s="60">
        <f t="shared" si="47"/>
        <v>0</v>
      </c>
      <c r="Q323" s="60">
        <f t="shared" si="47"/>
        <v>0</v>
      </c>
    </row>
    <row r="324" spans="1:17" x14ac:dyDescent="0.2">
      <c r="A324" s="49">
        <v>45</v>
      </c>
      <c r="B324" s="59" t="s">
        <v>1279</v>
      </c>
      <c r="C324" s="73" t="s">
        <v>1274</v>
      </c>
      <c r="D324" s="60">
        <f t="shared" si="37"/>
        <v>1</v>
      </c>
      <c r="F324" s="60">
        <f t="shared" si="38"/>
        <v>0.93650246697316952</v>
      </c>
      <c r="G324" s="60"/>
      <c r="H324" s="60">
        <f t="shared" si="39"/>
        <v>6.3497533026830449E-2</v>
      </c>
      <c r="I324" s="60">
        <f t="shared" si="40"/>
        <v>0</v>
      </c>
      <c r="K324" s="60"/>
      <c r="L324" s="60">
        <f t="shared" si="41"/>
        <v>0</v>
      </c>
      <c r="M324" s="60"/>
      <c r="N324" s="60">
        <f t="shared" si="42"/>
        <v>0</v>
      </c>
      <c r="O324" s="60">
        <f t="shared" si="47"/>
        <v>0</v>
      </c>
      <c r="P324" s="60">
        <f t="shared" si="47"/>
        <v>0</v>
      </c>
      <c r="Q324" s="60">
        <f t="shared" si="47"/>
        <v>0</v>
      </c>
    </row>
    <row r="325" spans="1:17" x14ac:dyDescent="0.2">
      <c r="A325" s="49">
        <v>46</v>
      </c>
      <c r="B325" s="59" t="s">
        <v>1280</v>
      </c>
      <c r="C325" s="73" t="s">
        <v>1276</v>
      </c>
      <c r="D325" s="60">
        <f>SUM(F325:I325)+K325</f>
        <v>1</v>
      </c>
      <c r="F325" s="60">
        <f t="shared" si="38"/>
        <v>0.99239381895271817</v>
      </c>
      <c r="G325" s="60"/>
      <c r="H325" s="60">
        <f t="shared" si="39"/>
        <v>7.6061810472818408E-3</v>
      </c>
      <c r="I325" s="60">
        <f>(L325+M325+N325)</f>
        <v>0</v>
      </c>
      <c r="K325" s="60"/>
      <c r="L325" s="60">
        <f t="shared" si="41"/>
        <v>0</v>
      </c>
      <c r="M325" s="60"/>
      <c r="N325" s="60">
        <f>SUM(O325:Q325)</f>
        <v>0</v>
      </c>
      <c r="O325" s="60">
        <f t="shared" si="47"/>
        <v>0</v>
      </c>
      <c r="P325" s="60">
        <f t="shared" si="47"/>
        <v>0</v>
      </c>
      <c r="Q325" s="60">
        <f t="shared" si="47"/>
        <v>0</v>
      </c>
    </row>
    <row r="326" spans="1:17" x14ac:dyDescent="0.2">
      <c r="A326" s="49">
        <v>47</v>
      </c>
      <c r="B326" s="59" t="s">
        <v>1283</v>
      </c>
      <c r="C326" s="73" t="s">
        <v>1281</v>
      </c>
      <c r="D326" s="60">
        <f>SUM(F326:I326)+K326</f>
        <v>1</v>
      </c>
      <c r="F326" s="60">
        <f t="shared" si="38"/>
        <v>1</v>
      </c>
      <c r="G326" s="60"/>
      <c r="H326" s="60">
        <f t="shared" si="39"/>
        <v>0</v>
      </c>
      <c r="I326" s="60">
        <f>(L326+M326+N326)</f>
        <v>0</v>
      </c>
      <c r="K326" s="60"/>
      <c r="L326" s="60">
        <f t="shared" si="41"/>
        <v>0</v>
      </c>
      <c r="M326" s="60"/>
      <c r="N326" s="60">
        <f>SUM(O326:Q326)</f>
        <v>0</v>
      </c>
      <c r="O326" s="60">
        <f t="shared" si="47"/>
        <v>0</v>
      </c>
      <c r="P326" s="60">
        <f t="shared" si="47"/>
        <v>0</v>
      </c>
      <c r="Q326" s="60">
        <f t="shared" si="47"/>
        <v>0</v>
      </c>
    </row>
    <row r="327" spans="1:17" x14ac:dyDescent="0.2">
      <c r="A327" s="49">
        <v>48</v>
      </c>
      <c r="B327" s="37" t="s">
        <v>626</v>
      </c>
      <c r="C327" s="40" t="s">
        <v>627</v>
      </c>
      <c r="D327" s="60">
        <f t="shared" si="37"/>
        <v>1</v>
      </c>
      <c r="F327" s="60">
        <f t="shared" si="38"/>
        <v>0</v>
      </c>
      <c r="G327" s="60"/>
      <c r="H327" s="60">
        <f t="shared" si="39"/>
        <v>1</v>
      </c>
      <c r="I327" s="60">
        <f t="shared" si="40"/>
        <v>0</v>
      </c>
      <c r="K327" s="60"/>
      <c r="L327" s="60">
        <f t="shared" si="41"/>
        <v>0</v>
      </c>
      <c r="M327" s="60"/>
      <c r="N327" s="60">
        <f t="shared" si="42"/>
        <v>0</v>
      </c>
      <c r="O327" s="60">
        <f t="shared" si="47"/>
        <v>0</v>
      </c>
      <c r="P327" s="60">
        <f t="shared" si="47"/>
        <v>0</v>
      </c>
      <c r="Q327" s="60">
        <f t="shared" si="47"/>
        <v>0</v>
      </c>
    </row>
    <row r="328" spans="1:17" x14ac:dyDescent="0.2">
      <c r="A328" s="49">
        <v>49</v>
      </c>
      <c r="B328" s="37" t="s">
        <v>628</v>
      </c>
      <c r="C328" s="40" t="s">
        <v>629</v>
      </c>
      <c r="D328" s="60">
        <f t="shared" si="37"/>
        <v>0</v>
      </c>
      <c r="F328" s="60">
        <f t="shared" si="38"/>
        <v>0</v>
      </c>
      <c r="G328" s="60"/>
      <c r="H328" s="60">
        <f t="shared" si="39"/>
        <v>0</v>
      </c>
      <c r="I328" s="60">
        <f t="shared" si="40"/>
        <v>0</v>
      </c>
      <c r="K328" s="60"/>
      <c r="L328" s="60">
        <f t="shared" si="41"/>
        <v>0</v>
      </c>
      <c r="M328" s="60"/>
      <c r="N328" s="60">
        <f t="shared" si="42"/>
        <v>0</v>
      </c>
      <c r="O328" s="60">
        <f t="shared" si="47"/>
        <v>0</v>
      </c>
      <c r="P328" s="60">
        <f t="shared" si="47"/>
        <v>0</v>
      </c>
      <c r="Q328" s="60">
        <f t="shared" si="47"/>
        <v>0</v>
      </c>
    </row>
    <row r="329" spans="1:17" x14ac:dyDescent="0.2">
      <c r="A329" s="49">
        <v>50</v>
      </c>
      <c r="B329" s="37" t="s">
        <v>686</v>
      </c>
      <c r="C329" s="40" t="s">
        <v>687</v>
      </c>
      <c r="D329" s="60">
        <f t="shared" si="37"/>
        <v>1</v>
      </c>
      <c r="F329" s="60">
        <f t="shared" si="38"/>
        <v>0</v>
      </c>
      <c r="G329" s="60"/>
      <c r="H329" s="60">
        <f t="shared" si="39"/>
        <v>1</v>
      </c>
      <c r="I329" s="60">
        <f>(L329+M329+N329)</f>
        <v>0</v>
      </c>
      <c r="K329" s="60"/>
      <c r="L329" s="60">
        <f t="shared" si="41"/>
        <v>0</v>
      </c>
      <c r="M329" s="60"/>
      <c r="N329" s="60">
        <f>SUM(O329:Q329)</f>
        <v>0</v>
      </c>
      <c r="O329" s="60">
        <f t="shared" si="47"/>
        <v>0</v>
      </c>
      <c r="P329" s="60">
        <f t="shared" si="47"/>
        <v>0</v>
      </c>
      <c r="Q329" s="60">
        <f t="shared" si="47"/>
        <v>0</v>
      </c>
    </row>
    <row r="330" spans="1:17" x14ac:dyDescent="0.2">
      <c r="A330" s="49"/>
    </row>
    <row r="331" spans="1:17" x14ac:dyDescent="0.2">
      <c r="C331" s="47"/>
    </row>
    <row r="332" spans="1:17" x14ac:dyDescent="0.2">
      <c r="B332" s="53" t="s">
        <v>630</v>
      </c>
      <c r="C332" s="47"/>
    </row>
    <row r="333" spans="1:17" x14ac:dyDescent="0.2">
      <c r="B333" s="56" t="s">
        <v>451</v>
      </c>
      <c r="C333" s="47"/>
    </row>
    <row r="334" spans="1:17" x14ac:dyDescent="0.2">
      <c r="A334" s="49">
        <v>1</v>
      </c>
      <c r="B334" s="37" t="s">
        <v>631</v>
      </c>
      <c r="C334" s="40" t="s">
        <v>630</v>
      </c>
      <c r="D334" s="60">
        <f>SUM(F334:I334)+K334</f>
        <v>1</v>
      </c>
      <c r="F334" s="60">
        <f>IF(AND(OR($A$12=1,$A$12=3),F85&lt;&gt;0),IF($D85=0,1,+F85/$D85),0)</f>
        <v>0.9410091595713157</v>
      </c>
      <c r="G334" s="60"/>
      <c r="H334" s="60">
        <f>IF(AND(OR($A$12=1,$A$12=3),H85&lt;&gt;0),IF($D85=0,1,+H85/$D85),0)</f>
        <v>3.8388881819017104E-2</v>
      </c>
      <c r="I334" s="60">
        <f>(L334+M334+N334)</f>
        <v>2.0601958609667261E-2</v>
      </c>
      <c r="K334" s="60"/>
      <c r="L334" s="60">
        <f>IF(AND(OR($A$12=1,$A$12=3),L85&lt;&gt;0),IF($D85=0,1,+L85/$D85),0)</f>
        <v>4.2114427545893434E-6</v>
      </c>
      <c r="M334" s="60"/>
      <c r="N334" s="60">
        <f>SUM(O334:Q334)</f>
        <v>2.0597747166912671E-2</v>
      </c>
      <c r="O334" s="60">
        <f t="shared" ref="O334:Q335" si="48">IF(AND(OR($A$12=1,$A$12=3),O85&lt;&gt;0),IF($D85=0,1,+O85/$D85),0)</f>
        <v>1.0430856900639138E-2</v>
      </c>
      <c r="P334" s="60">
        <f t="shared" si="48"/>
        <v>1.0166890266273531E-2</v>
      </c>
      <c r="Q334" s="60">
        <f t="shared" si="48"/>
        <v>0</v>
      </c>
    </row>
    <row r="335" spans="1:17" x14ac:dyDescent="0.2">
      <c r="A335" s="49">
        <v>2</v>
      </c>
      <c r="B335" s="37" t="s">
        <v>632</v>
      </c>
      <c r="C335" s="40" t="s">
        <v>633</v>
      </c>
      <c r="D335" s="60">
        <f>SUM(F335:I335)+K335</f>
        <v>1.0000000000000002</v>
      </c>
      <c r="F335" s="60">
        <f>IF(AND(OR($A$12=1,$A$12=3),F86&lt;&gt;0),IF($D86=0,1,+F86/$D86),0)</f>
        <v>0.96079946400908001</v>
      </c>
      <c r="G335" s="60"/>
      <c r="H335" s="60">
        <f>IF(AND(OR($A$12=1,$A$12=3),H86&lt;&gt;0),IF($D86=0,1,+H86/$D86),0)</f>
        <v>3.9196235977577897E-2</v>
      </c>
      <c r="I335" s="60">
        <f>(L335+M335+N335)</f>
        <v>4.3000133422268835E-6</v>
      </c>
      <c r="K335" s="60"/>
      <c r="L335" s="60">
        <f>IF(AND(OR($A$12=1,$A$12=3),L86&lt;&gt;0),IF($D86=0,1,+L86/$D86),0)</f>
        <v>4.3000133422268835E-6</v>
      </c>
      <c r="M335" s="60"/>
      <c r="N335" s="60">
        <f>SUM(O335:Q335)</f>
        <v>0</v>
      </c>
      <c r="O335" s="60">
        <f t="shared" si="48"/>
        <v>0</v>
      </c>
      <c r="P335" s="60">
        <f t="shared" si="48"/>
        <v>0</v>
      </c>
      <c r="Q335" s="60">
        <f t="shared" si="48"/>
        <v>0</v>
      </c>
    </row>
    <row r="336" spans="1:17" x14ac:dyDescent="0.2">
      <c r="A336" s="49">
        <v>3</v>
      </c>
      <c r="C336" s="47"/>
      <c r="D336" s="60"/>
      <c r="F336" s="60"/>
      <c r="G336" s="60"/>
      <c r="H336" s="60"/>
      <c r="I336" s="60"/>
      <c r="K336" s="60"/>
      <c r="L336" s="60"/>
      <c r="M336" s="60"/>
      <c r="N336" s="60"/>
      <c r="O336" s="60"/>
      <c r="P336" s="60"/>
      <c r="Q336" s="60"/>
    </row>
    <row r="337" spans="1:17" x14ac:dyDescent="0.2">
      <c r="A337" s="49">
        <v>4</v>
      </c>
      <c r="C337" s="47"/>
    </row>
    <row r="338" spans="1:17" x14ac:dyDescent="0.2">
      <c r="C338" s="47"/>
    </row>
    <row r="339" spans="1:17" x14ac:dyDescent="0.2">
      <c r="B339" s="53" t="s">
        <v>634</v>
      </c>
      <c r="C339" s="47"/>
    </row>
    <row r="340" spans="1:17" x14ac:dyDescent="0.2">
      <c r="B340" s="56" t="s">
        <v>451</v>
      </c>
      <c r="C340" s="47"/>
    </row>
    <row r="341" spans="1:17" x14ac:dyDescent="0.2">
      <c r="A341" s="49">
        <v>1</v>
      </c>
      <c r="B341" s="37" t="s">
        <v>635</v>
      </c>
      <c r="C341" s="40" t="s">
        <v>636</v>
      </c>
      <c r="D341" s="60">
        <f t="shared" ref="D341:D359" si="49">SUM(F341:I341)+K341</f>
        <v>1</v>
      </c>
      <c r="F341" s="60">
        <f t="shared" ref="F341:F360" si="50">IF(AND(OR($A$12=1,$A$12=4),F92&lt;&gt;0),IF($D92=0,1,+F92/$D92),0)</f>
        <v>1</v>
      </c>
      <c r="G341" s="60"/>
      <c r="H341" s="60">
        <f t="shared" ref="H341:H360" si="51">IF(AND(OR($A$12=1,$A$12=4),H92&lt;&gt;0),IF($D92=0,1,+H92/$D92),0)</f>
        <v>0</v>
      </c>
      <c r="I341" s="60">
        <f t="shared" ref="I341:I358" si="52">(L341+M341+N341)</f>
        <v>0</v>
      </c>
      <c r="K341" s="60"/>
      <c r="L341" s="60">
        <f t="shared" ref="L341:L360" si="53">IF(AND(OR($A$12=1,$A$12=4),L92&lt;&gt;0),IF($D92=0,1,+L92/$D92),0)</f>
        <v>0</v>
      </c>
      <c r="M341" s="60"/>
      <c r="N341" s="60">
        <f t="shared" ref="N341:N358" si="54">SUM(O341:Q341)</f>
        <v>0</v>
      </c>
      <c r="O341" s="60">
        <f t="shared" ref="O341:Q360" si="55">IF(AND(OR($A$12=1,$A$12=4),O92&lt;&gt;0),IF($D92=0,1,+O92/$D92),0)</f>
        <v>0</v>
      </c>
      <c r="P341" s="60">
        <f t="shared" si="55"/>
        <v>0</v>
      </c>
      <c r="Q341" s="60">
        <f t="shared" si="55"/>
        <v>0</v>
      </c>
    </row>
    <row r="342" spans="1:17" x14ac:dyDescent="0.2">
      <c r="A342" s="49">
        <v>2</v>
      </c>
      <c r="B342" s="37" t="s">
        <v>637</v>
      </c>
      <c r="C342" s="40" t="s">
        <v>638</v>
      </c>
      <c r="D342" s="60">
        <f t="shared" si="49"/>
        <v>1</v>
      </c>
      <c r="F342" s="60">
        <f t="shared" si="50"/>
        <v>0.99939957498319587</v>
      </c>
      <c r="G342" s="60"/>
      <c r="H342" s="60">
        <f t="shared" si="51"/>
        <v>0</v>
      </c>
      <c r="I342" s="60">
        <f t="shared" si="52"/>
        <v>6.0042501680412702E-4</v>
      </c>
      <c r="K342" s="60"/>
      <c r="L342" s="60">
        <f t="shared" si="53"/>
        <v>0</v>
      </c>
      <c r="M342" s="60"/>
      <c r="N342" s="60">
        <f t="shared" si="54"/>
        <v>6.0042501680412702E-4</v>
      </c>
      <c r="O342" s="60">
        <f t="shared" si="55"/>
        <v>2.5962404125613476E-4</v>
      </c>
      <c r="P342" s="60">
        <f t="shared" si="55"/>
        <v>3.4080097554799231E-4</v>
      </c>
      <c r="Q342" s="60">
        <f t="shared" si="55"/>
        <v>0</v>
      </c>
    </row>
    <row r="343" spans="1:17" x14ac:dyDescent="0.2">
      <c r="A343" s="49">
        <v>3</v>
      </c>
      <c r="B343" s="37" t="s">
        <v>639</v>
      </c>
      <c r="C343" s="40" t="s">
        <v>640</v>
      </c>
      <c r="D343" s="60">
        <f t="shared" si="49"/>
        <v>1</v>
      </c>
      <c r="F343" s="60">
        <f t="shared" si="50"/>
        <v>1</v>
      </c>
      <c r="G343" s="60"/>
      <c r="H343" s="60">
        <f t="shared" si="51"/>
        <v>0</v>
      </c>
      <c r="I343" s="60">
        <f t="shared" si="52"/>
        <v>0</v>
      </c>
      <c r="K343" s="60"/>
      <c r="L343" s="60">
        <f t="shared" si="53"/>
        <v>0</v>
      </c>
      <c r="M343" s="60"/>
      <c r="N343" s="60">
        <f t="shared" si="54"/>
        <v>0</v>
      </c>
      <c r="O343" s="60">
        <f t="shared" si="55"/>
        <v>0</v>
      </c>
      <c r="P343" s="60">
        <f t="shared" si="55"/>
        <v>0</v>
      </c>
      <c r="Q343" s="60">
        <f t="shared" si="55"/>
        <v>0</v>
      </c>
    </row>
    <row r="344" spans="1:17" x14ac:dyDescent="0.2">
      <c r="A344" s="49">
        <v>4</v>
      </c>
      <c r="B344" s="37" t="s">
        <v>641</v>
      </c>
      <c r="C344" s="40" t="s">
        <v>642</v>
      </c>
      <c r="D344" s="60">
        <f t="shared" si="49"/>
        <v>1</v>
      </c>
      <c r="F344" s="60">
        <f t="shared" si="50"/>
        <v>1</v>
      </c>
      <c r="G344" s="60"/>
      <c r="H344" s="60">
        <f t="shared" si="51"/>
        <v>0</v>
      </c>
      <c r="I344" s="60">
        <f t="shared" si="52"/>
        <v>0</v>
      </c>
      <c r="K344" s="60"/>
      <c r="L344" s="60">
        <f t="shared" si="53"/>
        <v>0</v>
      </c>
      <c r="M344" s="60"/>
      <c r="N344" s="60">
        <f t="shared" si="54"/>
        <v>0</v>
      </c>
      <c r="O344" s="60">
        <f t="shared" si="55"/>
        <v>0</v>
      </c>
      <c r="P344" s="60">
        <f t="shared" si="55"/>
        <v>0</v>
      </c>
      <c r="Q344" s="60">
        <f t="shared" si="55"/>
        <v>0</v>
      </c>
    </row>
    <row r="345" spans="1:17" x14ac:dyDescent="0.2">
      <c r="A345" s="49">
        <v>5</v>
      </c>
      <c r="B345" s="37" t="s">
        <v>643</v>
      </c>
      <c r="C345" s="40" t="s">
        <v>644</v>
      </c>
      <c r="D345" s="60">
        <f t="shared" si="49"/>
        <v>1</v>
      </c>
      <c r="F345" s="60">
        <f t="shared" si="50"/>
        <v>0.97009645926567778</v>
      </c>
      <c r="G345" s="60"/>
      <c r="H345" s="60">
        <f t="shared" si="51"/>
        <v>2.9903540734322245E-2</v>
      </c>
      <c r="I345" s="60">
        <f t="shared" si="52"/>
        <v>0</v>
      </c>
      <c r="K345" s="60"/>
      <c r="L345" s="60">
        <f t="shared" si="53"/>
        <v>0</v>
      </c>
      <c r="M345" s="60"/>
      <c r="N345" s="60">
        <f t="shared" si="54"/>
        <v>0</v>
      </c>
      <c r="O345" s="60">
        <f t="shared" si="55"/>
        <v>0</v>
      </c>
      <c r="P345" s="60">
        <f t="shared" si="55"/>
        <v>0</v>
      </c>
      <c r="Q345" s="60">
        <f t="shared" si="55"/>
        <v>0</v>
      </c>
    </row>
    <row r="346" spans="1:17" x14ac:dyDescent="0.2">
      <c r="A346" s="49">
        <v>6</v>
      </c>
      <c r="B346" s="37" t="s">
        <v>645</v>
      </c>
      <c r="C346" s="40" t="s">
        <v>646</v>
      </c>
      <c r="D346" s="60">
        <f t="shared" si="49"/>
        <v>0.99999999999999989</v>
      </c>
      <c r="F346" s="60">
        <f t="shared" si="50"/>
        <v>0.94463976065702659</v>
      </c>
      <c r="G346" s="60"/>
      <c r="H346" s="60">
        <f t="shared" si="51"/>
        <v>5.5360239016010532E-2</v>
      </c>
      <c r="I346" s="60">
        <f t="shared" si="52"/>
        <v>3.2696284196157162E-10</v>
      </c>
      <c r="K346" s="60"/>
      <c r="L346" s="60">
        <f t="shared" si="53"/>
        <v>0</v>
      </c>
      <c r="M346" s="60"/>
      <c r="N346" s="60">
        <f t="shared" si="54"/>
        <v>3.2696284196157162E-10</v>
      </c>
      <c r="O346" s="60">
        <f t="shared" si="55"/>
        <v>3.2696284196157162E-10</v>
      </c>
      <c r="P346" s="60">
        <f t="shared" si="55"/>
        <v>0</v>
      </c>
      <c r="Q346" s="60">
        <f t="shared" si="55"/>
        <v>0</v>
      </c>
    </row>
    <row r="347" spans="1:17" x14ac:dyDescent="0.2">
      <c r="A347" s="49">
        <v>7</v>
      </c>
      <c r="B347" s="37" t="s">
        <v>647</v>
      </c>
      <c r="C347" s="40" t="s">
        <v>648</v>
      </c>
      <c r="D347" s="60">
        <f t="shared" si="49"/>
        <v>1</v>
      </c>
      <c r="F347" s="60">
        <f t="shared" si="50"/>
        <v>0.95003195393362805</v>
      </c>
      <c r="G347" s="60"/>
      <c r="H347" s="60">
        <f t="shared" si="51"/>
        <v>4.9682107773700267E-2</v>
      </c>
      <c r="I347" s="60">
        <f t="shared" si="52"/>
        <v>2.8593829267167825E-4</v>
      </c>
      <c r="K347" s="60"/>
      <c r="L347" s="60">
        <f t="shared" si="53"/>
        <v>6.5884399233105591E-6</v>
      </c>
      <c r="M347" s="60"/>
      <c r="N347" s="60">
        <f t="shared" si="54"/>
        <v>2.7934985274836771E-4</v>
      </c>
      <c r="O347" s="60">
        <f t="shared" si="55"/>
        <v>1.1200347869627951E-4</v>
      </c>
      <c r="P347" s="60">
        <f t="shared" si="55"/>
        <v>1.6734637405208821E-4</v>
      </c>
      <c r="Q347" s="60">
        <f t="shared" si="55"/>
        <v>0</v>
      </c>
    </row>
    <row r="348" spans="1:17" x14ac:dyDescent="0.2">
      <c r="A348" s="49">
        <v>8</v>
      </c>
      <c r="B348" s="37" t="s">
        <v>649</v>
      </c>
      <c r="C348" s="40" t="s">
        <v>650</v>
      </c>
      <c r="D348" s="60">
        <f t="shared" si="49"/>
        <v>1</v>
      </c>
      <c r="F348" s="60">
        <f t="shared" si="50"/>
        <v>0.95003195393362805</v>
      </c>
      <c r="G348" s="60"/>
      <c r="H348" s="60">
        <f t="shared" si="51"/>
        <v>4.9682107773700267E-2</v>
      </c>
      <c r="I348" s="60">
        <f t="shared" si="52"/>
        <v>2.8593829267167825E-4</v>
      </c>
      <c r="K348" s="60"/>
      <c r="L348" s="60">
        <f t="shared" si="53"/>
        <v>6.5884399233105591E-6</v>
      </c>
      <c r="M348" s="60"/>
      <c r="N348" s="60">
        <f t="shared" si="54"/>
        <v>2.7934985274836771E-4</v>
      </c>
      <c r="O348" s="60">
        <f t="shared" si="55"/>
        <v>1.1200347869627951E-4</v>
      </c>
      <c r="P348" s="60">
        <f t="shared" si="55"/>
        <v>1.6734637405208821E-4</v>
      </c>
      <c r="Q348" s="60">
        <f t="shared" si="55"/>
        <v>0</v>
      </c>
    </row>
    <row r="349" spans="1:17" x14ac:dyDescent="0.2">
      <c r="A349" s="49">
        <v>9</v>
      </c>
      <c r="B349" s="37" t="s">
        <v>651</v>
      </c>
      <c r="C349" s="40" t="s">
        <v>652</v>
      </c>
      <c r="D349" s="60">
        <f t="shared" si="49"/>
        <v>1</v>
      </c>
      <c r="F349" s="60">
        <f t="shared" si="50"/>
        <v>0.95003195393362805</v>
      </c>
      <c r="G349" s="60"/>
      <c r="H349" s="60">
        <f t="shared" si="51"/>
        <v>4.9682107773700267E-2</v>
      </c>
      <c r="I349" s="60">
        <f t="shared" si="52"/>
        <v>2.8593829267167825E-4</v>
      </c>
      <c r="K349" s="60"/>
      <c r="L349" s="60">
        <f t="shared" si="53"/>
        <v>6.5884399233105591E-6</v>
      </c>
      <c r="M349" s="60"/>
      <c r="N349" s="60">
        <f t="shared" si="54"/>
        <v>2.7934985274836771E-4</v>
      </c>
      <c r="O349" s="60">
        <f t="shared" si="55"/>
        <v>1.1200347869627951E-4</v>
      </c>
      <c r="P349" s="60">
        <f t="shared" si="55"/>
        <v>1.6734637405208821E-4</v>
      </c>
      <c r="Q349" s="60">
        <f t="shared" si="55"/>
        <v>0</v>
      </c>
    </row>
    <row r="350" spans="1:17" x14ac:dyDescent="0.2">
      <c r="A350" s="49">
        <v>10</v>
      </c>
      <c r="B350" s="37" t="s">
        <v>653</v>
      </c>
      <c r="C350" s="40" t="s">
        <v>654</v>
      </c>
      <c r="D350" s="60">
        <f t="shared" si="49"/>
        <v>1</v>
      </c>
      <c r="F350" s="60">
        <f t="shared" si="50"/>
        <v>0</v>
      </c>
      <c r="G350" s="60"/>
      <c r="H350" s="60">
        <f t="shared" si="51"/>
        <v>1</v>
      </c>
      <c r="I350" s="60">
        <f t="shared" si="52"/>
        <v>0</v>
      </c>
      <c r="K350" s="60"/>
      <c r="L350" s="60">
        <f t="shared" si="53"/>
        <v>0</v>
      </c>
      <c r="M350" s="60"/>
      <c r="N350" s="60">
        <f t="shared" si="54"/>
        <v>0</v>
      </c>
      <c r="O350" s="60">
        <f t="shared" si="55"/>
        <v>0</v>
      </c>
      <c r="P350" s="60">
        <f t="shared" si="55"/>
        <v>0</v>
      </c>
      <c r="Q350" s="60">
        <f t="shared" si="55"/>
        <v>0</v>
      </c>
    </row>
    <row r="351" spans="1:17" x14ac:dyDescent="0.2">
      <c r="A351" s="49">
        <v>11</v>
      </c>
      <c r="B351" s="37" t="s">
        <v>655</v>
      </c>
      <c r="C351" s="40" t="s">
        <v>656</v>
      </c>
      <c r="D351" s="60">
        <f t="shared" si="49"/>
        <v>1</v>
      </c>
      <c r="F351" s="60">
        <f t="shared" si="50"/>
        <v>0</v>
      </c>
      <c r="G351" s="60"/>
      <c r="H351" s="60">
        <f t="shared" si="51"/>
        <v>1</v>
      </c>
      <c r="I351" s="60">
        <f t="shared" si="52"/>
        <v>0</v>
      </c>
      <c r="K351" s="60"/>
      <c r="L351" s="60">
        <f t="shared" si="53"/>
        <v>0</v>
      </c>
      <c r="M351" s="60"/>
      <c r="N351" s="60">
        <f t="shared" si="54"/>
        <v>0</v>
      </c>
      <c r="O351" s="60">
        <f t="shared" si="55"/>
        <v>0</v>
      </c>
      <c r="P351" s="60">
        <f t="shared" si="55"/>
        <v>0</v>
      </c>
      <c r="Q351" s="60">
        <f t="shared" si="55"/>
        <v>0</v>
      </c>
    </row>
    <row r="352" spans="1:17" x14ac:dyDescent="0.2">
      <c r="A352" s="49">
        <v>12</v>
      </c>
      <c r="B352" s="37" t="s">
        <v>657</v>
      </c>
      <c r="C352" s="40" t="s">
        <v>658</v>
      </c>
      <c r="D352" s="60">
        <f t="shared" si="49"/>
        <v>0</v>
      </c>
      <c r="F352" s="60">
        <f t="shared" si="50"/>
        <v>0</v>
      </c>
      <c r="G352" s="60"/>
      <c r="H352" s="60">
        <f t="shared" si="51"/>
        <v>0</v>
      </c>
      <c r="I352" s="60">
        <f t="shared" si="52"/>
        <v>0</v>
      </c>
      <c r="K352" s="60"/>
      <c r="L352" s="60">
        <f t="shared" si="53"/>
        <v>0</v>
      </c>
      <c r="M352" s="60"/>
      <c r="N352" s="60">
        <f t="shared" si="54"/>
        <v>0</v>
      </c>
      <c r="O352" s="60">
        <f t="shared" si="55"/>
        <v>0</v>
      </c>
      <c r="P352" s="60">
        <f t="shared" si="55"/>
        <v>0</v>
      </c>
      <c r="Q352" s="60">
        <f t="shared" si="55"/>
        <v>0</v>
      </c>
    </row>
    <row r="353" spans="1:17" x14ac:dyDescent="0.2">
      <c r="A353" s="49">
        <v>13</v>
      </c>
      <c r="B353" s="37" t="s">
        <v>659</v>
      </c>
      <c r="C353" s="40" t="s">
        <v>660</v>
      </c>
      <c r="D353" s="60">
        <f t="shared" si="49"/>
        <v>1</v>
      </c>
      <c r="F353" s="60">
        <f t="shared" si="50"/>
        <v>0</v>
      </c>
      <c r="G353" s="60"/>
      <c r="H353" s="60">
        <f t="shared" si="51"/>
        <v>1</v>
      </c>
      <c r="I353" s="60">
        <f t="shared" si="52"/>
        <v>0</v>
      </c>
      <c r="K353" s="60"/>
      <c r="L353" s="60">
        <f t="shared" si="53"/>
        <v>0</v>
      </c>
      <c r="M353" s="60"/>
      <c r="N353" s="60">
        <f t="shared" si="54"/>
        <v>0</v>
      </c>
      <c r="O353" s="60">
        <f t="shared" si="55"/>
        <v>0</v>
      </c>
      <c r="P353" s="60">
        <f t="shared" si="55"/>
        <v>0</v>
      </c>
      <c r="Q353" s="60">
        <f t="shared" si="55"/>
        <v>0</v>
      </c>
    </row>
    <row r="354" spans="1:17" x14ac:dyDescent="0.2">
      <c r="A354" s="49">
        <v>14</v>
      </c>
      <c r="B354" s="37" t="s">
        <v>661</v>
      </c>
      <c r="C354" s="40" t="s">
        <v>662</v>
      </c>
      <c r="D354" s="60">
        <f t="shared" si="49"/>
        <v>1</v>
      </c>
      <c r="F354" s="60">
        <f t="shared" si="50"/>
        <v>1</v>
      </c>
      <c r="G354" s="60"/>
      <c r="H354" s="60">
        <f t="shared" si="51"/>
        <v>0</v>
      </c>
      <c r="I354" s="60">
        <f t="shared" si="52"/>
        <v>0</v>
      </c>
      <c r="K354" s="60"/>
      <c r="L354" s="60">
        <f t="shared" si="53"/>
        <v>0</v>
      </c>
      <c r="M354" s="60"/>
      <c r="N354" s="60">
        <f t="shared" si="54"/>
        <v>0</v>
      </c>
      <c r="O354" s="60">
        <f t="shared" si="55"/>
        <v>0</v>
      </c>
      <c r="P354" s="60">
        <f t="shared" si="55"/>
        <v>0</v>
      </c>
      <c r="Q354" s="60">
        <f t="shared" si="55"/>
        <v>0</v>
      </c>
    </row>
    <row r="355" spans="1:17" x14ac:dyDescent="0.2">
      <c r="A355" s="49">
        <v>15</v>
      </c>
      <c r="B355" s="37" t="s">
        <v>663</v>
      </c>
      <c r="C355" s="40" t="s">
        <v>664</v>
      </c>
      <c r="D355" s="60">
        <f t="shared" si="49"/>
        <v>1</v>
      </c>
      <c r="F355" s="60">
        <f t="shared" si="50"/>
        <v>0.94892097697757327</v>
      </c>
      <c r="G355" s="60"/>
      <c r="H355" s="60">
        <f t="shared" si="51"/>
        <v>5.1073574787019398E-2</v>
      </c>
      <c r="I355" s="60">
        <f t="shared" si="52"/>
        <v>5.4482354073554811E-6</v>
      </c>
      <c r="K355" s="60"/>
      <c r="L355" s="60">
        <f t="shared" si="53"/>
        <v>5.4482354073554811E-6</v>
      </c>
      <c r="M355" s="60"/>
      <c r="N355" s="60">
        <f t="shared" si="54"/>
        <v>0</v>
      </c>
      <c r="O355" s="60">
        <f t="shared" si="55"/>
        <v>0</v>
      </c>
      <c r="P355" s="60">
        <f t="shared" si="55"/>
        <v>0</v>
      </c>
      <c r="Q355" s="60">
        <f t="shared" si="55"/>
        <v>0</v>
      </c>
    </row>
    <row r="356" spans="1:17" x14ac:dyDescent="0.2">
      <c r="A356" s="49">
        <v>16</v>
      </c>
      <c r="B356" s="37" t="s">
        <v>665</v>
      </c>
      <c r="C356" s="40" t="s">
        <v>666</v>
      </c>
      <c r="D356" s="60">
        <f t="shared" si="49"/>
        <v>1</v>
      </c>
      <c r="F356" s="60">
        <f t="shared" si="50"/>
        <v>0.94892097697757327</v>
      </c>
      <c r="G356" s="60"/>
      <c r="H356" s="60">
        <f t="shared" si="51"/>
        <v>5.1073574787019398E-2</v>
      </c>
      <c r="I356" s="60">
        <f t="shared" si="52"/>
        <v>5.4482354073554811E-6</v>
      </c>
      <c r="K356" s="60"/>
      <c r="L356" s="60">
        <f t="shared" si="53"/>
        <v>5.4482354073554811E-6</v>
      </c>
      <c r="M356" s="60"/>
      <c r="N356" s="60">
        <f t="shared" si="54"/>
        <v>0</v>
      </c>
      <c r="O356" s="60">
        <f t="shared" si="55"/>
        <v>0</v>
      </c>
      <c r="P356" s="60">
        <f t="shared" si="55"/>
        <v>0</v>
      </c>
      <c r="Q356" s="60">
        <f t="shared" si="55"/>
        <v>0</v>
      </c>
    </row>
    <row r="357" spans="1:17" x14ac:dyDescent="0.2">
      <c r="A357" s="49">
        <v>17</v>
      </c>
      <c r="B357" s="37" t="s">
        <v>667</v>
      </c>
      <c r="C357" s="40" t="s">
        <v>668</v>
      </c>
      <c r="D357" s="60">
        <f t="shared" si="49"/>
        <v>1</v>
      </c>
      <c r="F357" s="60">
        <f t="shared" si="50"/>
        <v>0.94892097697757327</v>
      </c>
      <c r="G357" s="60"/>
      <c r="H357" s="60">
        <f t="shared" si="51"/>
        <v>5.1073574787019398E-2</v>
      </c>
      <c r="I357" s="60">
        <f t="shared" si="52"/>
        <v>5.4482354073554811E-6</v>
      </c>
      <c r="K357" s="60"/>
      <c r="L357" s="60">
        <f t="shared" si="53"/>
        <v>5.4482354073554811E-6</v>
      </c>
      <c r="M357" s="60"/>
      <c r="N357" s="60">
        <f t="shared" si="54"/>
        <v>0</v>
      </c>
      <c r="O357" s="60">
        <f t="shared" si="55"/>
        <v>0</v>
      </c>
      <c r="P357" s="60">
        <f t="shared" si="55"/>
        <v>0</v>
      </c>
      <c r="Q357" s="60">
        <f t="shared" si="55"/>
        <v>0</v>
      </c>
    </row>
    <row r="358" spans="1:17" x14ac:dyDescent="0.2">
      <c r="A358" s="49">
        <v>18</v>
      </c>
      <c r="B358" s="37" t="s">
        <v>669</v>
      </c>
      <c r="C358" s="40" t="s">
        <v>670</v>
      </c>
      <c r="D358" s="60">
        <f t="shared" si="49"/>
        <v>0</v>
      </c>
      <c r="F358" s="60">
        <f t="shared" si="50"/>
        <v>0</v>
      </c>
      <c r="G358" s="60"/>
      <c r="H358" s="60">
        <f t="shared" si="51"/>
        <v>0</v>
      </c>
      <c r="I358" s="60">
        <f t="shared" si="52"/>
        <v>0</v>
      </c>
      <c r="K358" s="60"/>
      <c r="L358" s="60">
        <f t="shared" si="53"/>
        <v>0</v>
      </c>
      <c r="M358" s="60"/>
      <c r="N358" s="60">
        <f t="shared" si="54"/>
        <v>0</v>
      </c>
      <c r="O358" s="60">
        <f t="shared" si="55"/>
        <v>0</v>
      </c>
      <c r="P358" s="60">
        <f t="shared" si="55"/>
        <v>0</v>
      </c>
      <c r="Q358" s="60">
        <f t="shared" si="55"/>
        <v>0</v>
      </c>
    </row>
    <row r="359" spans="1:17" x14ac:dyDescent="0.2">
      <c r="A359" s="49">
        <v>19</v>
      </c>
      <c r="B359" s="37" t="s">
        <v>688</v>
      </c>
      <c r="C359" s="40" t="s">
        <v>689</v>
      </c>
      <c r="D359" s="60">
        <f t="shared" si="49"/>
        <v>0.99999999999999989</v>
      </c>
      <c r="F359" s="60">
        <f t="shared" si="50"/>
        <v>0.94970899810523679</v>
      </c>
      <c r="G359" s="60"/>
      <c r="H359" s="60">
        <f t="shared" si="51"/>
        <v>5.0291001894763092E-2</v>
      </c>
      <c r="I359" s="60">
        <f>(L359+M359+N359)</f>
        <v>0</v>
      </c>
      <c r="K359" s="60"/>
      <c r="L359" s="60">
        <f t="shared" si="53"/>
        <v>0</v>
      </c>
      <c r="M359" s="60"/>
      <c r="N359" s="60">
        <f>SUM(O359:Q359)</f>
        <v>0</v>
      </c>
      <c r="O359" s="60">
        <f t="shared" si="55"/>
        <v>0</v>
      </c>
      <c r="P359" s="60">
        <f t="shared" si="55"/>
        <v>0</v>
      </c>
      <c r="Q359" s="60">
        <f t="shared" si="55"/>
        <v>0</v>
      </c>
    </row>
    <row r="360" spans="1:17" x14ac:dyDescent="0.2">
      <c r="A360" s="49">
        <v>20</v>
      </c>
      <c r="B360" s="37" t="s">
        <v>1194</v>
      </c>
      <c r="C360" s="45" t="s">
        <v>1272</v>
      </c>
      <c r="D360" s="60">
        <f>SUM(F360:I360)+K360</f>
        <v>0.99999999999999978</v>
      </c>
      <c r="F360" s="60">
        <f t="shared" si="50"/>
        <v>0.95987638026960376</v>
      </c>
      <c r="G360" s="60"/>
      <c r="H360" s="60">
        <f t="shared" si="51"/>
        <v>4.0100296926837746E-2</v>
      </c>
      <c r="I360" s="60">
        <f>(L360+M360+N360)</f>
        <v>2.3322803558340756E-5</v>
      </c>
      <c r="K360" s="60"/>
      <c r="L360" s="60">
        <f t="shared" si="53"/>
        <v>0</v>
      </c>
      <c r="M360" s="60"/>
      <c r="N360" s="60">
        <f>SUM(O360:Q360)</f>
        <v>2.3322803558340756E-5</v>
      </c>
      <c r="O360" s="60">
        <f t="shared" si="55"/>
        <v>1.4544651268114408E-6</v>
      </c>
      <c r="P360" s="60">
        <f t="shared" si="55"/>
        <v>2.1868338431529316E-5</v>
      </c>
      <c r="Q360" s="60">
        <f t="shared" si="55"/>
        <v>0</v>
      </c>
    </row>
    <row r="361" spans="1:17" x14ac:dyDescent="0.2">
      <c r="A361" s="49">
        <v>21</v>
      </c>
    </row>
    <row r="362" spans="1:17" x14ac:dyDescent="0.2">
      <c r="A362" s="49">
        <v>22</v>
      </c>
    </row>
    <row r="363" spans="1:17" x14ac:dyDescent="0.2">
      <c r="A363" s="49">
        <v>23</v>
      </c>
    </row>
    <row r="364" spans="1:17" x14ac:dyDescent="0.2">
      <c r="A364" s="49">
        <v>24</v>
      </c>
    </row>
    <row r="365" spans="1:17" x14ac:dyDescent="0.2">
      <c r="A365" s="49">
        <v>25</v>
      </c>
    </row>
    <row r="366" spans="1:17" x14ac:dyDescent="0.2">
      <c r="C366" s="47"/>
    </row>
    <row r="367" spans="1:17" x14ac:dyDescent="0.2">
      <c r="B367" s="58" t="s">
        <v>671</v>
      </c>
      <c r="C367" s="47"/>
    </row>
    <row r="368" spans="1:17" x14ac:dyDescent="0.2">
      <c r="B368" s="56" t="s">
        <v>451</v>
      </c>
      <c r="C368" s="47"/>
    </row>
    <row r="369" spans="1:17" x14ac:dyDescent="0.2">
      <c r="A369" s="49">
        <v>1</v>
      </c>
      <c r="B369" s="37" t="s">
        <v>672</v>
      </c>
      <c r="C369" s="40" t="s">
        <v>673</v>
      </c>
      <c r="D369" s="60">
        <f t="shared" ref="D369:D413" ca="1" si="56">SUM(F369:I369)+K369</f>
        <v>1</v>
      </c>
      <c r="F369" s="60">
        <f ca="1">IF(F120&lt;&gt;0,IF($D120=0,1,+F120/$D120),0)</f>
        <v>0.93497392644834365</v>
      </c>
      <c r="G369" s="60"/>
      <c r="H369" s="60">
        <f ca="1">IF(H120&lt;&gt;0,IF($D120=0,1,+H120/$D120),0)</f>
        <v>5.0476160754164702E-2</v>
      </c>
      <c r="I369" s="60">
        <f t="shared" ref="I369:I412" ca="1" si="57">(L369+M369+N369)</f>
        <v>1.4549912797491588E-2</v>
      </c>
      <c r="K369" s="60"/>
      <c r="L369" s="60">
        <f ca="1">IF(L120&lt;&gt;0,IF($D120=0,1,+L120/$D120),0)</f>
        <v>6.8723384602869679E-5</v>
      </c>
      <c r="M369" s="60"/>
      <c r="N369" s="60">
        <f t="shared" ref="N369:N412" ca="1" si="58">SUM(O369:Q369)</f>
        <v>1.4481189412888718E-2</v>
      </c>
      <c r="O369" s="60">
        <f t="shared" ref="O369:Q371" ca="1" si="59">IF(O120&lt;&gt;0,IF($D120=0,1,+O120/$D120),0)</f>
        <v>7.5267125300415303E-3</v>
      </c>
      <c r="P369" s="60">
        <f t="shared" ca="1" si="59"/>
        <v>6.9544768828471888E-3</v>
      </c>
      <c r="Q369" s="60">
        <f t="shared" ca="1" si="59"/>
        <v>1.4916675899315064E-21</v>
      </c>
    </row>
    <row r="370" spans="1:17" x14ac:dyDescent="0.2">
      <c r="A370" s="49">
        <v>2</v>
      </c>
      <c r="B370" s="37" t="s">
        <v>674</v>
      </c>
      <c r="C370" s="40" t="s">
        <v>675</v>
      </c>
      <c r="D370" s="60">
        <f t="shared" ca="1" si="56"/>
        <v>1</v>
      </c>
      <c r="F370" s="60">
        <f ca="1">IF(F121&lt;&gt;0,IF($D121=0,1,+F121/$D121),0)</f>
        <v>1</v>
      </c>
      <c r="G370" s="60"/>
      <c r="H370" s="60">
        <f>IF(H121&lt;&gt;0,IF($D121=0,1,+H121/$D121),0)</f>
        <v>0</v>
      </c>
      <c r="I370" s="60">
        <f t="shared" si="57"/>
        <v>0</v>
      </c>
      <c r="K370" s="60"/>
      <c r="L370" s="60">
        <f>IF(L121&lt;&gt;0,IF($D121=0,1,+L121/$D121),0)</f>
        <v>0</v>
      </c>
      <c r="M370" s="60"/>
      <c r="N370" s="60">
        <f t="shared" si="58"/>
        <v>0</v>
      </c>
      <c r="O370" s="60">
        <f t="shared" si="59"/>
        <v>0</v>
      </c>
      <c r="P370" s="60">
        <f t="shared" si="59"/>
        <v>0</v>
      </c>
      <c r="Q370" s="60">
        <f t="shared" si="59"/>
        <v>0</v>
      </c>
    </row>
    <row r="371" spans="1:17" x14ac:dyDescent="0.2">
      <c r="A371" s="49">
        <v>3</v>
      </c>
      <c r="B371" s="37" t="s">
        <v>676</v>
      </c>
      <c r="C371" s="40" t="s">
        <v>677</v>
      </c>
      <c r="D371" s="60">
        <f t="shared" ca="1" si="56"/>
        <v>1</v>
      </c>
      <c r="F371" s="60">
        <f ca="1">IF(F122&lt;&gt;0,IF($D122=0,1,+F122/$D122),0)</f>
        <v>0.94067565257416896</v>
      </c>
      <c r="G371" s="60"/>
      <c r="H371" s="60">
        <f ca="1">IF(H122&lt;&gt;0,IF($D122=0,1,+H122/$D122),0)</f>
        <v>4.7347795471836499E-2</v>
      </c>
      <c r="I371" s="60">
        <f t="shared" ca="1" si="57"/>
        <v>1.1976551953994448E-2</v>
      </c>
      <c r="K371" s="60"/>
      <c r="L371" s="60">
        <f ca="1">IF(L122&lt;&gt;0,IF($D122=0,1,+L122/$D122),0)</f>
        <v>6.738185189510643E-5</v>
      </c>
      <c r="M371" s="60"/>
      <c r="N371" s="60">
        <f t="shared" ca="1" si="58"/>
        <v>1.1909170102099341E-2</v>
      </c>
      <c r="O371" s="60">
        <f t="shared" ca="1" si="59"/>
        <v>6.2080087591133738E-3</v>
      </c>
      <c r="P371" s="60">
        <f t="shared" ca="1" si="59"/>
        <v>5.7011613429859675E-3</v>
      </c>
      <c r="Q371" s="60">
        <f t="shared" ca="1" si="59"/>
        <v>5.3301537787922934E-20</v>
      </c>
    </row>
    <row r="372" spans="1:17" x14ac:dyDescent="0.2">
      <c r="A372" s="49">
        <v>4</v>
      </c>
      <c r="B372" s="37" t="s">
        <v>676</v>
      </c>
      <c r="C372" s="45" t="s">
        <v>684</v>
      </c>
      <c r="D372" s="60">
        <f t="shared" ca="1" si="56"/>
        <v>1</v>
      </c>
      <c r="F372" s="60">
        <f ca="1">IF(F124&lt;&gt;0,IF($D124=0,1,+F124/$D124),0)</f>
        <v>0.94067565257416907</v>
      </c>
      <c r="G372" s="60"/>
      <c r="H372" s="60">
        <f ca="1">IF(H124&lt;&gt;0,IF($D124=0,1,+H124/$D124),0)</f>
        <v>4.7347795471836499E-2</v>
      </c>
      <c r="I372" s="60">
        <f ca="1">(L372+M372+N372)</f>
        <v>1.197655195399445E-2</v>
      </c>
      <c r="K372" s="60"/>
      <c r="L372" s="60">
        <f ca="1">IF(L124&lt;&gt;0,IF($D124=0,1,+L124/$D124),0)</f>
        <v>6.738185189510643E-5</v>
      </c>
      <c r="M372" s="60"/>
      <c r="N372" s="60">
        <f ca="1">SUM(O372:Q372)</f>
        <v>1.1909170102099343E-2</v>
      </c>
      <c r="O372" s="60">
        <f ca="1">IF(O124&lt;&gt;0,IF($D124=0,1,+O124/$D124),0)</f>
        <v>6.2080087591133738E-3</v>
      </c>
      <c r="P372" s="60">
        <f ca="1">IF(P124&lt;&gt;0,IF($D124=0,1,+P124/$D124),0)</f>
        <v>5.7011613429859683E-3</v>
      </c>
      <c r="Q372" s="60">
        <f>IF(Q124&lt;&gt;0,IF($D124=0,1,+Q124/$D124),0)</f>
        <v>0</v>
      </c>
    </row>
    <row r="373" spans="1:17" x14ac:dyDescent="0.2">
      <c r="A373" s="49">
        <v>5</v>
      </c>
      <c r="B373" s="37" t="s">
        <v>678</v>
      </c>
      <c r="C373" s="40" t="s">
        <v>679</v>
      </c>
      <c r="D373" s="60">
        <f t="shared" ca="1" si="56"/>
        <v>1.0000000000000002</v>
      </c>
      <c r="F373" s="60">
        <f ca="1">IF(F123&lt;&gt;0,IF($D123=0,1,+F123/$D123),0)</f>
        <v>0.93741603079505254</v>
      </c>
      <c r="G373" s="60"/>
      <c r="H373" s="60">
        <f ca="1">IF(H123&lt;&gt;0,IF($D123=0,1,+H123/$D123),0)</f>
        <v>4.2925433691070346E-2</v>
      </c>
      <c r="I373" s="60">
        <f t="shared" ca="1" si="57"/>
        <v>1.9658535513877241E-2</v>
      </c>
      <c r="K373" s="60"/>
      <c r="L373" s="60">
        <f ca="1">IF(L123&lt;&gt;0,IF($D123=0,1,+L123/$D123),0)</f>
        <v>3.008974869342788E-6</v>
      </c>
      <c r="M373" s="60"/>
      <c r="N373" s="60">
        <f t="shared" ca="1" si="58"/>
        <v>1.9655526539007897E-2</v>
      </c>
      <c r="O373" s="60">
        <f ca="1">IF(O123&lt;&gt;0,IF($D123=0,1,+O123/$D123),0)</f>
        <v>9.9687337421326596E-3</v>
      </c>
      <c r="P373" s="60">
        <f ca="1">IF(P123&lt;&gt;0,IF($D123=0,1,+P123/$D123),0)</f>
        <v>9.6867927968752373E-3</v>
      </c>
      <c r="Q373" s="60">
        <f ca="1">IF(Q123&lt;&gt;0,IF($D123=0,1,+Q123/$D123),0)</f>
        <v>0</v>
      </c>
    </row>
    <row r="374" spans="1:17" x14ac:dyDescent="0.2">
      <c r="A374" s="49">
        <v>6</v>
      </c>
      <c r="B374" s="37" t="s">
        <v>943</v>
      </c>
      <c r="C374" s="40" t="s">
        <v>944</v>
      </c>
      <c r="D374" s="60">
        <f t="shared" ca="1" si="56"/>
        <v>0.99999999999999989</v>
      </c>
      <c r="F374" s="60">
        <f t="shared" ref="F374:F413" ca="1" si="60">IF(F125&lt;&gt;0,IF($D125=0,1,+F125/$D125),0)</f>
        <v>0.93741603079505231</v>
      </c>
      <c r="G374" s="60"/>
      <c r="H374" s="60">
        <f t="shared" ref="H374:H413" ca="1" si="61">IF(H125&lt;&gt;0,IF($D125=0,1,+H125/$D125),0)</f>
        <v>4.2925433691070346E-2</v>
      </c>
      <c r="I374" s="60">
        <f t="shared" ca="1" si="57"/>
        <v>1.9658535513877241E-2</v>
      </c>
      <c r="K374" s="60"/>
      <c r="L374" s="60">
        <f t="shared" ref="L374:L413" ca="1" si="62">IF(L125&lt;&gt;0,IF($D125=0,1,+L125/$D125),0)</f>
        <v>3.0089748693427888E-6</v>
      </c>
      <c r="M374" s="60"/>
      <c r="N374" s="60">
        <f t="shared" ca="1" si="58"/>
        <v>1.9655526539007897E-2</v>
      </c>
      <c r="O374" s="60">
        <f t="shared" ref="O374:Q393" ca="1" si="63">IF(O125&lt;&gt;0,IF($D125=0,1,+O125/$D125),0)</f>
        <v>9.9687337421326579E-3</v>
      </c>
      <c r="P374" s="60">
        <f t="shared" ca="1" si="63"/>
        <v>9.686792796875239E-3</v>
      </c>
      <c r="Q374" s="60">
        <f t="shared" ca="1" si="63"/>
        <v>0</v>
      </c>
    </row>
    <row r="375" spans="1:17" x14ac:dyDescent="0.2">
      <c r="A375" s="49">
        <v>7</v>
      </c>
      <c r="B375" s="37" t="s">
        <v>945</v>
      </c>
      <c r="C375" s="40" t="s">
        <v>946</v>
      </c>
      <c r="D375" s="60">
        <f t="shared" ca="1" si="56"/>
        <v>1</v>
      </c>
      <c r="F375" s="60">
        <f t="shared" ca="1" si="60"/>
        <v>0.93741603079505242</v>
      </c>
      <c r="G375" s="60"/>
      <c r="H375" s="60">
        <f t="shared" ca="1" si="61"/>
        <v>4.2925433691070353E-2</v>
      </c>
      <c r="I375" s="60">
        <f t="shared" ca="1" si="57"/>
        <v>1.9658535513877244E-2</v>
      </c>
      <c r="K375" s="60"/>
      <c r="L375" s="60">
        <f t="shared" ca="1" si="62"/>
        <v>3.0089748693427888E-6</v>
      </c>
      <c r="M375" s="60"/>
      <c r="N375" s="60">
        <f t="shared" ca="1" si="58"/>
        <v>1.96555265390079E-2</v>
      </c>
      <c r="O375" s="60">
        <f t="shared" ca="1" si="63"/>
        <v>9.9687337421326596E-3</v>
      </c>
      <c r="P375" s="60">
        <f t="shared" ca="1" si="63"/>
        <v>9.6867927968752408E-3</v>
      </c>
      <c r="Q375" s="60">
        <f t="shared" ca="1" si="63"/>
        <v>0</v>
      </c>
    </row>
    <row r="376" spans="1:17" x14ac:dyDescent="0.2">
      <c r="A376" s="49">
        <v>8</v>
      </c>
      <c r="B376" s="37" t="s">
        <v>947</v>
      </c>
      <c r="C376" s="40" t="s">
        <v>948</v>
      </c>
      <c r="D376" s="60">
        <f t="shared" ca="1" si="56"/>
        <v>1</v>
      </c>
      <c r="F376" s="60">
        <f t="shared" ca="1" si="60"/>
        <v>0.95484303469784559</v>
      </c>
      <c r="G376" s="60"/>
      <c r="H376" s="60">
        <f t="shared" ca="1" si="61"/>
        <v>4.4468545476359984E-2</v>
      </c>
      <c r="I376" s="60">
        <f t="shared" ca="1" si="57"/>
        <v>6.8841982579438362E-4</v>
      </c>
      <c r="K376" s="60"/>
      <c r="L376" s="60">
        <f t="shared" ca="1" si="62"/>
        <v>3.0571666475631604E-6</v>
      </c>
      <c r="M376" s="60"/>
      <c r="N376" s="60">
        <f t="shared" ca="1" si="58"/>
        <v>6.8536265914682047E-4</v>
      </c>
      <c r="O376" s="60">
        <f t="shared" ca="1" si="63"/>
        <v>3.4759678669892935E-4</v>
      </c>
      <c r="P376" s="60">
        <f t="shared" ca="1" si="63"/>
        <v>3.3776587244789113E-4</v>
      </c>
      <c r="Q376" s="60">
        <f t="shared" ca="1" si="63"/>
        <v>0</v>
      </c>
    </row>
    <row r="377" spans="1:17" x14ac:dyDescent="0.2">
      <c r="A377" s="49">
        <v>9</v>
      </c>
      <c r="B377" s="37" t="s">
        <v>949</v>
      </c>
      <c r="C377" s="40" t="s">
        <v>950</v>
      </c>
      <c r="D377" s="60">
        <f t="shared" ca="1" si="56"/>
        <v>1</v>
      </c>
      <c r="F377" s="60">
        <f t="shared" ca="1" si="60"/>
        <v>0</v>
      </c>
      <c r="G377" s="60"/>
      <c r="H377" s="60">
        <f t="shared" ca="1" si="61"/>
        <v>1</v>
      </c>
      <c r="I377" s="60">
        <f t="shared" ca="1" si="57"/>
        <v>0</v>
      </c>
      <c r="K377" s="60"/>
      <c r="L377" s="60">
        <f t="shared" ca="1" si="62"/>
        <v>0</v>
      </c>
      <c r="M377" s="60"/>
      <c r="N377" s="60">
        <f t="shared" ca="1" si="58"/>
        <v>0</v>
      </c>
      <c r="O377" s="60">
        <f t="shared" ca="1" si="63"/>
        <v>0</v>
      </c>
      <c r="P377" s="60">
        <f t="shared" ca="1" si="63"/>
        <v>0</v>
      </c>
      <c r="Q377" s="60">
        <f t="shared" ca="1" si="63"/>
        <v>0</v>
      </c>
    </row>
    <row r="378" spans="1:17" x14ac:dyDescent="0.2">
      <c r="A378" s="49">
        <v>10</v>
      </c>
      <c r="B378" s="37" t="s">
        <v>951</v>
      </c>
      <c r="C378" s="40" t="s">
        <v>952</v>
      </c>
      <c r="D378" s="60">
        <f t="shared" ca="1" si="56"/>
        <v>1</v>
      </c>
      <c r="F378" s="60">
        <f t="shared" ca="1" si="60"/>
        <v>0.12118051550371241</v>
      </c>
      <c r="G378" s="60"/>
      <c r="H378" s="60">
        <f t="shared" ca="1" si="61"/>
        <v>0.87881909552371418</v>
      </c>
      <c r="I378" s="60">
        <f t="shared" ca="1" si="57"/>
        <v>3.8897257335723317E-7</v>
      </c>
      <c r="K378" s="60"/>
      <c r="L378" s="60">
        <f t="shared" ca="1" si="62"/>
        <v>3.8897257335723317E-7</v>
      </c>
      <c r="M378" s="60"/>
      <c r="N378" s="60">
        <f t="shared" ca="1" si="58"/>
        <v>0</v>
      </c>
      <c r="O378" s="60">
        <f t="shared" ca="1" si="63"/>
        <v>0</v>
      </c>
      <c r="P378" s="60">
        <f t="shared" ca="1" si="63"/>
        <v>0</v>
      </c>
      <c r="Q378" s="60">
        <f t="shared" ca="1" si="63"/>
        <v>0</v>
      </c>
    </row>
    <row r="379" spans="1:17" x14ac:dyDescent="0.2">
      <c r="A379" s="49">
        <v>11</v>
      </c>
      <c r="B379" s="37" t="s">
        <v>953</v>
      </c>
      <c r="C379" s="40" t="s">
        <v>954</v>
      </c>
      <c r="D379" s="60">
        <f t="shared" ca="1" si="56"/>
        <v>1</v>
      </c>
      <c r="F379" s="60">
        <f t="shared" ca="1" si="60"/>
        <v>0.9488056371457757</v>
      </c>
      <c r="G379" s="60"/>
      <c r="H379" s="60">
        <f t="shared" ca="1" si="61"/>
        <v>4.9068095003297028E-2</v>
      </c>
      <c r="I379" s="60">
        <f t="shared" ca="1" si="57"/>
        <v>2.1262678509272391E-3</v>
      </c>
      <c r="K379" s="60"/>
      <c r="L379" s="60">
        <f t="shared" ca="1" si="62"/>
        <v>3.19091506271402E-4</v>
      </c>
      <c r="M379" s="60"/>
      <c r="N379" s="60">
        <f t="shared" ca="1" si="58"/>
        <v>1.8071763446558373E-3</v>
      </c>
      <c r="O379" s="60">
        <f t="shared" ca="1" si="63"/>
        <v>1.7939357365164036E-3</v>
      </c>
      <c r="P379" s="60">
        <f t="shared" ca="1" si="63"/>
        <v>1.3240608139433594E-5</v>
      </c>
      <c r="Q379" s="60">
        <f t="shared" ca="1" si="63"/>
        <v>0</v>
      </c>
    </row>
    <row r="380" spans="1:17" x14ac:dyDescent="0.2">
      <c r="A380" s="49">
        <v>12</v>
      </c>
      <c r="B380" s="37" t="s">
        <v>955</v>
      </c>
      <c r="C380" s="40" t="s">
        <v>956</v>
      </c>
      <c r="D380" s="60">
        <f t="shared" ca="1" si="56"/>
        <v>1</v>
      </c>
      <c r="F380" s="60">
        <f t="shared" ca="1" si="60"/>
        <v>0.99809893542459172</v>
      </c>
      <c r="G380" s="60"/>
      <c r="H380" s="60">
        <f t="shared" ca="1" si="61"/>
        <v>0</v>
      </c>
      <c r="I380" s="60">
        <f t="shared" ca="1" si="57"/>
        <v>1.9010645754082586E-3</v>
      </c>
      <c r="K380" s="60"/>
      <c r="L380" s="60">
        <f t="shared" ca="1" si="62"/>
        <v>0</v>
      </c>
      <c r="M380" s="60"/>
      <c r="N380" s="60">
        <f t="shared" ca="1" si="58"/>
        <v>1.9010645754082586E-3</v>
      </c>
      <c r="O380" s="60">
        <f t="shared" ca="1" si="63"/>
        <v>1.887136077967942E-3</v>
      </c>
      <c r="P380" s="60">
        <f t="shared" ca="1" si="63"/>
        <v>1.3928497440316555E-5</v>
      </c>
      <c r="Q380" s="60">
        <f t="shared" ca="1" si="63"/>
        <v>0</v>
      </c>
    </row>
    <row r="381" spans="1:17" x14ac:dyDescent="0.2">
      <c r="A381" s="49">
        <v>13</v>
      </c>
      <c r="B381" s="37" t="s">
        <v>957</v>
      </c>
      <c r="C381" s="40" t="s">
        <v>958</v>
      </c>
      <c r="D381" s="60">
        <f t="shared" ca="1" si="56"/>
        <v>1.0000000000000002</v>
      </c>
      <c r="F381" s="60">
        <f t="shared" ca="1" si="60"/>
        <v>0.94275660490408908</v>
      </c>
      <c r="G381" s="60"/>
      <c r="H381" s="60">
        <f t="shared" ca="1" si="61"/>
        <v>4.5686951154469593E-2</v>
      </c>
      <c r="I381" s="60">
        <f t="shared" ca="1" si="57"/>
        <v>1.1556443941441405E-2</v>
      </c>
      <c r="K381" s="60"/>
      <c r="L381" s="60">
        <f t="shared" ca="1" si="62"/>
        <v>6.5018262108118067E-5</v>
      </c>
      <c r="M381" s="60"/>
      <c r="N381" s="60">
        <f t="shared" ca="1" si="58"/>
        <v>1.1491425679333287E-2</v>
      </c>
      <c r="O381" s="60">
        <f t="shared" ca="1" si="63"/>
        <v>5.9902470667898026E-3</v>
      </c>
      <c r="P381" s="60">
        <f t="shared" ca="1" si="63"/>
        <v>5.5011786125434836E-3</v>
      </c>
      <c r="Q381" s="60">
        <f t="shared" ca="1" si="63"/>
        <v>6.5378784335437198E-20</v>
      </c>
    </row>
    <row r="382" spans="1:17" x14ac:dyDescent="0.2">
      <c r="A382" s="49">
        <v>14</v>
      </c>
      <c r="B382" s="37" t="s">
        <v>959</v>
      </c>
      <c r="C382" s="45" t="s">
        <v>1199</v>
      </c>
      <c r="D382" s="60">
        <f t="shared" ca="1" si="56"/>
        <v>1</v>
      </c>
      <c r="F382" s="60">
        <f t="shared" ca="1" si="60"/>
        <v>1</v>
      </c>
      <c r="G382" s="60"/>
      <c r="H382" s="60">
        <f t="shared" ca="1" si="61"/>
        <v>0</v>
      </c>
      <c r="I382" s="60">
        <f t="shared" ca="1" si="57"/>
        <v>0</v>
      </c>
      <c r="K382" s="60"/>
      <c r="L382" s="60">
        <f t="shared" ca="1" si="62"/>
        <v>0</v>
      </c>
      <c r="M382" s="60"/>
      <c r="N382" s="60">
        <f t="shared" ca="1" si="58"/>
        <v>0</v>
      </c>
      <c r="O382" s="60">
        <f t="shared" ca="1" si="63"/>
        <v>0</v>
      </c>
      <c r="P382" s="60">
        <f t="shared" ca="1" si="63"/>
        <v>0</v>
      </c>
      <c r="Q382" s="60">
        <f t="shared" ca="1" si="63"/>
        <v>0</v>
      </c>
    </row>
    <row r="383" spans="1:17" x14ac:dyDescent="0.2">
      <c r="A383" s="49">
        <v>15</v>
      </c>
      <c r="B383" s="37" t="s">
        <v>694</v>
      </c>
      <c r="C383" s="45" t="s">
        <v>1200</v>
      </c>
      <c r="D383" s="60">
        <f t="shared" ca="1" si="56"/>
        <v>1.0000000000000002</v>
      </c>
      <c r="F383" s="60">
        <f t="shared" ca="1" si="60"/>
        <v>0.93497392644834387</v>
      </c>
      <c r="G383" s="60"/>
      <c r="H383" s="60">
        <f t="shared" ca="1" si="61"/>
        <v>5.0476160754164709E-2</v>
      </c>
      <c r="I383" s="60">
        <f ca="1">(L383+M383+N383)</f>
        <v>1.4549912797491592E-2</v>
      </c>
      <c r="K383" s="60"/>
      <c r="L383" s="60">
        <f t="shared" ca="1" si="62"/>
        <v>6.8723384602869693E-5</v>
      </c>
      <c r="M383" s="60"/>
      <c r="N383" s="60">
        <f ca="1">SUM(O383:Q383)</f>
        <v>1.4481189412888722E-2</v>
      </c>
      <c r="O383" s="60">
        <f t="shared" ca="1" si="63"/>
        <v>7.5267125300415311E-3</v>
      </c>
      <c r="P383" s="60">
        <f t="shared" ca="1" si="63"/>
        <v>6.9544768828471897E-3</v>
      </c>
      <c r="Q383" s="60">
        <f t="shared" ca="1" si="63"/>
        <v>1.4916675899315066E-21</v>
      </c>
    </row>
    <row r="384" spans="1:17" x14ac:dyDescent="0.2">
      <c r="A384" s="49">
        <v>16</v>
      </c>
      <c r="B384" s="37" t="s">
        <v>960</v>
      </c>
      <c r="C384" s="40" t="s">
        <v>961</v>
      </c>
      <c r="D384" s="60">
        <f t="shared" ca="1" si="56"/>
        <v>1</v>
      </c>
      <c r="F384" s="60">
        <f t="shared" ca="1" si="60"/>
        <v>0.93741603079505242</v>
      </c>
      <c r="G384" s="60"/>
      <c r="H384" s="60">
        <f t="shared" ca="1" si="61"/>
        <v>4.2925433691070346E-2</v>
      </c>
      <c r="I384" s="60">
        <f t="shared" ca="1" si="57"/>
        <v>1.9658535513877241E-2</v>
      </c>
      <c r="K384" s="60"/>
      <c r="L384" s="60">
        <f t="shared" ca="1" si="62"/>
        <v>3.0089748693427872E-6</v>
      </c>
      <c r="M384" s="60"/>
      <c r="N384" s="60">
        <f t="shared" ca="1" si="58"/>
        <v>1.9655526539007897E-2</v>
      </c>
      <c r="O384" s="60">
        <f t="shared" ca="1" si="63"/>
        <v>9.9687337421326579E-3</v>
      </c>
      <c r="P384" s="60">
        <f t="shared" ca="1" si="63"/>
        <v>9.686792796875239E-3</v>
      </c>
      <c r="Q384" s="60">
        <f t="shared" ca="1" si="63"/>
        <v>0</v>
      </c>
    </row>
    <row r="385" spans="1:17" x14ac:dyDescent="0.2">
      <c r="A385" s="49">
        <v>17</v>
      </c>
      <c r="B385" s="37" t="s">
        <v>962</v>
      </c>
      <c r="C385" s="40" t="s">
        <v>963</v>
      </c>
      <c r="D385" s="60">
        <f t="shared" ca="1" si="56"/>
        <v>1.0000000000000002</v>
      </c>
      <c r="F385" s="60">
        <f t="shared" ca="1" si="60"/>
        <v>0.93564668452361899</v>
      </c>
      <c r="G385" s="60"/>
      <c r="H385" s="60">
        <f t="shared" ca="1" si="61"/>
        <v>4.3454032953393437E-2</v>
      </c>
      <c r="I385" s="60">
        <f t="shared" ca="1" si="57"/>
        <v>2.08992825229877E-2</v>
      </c>
      <c r="K385" s="60"/>
      <c r="L385" s="60">
        <f t="shared" ca="1" si="62"/>
        <v>2.9877006981830392E-6</v>
      </c>
      <c r="M385" s="60"/>
      <c r="N385" s="60">
        <f t="shared" ca="1" si="58"/>
        <v>2.0896294822289517E-2</v>
      </c>
      <c r="O385" s="60">
        <f t="shared" ca="1" si="63"/>
        <v>1.0598016739317725E-2</v>
      </c>
      <c r="P385" s="60">
        <f t="shared" ca="1" si="63"/>
        <v>1.029827808297179E-2</v>
      </c>
      <c r="Q385" s="60">
        <f t="shared" ca="1" si="63"/>
        <v>0</v>
      </c>
    </row>
    <row r="386" spans="1:17" x14ac:dyDescent="0.2">
      <c r="A386" s="49">
        <v>18</v>
      </c>
      <c r="B386" s="37" t="s">
        <v>964</v>
      </c>
      <c r="C386" s="40" t="s">
        <v>965</v>
      </c>
      <c r="D386" s="60">
        <f t="shared" ca="1" si="56"/>
        <v>1</v>
      </c>
      <c r="F386" s="60">
        <f t="shared" ca="1" si="60"/>
        <v>0.90508402652846476</v>
      </c>
      <c r="G386" s="60"/>
      <c r="H386" s="60">
        <f t="shared" ca="1" si="61"/>
        <v>9.4268620302880815E-2</v>
      </c>
      <c r="I386" s="60">
        <f t="shared" ca="1" si="57"/>
        <v>6.4735316865438715E-4</v>
      </c>
      <c r="K386" s="60"/>
      <c r="L386" s="60">
        <f t="shared" ca="1" si="62"/>
        <v>2.8979095289101035E-6</v>
      </c>
      <c r="M386" s="60"/>
      <c r="N386" s="60">
        <f t="shared" ca="1" si="58"/>
        <v>6.4445525912547709E-4</v>
      </c>
      <c r="O386" s="60">
        <f t="shared" ca="1" si="63"/>
        <v>3.2684969665855912E-4</v>
      </c>
      <c r="P386" s="60">
        <f t="shared" ca="1" si="63"/>
        <v>3.1760556246691803E-4</v>
      </c>
      <c r="Q386" s="60">
        <f t="shared" ca="1" si="63"/>
        <v>0</v>
      </c>
    </row>
    <row r="387" spans="1:17" x14ac:dyDescent="0.2">
      <c r="A387" s="49">
        <v>19</v>
      </c>
      <c r="B387" s="37" t="s">
        <v>1370</v>
      </c>
      <c r="C387" s="40" t="s">
        <v>1369</v>
      </c>
      <c r="D387" s="60">
        <f ca="1">SUM(F387:I387)+K387</f>
        <v>1</v>
      </c>
      <c r="F387" s="60">
        <f t="shared" ca="1" si="60"/>
        <v>0.90566768883355364</v>
      </c>
      <c r="G387" s="60"/>
      <c r="H387" s="60">
        <f t="shared" ca="1" si="61"/>
        <v>9.4329411388140119E-2</v>
      </c>
      <c r="I387" s="60">
        <f ca="1">(L387+M387+N387)</f>
        <v>2.8997783062898903E-6</v>
      </c>
      <c r="K387" s="60"/>
      <c r="L387" s="60">
        <f t="shared" ca="1" si="62"/>
        <v>2.8997783062898903E-6</v>
      </c>
      <c r="M387" s="60"/>
      <c r="N387" s="60">
        <f>SUM(O387:Q387)</f>
        <v>0</v>
      </c>
      <c r="O387" s="60">
        <f t="shared" si="63"/>
        <v>0</v>
      </c>
      <c r="P387" s="60">
        <f t="shared" si="63"/>
        <v>0</v>
      </c>
      <c r="Q387" s="60">
        <f t="shared" si="63"/>
        <v>0</v>
      </c>
    </row>
    <row r="388" spans="1:17" x14ac:dyDescent="0.2">
      <c r="A388" s="49">
        <v>20</v>
      </c>
      <c r="B388" s="37" t="s">
        <v>972</v>
      </c>
      <c r="C388" s="45" t="s">
        <v>592</v>
      </c>
      <c r="D388" s="60">
        <f t="shared" ca="1" si="56"/>
        <v>1</v>
      </c>
      <c r="F388" s="60">
        <f t="shared" ca="1" si="60"/>
        <v>0.93152869719514819</v>
      </c>
      <c r="G388" s="60"/>
      <c r="H388" s="60">
        <f t="shared" ca="1" si="61"/>
        <v>5.4509829594749676E-2</v>
      </c>
      <c r="I388" s="60">
        <f t="shared" ca="1" si="57"/>
        <v>1.3961473210102165E-2</v>
      </c>
      <c r="K388" s="60"/>
      <c r="L388" s="60">
        <f t="shared" ca="1" si="62"/>
        <v>4.8978915217996561E-5</v>
      </c>
      <c r="M388" s="60"/>
      <c r="N388" s="60">
        <f t="shared" ca="1" si="58"/>
        <v>1.3912494294884168E-2</v>
      </c>
      <c r="O388" s="60">
        <f t="shared" ca="1" si="63"/>
        <v>7.1837318805723005E-3</v>
      </c>
      <c r="P388" s="60">
        <f t="shared" ca="1" si="63"/>
        <v>6.7287624143118679E-3</v>
      </c>
      <c r="Q388" s="60">
        <f t="shared" ca="1" si="63"/>
        <v>0</v>
      </c>
    </row>
    <row r="389" spans="1:17" x14ac:dyDescent="0.2">
      <c r="A389" s="55">
        <v>21</v>
      </c>
      <c r="B389" s="37" t="s">
        <v>974</v>
      </c>
      <c r="C389" s="45" t="s">
        <v>1201</v>
      </c>
      <c r="D389" s="60">
        <f t="shared" ca="1" si="56"/>
        <v>1</v>
      </c>
      <c r="F389" s="60">
        <f t="shared" ca="1" si="60"/>
        <v>0.93752244199129864</v>
      </c>
      <c r="G389" s="60"/>
      <c r="H389" s="60">
        <f t="shared" ca="1" si="61"/>
        <v>4.9077821602451527E-2</v>
      </c>
      <c r="I389" s="60">
        <f t="shared" ca="1" si="57"/>
        <v>1.3399736406249882E-2</v>
      </c>
      <c r="K389" s="60"/>
      <c r="L389" s="60">
        <f t="shared" ca="1" si="62"/>
        <v>6.8123591998458933E-5</v>
      </c>
      <c r="M389" s="60"/>
      <c r="N389" s="60">
        <f t="shared" ca="1" si="58"/>
        <v>1.3331612814251423E-2</v>
      </c>
      <c r="O389" s="60">
        <f t="shared" ca="1" si="63"/>
        <v>6.9373111224109787E-3</v>
      </c>
      <c r="P389" s="60">
        <f t="shared" ca="1" si="63"/>
        <v>6.3943016918404432E-3</v>
      </c>
      <c r="Q389" s="60">
        <f t="shared" ca="1" si="63"/>
        <v>2.4647441101644291E-20</v>
      </c>
    </row>
    <row r="390" spans="1:17" x14ac:dyDescent="0.2">
      <c r="A390" s="55">
        <v>22</v>
      </c>
      <c r="B390" s="37" t="s">
        <v>977</v>
      </c>
      <c r="C390" s="45" t="s">
        <v>1267</v>
      </c>
      <c r="D390" s="60">
        <f t="shared" ca="1" si="56"/>
        <v>1</v>
      </c>
      <c r="F390" s="60">
        <f t="shared" ca="1" si="60"/>
        <v>1</v>
      </c>
      <c r="G390" s="60"/>
      <c r="H390" s="60">
        <f t="shared" si="61"/>
        <v>0</v>
      </c>
      <c r="I390" s="60">
        <f t="shared" si="57"/>
        <v>0</v>
      </c>
      <c r="K390" s="60"/>
      <c r="L390" s="60">
        <f t="shared" si="62"/>
        <v>0</v>
      </c>
      <c r="M390" s="60"/>
      <c r="N390" s="60">
        <f t="shared" si="58"/>
        <v>0</v>
      </c>
      <c r="O390" s="60">
        <f t="shared" si="63"/>
        <v>0</v>
      </c>
      <c r="P390" s="60">
        <f t="shared" si="63"/>
        <v>0</v>
      </c>
      <c r="Q390" s="60">
        <f t="shared" si="63"/>
        <v>0</v>
      </c>
    </row>
    <row r="391" spans="1:17" x14ac:dyDescent="0.2">
      <c r="A391" s="49">
        <v>23</v>
      </c>
      <c r="B391" s="37" t="s">
        <v>978</v>
      </c>
      <c r="C391" s="40" t="s">
        <v>2637</v>
      </c>
      <c r="D391" s="60">
        <f t="shared" ca="1" si="56"/>
        <v>1</v>
      </c>
      <c r="F391" s="60">
        <f t="shared" si="60"/>
        <v>0</v>
      </c>
      <c r="G391" s="60"/>
      <c r="H391" s="60">
        <f t="shared" si="61"/>
        <v>0</v>
      </c>
      <c r="I391" s="60">
        <f t="shared" ca="1" si="57"/>
        <v>1</v>
      </c>
      <c r="K391" s="60"/>
      <c r="L391" s="60">
        <f t="shared" si="62"/>
        <v>0</v>
      </c>
      <c r="M391" s="60"/>
      <c r="N391" s="60">
        <f t="shared" ca="1" si="58"/>
        <v>1</v>
      </c>
      <c r="O391" s="60">
        <f t="shared" ca="1" si="63"/>
        <v>0.50717205272262444</v>
      </c>
      <c r="P391" s="60">
        <f t="shared" ca="1" si="63"/>
        <v>0.4928279472773755</v>
      </c>
      <c r="Q391" s="60">
        <f t="shared" ca="1" si="63"/>
        <v>0</v>
      </c>
    </row>
    <row r="392" spans="1:17" x14ac:dyDescent="0.2">
      <c r="A392" s="49">
        <v>24</v>
      </c>
      <c r="B392" s="37" t="s">
        <v>979</v>
      </c>
      <c r="C392" s="40" t="s">
        <v>980</v>
      </c>
      <c r="D392" s="60">
        <f t="shared" ca="1" si="56"/>
        <v>0</v>
      </c>
      <c r="F392" s="60">
        <f t="shared" si="60"/>
        <v>0</v>
      </c>
      <c r="G392" s="60"/>
      <c r="H392" s="60">
        <f t="shared" si="61"/>
        <v>0</v>
      </c>
      <c r="I392" s="60">
        <f t="shared" ca="1" si="57"/>
        <v>0</v>
      </c>
      <c r="K392" s="60"/>
      <c r="L392" s="60">
        <f t="shared" si="62"/>
        <v>0</v>
      </c>
      <c r="M392" s="60"/>
      <c r="N392" s="60">
        <f t="shared" ca="1" si="58"/>
        <v>0</v>
      </c>
      <c r="O392" s="60">
        <f t="shared" ca="1" si="63"/>
        <v>0</v>
      </c>
      <c r="P392" s="60">
        <f t="shared" ca="1" si="63"/>
        <v>0</v>
      </c>
      <c r="Q392" s="60">
        <f t="shared" ca="1" si="63"/>
        <v>0</v>
      </c>
    </row>
    <row r="393" spans="1:17" x14ac:dyDescent="0.2">
      <c r="A393" s="49">
        <v>25</v>
      </c>
      <c r="B393" s="37" t="s">
        <v>981</v>
      </c>
      <c r="C393" s="40" t="s">
        <v>982</v>
      </c>
      <c r="D393" s="60">
        <f t="shared" ca="1" si="56"/>
        <v>1</v>
      </c>
      <c r="F393" s="60">
        <f t="shared" si="60"/>
        <v>0</v>
      </c>
      <c r="G393" s="60"/>
      <c r="H393" s="60">
        <f t="shared" si="61"/>
        <v>0</v>
      </c>
      <c r="I393" s="60">
        <f t="shared" ca="1" si="57"/>
        <v>1</v>
      </c>
      <c r="K393" s="60"/>
      <c r="L393" s="60">
        <f t="shared" si="62"/>
        <v>0</v>
      </c>
      <c r="M393" s="60"/>
      <c r="N393" s="60">
        <f t="shared" ca="1" si="58"/>
        <v>1</v>
      </c>
      <c r="O393" s="60">
        <f t="shared" ca="1" si="63"/>
        <v>0.50717205272262444</v>
      </c>
      <c r="P393" s="60">
        <f t="shared" ca="1" si="63"/>
        <v>0.49282794727737556</v>
      </c>
      <c r="Q393" s="60">
        <f t="shared" ca="1" si="63"/>
        <v>0</v>
      </c>
    </row>
    <row r="394" spans="1:17" x14ac:dyDescent="0.2">
      <c r="A394" s="49">
        <v>26</v>
      </c>
      <c r="B394" s="37" t="s">
        <v>983</v>
      </c>
      <c r="C394" s="40" t="s">
        <v>984</v>
      </c>
      <c r="D394" s="60">
        <f t="shared" ca="1" si="56"/>
        <v>1</v>
      </c>
      <c r="F394" s="60">
        <f t="shared" si="60"/>
        <v>0</v>
      </c>
      <c r="G394" s="60"/>
      <c r="H394" s="60">
        <f t="shared" si="61"/>
        <v>0</v>
      </c>
      <c r="I394" s="60">
        <f t="shared" ca="1" si="57"/>
        <v>1</v>
      </c>
      <c r="K394" s="60"/>
      <c r="L394" s="60">
        <f t="shared" si="62"/>
        <v>0</v>
      </c>
      <c r="M394" s="60"/>
      <c r="N394" s="60">
        <f t="shared" ca="1" si="58"/>
        <v>1</v>
      </c>
      <c r="O394" s="60">
        <f t="shared" ref="O394:Q413" ca="1" si="64">IF(O145&lt;&gt;0,IF($D145=0,1,+O145/$D145),0)</f>
        <v>0.50717205272262444</v>
      </c>
      <c r="P394" s="60">
        <f t="shared" ca="1" si="64"/>
        <v>0.4928279472773755</v>
      </c>
      <c r="Q394" s="60">
        <f t="shared" ca="1" si="64"/>
        <v>0</v>
      </c>
    </row>
    <row r="395" spans="1:17" x14ac:dyDescent="0.2">
      <c r="A395" s="49">
        <v>27</v>
      </c>
      <c r="B395" s="37" t="s">
        <v>985</v>
      </c>
      <c r="C395" s="40" t="s">
        <v>986</v>
      </c>
      <c r="D395" s="60">
        <f t="shared" ca="1" si="56"/>
        <v>1</v>
      </c>
      <c r="F395" s="60">
        <f t="shared" ca="1" si="60"/>
        <v>0.95484303469784559</v>
      </c>
      <c r="G395" s="60"/>
      <c r="H395" s="60">
        <f t="shared" ca="1" si="61"/>
        <v>4.4468545476359984E-2</v>
      </c>
      <c r="I395" s="60">
        <f t="shared" ca="1" si="57"/>
        <v>6.8841982579438362E-4</v>
      </c>
      <c r="K395" s="60"/>
      <c r="L395" s="60">
        <f t="shared" ca="1" si="62"/>
        <v>3.0571666475631604E-6</v>
      </c>
      <c r="M395" s="60"/>
      <c r="N395" s="60">
        <f t="shared" ca="1" si="58"/>
        <v>6.8536265914682047E-4</v>
      </c>
      <c r="O395" s="60">
        <f t="shared" ca="1" si="64"/>
        <v>3.4759678669892935E-4</v>
      </c>
      <c r="P395" s="60">
        <f t="shared" ca="1" si="64"/>
        <v>3.3776587244789113E-4</v>
      </c>
      <c r="Q395" s="60">
        <f t="shared" ca="1" si="64"/>
        <v>0</v>
      </c>
    </row>
    <row r="396" spans="1:17" x14ac:dyDescent="0.2">
      <c r="A396" s="49">
        <v>28</v>
      </c>
      <c r="B396" s="37" t="s">
        <v>1104</v>
      </c>
      <c r="C396" s="40" t="s">
        <v>988</v>
      </c>
      <c r="D396" s="60">
        <f t="shared" ca="1" si="56"/>
        <v>1</v>
      </c>
      <c r="F396" s="60">
        <f t="shared" ca="1" si="60"/>
        <v>0.12118051550371241</v>
      </c>
      <c r="G396" s="60"/>
      <c r="H396" s="60">
        <f t="shared" ca="1" si="61"/>
        <v>0.87881909552371418</v>
      </c>
      <c r="I396" s="60">
        <f t="shared" ca="1" si="57"/>
        <v>3.8897257335723317E-7</v>
      </c>
      <c r="K396" s="60"/>
      <c r="L396" s="60">
        <f t="shared" ca="1" si="62"/>
        <v>3.8897257335723317E-7</v>
      </c>
      <c r="M396" s="60"/>
      <c r="N396" s="60">
        <f t="shared" ca="1" si="58"/>
        <v>0</v>
      </c>
      <c r="O396" s="60">
        <f t="shared" ca="1" si="64"/>
        <v>0</v>
      </c>
      <c r="P396" s="60">
        <f t="shared" ca="1" si="64"/>
        <v>0</v>
      </c>
      <c r="Q396" s="60">
        <f t="shared" ca="1" si="64"/>
        <v>0</v>
      </c>
    </row>
    <row r="397" spans="1:17" x14ac:dyDescent="0.2">
      <c r="A397" s="49">
        <v>29</v>
      </c>
      <c r="B397" s="37" t="s">
        <v>989</v>
      </c>
      <c r="C397" s="45" t="s">
        <v>1202</v>
      </c>
      <c r="D397" s="60">
        <f t="shared" ca="1" si="56"/>
        <v>1</v>
      </c>
      <c r="F397" s="60">
        <f t="shared" ca="1" si="60"/>
        <v>0.92982694811048539</v>
      </c>
      <c r="G397" s="60"/>
      <c r="H397" s="60">
        <f t="shared" ca="1" si="61"/>
        <v>7.0062632156146748E-2</v>
      </c>
      <c r="I397" s="60">
        <f t="shared" ca="1" si="57"/>
        <v>1.1041973336786173E-4</v>
      </c>
      <c r="K397" s="60"/>
      <c r="L397" s="60">
        <f t="shared" ca="1" si="62"/>
        <v>1.1041973336786173E-4</v>
      </c>
      <c r="M397" s="60"/>
      <c r="N397" s="60">
        <f t="shared" ca="1" si="58"/>
        <v>0</v>
      </c>
      <c r="O397" s="60">
        <f t="shared" ca="1" si="64"/>
        <v>0</v>
      </c>
      <c r="P397" s="60">
        <f t="shared" ca="1" si="64"/>
        <v>0</v>
      </c>
      <c r="Q397" s="60">
        <f t="shared" ca="1" si="64"/>
        <v>0</v>
      </c>
    </row>
    <row r="398" spans="1:17" x14ac:dyDescent="0.2">
      <c r="A398" s="49">
        <v>30</v>
      </c>
      <c r="B398" s="37" t="s">
        <v>990</v>
      </c>
      <c r="C398" s="40" t="s">
        <v>991</v>
      </c>
      <c r="D398" s="60">
        <f t="shared" ca="1" si="56"/>
        <v>1</v>
      </c>
      <c r="F398" s="60">
        <f t="shared" ca="1" si="60"/>
        <v>0.93497428781182257</v>
      </c>
      <c r="G398" s="60"/>
      <c r="H398" s="60">
        <f t="shared" ca="1" si="61"/>
        <v>5.0475880247591642E-2</v>
      </c>
      <c r="I398" s="60">
        <f t="shared" ca="1" si="57"/>
        <v>1.4549831940585749E-2</v>
      </c>
      <c r="K398" s="60"/>
      <c r="L398" s="60">
        <f t="shared" ca="1" si="62"/>
        <v>6.8723002692660655E-5</v>
      </c>
      <c r="M398" s="60"/>
      <c r="N398" s="60">
        <f t="shared" ca="1" si="58"/>
        <v>1.4481108937893089E-2</v>
      </c>
      <c r="O398" s="60">
        <f t="shared" ca="1" si="64"/>
        <v>7.5266707025271815E-3</v>
      </c>
      <c r="P398" s="60">
        <f t="shared" ca="1" si="64"/>
        <v>6.9544382353659085E-3</v>
      </c>
      <c r="Q398" s="60">
        <f t="shared" ca="1" si="64"/>
        <v>1.4916593004230028E-21</v>
      </c>
    </row>
    <row r="399" spans="1:17" x14ac:dyDescent="0.2">
      <c r="A399" s="49">
        <v>31</v>
      </c>
      <c r="B399" s="37" t="s">
        <v>992</v>
      </c>
      <c r="C399" s="40" t="s">
        <v>993</v>
      </c>
      <c r="D399" s="60">
        <f t="shared" ca="1" si="56"/>
        <v>1</v>
      </c>
      <c r="F399" s="60">
        <f t="shared" ca="1" si="60"/>
        <v>1</v>
      </c>
      <c r="G399" s="60"/>
      <c r="H399" s="60">
        <f t="shared" si="61"/>
        <v>0</v>
      </c>
      <c r="I399" s="60">
        <f t="shared" si="57"/>
        <v>0</v>
      </c>
      <c r="K399" s="60"/>
      <c r="L399" s="60">
        <f t="shared" si="62"/>
        <v>0</v>
      </c>
      <c r="M399" s="60"/>
      <c r="N399" s="60">
        <f t="shared" si="58"/>
        <v>0</v>
      </c>
      <c r="O399" s="60">
        <f t="shared" si="64"/>
        <v>0</v>
      </c>
      <c r="P399" s="60">
        <f t="shared" si="64"/>
        <v>0</v>
      </c>
      <c r="Q399" s="60">
        <f t="shared" si="64"/>
        <v>0</v>
      </c>
    </row>
    <row r="400" spans="1:17" x14ac:dyDescent="0.2">
      <c r="A400" s="49">
        <v>32</v>
      </c>
      <c r="B400" s="37" t="s">
        <v>994</v>
      </c>
      <c r="C400" s="40" t="s">
        <v>995</v>
      </c>
      <c r="D400" s="60">
        <f t="shared" ca="1" si="56"/>
        <v>0.99999999999999989</v>
      </c>
      <c r="F400" s="60">
        <f t="shared" ca="1" si="60"/>
        <v>0.98467671158855896</v>
      </c>
      <c r="G400" s="60"/>
      <c r="H400" s="60">
        <f t="shared" si="61"/>
        <v>0</v>
      </c>
      <c r="I400" s="60">
        <f t="shared" ca="1" si="57"/>
        <v>1.532328841144095E-2</v>
      </c>
      <c r="K400" s="60"/>
      <c r="L400" s="60">
        <f t="shared" ca="1" si="62"/>
        <v>7.2376258025525885E-5</v>
      </c>
      <c r="M400" s="60"/>
      <c r="N400" s="60">
        <f t="shared" ca="1" si="58"/>
        <v>1.5250912153415425E-2</v>
      </c>
      <c r="O400" s="60">
        <f t="shared" ca="1" si="64"/>
        <v>7.9267820015881067E-3</v>
      </c>
      <c r="P400" s="60">
        <f t="shared" ca="1" si="64"/>
        <v>7.3241301518273188E-3</v>
      </c>
      <c r="Q400" s="60">
        <f t="shared" ca="1" si="64"/>
        <v>1.570954617574073E-21</v>
      </c>
    </row>
    <row r="401" spans="1:17" x14ac:dyDescent="0.2">
      <c r="A401" s="49">
        <v>33</v>
      </c>
      <c r="B401" s="37" t="s">
        <v>996</v>
      </c>
      <c r="C401" s="40" t="s">
        <v>997</v>
      </c>
      <c r="D401" s="60">
        <f t="shared" ca="1" si="56"/>
        <v>1</v>
      </c>
      <c r="F401" s="60">
        <f t="shared" si="60"/>
        <v>0</v>
      </c>
      <c r="G401" s="60"/>
      <c r="H401" s="60">
        <f t="shared" ca="1" si="61"/>
        <v>1</v>
      </c>
      <c r="I401" s="60">
        <f t="shared" si="57"/>
        <v>0</v>
      </c>
      <c r="K401" s="60"/>
      <c r="L401" s="60">
        <f t="shared" si="62"/>
        <v>0</v>
      </c>
      <c r="M401" s="60"/>
      <c r="N401" s="60">
        <f t="shared" si="58"/>
        <v>0</v>
      </c>
      <c r="O401" s="60">
        <f t="shared" si="64"/>
        <v>0</v>
      </c>
      <c r="P401" s="60">
        <f t="shared" si="64"/>
        <v>0</v>
      </c>
      <c r="Q401" s="60">
        <f t="shared" si="64"/>
        <v>0</v>
      </c>
    </row>
    <row r="402" spans="1:17" x14ac:dyDescent="0.2">
      <c r="A402" s="49">
        <v>34</v>
      </c>
      <c r="B402" s="37" t="s">
        <v>998</v>
      </c>
      <c r="C402" s="40" t="s">
        <v>999</v>
      </c>
      <c r="D402" s="60">
        <f t="shared" ca="1" si="56"/>
        <v>0.99999999999999989</v>
      </c>
      <c r="F402" s="60">
        <f t="shared" ca="1" si="60"/>
        <v>0.93543431741125871</v>
      </c>
      <c r="G402" s="60"/>
      <c r="H402" s="60">
        <f t="shared" ca="1" si="61"/>
        <v>4.3601568614245065E-2</v>
      </c>
      <c r="I402" s="60">
        <f t="shared" ca="1" si="57"/>
        <v>2.0964113974496153E-2</v>
      </c>
      <c r="K402" s="60"/>
      <c r="L402" s="60">
        <f t="shared" ca="1" si="62"/>
        <v>2.9861734800373112E-6</v>
      </c>
      <c r="M402" s="60"/>
      <c r="N402" s="60">
        <f t="shared" ca="1" si="58"/>
        <v>2.0961127801016118E-2</v>
      </c>
      <c r="O402" s="60">
        <f t="shared" ca="1" si="64"/>
        <v>1.0630898214222617E-2</v>
      </c>
      <c r="P402" s="60">
        <f t="shared" ca="1" si="64"/>
        <v>1.0330229586793499E-2</v>
      </c>
      <c r="Q402" s="60">
        <f t="shared" ca="1" si="64"/>
        <v>0</v>
      </c>
    </row>
    <row r="403" spans="1:17" x14ac:dyDescent="0.2">
      <c r="A403" s="49">
        <v>35</v>
      </c>
      <c r="B403" s="37" t="s">
        <v>1000</v>
      </c>
      <c r="C403" s="40" t="s">
        <v>1001</v>
      </c>
      <c r="D403" s="60">
        <f t="shared" ca="1" si="56"/>
        <v>1</v>
      </c>
      <c r="F403" s="60">
        <f t="shared" ca="1" si="60"/>
        <v>0.93702736377155482</v>
      </c>
      <c r="G403" s="60"/>
      <c r="H403" s="60">
        <f t="shared" ca="1" si="61"/>
        <v>4.2827610095801778E-2</v>
      </c>
      <c r="I403" s="60">
        <f t="shared" ca="1" si="57"/>
        <v>2.0145026132643348E-2</v>
      </c>
      <c r="K403" s="60"/>
      <c r="L403" s="60">
        <f t="shared" ca="1" si="62"/>
        <v>3.0016907337616793E-6</v>
      </c>
      <c r="M403" s="60"/>
      <c r="N403" s="60">
        <f t="shared" ca="1" si="58"/>
        <v>2.0142024441909587E-2</v>
      </c>
      <c r="O403" s="60">
        <f t="shared" ca="1" si="64"/>
        <v>1.0215471882192559E-2</v>
      </c>
      <c r="P403" s="60">
        <f t="shared" ca="1" si="64"/>
        <v>9.9265525597170261E-3</v>
      </c>
      <c r="Q403" s="60">
        <f t="shared" ca="1" si="64"/>
        <v>0</v>
      </c>
    </row>
    <row r="404" spans="1:17" x14ac:dyDescent="0.2">
      <c r="A404" s="49">
        <v>36</v>
      </c>
      <c r="B404" s="37" t="s">
        <v>1002</v>
      </c>
      <c r="C404" s="40" t="s">
        <v>1003</v>
      </c>
      <c r="D404" s="60">
        <f t="shared" ca="1" si="56"/>
        <v>1</v>
      </c>
      <c r="F404" s="60">
        <f t="shared" ca="1" si="60"/>
        <v>0.93667519959811796</v>
      </c>
      <c r="G404" s="60"/>
      <c r="H404" s="60">
        <f t="shared" ca="1" si="61"/>
        <v>4.2725632379494331E-2</v>
      </c>
      <c r="I404" s="60">
        <f t="shared" ca="1" si="57"/>
        <v>2.0599168022387756E-2</v>
      </c>
      <c r="K404" s="60"/>
      <c r="L404" s="60">
        <f t="shared" ca="1" si="62"/>
        <v>2.9949278909977375E-6</v>
      </c>
      <c r="M404" s="60"/>
      <c r="N404" s="60">
        <f t="shared" ca="1" si="58"/>
        <v>2.0596173094496757E-2</v>
      </c>
      <c r="O404" s="60">
        <f t="shared" ca="1" si="64"/>
        <v>1.0445803386566409E-2</v>
      </c>
      <c r="P404" s="60">
        <f t="shared" ca="1" si="64"/>
        <v>1.0150369707930347E-2</v>
      </c>
      <c r="Q404" s="60">
        <f t="shared" ca="1" si="64"/>
        <v>0</v>
      </c>
    </row>
    <row r="405" spans="1:17" x14ac:dyDescent="0.2">
      <c r="A405" s="49">
        <v>37</v>
      </c>
      <c r="B405" s="37" t="s">
        <v>1004</v>
      </c>
      <c r="C405" s="45" t="s">
        <v>1203</v>
      </c>
      <c r="D405" s="60">
        <f t="shared" ca="1" si="56"/>
        <v>1</v>
      </c>
      <c r="F405" s="60">
        <f t="shared" ca="1" si="60"/>
        <v>0.95294034518035065</v>
      </c>
      <c r="G405" s="60"/>
      <c r="H405" s="60">
        <f t="shared" ca="1" si="61"/>
        <v>3.2819901861418921E-2</v>
      </c>
      <c r="I405" s="60">
        <f t="shared" ca="1" si="57"/>
        <v>1.4239752958230491E-2</v>
      </c>
      <c r="K405" s="60"/>
      <c r="L405" s="60">
        <f t="shared" ca="1" si="62"/>
        <v>1.8643495204744692E-3</v>
      </c>
      <c r="M405" s="60"/>
      <c r="N405" s="60">
        <f t="shared" ca="1" si="58"/>
        <v>1.2375403437756023E-2</v>
      </c>
      <c r="O405" s="60">
        <f t="shared" ca="1" si="64"/>
        <v>1.2375403437756023E-2</v>
      </c>
      <c r="P405" s="60">
        <f t="shared" ca="1" si="64"/>
        <v>0</v>
      </c>
      <c r="Q405" s="60">
        <f t="shared" ca="1" si="64"/>
        <v>0</v>
      </c>
    </row>
    <row r="406" spans="1:17" x14ac:dyDescent="0.2">
      <c r="A406" s="49">
        <v>38</v>
      </c>
      <c r="B406" s="37" t="s">
        <v>1005</v>
      </c>
      <c r="C406" s="45" t="s">
        <v>1204</v>
      </c>
      <c r="D406" s="60">
        <f t="shared" ca="1" si="56"/>
        <v>0.99999999999999989</v>
      </c>
      <c r="F406" s="60">
        <f t="shared" ca="1" si="60"/>
        <v>0.97714257291880124</v>
      </c>
      <c r="G406" s="60"/>
      <c r="H406" s="60">
        <f t="shared" ca="1" si="61"/>
        <v>2.2857427081198672E-2</v>
      </c>
      <c r="I406" s="60">
        <f t="shared" ca="1" si="57"/>
        <v>0</v>
      </c>
      <c r="K406" s="60"/>
      <c r="L406" s="60">
        <f t="shared" ca="1" si="62"/>
        <v>0</v>
      </c>
      <c r="M406" s="60"/>
      <c r="N406" s="60">
        <f t="shared" ca="1" si="58"/>
        <v>0</v>
      </c>
      <c r="O406" s="60">
        <f t="shared" ca="1" si="64"/>
        <v>0</v>
      </c>
      <c r="P406" s="60">
        <f t="shared" ca="1" si="64"/>
        <v>0</v>
      </c>
      <c r="Q406" s="60">
        <f t="shared" ca="1" si="64"/>
        <v>0</v>
      </c>
    </row>
    <row r="407" spans="1:17" x14ac:dyDescent="0.2">
      <c r="A407" s="49">
        <v>39</v>
      </c>
      <c r="B407" s="37" t="s">
        <v>1006</v>
      </c>
      <c r="C407" s="45" t="s">
        <v>1205</v>
      </c>
      <c r="D407" s="60">
        <f t="shared" ca="1" si="56"/>
        <v>0.99999999999999989</v>
      </c>
      <c r="F407" s="60">
        <f t="shared" ca="1" si="60"/>
        <v>0.96949270004694565</v>
      </c>
      <c r="G407" s="60"/>
      <c r="H407" s="60">
        <f t="shared" ca="1" si="61"/>
        <v>3.0507299953054269E-2</v>
      </c>
      <c r="I407" s="60">
        <f t="shared" ca="1" si="57"/>
        <v>0</v>
      </c>
      <c r="K407" s="60"/>
      <c r="L407" s="60">
        <f t="shared" ca="1" si="62"/>
        <v>0</v>
      </c>
      <c r="M407" s="60"/>
      <c r="N407" s="60">
        <f t="shared" ca="1" si="58"/>
        <v>0</v>
      </c>
      <c r="O407" s="60">
        <f t="shared" ca="1" si="64"/>
        <v>0</v>
      </c>
      <c r="P407" s="60">
        <f t="shared" ca="1" si="64"/>
        <v>0</v>
      </c>
      <c r="Q407" s="60">
        <f t="shared" ca="1" si="64"/>
        <v>0</v>
      </c>
    </row>
    <row r="408" spans="1:17" x14ac:dyDescent="0.2">
      <c r="A408" s="49">
        <v>40</v>
      </c>
      <c r="B408" s="37" t="s">
        <v>1007</v>
      </c>
      <c r="C408" s="45" t="s">
        <v>1206</v>
      </c>
      <c r="D408" s="60">
        <f t="shared" ca="1" si="56"/>
        <v>1.0000000000000002</v>
      </c>
      <c r="F408" s="60">
        <f t="shared" ca="1" si="60"/>
        <v>0.95355876133488604</v>
      </c>
      <c r="G408" s="60"/>
      <c r="H408" s="60">
        <f t="shared" ca="1" si="61"/>
        <v>4.5817503086860473E-2</v>
      </c>
      <c r="I408" s="60">
        <f t="shared" ca="1" si="57"/>
        <v>6.2373557825358362E-4</v>
      </c>
      <c r="K408" s="60"/>
      <c r="L408" s="60">
        <f t="shared" ca="1" si="62"/>
        <v>5.0851068764125075E-5</v>
      </c>
      <c r="M408" s="60"/>
      <c r="N408" s="60">
        <f t="shared" ca="1" si="58"/>
        <v>5.728845094894585E-4</v>
      </c>
      <c r="O408" s="60">
        <f t="shared" ca="1" si="64"/>
        <v>2.4771551378448389E-4</v>
      </c>
      <c r="P408" s="60">
        <f t="shared" ca="1" si="64"/>
        <v>3.2516899570497466E-4</v>
      </c>
      <c r="Q408" s="60">
        <f t="shared" ca="1" si="64"/>
        <v>0</v>
      </c>
    </row>
    <row r="409" spans="1:17" x14ac:dyDescent="0.2">
      <c r="A409" s="49">
        <v>41</v>
      </c>
      <c r="B409" s="37" t="s">
        <v>1008</v>
      </c>
      <c r="C409" s="45" t="s">
        <v>1207</v>
      </c>
      <c r="D409" s="60">
        <f t="shared" ca="1" si="56"/>
        <v>1</v>
      </c>
      <c r="F409" s="60">
        <f t="shared" ca="1" si="60"/>
        <v>1</v>
      </c>
      <c r="G409" s="60"/>
      <c r="H409" s="60">
        <f t="shared" ca="1" si="61"/>
        <v>0</v>
      </c>
      <c r="I409" s="60">
        <f t="shared" ca="1" si="57"/>
        <v>0</v>
      </c>
      <c r="K409" s="60"/>
      <c r="L409" s="60">
        <f t="shared" ca="1" si="62"/>
        <v>0</v>
      </c>
      <c r="M409" s="60"/>
      <c r="N409" s="60">
        <f t="shared" ca="1" si="58"/>
        <v>0</v>
      </c>
      <c r="O409" s="60">
        <f t="shared" ca="1" si="64"/>
        <v>0</v>
      </c>
      <c r="P409" s="60">
        <f t="shared" ca="1" si="64"/>
        <v>0</v>
      </c>
      <c r="Q409" s="60">
        <f t="shared" ca="1" si="64"/>
        <v>0</v>
      </c>
    </row>
    <row r="410" spans="1:17" x14ac:dyDescent="0.2">
      <c r="A410" s="49">
        <v>42</v>
      </c>
      <c r="B410" s="37" t="s">
        <v>1009</v>
      </c>
      <c r="C410" s="45" t="s">
        <v>1208</v>
      </c>
      <c r="D410" s="60">
        <f t="shared" ca="1" si="56"/>
        <v>1.0000000000000002</v>
      </c>
      <c r="F410" s="60">
        <f t="shared" ca="1" si="60"/>
        <v>0.9657772923107425</v>
      </c>
      <c r="G410" s="60"/>
      <c r="H410" s="60">
        <f t="shared" ca="1" si="61"/>
        <v>3.4213160417848679E-2</v>
      </c>
      <c r="I410" s="60">
        <f t="shared" ca="1" si="57"/>
        <v>9.5472714088960174E-6</v>
      </c>
      <c r="K410" s="60"/>
      <c r="L410" s="60">
        <f t="shared" ca="1" si="62"/>
        <v>9.5472714088960174E-6</v>
      </c>
      <c r="M410" s="60"/>
      <c r="N410" s="60">
        <f t="shared" ca="1" si="58"/>
        <v>0</v>
      </c>
      <c r="O410" s="60">
        <f t="shared" ca="1" si="64"/>
        <v>0</v>
      </c>
      <c r="P410" s="60">
        <f t="shared" ca="1" si="64"/>
        <v>0</v>
      </c>
      <c r="Q410" s="60">
        <f t="shared" ca="1" si="64"/>
        <v>0</v>
      </c>
    </row>
    <row r="411" spans="1:17" x14ac:dyDescent="0.2">
      <c r="A411" s="49">
        <v>43</v>
      </c>
      <c r="B411" s="37" t="s">
        <v>1010</v>
      </c>
      <c r="C411" s="45" t="s">
        <v>1222</v>
      </c>
      <c r="D411" s="60">
        <f t="shared" ca="1" si="56"/>
        <v>1.0000000000000002</v>
      </c>
      <c r="F411" s="60">
        <f t="shared" ca="1" si="60"/>
        <v>0.95003195393362816</v>
      </c>
      <c r="G411" s="60"/>
      <c r="H411" s="60">
        <f t="shared" ca="1" si="61"/>
        <v>4.9682107773700274E-2</v>
      </c>
      <c r="I411" s="60">
        <f t="shared" ca="1" si="57"/>
        <v>2.859382926716783E-4</v>
      </c>
      <c r="K411" s="60"/>
      <c r="L411" s="60">
        <f t="shared" ca="1" si="62"/>
        <v>6.5884399233105599E-6</v>
      </c>
      <c r="M411" s="60"/>
      <c r="N411" s="60">
        <f t="shared" ca="1" si="58"/>
        <v>2.7934985274836777E-4</v>
      </c>
      <c r="O411" s="60">
        <f t="shared" ca="1" si="64"/>
        <v>1.1200347869627952E-4</v>
      </c>
      <c r="P411" s="60">
        <f t="shared" ca="1" si="64"/>
        <v>1.6734637405208823E-4</v>
      </c>
      <c r="Q411" s="60">
        <f t="shared" ca="1" si="64"/>
        <v>0</v>
      </c>
    </row>
    <row r="412" spans="1:17" x14ac:dyDescent="0.2">
      <c r="A412" s="49">
        <v>44</v>
      </c>
      <c r="B412" s="37" t="s">
        <v>1011</v>
      </c>
      <c r="C412" s="45" t="s">
        <v>1223</v>
      </c>
      <c r="D412" s="60">
        <f t="shared" ca="1" si="56"/>
        <v>1</v>
      </c>
      <c r="F412" s="60">
        <f t="shared" ca="1" si="60"/>
        <v>0.99069472996649699</v>
      </c>
      <c r="G412" s="60"/>
      <c r="H412" s="60">
        <f t="shared" ca="1" si="61"/>
        <v>9.3042775066559807E-3</v>
      </c>
      <c r="I412" s="60">
        <f t="shared" ca="1" si="57"/>
        <v>9.9252684706354029E-7</v>
      </c>
      <c r="K412" s="60"/>
      <c r="L412" s="60">
        <f t="shared" ca="1" si="62"/>
        <v>9.9252684706354029E-7</v>
      </c>
      <c r="M412" s="60"/>
      <c r="N412" s="60">
        <f t="shared" ca="1" si="58"/>
        <v>0</v>
      </c>
      <c r="O412" s="60">
        <f t="shared" ca="1" si="64"/>
        <v>0</v>
      </c>
      <c r="P412" s="60">
        <f t="shared" ca="1" si="64"/>
        <v>0</v>
      </c>
      <c r="Q412" s="60">
        <f t="shared" ca="1" si="64"/>
        <v>0</v>
      </c>
    </row>
    <row r="413" spans="1:17" x14ac:dyDescent="0.2">
      <c r="A413" s="49">
        <v>45</v>
      </c>
      <c r="B413" s="37" t="s">
        <v>690</v>
      </c>
      <c r="C413" s="40" t="s">
        <v>691</v>
      </c>
      <c r="D413" s="60">
        <f t="shared" ca="1" si="56"/>
        <v>1</v>
      </c>
      <c r="F413" s="60">
        <f t="shared" ca="1" si="60"/>
        <v>0.93309100040101733</v>
      </c>
      <c r="G413" s="60"/>
      <c r="H413" s="60">
        <f t="shared" ca="1" si="61"/>
        <v>6.5314290551134038E-2</v>
      </c>
      <c r="I413" s="60">
        <f ca="1">(L413+M413+N413)</f>
        <v>1.5947090478486117E-3</v>
      </c>
      <c r="K413" s="60"/>
      <c r="L413" s="60">
        <f t="shared" ca="1" si="62"/>
        <v>2.0544364555285095E-4</v>
      </c>
      <c r="M413" s="60"/>
      <c r="N413" s="60">
        <f ca="1">SUM(O413:Q413)</f>
        <v>1.3892654022957607E-3</v>
      </c>
      <c r="O413" s="60">
        <f t="shared" ca="1" si="64"/>
        <v>1.2666284423852045E-3</v>
      </c>
      <c r="P413" s="60">
        <f t="shared" ca="1" si="64"/>
        <v>1.2263695991055612E-4</v>
      </c>
      <c r="Q413" s="60">
        <f t="shared" ca="1" si="64"/>
        <v>0</v>
      </c>
    </row>
    <row r="414" spans="1:17" x14ac:dyDescent="0.2">
      <c r="C414" s="47"/>
    </row>
    <row r="415" spans="1:17" x14ac:dyDescent="0.2">
      <c r="B415" s="58" t="s">
        <v>1012</v>
      </c>
      <c r="C415" s="47"/>
    </row>
    <row r="416" spans="1:17" x14ac:dyDescent="0.2">
      <c r="B416" s="56" t="s">
        <v>451</v>
      </c>
      <c r="C416" s="47"/>
    </row>
    <row r="417" spans="1:17" x14ac:dyDescent="0.2">
      <c r="A417" s="49">
        <v>1</v>
      </c>
      <c r="B417" s="37" t="s">
        <v>1013</v>
      </c>
      <c r="C417" s="45" t="s">
        <v>1224</v>
      </c>
      <c r="D417" s="60">
        <f t="shared" ref="D417:D456" ca="1" si="65">SUM(F417:I417)+K417</f>
        <v>1</v>
      </c>
      <c r="F417" s="60">
        <f t="shared" ref="F417:F456" ca="1" si="66">IF(F168&lt;&gt;0,IF($D168=0,1,+F168/$D168),0)</f>
        <v>0.94892097697757327</v>
      </c>
      <c r="G417" s="60"/>
      <c r="H417" s="60">
        <f t="shared" ref="H417:H456" ca="1" si="67">IF(H168&lt;&gt;0,IF($D168=0,1,+H168/$D168),0)</f>
        <v>5.1073574787019391E-2</v>
      </c>
      <c r="I417" s="60">
        <f t="shared" ref="I417:I456" ca="1" si="68">(L417+M417+N417)</f>
        <v>5.4482354073554802E-6</v>
      </c>
      <c r="K417" s="60"/>
      <c r="L417" s="60">
        <f t="shared" ref="L417:L456" ca="1" si="69">IF(L168&lt;&gt;0,IF($D168=0,1,+L168/$D168),0)</f>
        <v>5.4482354073554802E-6</v>
      </c>
      <c r="M417" s="60"/>
      <c r="N417" s="60">
        <f t="shared" ref="N417:N456" ca="1" si="70">SUM(O417:Q417)</f>
        <v>0</v>
      </c>
      <c r="O417" s="60">
        <f t="shared" ref="O417:Q436" ca="1" si="71">IF(O168&lt;&gt;0,IF($D168=0,1,+O168/$D168),0)</f>
        <v>0</v>
      </c>
      <c r="P417" s="60">
        <f t="shared" ca="1" si="71"/>
        <v>0</v>
      </c>
      <c r="Q417" s="60">
        <f t="shared" ca="1" si="71"/>
        <v>0</v>
      </c>
    </row>
    <row r="418" spans="1:17" x14ac:dyDescent="0.2">
      <c r="A418" s="49">
        <v>2</v>
      </c>
      <c r="B418" s="37" t="s">
        <v>1014</v>
      </c>
      <c r="C418" s="40" t="s">
        <v>1015</v>
      </c>
      <c r="D418" s="60">
        <f t="shared" ca="1" si="65"/>
        <v>1</v>
      </c>
      <c r="F418" s="60">
        <f t="shared" si="66"/>
        <v>0</v>
      </c>
      <c r="G418" s="60"/>
      <c r="H418" s="60">
        <f t="shared" si="67"/>
        <v>0</v>
      </c>
      <c r="I418" s="60">
        <f t="shared" ca="1" si="68"/>
        <v>1</v>
      </c>
      <c r="K418" s="60"/>
      <c r="L418" s="60">
        <f t="shared" si="69"/>
        <v>0</v>
      </c>
      <c r="M418" s="60"/>
      <c r="N418" s="60">
        <f t="shared" ca="1" si="70"/>
        <v>1</v>
      </c>
      <c r="O418" s="60">
        <f t="shared" ca="1" si="71"/>
        <v>0.50632304693712848</v>
      </c>
      <c r="P418" s="60">
        <f t="shared" ca="1" si="71"/>
        <v>0.49367695306287152</v>
      </c>
      <c r="Q418" s="60">
        <f t="shared" ca="1" si="71"/>
        <v>0</v>
      </c>
    </row>
    <row r="419" spans="1:17" x14ac:dyDescent="0.2">
      <c r="A419" s="49">
        <v>3</v>
      </c>
      <c r="B419" s="37" t="s">
        <v>1016</v>
      </c>
      <c r="C419" s="40" t="s">
        <v>1017</v>
      </c>
      <c r="D419" s="60">
        <f t="shared" ca="1" si="65"/>
        <v>1</v>
      </c>
      <c r="F419" s="60">
        <f t="shared" si="66"/>
        <v>0</v>
      </c>
      <c r="G419" s="60"/>
      <c r="H419" s="60">
        <f t="shared" ca="1" si="67"/>
        <v>1</v>
      </c>
      <c r="I419" s="60">
        <f t="shared" si="68"/>
        <v>0</v>
      </c>
      <c r="K419" s="60"/>
      <c r="L419" s="60">
        <f t="shared" si="69"/>
        <v>0</v>
      </c>
      <c r="M419" s="60"/>
      <c r="N419" s="60">
        <f t="shared" si="70"/>
        <v>0</v>
      </c>
      <c r="O419" s="60">
        <f t="shared" si="71"/>
        <v>0</v>
      </c>
      <c r="P419" s="60">
        <f t="shared" si="71"/>
        <v>0</v>
      </c>
      <c r="Q419" s="60">
        <f t="shared" si="71"/>
        <v>0</v>
      </c>
    </row>
    <row r="420" spans="1:17" x14ac:dyDescent="0.2">
      <c r="A420" s="49">
        <v>4</v>
      </c>
      <c r="B420" s="37" t="s">
        <v>1018</v>
      </c>
      <c r="C420" s="40" t="s">
        <v>1019</v>
      </c>
      <c r="D420" s="60">
        <f t="shared" ca="1" si="65"/>
        <v>1</v>
      </c>
      <c r="F420" s="60">
        <f t="shared" ca="1" si="66"/>
        <v>0.94298867274905385</v>
      </c>
      <c r="G420" s="60"/>
      <c r="H420" s="60">
        <f t="shared" ca="1" si="67"/>
        <v>4.2221744922281014E-2</v>
      </c>
      <c r="I420" s="60">
        <f t="shared" ca="1" si="68"/>
        <v>1.4789582328665129E-2</v>
      </c>
      <c r="K420" s="60"/>
      <c r="L420" s="60">
        <f t="shared" ca="1" si="69"/>
        <v>2.5186363185354011E-8</v>
      </c>
      <c r="M420" s="60"/>
      <c r="N420" s="60">
        <f t="shared" ca="1" si="70"/>
        <v>1.4789557142301943E-2</v>
      </c>
      <c r="O420" s="60">
        <f t="shared" ca="1" si="71"/>
        <v>7.4882936351410908E-3</v>
      </c>
      <c r="P420" s="60">
        <f t="shared" ca="1" si="71"/>
        <v>7.3012635071608529E-3</v>
      </c>
      <c r="Q420" s="60">
        <f t="shared" ca="1" si="71"/>
        <v>0</v>
      </c>
    </row>
    <row r="421" spans="1:17" x14ac:dyDescent="0.2">
      <c r="A421" s="49">
        <v>5</v>
      </c>
      <c r="B421" s="37" t="s">
        <v>1020</v>
      </c>
      <c r="C421" s="40" t="s">
        <v>1021</v>
      </c>
      <c r="D421" s="60">
        <f t="shared" si="65"/>
        <v>1</v>
      </c>
      <c r="F421" s="60">
        <f t="shared" si="66"/>
        <v>0</v>
      </c>
      <c r="G421" s="60"/>
      <c r="H421" s="60">
        <f t="shared" si="67"/>
        <v>1</v>
      </c>
      <c r="I421" s="60">
        <f t="shared" si="68"/>
        <v>0</v>
      </c>
      <c r="K421" s="60"/>
      <c r="L421" s="60">
        <f t="shared" si="69"/>
        <v>0</v>
      </c>
      <c r="M421" s="60"/>
      <c r="N421" s="60">
        <f t="shared" si="70"/>
        <v>0</v>
      </c>
      <c r="O421" s="60">
        <f t="shared" si="71"/>
        <v>0</v>
      </c>
      <c r="P421" s="60">
        <f t="shared" si="71"/>
        <v>0</v>
      </c>
      <c r="Q421" s="60">
        <f t="shared" si="71"/>
        <v>0</v>
      </c>
    </row>
    <row r="422" spans="1:17" x14ac:dyDescent="0.2">
      <c r="A422" s="49">
        <v>6</v>
      </c>
      <c r="B422" s="37" t="s">
        <v>1022</v>
      </c>
      <c r="C422" s="40" t="s">
        <v>1023</v>
      </c>
      <c r="D422" s="60">
        <f t="shared" ca="1" si="65"/>
        <v>1</v>
      </c>
      <c r="F422" s="60">
        <f t="shared" ca="1" si="66"/>
        <v>0.95714441476465084</v>
      </c>
      <c r="G422" s="60"/>
      <c r="H422" s="60">
        <f t="shared" ca="1" si="67"/>
        <v>4.2855559670899109E-2</v>
      </c>
      <c r="I422" s="60">
        <f t="shared" ca="1" si="68"/>
        <v>2.5564450080633058E-8</v>
      </c>
      <c r="K422" s="60"/>
      <c r="L422" s="60">
        <f t="shared" ca="1" si="69"/>
        <v>2.5564450080633058E-8</v>
      </c>
      <c r="M422" s="60"/>
      <c r="N422" s="60">
        <f t="shared" si="70"/>
        <v>0</v>
      </c>
      <c r="O422" s="60">
        <f t="shared" si="71"/>
        <v>0</v>
      </c>
      <c r="P422" s="60">
        <f t="shared" si="71"/>
        <v>0</v>
      </c>
      <c r="Q422" s="60">
        <f t="shared" si="71"/>
        <v>0</v>
      </c>
    </row>
    <row r="423" spans="1:17" x14ac:dyDescent="0.2">
      <c r="A423" s="49">
        <v>7</v>
      </c>
      <c r="B423" s="37" t="s">
        <v>1024</v>
      </c>
      <c r="C423" s="40" t="s">
        <v>1025</v>
      </c>
      <c r="D423" s="60">
        <f t="shared" ca="1" si="65"/>
        <v>1</v>
      </c>
      <c r="F423" s="60">
        <f t="shared" ca="1" si="66"/>
        <v>0.99809893542459172</v>
      </c>
      <c r="G423" s="60"/>
      <c r="H423" s="60">
        <f t="shared" ca="1" si="67"/>
        <v>0</v>
      </c>
      <c r="I423" s="60">
        <f t="shared" ca="1" si="68"/>
        <v>1.9010645754082586E-3</v>
      </c>
      <c r="K423" s="60"/>
      <c r="L423" s="60">
        <f t="shared" ca="1" si="69"/>
        <v>0</v>
      </c>
      <c r="M423" s="60"/>
      <c r="N423" s="60">
        <f t="shared" ca="1" si="70"/>
        <v>1.9010645754082586E-3</v>
      </c>
      <c r="O423" s="60">
        <f t="shared" ca="1" si="71"/>
        <v>1.887136077967942E-3</v>
      </c>
      <c r="P423" s="60">
        <f t="shared" ca="1" si="71"/>
        <v>1.3928497440316555E-5</v>
      </c>
      <c r="Q423" s="60">
        <f t="shared" ca="1" si="71"/>
        <v>0</v>
      </c>
    </row>
    <row r="424" spans="1:17" x14ac:dyDescent="0.2">
      <c r="A424" s="49">
        <v>8</v>
      </c>
      <c r="B424" s="37" t="s">
        <v>1026</v>
      </c>
      <c r="C424" s="40" t="s">
        <v>1027</v>
      </c>
      <c r="D424" s="60">
        <f t="shared" ca="1" si="65"/>
        <v>1</v>
      </c>
      <c r="F424" s="60">
        <f t="shared" ca="1" si="66"/>
        <v>0</v>
      </c>
      <c r="G424" s="60"/>
      <c r="H424" s="60">
        <f t="shared" ca="1" si="67"/>
        <v>1</v>
      </c>
      <c r="I424" s="60">
        <f t="shared" ca="1" si="68"/>
        <v>0</v>
      </c>
      <c r="K424" s="60"/>
      <c r="L424" s="60">
        <f t="shared" ca="1" si="69"/>
        <v>0</v>
      </c>
      <c r="M424" s="60"/>
      <c r="N424" s="60">
        <f t="shared" ca="1" si="70"/>
        <v>0</v>
      </c>
      <c r="O424" s="60">
        <f t="shared" ca="1" si="71"/>
        <v>0</v>
      </c>
      <c r="P424" s="60">
        <f t="shared" ca="1" si="71"/>
        <v>0</v>
      </c>
      <c r="Q424" s="60">
        <f t="shared" ca="1" si="71"/>
        <v>0</v>
      </c>
    </row>
    <row r="425" spans="1:17" x14ac:dyDescent="0.2">
      <c r="A425" s="49">
        <v>9</v>
      </c>
      <c r="B425" s="37" t="s">
        <v>1028</v>
      </c>
      <c r="C425" s="40" t="s">
        <v>1029</v>
      </c>
      <c r="D425" s="60">
        <f t="shared" ca="1" si="65"/>
        <v>1</v>
      </c>
      <c r="F425" s="60">
        <f t="shared" ca="1" si="66"/>
        <v>0</v>
      </c>
      <c r="G425" s="60"/>
      <c r="H425" s="60">
        <f t="shared" ca="1" si="67"/>
        <v>0</v>
      </c>
      <c r="I425" s="60">
        <f t="shared" ca="1" si="68"/>
        <v>1</v>
      </c>
      <c r="K425" s="60"/>
      <c r="L425" s="60">
        <f t="shared" ca="1" si="69"/>
        <v>1</v>
      </c>
      <c r="M425" s="60"/>
      <c r="N425" s="60">
        <f t="shared" ca="1" si="70"/>
        <v>0</v>
      </c>
      <c r="O425" s="60">
        <f t="shared" ca="1" si="71"/>
        <v>0</v>
      </c>
      <c r="P425" s="60">
        <f t="shared" ca="1" si="71"/>
        <v>0</v>
      </c>
      <c r="Q425" s="60">
        <f t="shared" ca="1" si="71"/>
        <v>0</v>
      </c>
    </row>
    <row r="426" spans="1:17" x14ac:dyDescent="0.2">
      <c r="A426" s="49">
        <v>10</v>
      </c>
      <c r="B426" s="37" t="s">
        <v>1030</v>
      </c>
      <c r="C426" s="40" t="s">
        <v>1031</v>
      </c>
      <c r="D426" s="60">
        <f t="shared" ca="1" si="65"/>
        <v>1</v>
      </c>
      <c r="F426" s="60">
        <f t="shared" ca="1" si="66"/>
        <v>0.93808116450513346</v>
      </c>
      <c r="G426" s="60"/>
      <c r="H426" s="60">
        <f t="shared" ca="1" si="67"/>
        <v>4.7639436762871155E-2</v>
      </c>
      <c r="I426" s="60">
        <f t="shared" ca="1" si="68"/>
        <v>1.427939873199531E-2</v>
      </c>
      <c r="K426" s="60"/>
      <c r="L426" s="60">
        <f t="shared" ca="1" si="69"/>
        <v>7.9426623762229959E-5</v>
      </c>
      <c r="M426" s="60"/>
      <c r="N426" s="60">
        <f t="shared" ca="1" si="70"/>
        <v>1.419997210823308E-2</v>
      </c>
      <c r="O426" s="60">
        <f t="shared" ca="1" si="71"/>
        <v>7.3824671246514526E-3</v>
      </c>
      <c r="P426" s="60">
        <f t="shared" ca="1" si="71"/>
        <v>6.8175049835816279E-3</v>
      </c>
      <c r="Q426" s="60">
        <f t="shared" ca="1" si="71"/>
        <v>1.4889500019545761E-21</v>
      </c>
    </row>
    <row r="427" spans="1:17" x14ac:dyDescent="0.2">
      <c r="A427" s="49">
        <v>11</v>
      </c>
      <c r="B427" s="37" t="s">
        <v>1032</v>
      </c>
      <c r="C427" s="40" t="s">
        <v>1033</v>
      </c>
      <c r="D427" s="60">
        <f t="shared" ca="1" si="65"/>
        <v>1</v>
      </c>
      <c r="F427" s="60">
        <f t="shared" ca="1" si="66"/>
        <v>0.93817333644181977</v>
      </c>
      <c r="G427" s="60"/>
      <c r="H427" s="60">
        <f t="shared" ca="1" si="67"/>
        <v>4.7359598812925993E-2</v>
      </c>
      <c r="I427" s="60">
        <f t="shared" ca="1" si="68"/>
        <v>1.4467064745254356E-2</v>
      </c>
      <c r="K427" s="60"/>
      <c r="L427" s="60">
        <f t="shared" ca="1" si="69"/>
        <v>7.6729142906014581E-5</v>
      </c>
      <c r="M427" s="60"/>
      <c r="N427" s="60">
        <f t="shared" ca="1" si="70"/>
        <v>1.4390335602348342E-2</v>
      </c>
      <c r="O427" s="60">
        <f t="shared" ca="1" si="71"/>
        <v>7.4653086797208052E-3</v>
      </c>
      <c r="P427" s="60">
        <f t="shared" ca="1" si="71"/>
        <v>6.9250269226275359E-3</v>
      </c>
      <c r="Q427" s="60">
        <f t="shared" ca="1" si="71"/>
        <v>1.5008808816538131E-21</v>
      </c>
    </row>
    <row r="428" spans="1:17" x14ac:dyDescent="0.2">
      <c r="A428" s="49">
        <v>12</v>
      </c>
      <c r="B428" s="37" t="s">
        <v>1034</v>
      </c>
      <c r="C428" s="40" t="s">
        <v>1035</v>
      </c>
      <c r="D428" s="60">
        <f t="shared" ca="1" si="65"/>
        <v>1</v>
      </c>
      <c r="F428" s="60">
        <f t="shared" ca="1" si="66"/>
        <v>0.7788225176236363</v>
      </c>
      <c r="G428" s="60"/>
      <c r="H428" s="60">
        <f t="shared" ca="1" si="67"/>
        <v>0</v>
      </c>
      <c r="I428" s="60">
        <f t="shared" ca="1" si="68"/>
        <v>0.2211774823763637</v>
      </c>
      <c r="K428" s="60"/>
      <c r="L428" s="60">
        <f t="shared" ca="1" si="69"/>
        <v>0</v>
      </c>
      <c r="M428" s="60"/>
      <c r="N428" s="60">
        <f t="shared" ca="1" si="70"/>
        <v>0.2211774823763637</v>
      </c>
      <c r="O428" s="60">
        <f t="shared" ca="1" si="71"/>
        <v>0.11217503775284247</v>
      </c>
      <c r="P428" s="60">
        <f t="shared" ca="1" si="71"/>
        <v>0.10900244462352121</v>
      </c>
      <c r="Q428" s="60">
        <f t="shared" ca="1" si="71"/>
        <v>0</v>
      </c>
    </row>
    <row r="429" spans="1:17" x14ac:dyDescent="0.2">
      <c r="A429" s="49">
        <v>13</v>
      </c>
      <c r="B429" s="37" t="s">
        <v>1105</v>
      </c>
      <c r="C429" s="40" t="s">
        <v>1356</v>
      </c>
      <c r="D429" s="60">
        <f t="shared" ca="1" si="65"/>
        <v>1</v>
      </c>
      <c r="F429" s="60">
        <f t="shared" ca="1" si="66"/>
        <v>0.93942747534431381</v>
      </c>
      <c r="G429" s="60"/>
      <c r="H429" s="60">
        <f t="shared" ca="1" si="67"/>
        <v>4.5953389180308779E-2</v>
      </c>
      <c r="I429" s="60">
        <f t="shared" ca="1" si="68"/>
        <v>1.4619135475377455E-2</v>
      </c>
      <c r="K429" s="60"/>
      <c r="L429" s="60">
        <f t="shared" ca="1" si="69"/>
        <v>6.9022035357719103E-5</v>
      </c>
      <c r="M429" s="60"/>
      <c r="N429" s="60">
        <f t="shared" ca="1" si="70"/>
        <v>1.4550113440019736E-2</v>
      </c>
      <c r="O429" s="60">
        <f t="shared" ca="1" si="71"/>
        <v>7.5625512924740778E-3</v>
      </c>
      <c r="P429" s="60">
        <f t="shared" ca="1" si="71"/>
        <v>6.9875621475456572E-3</v>
      </c>
      <c r="Q429" s="60">
        <f t="shared" si="71"/>
        <v>0</v>
      </c>
    </row>
    <row r="430" spans="1:17" x14ac:dyDescent="0.2">
      <c r="A430" s="49">
        <v>14</v>
      </c>
      <c r="B430" s="37" t="s">
        <v>1037</v>
      </c>
      <c r="C430" s="45" t="s">
        <v>1209</v>
      </c>
      <c r="D430" s="60">
        <f t="shared" ca="1" si="65"/>
        <v>1</v>
      </c>
      <c r="F430" s="60">
        <f t="shared" ca="1" si="66"/>
        <v>0.94019074050377327</v>
      </c>
      <c r="G430" s="60"/>
      <c r="H430" s="60">
        <f t="shared" ca="1" si="67"/>
        <v>3.9135877971720544E-2</v>
      </c>
      <c r="I430" s="60">
        <f t="shared" ca="1" si="68"/>
        <v>2.0673381524506255E-2</v>
      </c>
      <c r="K430" s="60"/>
      <c r="L430" s="60">
        <f t="shared" ca="1" si="69"/>
        <v>4.0512849447282087E-6</v>
      </c>
      <c r="M430" s="60"/>
      <c r="N430" s="60">
        <f t="shared" ca="1" si="70"/>
        <v>2.0669330239561527E-2</v>
      </c>
      <c r="O430" s="60">
        <f t="shared" ca="1" si="71"/>
        <v>1.0469699014595508E-2</v>
      </c>
      <c r="P430" s="60">
        <f t="shared" ca="1" si="71"/>
        <v>1.0199631224966019E-2</v>
      </c>
      <c r="Q430" s="60">
        <f t="shared" ca="1" si="71"/>
        <v>0</v>
      </c>
    </row>
    <row r="431" spans="1:17" x14ac:dyDescent="0.2">
      <c r="A431" s="49">
        <v>15</v>
      </c>
      <c r="B431" s="37" t="s">
        <v>1038</v>
      </c>
      <c r="C431" s="45" t="s">
        <v>1210</v>
      </c>
      <c r="D431" s="60">
        <f t="shared" ca="1" si="65"/>
        <v>1</v>
      </c>
      <c r="F431" s="60">
        <f t="shared" ca="1" si="66"/>
        <v>0.92729533424628152</v>
      </c>
      <c r="G431" s="60"/>
      <c r="H431" s="60">
        <f t="shared" ca="1" si="67"/>
        <v>4.7520794933136927E-2</v>
      </c>
      <c r="I431" s="60">
        <f t="shared" ca="1" si="68"/>
        <v>2.5183870820581638E-2</v>
      </c>
      <c r="K431" s="60"/>
      <c r="L431" s="60">
        <f t="shared" ca="1" si="69"/>
        <v>2.7222517897015335E-6</v>
      </c>
      <c r="M431" s="60"/>
      <c r="N431" s="60">
        <f t="shared" ca="1" si="70"/>
        <v>2.5181148568791938E-2</v>
      </c>
      <c r="O431" s="60">
        <f t="shared" ca="1" si="71"/>
        <v>1.2754009508618212E-2</v>
      </c>
      <c r="P431" s="60">
        <f t="shared" ca="1" si="71"/>
        <v>1.2427139060173727E-2</v>
      </c>
      <c r="Q431" s="60">
        <f t="shared" ca="1" si="71"/>
        <v>0</v>
      </c>
    </row>
    <row r="432" spans="1:17" x14ac:dyDescent="0.2">
      <c r="A432" s="49">
        <v>16</v>
      </c>
      <c r="B432" s="37" t="s">
        <v>1039</v>
      </c>
      <c r="C432" s="45" t="s">
        <v>1211</v>
      </c>
      <c r="D432" s="60">
        <f t="shared" ca="1" si="65"/>
        <v>1</v>
      </c>
      <c r="F432" s="60">
        <f t="shared" ca="1" si="66"/>
        <v>0.93702736377155493</v>
      </c>
      <c r="G432" s="60"/>
      <c r="H432" s="60">
        <f t="shared" ca="1" si="67"/>
        <v>4.2827610095801778E-2</v>
      </c>
      <c r="I432" s="60">
        <f t="shared" ca="1" si="68"/>
        <v>2.0145026132643348E-2</v>
      </c>
      <c r="K432" s="60"/>
      <c r="L432" s="60">
        <f t="shared" ca="1" si="69"/>
        <v>3.0016907337616793E-6</v>
      </c>
      <c r="M432" s="60"/>
      <c r="N432" s="60">
        <f t="shared" ca="1" si="70"/>
        <v>2.0142024441909587E-2</v>
      </c>
      <c r="O432" s="60">
        <f t="shared" ca="1" si="71"/>
        <v>1.0215471882192559E-2</v>
      </c>
      <c r="P432" s="60">
        <f t="shared" ca="1" si="71"/>
        <v>9.9265525597170261E-3</v>
      </c>
      <c r="Q432" s="60">
        <f t="shared" ca="1" si="71"/>
        <v>0</v>
      </c>
    </row>
    <row r="433" spans="1:17" x14ac:dyDescent="0.2">
      <c r="A433" s="49">
        <v>17</v>
      </c>
      <c r="B433" s="37" t="s">
        <v>1040</v>
      </c>
      <c r="C433" s="45" t="s">
        <v>1212</v>
      </c>
      <c r="D433" s="60">
        <f t="shared" ca="1" si="65"/>
        <v>1</v>
      </c>
      <c r="F433" s="60">
        <f t="shared" ca="1" si="66"/>
        <v>0.93758624163681636</v>
      </c>
      <c r="G433" s="60"/>
      <c r="H433" s="60">
        <f t="shared" ca="1" si="67"/>
        <v>4.2204597990571753E-2</v>
      </c>
      <c r="I433" s="60">
        <f t="shared" ca="1" si="68"/>
        <v>2.0209160372611931E-2</v>
      </c>
      <c r="K433" s="60"/>
      <c r="L433" s="60">
        <f t="shared" ca="1" si="69"/>
        <v>3.1714894027282056E-6</v>
      </c>
      <c r="M433" s="60"/>
      <c r="N433" s="60">
        <f t="shared" ca="1" si="70"/>
        <v>2.0205988883209201E-2</v>
      </c>
      <c r="O433" s="60">
        <f t="shared" ca="1" si="71"/>
        <v>1.0245702945102906E-2</v>
      </c>
      <c r="P433" s="60">
        <f t="shared" ca="1" si="71"/>
        <v>9.960285938106295E-3</v>
      </c>
      <c r="Q433" s="60">
        <f t="shared" ca="1" si="71"/>
        <v>0</v>
      </c>
    </row>
    <row r="434" spans="1:17" x14ac:dyDescent="0.2">
      <c r="A434" s="49">
        <v>18</v>
      </c>
      <c r="B434" s="37" t="s">
        <v>1041</v>
      </c>
      <c r="C434" s="45" t="s">
        <v>1213</v>
      </c>
      <c r="D434" s="60">
        <f t="shared" ca="1" si="65"/>
        <v>1</v>
      </c>
      <c r="F434" s="60">
        <f t="shared" ca="1" si="66"/>
        <v>0.94098748144928557</v>
      </c>
      <c r="G434" s="60"/>
      <c r="H434" s="60">
        <f t="shared" ca="1" si="67"/>
        <v>3.8410573899342083E-2</v>
      </c>
      <c r="I434" s="60">
        <f t="shared" ca="1" si="68"/>
        <v>2.0601944651372311E-2</v>
      </c>
      <c r="K434" s="60"/>
      <c r="L434" s="60">
        <f t="shared" ca="1" si="69"/>
        <v>4.205357844293128E-6</v>
      </c>
      <c r="M434" s="60"/>
      <c r="N434" s="60">
        <f t="shared" ca="1" si="70"/>
        <v>2.0597739293528018E-2</v>
      </c>
      <c r="O434" s="60">
        <f t="shared" ca="1" si="71"/>
        <v>1.043093166176934E-2</v>
      </c>
      <c r="P434" s="60">
        <f t="shared" ca="1" si="71"/>
        <v>1.0166807631758678E-2</v>
      </c>
      <c r="Q434" s="60">
        <f t="shared" ca="1" si="71"/>
        <v>0</v>
      </c>
    </row>
    <row r="435" spans="1:17" x14ac:dyDescent="0.2">
      <c r="A435" s="49">
        <v>19</v>
      </c>
      <c r="B435" s="37" t="s">
        <v>1042</v>
      </c>
      <c r="C435" s="45" t="s">
        <v>1214</v>
      </c>
      <c r="D435" s="60">
        <f t="shared" ca="1" si="65"/>
        <v>1</v>
      </c>
      <c r="F435" s="60">
        <f t="shared" ca="1" si="66"/>
        <v>0.91165020258691409</v>
      </c>
      <c r="G435" s="60"/>
      <c r="H435" s="60">
        <f t="shared" ca="1" si="67"/>
        <v>5.9593728586075208E-2</v>
      </c>
      <c r="I435" s="60">
        <f t="shared" ca="1" si="68"/>
        <v>2.8756068827010747E-2</v>
      </c>
      <c r="K435" s="60"/>
      <c r="L435" s="60">
        <f t="shared" ca="1" si="69"/>
        <v>2.2656777246004674E-6</v>
      </c>
      <c r="M435" s="60"/>
      <c r="N435" s="60">
        <f t="shared" ca="1" si="70"/>
        <v>2.8753803149286147E-2</v>
      </c>
      <c r="O435" s="60">
        <f t="shared" ca="1" si="71"/>
        <v>1.4583125366805718E-2</v>
      </c>
      <c r="P435" s="60">
        <f t="shared" ca="1" si="71"/>
        <v>1.4170677782480427E-2</v>
      </c>
      <c r="Q435" s="60">
        <f t="shared" ca="1" si="71"/>
        <v>0</v>
      </c>
    </row>
    <row r="436" spans="1:17" x14ac:dyDescent="0.2">
      <c r="A436" s="49">
        <v>20</v>
      </c>
      <c r="B436" s="37" t="s">
        <v>1106</v>
      </c>
      <c r="C436" s="40" t="s">
        <v>1044</v>
      </c>
      <c r="D436" s="60">
        <f t="shared" ca="1" si="65"/>
        <v>0</v>
      </c>
      <c r="F436" s="60">
        <f t="shared" ca="1" si="66"/>
        <v>0</v>
      </c>
      <c r="G436" s="60"/>
      <c r="H436" s="60">
        <f t="shared" ca="1" si="67"/>
        <v>0</v>
      </c>
      <c r="I436" s="60">
        <f t="shared" ca="1" si="68"/>
        <v>0</v>
      </c>
      <c r="K436" s="60"/>
      <c r="L436" s="60">
        <f t="shared" ca="1" si="69"/>
        <v>0</v>
      </c>
      <c r="M436" s="60"/>
      <c r="N436" s="60">
        <f t="shared" ca="1" si="70"/>
        <v>0</v>
      </c>
      <c r="O436" s="60">
        <f t="shared" ca="1" si="71"/>
        <v>0</v>
      </c>
      <c r="P436" s="60">
        <f t="shared" ca="1" si="71"/>
        <v>0</v>
      </c>
      <c r="Q436" s="60">
        <f t="shared" ca="1" si="71"/>
        <v>0</v>
      </c>
    </row>
    <row r="437" spans="1:17" x14ac:dyDescent="0.2">
      <c r="A437" s="49">
        <v>21</v>
      </c>
      <c r="B437" s="37" t="s">
        <v>1107</v>
      </c>
      <c r="C437" s="40" t="s">
        <v>1046</v>
      </c>
      <c r="D437" s="60">
        <f t="shared" ca="1" si="65"/>
        <v>0</v>
      </c>
      <c r="F437" s="60">
        <f t="shared" ca="1" si="66"/>
        <v>0</v>
      </c>
      <c r="G437" s="60"/>
      <c r="H437" s="60">
        <f t="shared" ca="1" si="67"/>
        <v>0</v>
      </c>
      <c r="I437" s="60">
        <f t="shared" ca="1" si="68"/>
        <v>0</v>
      </c>
      <c r="K437" s="60"/>
      <c r="L437" s="60">
        <f t="shared" ca="1" si="69"/>
        <v>0</v>
      </c>
      <c r="M437" s="60"/>
      <c r="N437" s="60">
        <f t="shared" ca="1" si="70"/>
        <v>0</v>
      </c>
      <c r="O437" s="60">
        <f t="shared" ref="O437:Q456" ca="1" si="72">IF(O188&lt;&gt;0,IF($D188=0,1,+O188/$D188),0)</f>
        <v>0</v>
      </c>
      <c r="P437" s="60">
        <f t="shared" ca="1" si="72"/>
        <v>0</v>
      </c>
      <c r="Q437" s="60">
        <f t="shared" ca="1" si="72"/>
        <v>0</v>
      </c>
    </row>
    <row r="438" spans="1:17" x14ac:dyDescent="0.2">
      <c r="A438" s="49">
        <v>22</v>
      </c>
      <c r="B438" s="37" t="s">
        <v>1108</v>
      </c>
      <c r="C438" s="40" t="s">
        <v>1048</v>
      </c>
      <c r="D438" s="60">
        <f t="shared" ca="1" si="65"/>
        <v>0</v>
      </c>
      <c r="F438" s="60">
        <f t="shared" ca="1" si="66"/>
        <v>0</v>
      </c>
      <c r="G438" s="60"/>
      <c r="H438" s="60">
        <f t="shared" ca="1" si="67"/>
        <v>0</v>
      </c>
      <c r="I438" s="60">
        <f t="shared" ca="1" si="68"/>
        <v>0</v>
      </c>
      <c r="K438" s="60"/>
      <c r="L438" s="60">
        <f t="shared" ca="1" si="69"/>
        <v>0</v>
      </c>
      <c r="M438" s="60"/>
      <c r="N438" s="60">
        <f t="shared" ca="1" si="70"/>
        <v>0</v>
      </c>
      <c r="O438" s="60">
        <f t="shared" ca="1" si="72"/>
        <v>0</v>
      </c>
      <c r="P438" s="60">
        <f t="shared" ca="1" si="72"/>
        <v>0</v>
      </c>
      <c r="Q438" s="60">
        <f t="shared" ca="1" si="72"/>
        <v>0</v>
      </c>
    </row>
    <row r="439" spans="1:17" x14ac:dyDescent="0.2">
      <c r="A439" s="49">
        <v>23</v>
      </c>
      <c r="B439" s="37" t="s">
        <v>1109</v>
      </c>
      <c r="C439" s="40" t="s">
        <v>1050</v>
      </c>
      <c r="D439" s="60">
        <f t="shared" ca="1" si="65"/>
        <v>0</v>
      </c>
      <c r="F439" s="60">
        <f t="shared" ca="1" si="66"/>
        <v>0</v>
      </c>
      <c r="G439" s="60"/>
      <c r="H439" s="60">
        <f t="shared" ca="1" si="67"/>
        <v>0</v>
      </c>
      <c r="I439" s="60">
        <f t="shared" ca="1" si="68"/>
        <v>0</v>
      </c>
      <c r="K439" s="60"/>
      <c r="L439" s="60">
        <f t="shared" ca="1" si="69"/>
        <v>0</v>
      </c>
      <c r="M439" s="60"/>
      <c r="N439" s="60">
        <f t="shared" ca="1" si="70"/>
        <v>0</v>
      </c>
      <c r="O439" s="60">
        <f t="shared" ca="1" si="72"/>
        <v>0</v>
      </c>
      <c r="P439" s="60">
        <f t="shared" ca="1" si="72"/>
        <v>0</v>
      </c>
      <c r="Q439" s="60">
        <f t="shared" ca="1" si="72"/>
        <v>0</v>
      </c>
    </row>
    <row r="440" spans="1:17" x14ac:dyDescent="0.2">
      <c r="A440" s="49">
        <v>24</v>
      </c>
      <c r="B440" s="37" t="s">
        <v>1110</v>
      </c>
      <c r="C440" s="40" t="s">
        <v>1052</v>
      </c>
      <c r="D440" s="60">
        <f t="shared" ca="1" si="65"/>
        <v>0</v>
      </c>
      <c r="F440" s="60">
        <f t="shared" ca="1" si="66"/>
        <v>0</v>
      </c>
      <c r="G440" s="60"/>
      <c r="H440" s="60">
        <f t="shared" ca="1" si="67"/>
        <v>0</v>
      </c>
      <c r="I440" s="60">
        <f t="shared" ca="1" si="68"/>
        <v>0</v>
      </c>
      <c r="K440" s="60"/>
      <c r="L440" s="60">
        <f t="shared" ca="1" si="69"/>
        <v>0</v>
      </c>
      <c r="M440" s="60"/>
      <c r="N440" s="60">
        <f t="shared" ca="1" si="70"/>
        <v>0</v>
      </c>
      <c r="O440" s="60">
        <f t="shared" ca="1" si="72"/>
        <v>0</v>
      </c>
      <c r="P440" s="60">
        <f t="shared" ca="1" si="72"/>
        <v>0</v>
      </c>
      <c r="Q440" s="60">
        <f t="shared" ca="1" si="72"/>
        <v>0</v>
      </c>
    </row>
    <row r="441" spans="1:17" x14ac:dyDescent="0.2">
      <c r="A441" s="49">
        <v>25</v>
      </c>
      <c r="B441" s="37" t="s">
        <v>1111</v>
      </c>
      <c r="C441" s="40" t="s">
        <v>1054</v>
      </c>
      <c r="D441" s="60">
        <f t="shared" ca="1" si="65"/>
        <v>0</v>
      </c>
      <c r="F441" s="60">
        <f t="shared" ca="1" si="66"/>
        <v>0</v>
      </c>
      <c r="G441" s="60"/>
      <c r="H441" s="60">
        <f t="shared" ca="1" si="67"/>
        <v>0</v>
      </c>
      <c r="I441" s="60">
        <f t="shared" ca="1" si="68"/>
        <v>0</v>
      </c>
      <c r="K441" s="60"/>
      <c r="L441" s="60">
        <f t="shared" ca="1" si="69"/>
        <v>0</v>
      </c>
      <c r="M441" s="60"/>
      <c r="N441" s="60">
        <f t="shared" ca="1" si="70"/>
        <v>0</v>
      </c>
      <c r="O441" s="60">
        <f t="shared" ca="1" si="72"/>
        <v>0</v>
      </c>
      <c r="P441" s="60">
        <f t="shared" ca="1" si="72"/>
        <v>0</v>
      </c>
      <c r="Q441" s="60">
        <f t="shared" ca="1" si="72"/>
        <v>0</v>
      </c>
    </row>
    <row r="442" spans="1:17" x14ac:dyDescent="0.2">
      <c r="A442" s="49">
        <v>26</v>
      </c>
      <c r="B442" s="37" t="s">
        <v>1055</v>
      </c>
      <c r="C442" s="45" t="s">
        <v>1215</v>
      </c>
      <c r="D442" s="60">
        <f t="shared" ca="1" si="65"/>
        <v>1</v>
      </c>
      <c r="F442" s="60">
        <f t="shared" ca="1" si="66"/>
        <v>0.90566768883355364</v>
      </c>
      <c r="G442" s="60"/>
      <c r="H442" s="60">
        <f t="shared" ca="1" si="67"/>
        <v>9.4329411388140105E-2</v>
      </c>
      <c r="I442" s="60">
        <f t="shared" ca="1" si="68"/>
        <v>2.8997783062898899E-6</v>
      </c>
      <c r="K442" s="60"/>
      <c r="L442" s="60">
        <f t="shared" ca="1" si="69"/>
        <v>2.8997783062898899E-6</v>
      </c>
      <c r="M442" s="60"/>
      <c r="N442" s="60">
        <f t="shared" ca="1" si="70"/>
        <v>0</v>
      </c>
      <c r="O442" s="60">
        <f t="shared" ca="1" si="72"/>
        <v>0</v>
      </c>
      <c r="P442" s="60">
        <f t="shared" ca="1" si="72"/>
        <v>0</v>
      </c>
      <c r="Q442" s="60">
        <f t="shared" ca="1" si="72"/>
        <v>0</v>
      </c>
    </row>
    <row r="443" spans="1:17" x14ac:dyDescent="0.2">
      <c r="A443" s="49">
        <v>27</v>
      </c>
      <c r="B443" s="37" t="s">
        <v>1056</v>
      </c>
      <c r="C443" s="45" t="s">
        <v>1216</v>
      </c>
      <c r="D443" s="60">
        <f t="shared" ca="1" si="65"/>
        <v>1</v>
      </c>
      <c r="F443" s="60">
        <f t="shared" ca="1" si="66"/>
        <v>0.90597866137293892</v>
      </c>
      <c r="G443" s="60"/>
      <c r="H443" s="60">
        <f t="shared" ca="1" si="67"/>
        <v>9.4018448408060701E-2</v>
      </c>
      <c r="I443" s="60">
        <f t="shared" ca="1" si="68"/>
        <v>2.8902190003382903E-6</v>
      </c>
      <c r="K443" s="60"/>
      <c r="L443" s="60">
        <f t="shared" ca="1" si="69"/>
        <v>2.8902190003382903E-6</v>
      </c>
      <c r="M443" s="60"/>
      <c r="N443" s="60">
        <f t="shared" ca="1" si="70"/>
        <v>0</v>
      </c>
      <c r="O443" s="60">
        <f t="shared" ca="1" si="72"/>
        <v>0</v>
      </c>
      <c r="P443" s="60">
        <f t="shared" ca="1" si="72"/>
        <v>0</v>
      </c>
      <c r="Q443" s="60">
        <f t="shared" ca="1" si="72"/>
        <v>0</v>
      </c>
    </row>
    <row r="444" spans="1:17" x14ac:dyDescent="0.2">
      <c r="A444" s="49">
        <v>28</v>
      </c>
      <c r="B444" s="37" t="s">
        <v>1057</v>
      </c>
      <c r="C444" s="40" t="s">
        <v>1058</v>
      </c>
      <c r="D444" s="60">
        <f t="shared" ca="1" si="65"/>
        <v>0.99999999999999989</v>
      </c>
      <c r="F444" s="60">
        <f t="shared" ca="1" si="66"/>
        <v>0.90566768883355353</v>
      </c>
      <c r="G444" s="60"/>
      <c r="H444" s="60">
        <f t="shared" ca="1" si="67"/>
        <v>9.4329411388140105E-2</v>
      </c>
      <c r="I444" s="60">
        <f t="shared" ca="1" si="68"/>
        <v>2.8997783062898894E-6</v>
      </c>
      <c r="K444" s="60"/>
      <c r="L444" s="60">
        <f t="shared" ca="1" si="69"/>
        <v>2.8997783062898894E-6</v>
      </c>
      <c r="M444" s="60"/>
      <c r="N444" s="60">
        <f t="shared" ca="1" si="70"/>
        <v>0</v>
      </c>
      <c r="O444" s="60">
        <f t="shared" ca="1" si="72"/>
        <v>0</v>
      </c>
      <c r="P444" s="60">
        <f t="shared" ca="1" si="72"/>
        <v>0</v>
      </c>
      <c r="Q444" s="60">
        <f t="shared" ca="1" si="72"/>
        <v>0</v>
      </c>
    </row>
    <row r="445" spans="1:17" x14ac:dyDescent="0.2">
      <c r="A445" s="49">
        <v>29</v>
      </c>
      <c r="B445" s="37" t="s">
        <v>1059</v>
      </c>
      <c r="C445" s="40" t="s">
        <v>1060</v>
      </c>
      <c r="D445" s="60">
        <f t="shared" si="65"/>
        <v>0</v>
      </c>
      <c r="F445" s="60">
        <f t="shared" si="66"/>
        <v>0</v>
      </c>
      <c r="G445" s="60"/>
      <c r="H445" s="60">
        <f t="shared" si="67"/>
        <v>0</v>
      </c>
      <c r="I445" s="60">
        <f t="shared" si="68"/>
        <v>0</v>
      </c>
      <c r="K445" s="60"/>
      <c r="L445" s="60">
        <f t="shared" si="69"/>
        <v>0</v>
      </c>
      <c r="M445" s="60"/>
      <c r="N445" s="60">
        <f t="shared" si="70"/>
        <v>0</v>
      </c>
      <c r="O445" s="60">
        <f t="shared" si="72"/>
        <v>0</v>
      </c>
      <c r="P445" s="60">
        <f t="shared" si="72"/>
        <v>0</v>
      </c>
      <c r="Q445" s="60">
        <f t="shared" si="72"/>
        <v>0</v>
      </c>
    </row>
    <row r="446" spans="1:17" x14ac:dyDescent="0.2">
      <c r="A446" s="49">
        <v>30</v>
      </c>
      <c r="B446" s="37" t="s">
        <v>1061</v>
      </c>
      <c r="C446" s="45" t="s">
        <v>1217</v>
      </c>
      <c r="D446" s="60">
        <f t="shared" ca="1" si="65"/>
        <v>1</v>
      </c>
      <c r="F446" s="60">
        <f t="shared" ca="1" si="66"/>
        <v>0.94638490969259359</v>
      </c>
      <c r="G446" s="60"/>
      <c r="H446" s="60">
        <f t="shared" ca="1" si="67"/>
        <v>5.1464591540963306E-2</v>
      </c>
      <c r="I446" s="60">
        <f t="shared" ca="1" si="68"/>
        <v>2.1504987664431145E-3</v>
      </c>
      <c r="K446" s="60"/>
      <c r="L446" s="60">
        <f t="shared" ca="1" si="69"/>
        <v>3.0608502037779217E-4</v>
      </c>
      <c r="M446" s="60"/>
      <c r="N446" s="60">
        <f t="shared" ca="1" si="70"/>
        <v>1.8444137460653224E-3</v>
      </c>
      <c r="O446" s="60">
        <f t="shared" ca="1" si="72"/>
        <v>1.723169754669964E-3</v>
      </c>
      <c r="P446" s="60">
        <f t="shared" ca="1" si="72"/>
        <v>1.2124399139535842E-4</v>
      </c>
      <c r="Q446" s="60">
        <f t="shared" ca="1" si="72"/>
        <v>0</v>
      </c>
    </row>
    <row r="447" spans="1:17" x14ac:dyDescent="0.2">
      <c r="A447" s="49">
        <v>31</v>
      </c>
      <c r="B447" s="37" t="s">
        <v>1062</v>
      </c>
      <c r="C447" s="45" t="s">
        <v>1218</v>
      </c>
      <c r="D447" s="60">
        <f t="shared" ca="1" si="65"/>
        <v>0.99999999999999989</v>
      </c>
      <c r="F447" s="60">
        <f t="shared" ca="1" si="66"/>
        <v>0.94057590207023234</v>
      </c>
      <c r="G447" s="60"/>
      <c r="H447" s="60">
        <f t="shared" ca="1" si="67"/>
        <v>5.8798591139389289E-2</v>
      </c>
      <c r="I447" s="60">
        <f t="shared" ca="1" si="68"/>
        <v>6.2550679037834292E-4</v>
      </c>
      <c r="K447" s="60"/>
      <c r="L447" s="60">
        <f t="shared" ca="1" si="69"/>
        <v>1.5980499624538265E-4</v>
      </c>
      <c r="M447" s="60"/>
      <c r="N447" s="60">
        <f t="shared" ca="1" si="70"/>
        <v>4.657017941329603E-4</v>
      </c>
      <c r="O447" s="60">
        <f t="shared" ca="1" si="72"/>
        <v>4.6556802726059073E-4</v>
      </c>
      <c r="P447" s="60">
        <f t="shared" ca="1" si="72"/>
        <v>1.337668723695714E-7</v>
      </c>
      <c r="Q447" s="60">
        <f t="shared" ca="1" si="72"/>
        <v>0</v>
      </c>
    </row>
    <row r="448" spans="1:17" x14ac:dyDescent="0.2">
      <c r="A448" s="49">
        <v>32</v>
      </c>
      <c r="B448" s="37" t="s">
        <v>1063</v>
      </c>
      <c r="C448" s="40" t="s">
        <v>1064</v>
      </c>
      <c r="D448" s="60">
        <f t="shared" ca="1" si="65"/>
        <v>1</v>
      </c>
      <c r="F448" s="60">
        <f t="shared" ca="1" si="66"/>
        <v>0.9488056371457757</v>
      </c>
      <c r="G448" s="60"/>
      <c r="H448" s="60">
        <f t="shared" ca="1" si="67"/>
        <v>4.9068095003297035E-2</v>
      </c>
      <c r="I448" s="60">
        <f t="shared" ca="1" si="68"/>
        <v>2.1262678509272382E-3</v>
      </c>
      <c r="K448" s="60"/>
      <c r="L448" s="60">
        <f t="shared" ca="1" si="69"/>
        <v>3.1909150627140194E-4</v>
      </c>
      <c r="M448" s="60"/>
      <c r="N448" s="60">
        <f t="shared" ca="1" si="70"/>
        <v>1.8071763446558364E-3</v>
      </c>
      <c r="O448" s="60">
        <f t="shared" ca="1" si="72"/>
        <v>1.7939357365164027E-3</v>
      </c>
      <c r="P448" s="60">
        <f t="shared" ca="1" si="72"/>
        <v>1.3240608139433594E-5</v>
      </c>
      <c r="Q448" s="60">
        <f t="shared" ca="1" si="72"/>
        <v>0</v>
      </c>
    </row>
    <row r="449" spans="1:17" x14ac:dyDescent="0.2">
      <c r="A449" s="49">
        <v>33</v>
      </c>
      <c r="B449" s="37" t="s">
        <v>1065</v>
      </c>
      <c r="C449" s="40" t="s">
        <v>1066</v>
      </c>
      <c r="D449" s="60">
        <f t="shared" si="65"/>
        <v>0</v>
      </c>
      <c r="F449" s="60">
        <f t="shared" si="66"/>
        <v>0</v>
      </c>
      <c r="G449" s="60"/>
      <c r="H449" s="60">
        <f t="shared" si="67"/>
        <v>0</v>
      </c>
      <c r="I449" s="60">
        <f t="shared" si="68"/>
        <v>0</v>
      </c>
      <c r="K449" s="60"/>
      <c r="L449" s="60">
        <f t="shared" si="69"/>
        <v>0</v>
      </c>
      <c r="M449" s="60"/>
      <c r="N449" s="60">
        <f t="shared" si="70"/>
        <v>0</v>
      </c>
      <c r="O449" s="60">
        <f t="shared" si="72"/>
        <v>0</v>
      </c>
      <c r="P449" s="60">
        <f t="shared" si="72"/>
        <v>0</v>
      </c>
      <c r="Q449" s="60">
        <f t="shared" si="72"/>
        <v>0</v>
      </c>
    </row>
    <row r="450" spans="1:17" x14ac:dyDescent="0.2">
      <c r="A450" s="49">
        <v>34</v>
      </c>
      <c r="B450" s="37" t="s">
        <v>1069</v>
      </c>
      <c r="C450" s="45" t="s">
        <v>1219</v>
      </c>
      <c r="D450" s="60">
        <f t="shared" ca="1" si="65"/>
        <v>1</v>
      </c>
      <c r="F450" s="60">
        <f t="shared" ca="1" si="66"/>
        <v>0.95003195393362805</v>
      </c>
      <c r="G450" s="60"/>
      <c r="H450" s="60">
        <f t="shared" ca="1" si="67"/>
        <v>4.9682107773700267E-2</v>
      </c>
      <c r="I450" s="60">
        <f t="shared" ca="1" si="68"/>
        <v>2.8593829267167825E-4</v>
      </c>
      <c r="K450" s="60"/>
      <c r="L450" s="60">
        <f t="shared" ca="1" si="69"/>
        <v>6.5884399233105591E-6</v>
      </c>
      <c r="M450" s="60"/>
      <c r="N450" s="60">
        <f t="shared" ca="1" si="70"/>
        <v>2.7934985274836771E-4</v>
      </c>
      <c r="O450" s="60">
        <f t="shared" ca="1" si="72"/>
        <v>1.1200347869627951E-4</v>
      </c>
      <c r="P450" s="60">
        <f t="shared" ca="1" si="72"/>
        <v>1.6734637405208821E-4</v>
      </c>
      <c r="Q450" s="60">
        <f t="shared" ca="1" si="72"/>
        <v>0</v>
      </c>
    </row>
    <row r="451" spans="1:17" x14ac:dyDescent="0.2">
      <c r="A451" s="49">
        <v>35</v>
      </c>
      <c r="B451" s="37" t="s">
        <v>1070</v>
      </c>
      <c r="C451" s="40" t="s">
        <v>1071</v>
      </c>
      <c r="D451" s="60">
        <f t="shared" ca="1" si="65"/>
        <v>1</v>
      </c>
      <c r="F451" s="60">
        <f t="shared" ca="1" si="66"/>
        <v>0.95003195393362805</v>
      </c>
      <c r="G451" s="60"/>
      <c r="H451" s="60">
        <f t="shared" ca="1" si="67"/>
        <v>4.9682107773700267E-2</v>
      </c>
      <c r="I451" s="60">
        <f t="shared" ca="1" si="68"/>
        <v>2.8593829267167825E-4</v>
      </c>
      <c r="K451" s="60"/>
      <c r="L451" s="60">
        <f t="shared" ca="1" si="69"/>
        <v>6.5884399233105591E-6</v>
      </c>
      <c r="M451" s="60"/>
      <c r="N451" s="60">
        <f t="shared" ca="1" si="70"/>
        <v>2.7934985274836771E-4</v>
      </c>
      <c r="O451" s="60">
        <f t="shared" ca="1" si="72"/>
        <v>1.1200347869627951E-4</v>
      </c>
      <c r="P451" s="60">
        <f t="shared" ca="1" si="72"/>
        <v>1.6734637405208823E-4</v>
      </c>
      <c r="Q451" s="60">
        <f t="shared" ca="1" si="72"/>
        <v>0</v>
      </c>
    </row>
    <row r="452" spans="1:17" x14ac:dyDescent="0.2">
      <c r="A452" s="49">
        <v>36</v>
      </c>
      <c r="B452" s="37" t="s">
        <v>1112</v>
      </c>
      <c r="C452" s="45" t="s">
        <v>1220</v>
      </c>
      <c r="D452" s="60">
        <f t="shared" ca="1" si="65"/>
        <v>0.99999999999999989</v>
      </c>
      <c r="F452" s="60">
        <f t="shared" ca="1" si="66"/>
        <v>0.98727798895375041</v>
      </c>
      <c r="G452" s="60"/>
      <c r="H452" s="60">
        <f t="shared" ca="1" si="67"/>
        <v>1.2720654079985606E-2</v>
      </c>
      <c r="I452" s="60">
        <f t="shared" ca="1" si="68"/>
        <v>1.3569662639105649E-6</v>
      </c>
      <c r="K452" s="60"/>
      <c r="L452" s="60">
        <f t="shared" ca="1" si="69"/>
        <v>1.3569662639105649E-6</v>
      </c>
      <c r="M452" s="60"/>
      <c r="N452" s="60">
        <f t="shared" ca="1" si="70"/>
        <v>0</v>
      </c>
      <c r="O452" s="60">
        <f t="shared" ca="1" si="72"/>
        <v>0</v>
      </c>
      <c r="P452" s="60">
        <f t="shared" ca="1" si="72"/>
        <v>0</v>
      </c>
      <c r="Q452" s="60">
        <f t="shared" ca="1" si="72"/>
        <v>0</v>
      </c>
    </row>
    <row r="453" spans="1:17" x14ac:dyDescent="0.2">
      <c r="A453" s="49">
        <v>37</v>
      </c>
      <c r="B453" s="37" t="s">
        <v>1073</v>
      </c>
      <c r="C453" s="40" t="s">
        <v>1074</v>
      </c>
      <c r="D453" s="60">
        <f t="shared" ca="1" si="65"/>
        <v>1</v>
      </c>
      <c r="F453" s="60">
        <f t="shared" ca="1" si="66"/>
        <v>0.95003195393362805</v>
      </c>
      <c r="G453" s="60"/>
      <c r="H453" s="60">
        <f t="shared" ca="1" si="67"/>
        <v>4.9682107773700267E-2</v>
      </c>
      <c r="I453" s="60">
        <f t="shared" ca="1" si="68"/>
        <v>2.8593829267167825E-4</v>
      </c>
      <c r="K453" s="60"/>
      <c r="L453" s="60">
        <f t="shared" ca="1" si="69"/>
        <v>6.5884399233105591E-6</v>
      </c>
      <c r="M453" s="60"/>
      <c r="N453" s="60">
        <f t="shared" ca="1" si="70"/>
        <v>2.7934985274836771E-4</v>
      </c>
      <c r="O453" s="60">
        <f t="shared" ca="1" si="72"/>
        <v>1.1200347869627951E-4</v>
      </c>
      <c r="P453" s="60">
        <f t="shared" ca="1" si="72"/>
        <v>1.6734637405208823E-4</v>
      </c>
      <c r="Q453" s="60">
        <f t="shared" ca="1" si="72"/>
        <v>0</v>
      </c>
    </row>
    <row r="454" spans="1:17" x14ac:dyDescent="0.2">
      <c r="A454" s="49">
        <v>38</v>
      </c>
      <c r="B454" s="37" t="s">
        <v>1075</v>
      </c>
      <c r="C454" s="45" t="s">
        <v>1221</v>
      </c>
      <c r="D454" s="60">
        <f t="shared" ca="1" si="65"/>
        <v>1</v>
      </c>
      <c r="F454" s="60">
        <f t="shared" ca="1" si="66"/>
        <v>0.94892097697757327</v>
      </c>
      <c r="G454" s="60"/>
      <c r="H454" s="60">
        <f t="shared" ca="1" si="67"/>
        <v>5.1073574787019391E-2</v>
      </c>
      <c r="I454" s="60">
        <f t="shared" ca="1" si="68"/>
        <v>5.4482354073554802E-6</v>
      </c>
      <c r="K454" s="60"/>
      <c r="L454" s="60">
        <f t="shared" ca="1" si="69"/>
        <v>5.4482354073554802E-6</v>
      </c>
      <c r="M454" s="60"/>
      <c r="N454" s="60">
        <f t="shared" ca="1" si="70"/>
        <v>0</v>
      </c>
      <c r="O454" s="60">
        <f t="shared" ca="1" si="72"/>
        <v>0</v>
      </c>
      <c r="P454" s="60">
        <f t="shared" ca="1" si="72"/>
        <v>0</v>
      </c>
      <c r="Q454" s="60">
        <f t="shared" ca="1" si="72"/>
        <v>0</v>
      </c>
    </row>
    <row r="455" spans="1:17" x14ac:dyDescent="0.2">
      <c r="A455" s="49">
        <v>39</v>
      </c>
      <c r="B455" s="37" t="s">
        <v>1076</v>
      </c>
      <c r="C455" s="40" t="s">
        <v>1077</v>
      </c>
      <c r="D455" s="60">
        <f t="shared" ca="1" si="65"/>
        <v>1</v>
      </c>
      <c r="F455" s="60">
        <f t="shared" ca="1" si="66"/>
        <v>0.98727798895375052</v>
      </c>
      <c r="G455" s="60"/>
      <c r="H455" s="60">
        <f t="shared" ca="1" si="67"/>
        <v>1.2720654079985608E-2</v>
      </c>
      <c r="I455" s="60">
        <f t="shared" ca="1" si="68"/>
        <v>1.3569662639105649E-6</v>
      </c>
      <c r="K455" s="60"/>
      <c r="L455" s="60">
        <f t="shared" ca="1" si="69"/>
        <v>1.3569662639105649E-6</v>
      </c>
      <c r="M455" s="60"/>
      <c r="N455" s="60">
        <f t="shared" ca="1" si="70"/>
        <v>0</v>
      </c>
      <c r="O455" s="60">
        <f t="shared" ca="1" si="72"/>
        <v>0</v>
      </c>
      <c r="P455" s="60">
        <f t="shared" ca="1" si="72"/>
        <v>0</v>
      </c>
      <c r="Q455" s="60">
        <f t="shared" ca="1" si="72"/>
        <v>0</v>
      </c>
    </row>
    <row r="456" spans="1:17" x14ac:dyDescent="0.2">
      <c r="A456" s="49">
        <v>40</v>
      </c>
      <c r="B456" s="37" t="s">
        <v>1078</v>
      </c>
      <c r="C456" s="40" t="s">
        <v>416</v>
      </c>
      <c r="D456" s="60">
        <f t="shared" ca="1" si="65"/>
        <v>1</v>
      </c>
      <c r="F456" s="60">
        <f t="shared" ca="1" si="66"/>
        <v>0.94013180156033671</v>
      </c>
      <c r="G456" s="60"/>
      <c r="H456" s="60">
        <f t="shared" ca="1" si="67"/>
        <v>4.7647114641872053E-2</v>
      </c>
      <c r="I456" s="60">
        <f t="shared" ca="1" si="68"/>
        <v>1.2221083797791245E-2</v>
      </c>
      <c r="K456" s="60"/>
      <c r="L456" s="60">
        <f t="shared" ca="1" si="69"/>
        <v>6.6547834355531305E-5</v>
      </c>
      <c r="M456" s="60"/>
      <c r="N456" s="60">
        <f t="shared" ca="1" si="70"/>
        <v>1.2154535963435714E-2</v>
      </c>
      <c r="O456" s="60">
        <f t="shared" ca="1" si="72"/>
        <v>6.3335687649531099E-3</v>
      </c>
      <c r="P456" s="60">
        <f t="shared" ca="1" si="72"/>
        <v>5.8209671984826034E-3</v>
      </c>
      <c r="Q456" s="60">
        <f t="shared" ca="1" si="72"/>
        <v>4.9496358723116687E-20</v>
      </c>
    </row>
    <row r="457" spans="1:17" x14ac:dyDescent="0.2">
      <c r="C457" s="47"/>
    </row>
    <row r="458" spans="1:17" x14ac:dyDescent="0.2">
      <c r="B458" s="58" t="s">
        <v>1012</v>
      </c>
    </row>
    <row r="459" spans="1:17" x14ac:dyDescent="0.2">
      <c r="B459" s="56" t="s">
        <v>451</v>
      </c>
    </row>
    <row r="460" spans="1:17" x14ac:dyDescent="0.2">
      <c r="A460" s="49">
        <v>1</v>
      </c>
      <c r="B460" s="37" t="s">
        <v>1079</v>
      </c>
      <c r="C460" s="40" t="s">
        <v>1080</v>
      </c>
      <c r="D460" s="60">
        <f t="shared" ref="D460:D466" ca="1" si="73">SUM(F460:I460)+K460</f>
        <v>1</v>
      </c>
      <c r="F460" s="60">
        <f t="shared" ref="F460:F469" ca="1" si="74">IF(F211&lt;&gt;0,IF($D211=0,1,+F211/$D211),0)</f>
        <v>0.942324002305855</v>
      </c>
      <c r="G460" s="60"/>
      <c r="H460" s="60">
        <f t="shared" ref="H460:I469" ca="1" si="75">IF(H211&lt;&gt;0,IF($D211=0,1,+H211/$D211),0)</f>
        <v>4.6040820130924295E-2</v>
      </c>
      <c r="I460" s="60">
        <f t="shared" ca="1" si="75"/>
        <v>1.1635177563220824E-2</v>
      </c>
      <c r="K460" s="60"/>
      <c r="L460" s="60">
        <f t="shared" ref="L460:L469" ca="1" si="76">IF(L211&lt;&gt;0,IF($D211=0,1,+L211/$D211),0)</f>
        <v>6.5521862048181331E-5</v>
      </c>
      <c r="M460" s="60"/>
      <c r="N460" s="60">
        <f t="shared" ref="N460:N466" ca="1" si="77">SUM(O460:Q460)</f>
        <v>1.1569655701172642E-2</v>
      </c>
      <c r="O460" s="60">
        <f t="shared" ref="O460:Q469" ca="1" si="78">IF(O211&lt;&gt;0,IF($D211=0,1,+O211/$D211),0)</f>
        <v>6.0310267900317051E-3</v>
      </c>
      <c r="P460" s="60">
        <f t="shared" ca="1" si="78"/>
        <v>5.5386289111409373E-3</v>
      </c>
      <c r="Q460" s="60">
        <f t="shared" ca="1" si="78"/>
        <v>5.1781982729476976E-20</v>
      </c>
    </row>
    <row r="461" spans="1:17" x14ac:dyDescent="0.2">
      <c r="A461" s="49">
        <v>2</v>
      </c>
      <c r="B461" s="37" t="s">
        <v>1081</v>
      </c>
      <c r="C461" s="40" t="s">
        <v>1082</v>
      </c>
      <c r="D461" s="60">
        <f t="shared" ca="1" si="73"/>
        <v>1</v>
      </c>
      <c r="F461" s="60">
        <f t="shared" ca="1" si="74"/>
        <v>0.99051360669709199</v>
      </c>
      <c r="G461" s="60"/>
      <c r="H461" s="60">
        <f t="shared" ca="1" si="75"/>
        <v>9.4853814569324166E-3</v>
      </c>
      <c r="I461" s="60">
        <f t="shared" ca="1" si="75"/>
        <v>1.0118459755643872E-6</v>
      </c>
      <c r="K461" s="60"/>
      <c r="L461" s="60">
        <f t="shared" ca="1" si="76"/>
        <v>1.0118459755643872E-6</v>
      </c>
      <c r="M461" s="60"/>
      <c r="N461" s="60">
        <f t="shared" ca="1" si="77"/>
        <v>0</v>
      </c>
      <c r="O461" s="60">
        <f t="shared" ca="1" si="78"/>
        <v>0</v>
      </c>
      <c r="P461" s="60">
        <f t="shared" ca="1" si="78"/>
        <v>0</v>
      </c>
      <c r="Q461" s="60">
        <f t="shared" ca="1" si="78"/>
        <v>0</v>
      </c>
    </row>
    <row r="462" spans="1:17" x14ac:dyDescent="0.2">
      <c r="A462" s="49">
        <v>3</v>
      </c>
      <c r="B462" s="37" t="s">
        <v>1083</v>
      </c>
      <c r="C462" s="40" t="s">
        <v>1084</v>
      </c>
      <c r="D462" s="60">
        <f t="shared" ca="1" si="73"/>
        <v>0.99999999999999989</v>
      </c>
      <c r="F462" s="60">
        <f t="shared" ca="1" si="74"/>
        <v>0.99776401670849957</v>
      </c>
      <c r="G462" s="60"/>
      <c r="H462" s="60">
        <f t="shared" ca="1" si="75"/>
        <v>0</v>
      </c>
      <c r="I462" s="60">
        <f t="shared" ca="1" si="75"/>
        <v>2.2359832915003642E-3</v>
      </c>
      <c r="K462" s="60"/>
      <c r="L462" s="60">
        <f t="shared" ca="1" si="76"/>
        <v>3.3555663091618359E-4</v>
      </c>
      <c r="M462" s="60"/>
      <c r="N462" s="60">
        <f t="shared" ca="1" si="77"/>
        <v>1.9004266605841802E-3</v>
      </c>
      <c r="O462" s="60">
        <f t="shared" ca="1" si="78"/>
        <v>1.8865028369435385E-3</v>
      </c>
      <c r="P462" s="60">
        <f t="shared" ca="1" si="78"/>
        <v>1.3923823640641757E-5</v>
      </c>
      <c r="Q462" s="60">
        <f t="shared" ca="1" si="78"/>
        <v>0</v>
      </c>
    </row>
    <row r="463" spans="1:17" x14ac:dyDescent="0.2">
      <c r="A463" s="49">
        <v>4</v>
      </c>
      <c r="B463" s="37" t="s">
        <v>1085</v>
      </c>
      <c r="C463" s="40" t="s">
        <v>1086</v>
      </c>
      <c r="D463" s="60">
        <f t="shared" ca="1" si="73"/>
        <v>1</v>
      </c>
      <c r="F463" s="60">
        <f t="shared" ca="1" si="74"/>
        <v>1</v>
      </c>
      <c r="G463" s="60"/>
      <c r="H463" s="60">
        <f t="shared" si="75"/>
        <v>0</v>
      </c>
      <c r="I463" s="60">
        <f t="shared" si="75"/>
        <v>0</v>
      </c>
      <c r="K463" s="60"/>
      <c r="L463" s="60">
        <f t="shared" si="76"/>
        <v>0</v>
      </c>
      <c r="M463" s="60"/>
      <c r="N463" s="60">
        <f t="shared" si="77"/>
        <v>0</v>
      </c>
      <c r="O463" s="60">
        <f t="shared" si="78"/>
        <v>0</v>
      </c>
      <c r="P463" s="60">
        <f t="shared" si="78"/>
        <v>0</v>
      </c>
      <c r="Q463" s="60">
        <f t="shared" si="78"/>
        <v>0</v>
      </c>
    </row>
    <row r="464" spans="1:17" x14ac:dyDescent="0.2">
      <c r="A464" s="49">
        <v>5</v>
      </c>
      <c r="B464" s="37" t="s">
        <v>1087</v>
      </c>
      <c r="C464" s="40" t="s">
        <v>1088</v>
      </c>
      <c r="D464" s="60">
        <f t="shared" ca="1" si="73"/>
        <v>1</v>
      </c>
      <c r="F464" s="60">
        <f t="shared" si="74"/>
        <v>0</v>
      </c>
      <c r="G464" s="60"/>
      <c r="H464" s="60">
        <f t="shared" ca="1" si="75"/>
        <v>1</v>
      </c>
      <c r="I464" s="60">
        <f t="shared" si="75"/>
        <v>0</v>
      </c>
      <c r="K464" s="60"/>
      <c r="L464" s="60">
        <f t="shared" si="76"/>
        <v>0</v>
      </c>
      <c r="M464" s="60"/>
      <c r="N464" s="60">
        <f t="shared" si="77"/>
        <v>0</v>
      </c>
      <c r="O464" s="60">
        <f t="shared" si="78"/>
        <v>0</v>
      </c>
      <c r="P464" s="60">
        <f t="shared" si="78"/>
        <v>0</v>
      </c>
      <c r="Q464" s="60">
        <f t="shared" si="78"/>
        <v>0</v>
      </c>
    </row>
    <row r="465" spans="1:17" x14ac:dyDescent="0.2">
      <c r="A465" s="49">
        <v>6</v>
      </c>
      <c r="B465" s="37" t="s">
        <v>1089</v>
      </c>
      <c r="C465" s="40" t="s">
        <v>1090</v>
      </c>
      <c r="D465" s="60">
        <f t="shared" si="73"/>
        <v>0</v>
      </c>
      <c r="F465" s="60">
        <f t="shared" si="74"/>
        <v>0</v>
      </c>
      <c r="G465" s="60"/>
      <c r="H465" s="60">
        <f t="shared" si="75"/>
        <v>0</v>
      </c>
      <c r="I465" s="60">
        <f t="shared" si="75"/>
        <v>0</v>
      </c>
      <c r="K465" s="60"/>
      <c r="L465" s="60">
        <f t="shared" si="76"/>
        <v>0</v>
      </c>
      <c r="M465" s="60"/>
      <c r="N465" s="60">
        <f t="shared" si="77"/>
        <v>0</v>
      </c>
      <c r="O465" s="60">
        <f t="shared" si="78"/>
        <v>0</v>
      </c>
      <c r="P465" s="60">
        <f t="shared" si="78"/>
        <v>0</v>
      </c>
      <c r="Q465" s="60">
        <f t="shared" si="78"/>
        <v>0</v>
      </c>
    </row>
    <row r="466" spans="1:17" x14ac:dyDescent="0.2">
      <c r="A466" s="49">
        <v>7</v>
      </c>
      <c r="B466" s="37" t="s">
        <v>1091</v>
      </c>
      <c r="C466" s="40" t="s">
        <v>1092</v>
      </c>
      <c r="D466" s="60">
        <f t="shared" ca="1" si="73"/>
        <v>1</v>
      </c>
      <c r="F466" s="60">
        <f t="shared" si="74"/>
        <v>0</v>
      </c>
      <c r="G466" s="60"/>
      <c r="H466" s="60">
        <f t="shared" si="75"/>
        <v>0</v>
      </c>
      <c r="I466" s="60">
        <f t="shared" ca="1" si="75"/>
        <v>1</v>
      </c>
      <c r="K466" s="60"/>
      <c r="L466" s="60">
        <f t="shared" si="76"/>
        <v>0</v>
      </c>
      <c r="M466" s="60"/>
      <c r="N466" s="60">
        <f t="shared" ca="1" si="77"/>
        <v>1</v>
      </c>
      <c r="O466" s="60">
        <f t="shared" ca="1" si="78"/>
        <v>0.52174745077731133</v>
      </c>
      <c r="P466" s="60">
        <f t="shared" ca="1" si="78"/>
        <v>0.47825254922268867</v>
      </c>
      <c r="Q466" s="60">
        <f t="shared" si="78"/>
        <v>0</v>
      </c>
    </row>
    <row r="467" spans="1:17" x14ac:dyDescent="0.2">
      <c r="A467" s="49">
        <v>8</v>
      </c>
      <c r="B467" s="59" t="s">
        <v>1354</v>
      </c>
      <c r="C467" s="40" t="s">
        <v>1355</v>
      </c>
      <c r="D467" s="60">
        <f ca="1">SUM(F467:I467)+K467</f>
        <v>1</v>
      </c>
      <c r="F467" s="60">
        <f t="shared" ca="1" si="74"/>
        <v>0.98467673717585968</v>
      </c>
      <c r="G467" s="60"/>
      <c r="H467" s="60">
        <f t="shared" ca="1" si="75"/>
        <v>0</v>
      </c>
      <c r="I467" s="60">
        <f t="shared" ca="1" si="75"/>
        <v>1.5323262824140309E-2</v>
      </c>
      <c r="K467" s="60"/>
      <c r="L467" s="60">
        <f t="shared" ca="1" si="76"/>
        <v>7.2282613296484395E-5</v>
      </c>
      <c r="M467" s="60"/>
      <c r="N467" s="60">
        <f ca="1">SUM(O467:Q467)</f>
        <v>1.5250980210843826E-2</v>
      </c>
      <c r="O467" s="60">
        <f t="shared" ca="1" si="78"/>
        <v>7.9269932581811225E-3</v>
      </c>
      <c r="P467" s="60">
        <f t="shared" ca="1" si="78"/>
        <v>7.3239869526627024E-3</v>
      </c>
      <c r="Q467" s="60">
        <f t="shared" si="78"/>
        <v>0</v>
      </c>
    </row>
    <row r="468" spans="1:17" x14ac:dyDescent="0.2">
      <c r="A468" s="49">
        <v>9</v>
      </c>
      <c r="B468" s="37" t="s">
        <v>1381</v>
      </c>
      <c r="C468" s="40" t="s">
        <v>1380</v>
      </c>
      <c r="D468" s="60">
        <f ca="1">SUM(F468:I468)+K468</f>
        <v>1</v>
      </c>
      <c r="F468" s="60">
        <f t="shared" ca="1" si="74"/>
        <v>0.95201334139632587</v>
      </c>
      <c r="G468" s="60"/>
      <c r="H468" s="60">
        <f t="shared" ca="1" si="75"/>
        <v>4.7918464618003732E-2</v>
      </c>
      <c r="I468" s="60">
        <f t="shared" ca="1" si="75"/>
        <v>6.8193985670395295E-5</v>
      </c>
      <c r="K468" s="60"/>
      <c r="L468" s="60">
        <f t="shared" ca="1" si="76"/>
        <v>6.8193985670395295E-5</v>
      </c>
      <c r="M468" s="60"/>
      <c r="N468" s="60">
        <f>SUM(O468:Q468)</f>
        <v>0</v>
      </c>
      <c r="O468" s="60">
        <f t="shared" si="78"/>
        <v>0</v>
      </c>
      <c r="P468" s="60">
        <f t="shared" si="78"/>
        <v>0</v>
      </c>
      <c r="Q468" s="60">
        <f t="shared" si="78"/>
        <v>0</v>
      </c>
    </row>
    <row r="469" spans="1:17" x14ac:dyDescent="0.2">
      <c r="A469" s="49">
        <v>10</v>
      </c>
      <c r="B469" s="37" t="s">
        <v>1392</v>
      </c>
      <c r="C469" s="40" t="s">
        <v>1393</v>
      </c>
      <c r="D469" s="60">
        <f ca="1">SUM(F469:I469)+K469</f>
        <v>0.99999999999999989</v>
      </c>
      <c r="F469" s="60">
        <f t="shared" ca="1" si="74"/>
        <v>0.95549789727753287</v>
      </c>
      <c r="G469" s="60"/>
      <c r="H469" s="60">
        <f t="shared" ca="1" si="75"/>
        <v>4.4499043459114609E-2</v>
      </c>
      <c r="I469" s="60">
        <f t="shared" ca="1" si="75"/>
        <v>3.0592633524294115E-6</v>
      </c>
      <c r="K469" s="60"/>
      <c r="L469" s="60">
        <f t="shared" ca="1" si="76"/>
        <v>3.0592633524294115E-6</v>
      </c>
      <c r="M469" s="60"/>
      <c r="N469" s="60">
        <f>SUM(O469:Q469)</f>
        <v>0</v>
      </c>
      <c r="O469" s="60">
        <f t="shared" si="78"/>
        <v>0</v>
      </c>
      <c r="P469" s="60">
        <f t="shared" si="78"/>
        <v>0</v>
      </c>
      <c r="Q469" s="60">
        <f t="shared" si="78"/>
        <v>0</v>
      </c>
    </row>
    <row r="470" spans="1:17" x14ac:dyDescent="0.2">
      <c r="A470" s="49">
        <v>11</v>
      </c>
    </row>
    <row r="471" spans="1:17" x14ac:dyDescent="0.2">
      <c r="A471" s="49">
        <v>12</v>
      </c>
    </row>
    <row r="472" spans="1:17" x14ac:dyDescent="0.2">
      <c r="A472" s="49">
        <v>13</v>
      </c>
    </row>
    <row r="473" spans="1:17" x14ac:dyDescent="0.2">
      <c r="A473" s="49">
        <v>14</v>
      </c>
    </row>
    <row r="474" spans="1:17" x14ac:dyDescent="0.2">
      <c r="A474" s="49">
        <v>15</v>
      </c>
    </row>
    <row r="475" spans="1:17" x14ac:dyDescent="0.2">
      <c r="A475" s="49">
        <v>16</v>
      </c>
    </row>
    <row r="476" spans="1:17" x14ac:dyDescent="0.2">
      <c r="A476" s="49">
        <v>17</v>
      </c>
    </row>
    <row r="477" spans="1:17" x14ac:dyDescent="0.2">
      <c r="A477" s="49">
        <v>18</v>
      </c>
      <c r="C477" s="47"/>
    </row>
    <row r="478" spans="1:17" x14ac:dyDescent="0.2">
      <c r="A478" s="49">
        <v>19</v>
      </c>
      <c r="C478" s="47"/>
    </row>
    <row r="479" spans="1:17" x14ac:dyDescent="0.2">
      <c r="A479" s="49">
        <v>20</v>
      </c>
      <c r="C479" s="47"/>
    </row>
    <row r="480" spans="1:17" x14ac:dyDescent="0.2">
      <c r="A480" s="49">
        <v>21</v>
      </c>
      <c r="C480" s="47"/>
    </row>
    <row r="481" spans="1:3" x14ac:dyDescent="0.2">
      <c r="A481" s="49">
        <v>22</v>
      </c>
      <c r="C481" s="47"/>
    </row>
    <row r="482" spans="1:3" x14ac:dyDescent="0.2">
      <c r="A482" s="49">
        <v>23</v>
      </c>
      <c r="C482" s="47"/>
    </row>
    <row r="483" spans="1:3" x14ac:dyDescent="0.2">
      <c r="A483" s="49">
        <v>24</v>
      </c>
      <c r="C483" s="47"/>
    </row>
    <row r="484" spans="1:3" x14ac:dyDescent="0.2">
      <c r="A484" s="49">
        <v>25</v>
      </c>
      <c r="C484" s="47"/>
    </row>
    <row r="485" spans="1:3" x14ac:dyDescent="0.2">
      <c r="A485" s="49">
        <v>26</v>
      </c>
      <c r="C485" s="47"/>
    </row>
    <row r="486" spans="1:3" x14ac:dyDescent="0.2">
      <c r="A486" s="49">
        <v>27</v>
      </c>
      <c r="C486" s="47"/>
    </row>
    <row r="487" spans="1:3" x14ac:dyDescent="0.2">
      <c r="A487" s="49">
        <v>28</v>
      </c>
      <c r="C487" s="47"/>
    </row>
    <row r="488" spans="1:3" x14ac:dyDescent="0.2">
      <c r="A488" s="49">
        <v>29</v>
      </c>
      <c r="C488" s="47"/>
    </row>
    <row r="489" spans="1:3" x14ac:dyDescent="0.2">
      <c r="A489" s="49">
        <v>30</v>
      </c>
      <c r="C489" s="47"/>
    </row>
    <row r="490" spans="1:3" x14ac:dyDescent="0.2">
      <c r="A490" s="49">
        <v>31</v>
      </c>
      <c r="C490" s="47"/>
    </row>
    <row r="491" spans="1:3" x14ac:dyDescent="0.2">
      <c r="A491" s="49">
        <v>32</v>
      </c>
      <c r="C491" s="47"/>
    </row>
    <row r="492" spans="1:3" x14ac:dyDescent="0.2">
      <c r="A492" s="49">
        <v>33</v>
      </c>
      <c r="C492" s="47"/>
    </row>
    <row r="493" spans="1:3" x14ac:dyDescent="0.2">
      <c r="A493" s="49">
        <v>34</v>
      </c>
      <c r="C493" s="47"/>
    </row>
    <row r="494" spans="1:3" x14ac:dyDescent="0.2">
      <c r="A494" s="49">
        <v>35</v>
      </c>
      <c r="C494" s="47"/>
    </row>
    <row r="495" spans="1:3" x14ac:dyDescent="0.2">
      <c r="A495" s="49">
        <v>36</v>
      </c>
      <c r="C495" s="47"/>
    </row>
    <row r="496" spans="1:3" x14ac:dyDescent="0.2">
      <c r="A496" s="49">
        <v>37</v>
      </c>
      <c r="C496" s="47"/>
    </row>
    <row r="497" spans="1:17" x14ac:dyDescent="0.2">
      <c r="A497" s="49">
        <v>38</v>
      </c>
      <c r="C497" s="47"/>
    </row>
    <row r="498" spans="1:17" x14ac:dyDescent="0.2">
      <c r="A498" s="49">
        <v>39</v>
      </c>
      <c r="C498" s="47"/>
    </row>
    <row r="499" spans="1:17" x14ac:dyDescent="0.2">
      <c r="A499" s="49">
        <v>40</v>
      </c>
      <c r="C499" s="47"/>
    </row>
    <row r="501" spans="1:17" x14ac:dyDescent="0.2">
      <c r="B501" s="53" t="s">
        <v>1093</v>
      </c>
      <c r="C501" s="47"/>
    </row>
    <row r="502" spans="1:17" x14ac:dyDescent="0.2">
      <c r="B502" s="56" t="s">
        <v>451</v>
      </c>
      <c r="C502" s="47"/>
    </row>
    <row r="503" spans="1:17" x14ac:dyDescent="0.2">
      <c r="A503" s="46">
        <v>1</v>
      </c>
      <c r="B503" s="195" t="s">
        <v>1244</v>
      </c>
      <c r="C503" s="47"/>
      <c r="D503" s="60">
        <f t="shared" ref="D503:D513" si="79">SUM(F503:I503)+K503</f>
        <v>1</v>
      </c>
      <c r="F503" s="60">
        <f t="shared" ref="F503:F513" si="80">IF(F254&lt;&gt;0,IF($D254=0,1,+F254/$D254),0)</f>
        <v>0.94267637833520124</v>
      </c>
      <c r="G503" s="60"/>
      <c r="H503" s="60">
        <f t="shared" ref="H503:I513" si="81">IF(H254&lt;&gt;0,IF($D254=0,1,+H254/$D254),0)</f>
        <v>5.7323621664798804E-2</v>
      </c>
      <c r="I503" s="60">
        <f t="shared" si="81"/>
        <v>0</v>
      </c>
      <c r="K503" s="60"/>
      <c r="L503" s="60">
        <f t="shared" ref="L503:L513" si="82">IF(L254&lt;&gt;0,IF($D254=0,1,+L254/$D254),0)</f>
        <v>0</v>
      </c>
      <c r="M503" s="60"/>
      <c r="N503" s="60">
        <f t="shared" ref="N503:N513" si="83">SUM(O503:Q503)</f>
        <v>0</v>
      </c>
      <c r="O503" s="60">
        <f t="shared" ref="O503:Q513" si="84">IF(O254&lt;&gt;0,IF($D254=0,1,+O254/$D254),0)</f>
        <v>0</v>
      </c>
      <c r="P503" s="60">
        <f t="shared" si="84"/>
        <v>0</v>
      </c>
      <c r="Q503" s="60">
        <f t="shared" si="84"/>
        <v>0</v>
      </c>
    </row>
    <row r="504" spans="1:17" x14ac:dyDescent="0.2">
      <c r="A504" s="46">
        <v>2</v>
      </c>
      <c r="B504" s="195" t="s">
        <v>1365</v>
      </c>
      <c r="C504" s="47"/>
      <c r="D504" s="60">
        <f t="shared" si="79"/>
        <v>0.99999999999999989</v>
      </c>
      <c r="F504" s="60">
        <f t="shared" si="80"/>
        <v>0.95716089801448534</v>
      </c>
      <c r="G504" s="60"/>
      <c r="H504" s="60">
        <f t="shared" si="81"/>
        <v>4.2839101985514563E-2</v>
      </c>
      <c r="I504" s="60">
        <f t="shared" si="81"/>
        <v>0</v>
      </c>
      <c r="K504" s="60"/>
      <c r="L504" s="60">
        <f t="shared" si="82"/>
        <v>0</v>
      </c>
      <c r="M504" s="60"/>
      <c r="N504" s="60">
        <f t="shared" si="83"/>
        <v>0</v>
      </c>
      <c r="O504" s="60">
        <f t="shared" si="84"/>
        <v>0</v>
      </c>
      <c r="P504" s="60">
        <f t="shared" si="84"/>
        <v>0</v>
      </c>
      <c r="Q504" s="60">
        <f t="shared" si="84"/>
        <v>0</v>
      </c>
    </row>
    <row r="505" spans="1:17" x14ac:dyDescent="0.2">
      <c r="A505" s="46">
        <v>3</v>
      </c>
      <c r="B505" s="195" t="s">
        <v>1247</v>
      </c>
      <c r="C505" s="47"/>
      <c r="D505" s="60">
        <f t="shared" si="79"/>
        <v>0</v>
      </c>
      <c r="F505" s="60">
        <f t="shared" si="80"/>
        <v>0</v>
      </c>
      <c r="G505" s="60"/>
      <c r="H505" s="60">
        <f t="shared" si="81"/>
        <v>0</v>
      </c>
      <c r="I505" s="60">
        <f t="shared" si="81"/>
        <v>0</v>
      </c>
      <c r="K505" s="60"/>
      <c r="L505" s="60">
        <f t="shared" si="82"/>
        <v>0</v>
      </c>
      <c r="M505" s="60"/>
      <c r="N505" s="60">
        <f t="shared" si="83"/>
        <v>0</v>
      </c>
      <c r="O505" s="60">
        <f t="shared" si="84"/>
        <v>0</v>
      </c>
      <c r="P505" s="60">
        <f t="shared" si="84"/>
        <v>0</v>
      </c>
      <c r="Q505" s="60">
        <f t="shared" si="84"/>
        <v>0</v>
      </c>
    </row>
    <row r="506" spans="1:17" x14ac:dyDescent="0.2">
      <c r="A506" s="46">
        <v>4</v>
      </c>
      <c r="B506" s="195" t="s">
        <v>1245</v>
      </c>
      <c r="C506" s="47"/>
      <c r="D506" s="60">
        <f t="shared" si="79"/>
        <v>1</v>
      </c>
      <c r="F506" s="60">
        <f t="shared" si="80"/>
        <v>0.98122064577867063</v>
      </c>
      <c r="G506" s="60"/>
      <c r="H506" s="60">
        <f t="shared" si="81"/>
        <v>1.8779354221329377E-2</v>
      </c>
      <c r="I506" s="60">
        <f t="shared" si="81"/>
        <v>0</v>
      </c>
      <c r="K506" s="60"/>
      <c r="L506" s="60">
        <f t="shared" si="82"/>
        <v>0</v>
      </c>
      <c r="M506" s="60"/>
      <c r="N506" s="60">
        <f t="shared" si="83"/>
        <v>0</v>
      </c>
      <c r="O506" s="60">
        <f t="shared" si="84"/>
        <v>0</v>
      </c>
      <c r="P506" s="60">
        <f t="shared" si="84"/>
        <v>0</v>
      </c>
      <c r="Q506" s="60">
        <f t="shared" si="84"/>
        <v>0</v>
      </c>
    </row>
    <row r="507" spans="1:17" x14ac:dyDescent="0.2">
      <c r="A507" s="46">
        <v>5</v>
      </c>
      <c r="B507" s="195" t="s">
        <v>1246</v>
      </c>
      <c r="C507" s="47"/>
      <c r="D507" s="60">
        <f t="shared" si="79"/>
        <v>0</v>
      </c>
      <c r="F507" s="60">
        <f t="shared" si="80"/>
        <v>0</v>
      </c>
      <c r="G507" s="60"/>
      <c r="H507" s="60">
        <f t="shared" si="81"/>
        <v>0</v>
      </c>
      <c r="I507" s="60">
        <f t="shared" si="81"/>
        <v>0</v>
      </c>
      <c r="K507" s="60"/>
      <c r="L507" s="60">
        <f t="shared" si="82"/>
        <v>0</v>
      </c>
      <c r="M507" s="60"/>
      <c r="N507" s="60">
        <f t="shared" si="83"/>
        <v>0</v>
      </c>
      <c r="O507" s="60">
        <f t="shared" si="84"/>
        <v>0</v>
      </c>
      <c r="P507" s="60">
        <f t="shared" si="84"/>
        <v>0</v>
      </c>
      <c r="Q507" s="60">
        <f t="shared" si="84"/>
        <v>0</v>
      </c>
    </row>
    <row r="508" spans="1:17" x14ac:dyDescent="0.2">
      <c r="A508" s="46">
        <v>6</v>
      </c>
      <c r="B508" s="195" t="s">
        <v>1248</v>
      </c>
      <c r="C508" s="47"/>
      <c r="D508" s="60">
        <f t="shared" si="79"/>
        <v>0.99999999999999989</v>
      </c>
      <c r="F508" s="60">
        <f t="shared" si="80"/>
        <v>0.96659520995814063</v>
      </c>
      <c r="G508" s="60"/>
      <c r="H508" s="60">
        <f t="shared" si="81"/>
        <v>3.3404790041859297E-2</v>
      </c>
      <c r="I508" s="60">
        <f t="shared" si="81"/>
        <v>0</v>
      </c>
      <c r="K508" s="60"/>
      <c r="L508" s="60">
        <f t="shared" si="82"/>
        <v>0</v>
      </c>
      <c r="M508" s="60"/>
      <c r="N508" s="60">
        <f t="shared" si="83"/>
        <v>0</v>
      </c>
      <c r="O508" s="60">
        <f t="shared" si="84"/>
        <v>0</v>
      </c>
      <c r="P508" s="60">
        <f t="shared" si="84"/>
        <v>0</v>
      </c>
      <c r="Q508" s="60">
        <f t="shared" si="84"/>
        <v>0</v>
      </c>
    </row>
    <row r="509" spans="1:17" x14ac:dyDescent="0.2">
      <c r="A509" s="46">
        <v>7</v>
      </c>
      <c r="B509" s="195" t="s">
        <v>1249</v>
      </c>
      <c r="C509" s="47"/>
      <c r="D509" s="60">
        <f t="shared" si="79"/>
        <v>1</v>
      </c>
      <c r="F509" s="60">
        <f t="shared" si="80"/>
        <v>0.94987769803947952</v>
      </c>
      <c r="G509" s="60"/>
      <c r="H509" s="60">
        <f t="shared" si="81"/>
        <v>5.0122301960520477E-2</v>
      </c>
      <c r="I509" s="60">
        <f t="shared" si="81"/>
        <v>0</v>
      </c>
      <c r="K509" s="60"/>
      <c r="L509" s="60">
        <f t="shared" si="82"/>
        <v>0</v>
      </c>
      <c r="M509" s="60"/>
      <c r="N509" s="60">
        <f t="shared" si="83"/>
        <v>0</v>
      </c>
      <c r="O509" s="60">
        <f t="shared" si="84"/>
        <v>0</v>
      </c>
      <c r="P509" s="60">
        <f t="shared" si="84"/>
        <v>0</v>
      </c>
      <c r="Q509" s="60">
        <f t="shared" si="84"/>
        <v>0</v>
      </c>
    </row>
    <row r="510" spans="1:17" x14ac:dyDescent="0.2">
      <c r="A510" s="46">
        <v>8</v>
      </c>
      <c r="B510" s="195" t="s">
        <v>1250</v>
      </c>
      <c r="C510" s="47"/>
      <c r="D510" s="60">
        <f t="shared" si="79"/>
        <v>0</v>
      </c>
      <c r="F510" s="60">
        <f t="shared" si="80"/>
        <v>0</v>
      </c>
      <c r="G510" s="60"/>
      <c r="H510" s="60">
        <f t="shared" si="81"/>
        <v>0</v>
      </c>
      <c r="I510" s="60">
        <f t="shared" si="81"/>
        <v>0</v>
      </c>
      <c r="K510" s="60"/>
      <c r="L510" s="60">
        <f t="shared" si="82"/>
        <v>0</v>
      </c>
      <c r="M510" s="60"/>
      <c r="N510" s="60">
        <f t="shared" si="83"/>
        <v>0</v>
      </c>
      <c r="O510" s="60">
        <f t="shared" si="84"/>
        <v>0</v>
      </c>
      <c r="P510" s="60">
        <f t="shared" si="84"/>
        <v>0</v>
      </c>
      <c r="Q510" s="60">
        <f t="shared" si="84"/>
        <v>0</v>
      </c>
    </row>
    <row r="511" spans="1:17" x14ac:dyDescent="0.2">
      <c r="A511" s="46">
        <v>9</v>
      </c>
      <c r="B511" s="195" t="s">
        <v>1251</v>
      </c>
      <c r="C511" s="47"/>
      <c r="D511" s="60">
        <f t="shared" si="79"/>
        <v>1</v>
      </c>
      <c r="F511" s="60">
        <f t="shared" si="80"/>
        <v>0</v>
      </c>
      <c r="G511" s="60"/>
      <c r="H511" s="60">
        <f t="shared" si="81"/>
        <v>0</v>
      </c>
      <c r="I511" s="60">
        <f t="shared" si="81"/>
        <v>1</v>
      </c>
      <c r="K511" s="60"/>
      <c r="L511" s="60">
        <f t="shared" si="82"/>
        <v>0</v>
      </c>
      <c r="M511" s="60"/>
      <c r="N511" s="60">
        <f t="shared" si="83"/>
        <v>1</v>
      </c>
      <c r="O511" s="60">
        <f t="shared" si="84"/>
        <v>0.50632233628322387</v>
      </c>
      <c r="P511" s="60">
        <f t="shared" si="84"/>
        <v>0.49367766371677618</v>
      </c>
      <c r="Q511" s="60">
        <f t="shared" si="84"/>
        <v>0</v>
      </c>
    </row>
    <row r="512" spans="1:17" x14ac:dyDescent="0.2">
      <c r="A512" s="49">
        <v>10</v>
      </c>
      <c r="B512" s="37" t="s">
        <v>1094</v>
      </c>
      <c r="C512" s="47"/>
      <c r="D512" s="60">
        <f t="shared" si="79"/>
        <v>0</v>
      </c>
      <c r="F512" s="60">
        <f t="shared" si="80"/>
        <v>0</v>
      </c>
      <c r="G512" s="60"/>
      <c r="H512" s="60">
        <f t="shared" si="81"/>
        <v>0</v>
      </c>
      <c r="I512" s="60">
        <f t="shared" si="81"/>
        <v>0</v>
      </c>
      <c r="K512" s="60"/>
      <c r="L512" s="60">
        <f t="shared" si="82"/>
        <v>0</v>
      </c>
      <c r="M512" s="60"/>
      <c r="N512" s="60">
        <f t="shared" si="83"/>
        <v>0</v>
      </c>
      <c r="O512" s="60">
        <f t="shared" si="84"/>
        <v>0</v>
      </c>
      <c r="P512" s="60">
        <f t="shared" si="84"/>
        <v>0</v>
      </c>
      <c r="Q512" s="60">
        <f t="shared" si="84"/>
        <v>0</v>
      </c>
    </row>
    <row r="513" spans="1:17" x14ac:dyDescent="0.2">
      <c r="A513" s="49">
        <v>11</v>
      </c>
      <c r="B513" s="101" t="s">
        <v>1243</v>
      </c>
      <c r="C513" s="47"/>
      <c r="D513" s="60">
        <f t="shared" si="79"/>
        <v>0</v>
      </c>
      <c r="F513" s="60">
        <f t="shared" si="80"/>
        <v>0</v>
      </c>
      <c r="G513" s="60"/>
      <c r="H513" s="60">
        <f t="shared" si="81"/>
        <v>0</v>
      </c>
      <c r="I513" s="60">
        <f t="shared" si="81"/>
        <v>0</v>
      </c>
      <c r="K513" s="60"/>
      <c r="L513" s="60">
        <f t="shared" si="82"/>
        <v>0</v>
      </c>
      <c r="M513" s="60"/>
      <c r="N513" s="60">
        <f t="shared" si="83"/>
        <v>0</v>
      </c>
      <c r="O513" s="60">
        <f t="shared" si="84"/>
        <v>0</v>
      </c>
      <c r="P513" s="60">
        <f t="shared" si="84"/>
        <v>0</v>
      </c>
      <c r="Q513" s="60">
        <f t="shared" si="84"/>
        <v>0</v>
      </c>
    </row>
    <row r="514" spans="1:17" x14ac:dyDescent="0.2">
      <c r="A514" s="49">
        <v>12</v>
      </c>
      <c r="C514" s="47"/>
      <c r="D514" s="60"/>
      <c r="F514" s="60"/>
      <c r="G514" s="60"/>
      <c r="H514" s="60"/>
      <c r="I514" s="60"/>
      <c r="K514" s="60"/>
      <c r="L514" s="60"/>
      <c r="M514" s="60"/>
      <c r="N514" s="60"/>
      <c r="O514" s="60"/>
      <c r="P514" s="60"/>
      <c r="Q514" s="60"/>
    </row>
    <row r="515" spans="1:17" x14ac:dyDescent="0.2">
      <c r="A515" s="49">
        <v>13</v>
      </c>
      <c r="C515" s="47"/>
      <c r="D515" s="60"/>
      <c r="F515" s="60"/>
      <c r="G515" s="60"/>
      <c r="H515" s="60"/>
      <c r="I515" s="60"/>
      <c r="K515" s="60"/>
      <c r="L515" s="60"/>
      <c r="M515" s="60"/>
      <c r="N515" s="60"/>
      <c r="O515" s="60"/>
      <c r="P515" s="60"/>
      <c r="Q515" s="60"/>
    </row>
    <row r="516" spans="1:17" x14ac:dyDescent="0.2">
      <c r="A516" s="49">
        <v>14</v>
      </c>
      <c r="C516" s="47"/>
    </row>
    <row r="517" spans="1:17" x14ac:dyDescent="0.2">
      <c r="A517" s="49">
        <v>15</v>
      </c>
      <c r="C517" s="47"/>
    </row>
    <row r="518" spans="1:17" x14ac:dyDescent="0.2">
      <c r="A518" s="49">
        <v>16</v>
      </c>
      <c r="C518" s="47"/>
    </row>
    <row r="519" spans="1:17" x14ac:dyDescent="0.2">
      <c r="A519" s="49">
        <v>17</v>
      </c>
      <c r="C519" s="47"/>
    </row>
    <row r="520" spans="1:17" x14ac:dyDescent="0.2">
      <c r="A520" s="49">
        <v>18</v>
      </c>
      <c r="C520" s="47"/>
    </row>
    <row r="521" spans="1:17" x14ac:dyDescent="0.2">
      <c r="C521" s="47"/>
    </row>
    <row r="522" spans="1:17" x14ac:dyDescent="0.2">
      <c r="C522" s="47"/>
    </row>
    <row r="523" spans="1:17" x14ac:dyDescent="0.2">
      <c r="C523" s="47"/>
    </row>
    <row r="524" spans="1:17" x14ac:dyDescent="0.2">
      <c r="C524" s="47"/>
    </row>
    <row r="525" spans="1:17" x14ac:dyDescent="0.2">
      <c r="C525" s="47"/>
    </row>
    <row r="526" spans="1:17" x14ac:dyDescent="0.2">
      <c r="C526" s="47"/>
    </row>
    <row r="527" spans="1:17" x14ac:dyDescent="0.2">
      <c r="C527" s="47"/>
    </row>
    <row r="528" spans="1:17" x14ac:dyDescent="0.2">
      <c r="C528" s="47"/>
    </row>
    <row r="529" spans="1:17" x14ac:dyDescent="0.2">
      <c r="C529" s="47"/>
    </row>
    <row r="530" spans="1:17" x14ac:dyDescent="0.2">
      <c r="B530" s="61"/>
      <c r="C530" s="47"/>
    </row>
    <row r="531" spans="1:17" x14ac:dyDescent="0.2">
      <c r="C531" s="47"/>
    </row>
    <row r="532" spans="1:17" x14ac:dyDescent="0.2">
      <c r="C532" s="47"/>
    </row>
    <row r="533" spans="1:17" x14ac:dyDescent="0.2">
      <c r="C533" s="47"/>
    </row>
    <row r="534" spans="1:17" x14ac:dyDescent="0.2">
      <c r="C534" s="47"/>
    </row>
    <row r="535" spans="1:17" x14ac:dyDescent="0.2">
      <c r="C535" s="47"/>
    </row>
    <row r="536" spans="1:17" x14ac:dyDescent="0.2">
      <c r="C536" s="47"/>
    </row>
    <row r="537" spans="1:17" x14ac:dyDescent="0.2">
      <c r="C537" s="47"/>
    </row>
    <row r="538" spans="1:17" x14ac:dyDescent="0.2">
      <c r="C538" s="47"/>
    </row>
    <row r="539" spans="1:17" x14ac:dyDescent="0.2">
      <c r="B539" s="53" t="s">
        <v>1116</v>
      </c>
      <c r="C539" s="47"/>
      <c r="D539" s="47"/>
      <c r="E539" s="47"/>
      <c r="F539" s="47"/>
      <c r="G539" s="47"/>
      <c r="I539" s="47"/>
      <c r="J539" s="47"/>
      <c r="K539" s="47"/>
    </row>
    <row r="540" spans="1:17" x14ac:dyDescent="0.2">
      <c r="C540" s="47"/>
    </row>
    <row r="541" spans="1:17" x14ac:dyDescent="0.2">
      <c r="B541" s="37" t="s">
        <v>1117</v>
      </c>
      <c r="C541" s="47"/>
    </row>
    <row r="542" spans="1:17" x14ac:dyDescent="0.2">
      <c r="C542" s="47"/>
    </row>
    <row r="543" spans="1:17" x14ac:dyDescent="0.2">
      <c r="A543" s="49">
        <v>1</v>
      </c>
      <c r="B543" s="37" t="s">
        <v>1118</v>
      </c>
      <c r="C543" s="47"/>
      <c r="D543" s="55">
        <f ca="1">SUM(F543:I543)+K543</f>
        <v>10062394693.696922</v>
      </c>
      <c r="F543" s="49">
        <f ca="1">F762</f>
        <v>9408080312.420742</v>
      </c>
      <c r="H543" s="49">
        <f ca="1">H762</f>
        <v>507908229.56304741</v>
      </c>
      <c r="I543" s="49">
        <f ca="1">(L543+M543+N543)</f>
        <v>146406151.71313202</v>
      </c>
      <c r="L543" s="49">
        <f ca="1">L762</f>
        <v>691517.97762954782</v>
      </c>
      <c r="M543" s="49"/>
      <c r="N543" s="49">
        <f ca="1">SUM(O543:Q543)</f>
        <v>145714633.73550248</v>
      </c>
      <c r="O543" s="49">
        <f ca="1">O762</f>
        <v>75736331.338313594</v>
      </c>
      <c r="P543" s="49">
        <f ca="1">P762</f>
        <v>69978302.397188902</v>
      </c>
      <c r="Q543" s="49">
        <f ca="1">Q762</f>
        <v>1.5009664629380087E-11</v>
      </c>
    </row>
    <row r="544" spans="1:17" x14ac:dyDescent="0.2">
      <c r="C544" s="47"/>
    </row>
    <row r="545" spans="1:17" x14ac:dyDescent="0.2">
      <c r="A545" s="49">
        <v>2</v>
      </c>
      <c r="B545" s="37" t="s">
        <v>1119</v>
      </c>
      <c r="C545" s="47"/>
      <c r="D545" s="55">
        <f ca="1">SUM(F545:I545)+K545</f>
        <v>3496764881.0426474</v>
      </c>
      <c r="F545" s="49">
        <f ca="1">F805</f>
        <v>3248986652.0563989</v>
      </c>
      <c r="H545" s="49">
        <f ca="1">H805</f>
        <v>195125323.29468253</v>
      </c>
      <c r="I545" s="49">
        <f ca="1">(L545+M545+N545)</f>
        <v>52652905.691565983</v>
      </c>
      <c r="L545" s="49">
        <f ca="1">L805</f>
        <v>170032.16873777637</v>
      </c>
      <c r="M545" s="49"/>
      <c r="N545" s="49">
        <f ca="1">SUM(O545:Q545)</f>
        <v>52482873.522828206</v>
      </c>
      <c r="O545" s="49">
        <f ca="1">O805</f>
        <v>27265785.093761932</v>
      </c>
      <c r="P545" s="49">
        <f ca="1">P805</f>
        <v>25217088.429066274</v>
      </c>
      <c r="Q545" s="49">
        <f ca="1">Q805</f>
        <v>5.2337701069954829E-12</v>
      </c>
    </row>
    <row r="546" spans="1:17" x14ac:dyDescent="0.2">
      <c r="A546" s="49">
        <v>3</v>
      </c>
      <c r="B546" s="37" t="s">
        <v>1120</v>
      </c>
      <c r="C546" s="47"/>
      <c r="D546" s="55">
        <f ca="1">SUM(F546:I546)+K546</f>
        <v>6565629812.6542749</v>
      </c>
      <c r="F546" s="49">
        <f ca="1">F543-F545</f>
        <v>6159093660.3643436</v>
      </c>
      <c r="H546" s="49">
        <f ca="1">H543-H545</f>
        <v>312782906.26836491</v>
      </c>
      <c r="I546" s="49">
        <f ca="1">(L546+M546+N546)</f>
        <v>93753246.021566063</v>
      </c>
      <c r="L546" s="49">
        <f ca="1">L543-L545</f>
        <v>521485.80889177148</v>
      </c>
      <c r="M546" s="49"/>
      <c r="N546" s="49">
        <f ca="1">SUM(O546:Q546)</f>
        <v>93231760.21267429</v>
      </c>
      <c r="O546" s="49">
        <f ca="1">O543-O545</f>
        <v>48470546.244551659</v>
      </c>
      <c r="P546" s="49">
        <f ca="1">P543-P545</f>
        <v>44761213.968122631</v>
      </c>
      <c r="Q546" s="49">
        <f ca="1">Q543-Q545</f>
        <v>9.7758945223846052E-12</v>
      </c>
    </row>
    <row r="547" spans="1:17" x14ac:dyDescent="0.2">
      <c r="C547" s="47"/>
    </row>
    <row r="548" spans="1:17" x14ac:dyDescent="0.2">
      <c r="A548" s="49">
        <v>4</v>
      </c>
      <c r="B548" s="37" t="s">
        <v>1124</v>
      </c>
      <c r="C548" s="47"/>
      <c r="D548" s="55">
        <f ca="1">SUM(F548:I548)+K548</f>
        <v>233249502.22749329</v>
      </c>
      <c r="F548" s="49">
        <f ca="1">F834</f>
        <v>217783949.3517569</v>
      </c>
      <c r="H548" s="49">
        <f ca="1">H834</f>
        <v>12499879.896325186</v>
      </c>
      <c r="I548" s="49">
        <f ca="1">(L548+M548+N548)</f>
        <v>2965672.9794111778</v>
      </c>
      <c r="L548" s="49">
        <f ca="1">L834</f>
        <v>2060.565244668649</v>
      </c>
      <c r="M548" s="49"/>
      <c r="N548" s="49">
        <f ca="1">SUM(O548:Q548)</f>
        <v>2963612.4141665092</v>
      </c>
      <c r="O548" s="49">
        <f ca="1">O834</f>
        <v>1506799.5911952925</v>
      </c>
      <c r="P548" s="49">
        <f ca="1">P834</f>
        <v>1456812.8229712166</v>
      </c>
      <c r="Q548" s="49">
        <f ca="1">Q834</f>
        <v>1.5075456119891651E-12</v>
      </c>
    </row>
    <row r="549" spans="1:17" x14ac:dyDescent="0.2">
      <c r="A549" s="49">
        <v>5</v>
      </c>
      <c r="B549" s="37" t="s">
        <v>1125</v>
      </c>
      <c r="C549" s="47"/>
      <c r="D549" s="55">
        <f ca="1">SUM(F549:I549)+K549</f>
        <v>6798879314.8817682</v>
      </c>
      <c r="F549" s="49">
        <f ca="1">F546+F548</f>
        <v>6376877609.7161007</v>
      </c>
      <c r="H549" s="49">
        <f ca="1">H546+H548</f>
        <v>325282786.16469008</v>
      </c>
      <c r="I549" s="49">
        <f ca="1">(L549+M549+N549)</f>
        <v>96718919.000977233</v>
      </c>
      <c r="L549" s="49">
        <f ca="1">L546+L548</f>
        <v>523546.37413644011</v>
      </c>
      <c r="M549" s="49"/>
      <c r="N549" s="49">
        <f ca="1">SUM(O549:Q549)</f>
        <v>96195372.6268408</v>
      </c>
      <c r="O549" s="49">
        <f ca="1">O546+O548</f>
        <v>49977345.835746951</v>
      </c>
      <c r="P549" s="49">
        <f ca="1">P546+P548</f>
        <v>46218026.791093849</v>
      </c>
      <c r="Q549" s="49">
        <f ca="1">Q546+Q548</f>
        <v>1.1283440134373771E-11</v>
      </c>
    </row>
    <row r="550" spans="1:17" x14ac:dyDescent="0.2">
      <c r="C550" s="47"/>
    </row>
    <row r="551" spans="1:17" x14ac:dyDescent="0.2">
      <c r="B551" s="37" t="s">
        <v>1126</v>
      </c>
      <c r="C551" s="47"/>
    </row>
    <row r="552" spans="1:17" x14ac:dyDescent="0.2">
      <c r="A552" s="49">
        <v>6</v>
      </c>
      <c r="B552" s="37" t="s">
        <v>1127</v>
      </c>
      <c r="C552" s="47"/>
      <c r="D552" s="55">
        <f t="shared" ref="D552:D558" ca="1" si="85">SUM(F552:I552)+K552</f>
        <v>60204949</v>
      </c>
      <c r="F552" s="49">
        <f ca="1">F845</f>
        <v>56082637.706670344</v>
      </c>
      <c r="H552" s="49">
        <f ca="1">H845</f>
        <v>3281761.510750595</v>
      </c>
      <c r="I552" s="49">
        <f t="shared" ref="I552:I558" ca="1" si="86">(L552+M552+N552)</f>
        <v>840549.78257906705</v>
      </c>
      <c r="L552" s="49">
        <f ca="1">L845</f>
        <v>2948.7730927748071</v>
      </c>
      <c r="M552" s="49"/>
      <c r="N552" s="49">
        <f t="shared" ref="N552:N558" ca="1" si="87">SUM(O552:Q552)</f>
        <v>837601.00948629226</v>
      </c>
      <c r="O552" s="49">
        <f ca="1">O845</f>
        <v>432496.21149952943</v>
      </c>
      <c r="P552" s="49">
        <f ca="1">P845</f>
        <v>405104.79798676289</v>
      </c>
      <c r="Q552" s="49">
        <f ca="1">Q845</f>
        <v>0</v>
      </c>
    </row>
    <row r="553" spans="1:17" x14ac:dyDescent="0.2">
      <c r="A553" s="49">
        <v>7</v>
      </c>
      <c r="B553" s="37" t="s">
        <v>1128</v>
      </c>
      <c r="C553" s="47"/>
      <c r="D553" s="55">
        <f t="shared" ca="1" si="85"/>
        <v>62955456.000000007</v>
      </c>
      <c r="F553" s="49">
        <f ca="1">F838</f>
        <v>59241660.740988947</v>
      </c>
      <c r="H553" s="49">
        <f ca="1">H838</f>
        <v>2416789.5602463312</v>
      </c>
      <c r="I553" s="49">
        <f t="shared" ca="1" si="86"/>
        <v>1297005.6987647284</v>
      </c>
      <c r="L553" s="49">
        <f ca="1">L838</f>
        <v>265.13329903306823</v>
      </c>
      <c r="M553" s="49"/>
      <c r="N553" s="49">
        <f t="shared" ca="1" si="87"/>
        <v>1296740.5654656952</v>
      </c>
      <c r="O553" s="49">
        <f ca="1">O838</f>
        <v>656679.3526504836</v>
      </c>
      <c r="P553" s="49">
        <f ca="1">P838</f>
        <v>640061.2128152115</v>
      </c>
      <c r="Q553" s="49">
        <f ca="1">Q838</f>
        <v>0</v>
      </c>
    </row>
    <row r="554" spans="1:17" x14ac:dyDescent="0.2">
      <c r="A554" s="49">
        <v>8</v>
      </c>
      <c r="B554" s="37" t="s">
        <v>1129</v>
      </c>
      <c r="C554" s="47"/>
      <c r="D554" s="55">
        <f t="shared" ca="1" si="85"/>
        <v>15827640.36401503</v>
      </c>
      <c r="F554" s="49">
        <f ca="1">F851</f>
        <v>15604608.223605685</v>
      </c>
      <c r="H554" s="49">
        <f ca="1">H851</f>
        <v>0</v>
      </c>
      <c r="I554" s="49">
        <f t="shared" ca="1" si="86"/>
        <v>223032.14040934504</v>
      </c>
      <c r="L554" s="49">
        <f ca="1">L851</f>
        <v>1133.8842851194138</v>
      </c>
      <c r="M554" s="49"/>
      <c r="N554" s="49">
        <f t="shared" ca="1" si="87"/>
        <v>221898.25612422562</v>
      </c>
      <c r="O554" s="49">
        <f ca="1">O851</f>
        <v>115468.19291125862</v>
      </c>
      <c r="P554" s="49">
        <f ca="1">P851</f>
        <v>106430.06321296701</v>
      </c>
      <c r="Q554" s="49">
        <f ca="1">Q851</f>
        <v>4.1024475242281716E-13</v>
      </c>
    </row>
    <row r="555" spans="1:17" x14ac:dyDescent="0.2">
      <c r="A555" s="49">
        <v>9</v>
      </c>
      <c r="B555" s="37" t="s">
        <v>1130</v>
      </c>
      <c r="C555" s="47"/>
      <c r="D555" s="55">
        <f t="shared" ca="1" si="85"/>
        <v>107245712.3979117</v>
      </c>
      <c r="F555" s="49">
        <f ca="1">F853</f>
        <v>98232982.688082933</v>
      </c>
      <c r="H555" s="49">
        <f ca="1">H853</f>
        <v>7223881.5541795744</v>
      </c>
      <c r="I555" s="49">
        <f t="shared" ca="1" si="86"/>
        <v>1788848.1556491852</v>
      </c>
      <c r="L555" s="49">
        <f ca="1">L853</f>
        <v>3132.7200044813271</v>
      </c>
      <c r="M555" s="49"/>
      <c r="N555" s="49">
        <f t="shared" ca="1" si="87"/>
        <v>1785715.4356447039</v>
      </c>
      <c r="O555" s="49">
        <f ca="1">O853</f>
        <v>910962.66564261296</v>
      </c>
      <c r="P555" s="49">
        <f ca="1">P853</f>
        <v>874752.77000209084</v>
      </c>
      <c r="Q555" s="49">
        <f ca="1">Q853</f>
        <v>7.1758817338101441E-13</v>
      </c>
    </row>
    <row r="556" spans="1:17" x14ac:dyDescent="0.2">
      <c r="A556" s="49">
        <v>10</v>
      </c>
      <c r="B556" s="37" t="s">
        <v>1131</v>
      </c>
      <c r="C556" s="47"/>
      <c r="D556" s="55">
        <f ca="1">SUM(F556:I556)+K556</f>
        <v>129522</v>
      </c>
      <c r="F556" s="49">
        <f ca="1">F857</f>
        <v>121415.99914063678</v>
      </c>
      <c r="H556" s="49">
        <f ca="1">H857</f>
        <v>5559.7880225348144</v>
      </c>
      <c r="I556" s="49">
        <f ca="1">(L556+M556+N556)</f>
        <v>2546.2128368284079</v>
      </c>
      <c r="L556" s="49">
        <f ca="1">L857</f>
        <v>0.3897284430270167</v>
      </c>
      <c r="M556" s="49"/>
      <c r="N556" s="49">
        <f ca="1">SUM(O556:Q556)</f>
        <v>2545.8231083853811</v>
      </c>
      <c r="O556" s="49">
        <f ca="1">O857</f>
        <v>1291.1703317485064</v>
      </c>
      <c r="P556" s="49">
        <f ca="1">P857</f>
        <v>1254.6527766368747</v>
      </c>
      <c r="Q556" s="49">
        <f ca="1">Q857</f>
        <v>0</v>
      </c>
    </row>
    <row r="557" spans="1:17" x14ac:dyDescent="0.2">
      <c r="A557" s="49">
        <v>11</v>
      </c>
      <c r="B557" s="37" t="s">
        <v>1469</v>
      </c>
      <c r="C557" s="47"/>
      <c r="D557" s="55">
        <f t="shared" ca="1" si="85"/>
        <v>101937692.82886787</v>
      </c>
      <c r="F557" s="49">
        <f>F859</f>
        <v>96343596</v>
      </c>
      <c r="H557" s="49">
        <f ca="1">H859</f>
        <v>3332590.8360824827</v>
      </c>
      <c r="I557" s="49">
        <f t="shared" ca="1" si="86"/>
        <v>2261505.9927853812</v>
      </c>
      <c r="L557" s="49">
        <f ca="1">L859</f>
        <v>346.15064252144873</v>
      </c>
      <c r="M557" s="49"/>
      <c r="N557" s="49">
        <f t="shared" ca="1" si="87"/>
        <v>2261159.8421428595</v>
      </c>
      <c r="O557" s="49">
        <f ca="1">O859</f>
        <v>1146797.0786735597</v>
      </c>
      <c r="P557" s="49">
        <f ca="1">P859</f>
        <v>1114362.7634692998</v>
      </c>
      <c r="Q557" s="49">
        <f ca="1">Q859</f>
        <v>0</v>
      </c>
    </row>
    <row r="558" spans="1:17" x14ac:dyDescent="0.2">
      <c r="A558" s="49">
        <v>12</v>
      </c>
      <c r="B558" s="37" t="s">
        <v>1132</v>
      </c>
      <c r="C558" s="47"/>
      <c r="D558" s="55">
        <f t="shared" ca="1" si="85"/>
        <v>348300972.59079462</v>
      </c>
      <c r="F558" s="49">
        <f ca="1">SUM(F552:F557)</f>
        <v>325626901.35848856</v>
      </c>
      <c r="H558" s="49">
        <f ca="1">SUM(H552:H557)</f>
        <v>16260583.249281518</v>
      </c>
      <c r="I558" s="49">
        <f t="shared" ca="1" si="86"/>
        <v>6413487.9830245348</v>
      </c>
      <c r="L558" s="49">
        <f ca="1">SUM(L552:L557)</f>
        <v>7827.0510523730918</v>
      </c>
      <c r="M558" s="49"/>
      <c r="N558" s="49">
        <f t="shared" ca="1" si="87"/>
        <v>6405660.9319721619</v>
      </c>
      <c r="O558" s="49">
        <f ca="1">SUM(O552:O557)</f>
        <v>3263694.6717091929</v>
      </c>
      <c r="P558" s="49">
        <f ca="1">SUM(P552:P557)</f>
        <v>3141966.2602629689</v>
      </c>
      <c r="Q558" s="49">
        <f ca="1">SUM(Q552:Q557)</f>
        <v>1.1278329258038315E-12</v>
      </c>
    </row>
    <row r="559" spans="1:17" x14ac:dyDescent="0.2">
      <c r="C559" s="47"/>
    </row>
    <row r="560" spans="1:17" x14ac:dyDescent="0.2">
      <c r="B560" s="37" t="s">
        <v>1133</v>
      </c>
      <c r="C560" s="47"/>
    </row>
    <row r="561" spans="1:17" x14ac:dyDescent="0.2">
      <c r="A561" s="49">
        <v>13</v>
      </c>
      <c r="B561" s="37" t="s">
        <v>1134</v>
      </c>
      <c r="C561" s="47"/>
      <c r="D561" s="55">
        <f ca="1">SUM(F561:I561)+K561</f>
        <v>1404815477</v>
      </c>
      <c r="F561" s="49">
        <f ca="1">F888</f>
        <v>1317889436.0861118</v>
      </c>
      <c r="H561" s="49">
        <f ca="1">H888</f>
        <v>67576750.926321954</v>
      </c>
      <c r="I561" s="49">
        <f t="shared" ref="I561:I570" ca="1" si="88">(L561+M561+N561)</f>
        <v>19349289.987566315</v>
      </c>
      <c r="L561" s="49">
        <f ca="1">L888</f>
        <v>97679.958979519186</v>
      </c>
      <c r="M561" s="49"/>
      <c r="N561" s="49">
        <f t="shared" ref="N561:N570" ca="1" si="89">SUM(O561:Q561)</f>
        <v>19251610.028586794</v>
      </c>
      <c r="O561" s="49">
        <f ca="1">O888</f>
        <v>10023003.474723751</v>
      </c>
      <c r="P561" s="49">
        <f ca="1">P888</f>
        <v>9228606.553863043</v>
      </c>
      <c r="Q561" s="49">
        <f ca="1">Q888</f>
        <v>2.1175896656869971E-12</v>
      </c>
    </row>
    <row r="562" spans="1:17" x14ac:dyDescent="0.2">
      <c r="A562" s="49">
        <v>14</v>
      </c>
      <c r="B562" s="37" t="s">
        <v>1135</v>
      </c>
      <c r="C562" s="47"/>
      <c r="D562" s="55">
        <f ca="1">SUM(F562:I562)+K562</f>
        <v>89931576.000000015</v>
      </c>
      <c r="F562" s="49">
        <f ca="1">F897</f>
        <v>84144180.918383867</v>
      </c>
      <c r="H562" s="49">
        <f ca="1">H897</f>
        <v>3907889.6670546061</v>
      </c>
      <c r="I562" s="49">
        <f t="shared" ca="1" si="88"/>
        <v>1879505.4145615399</v>
      </c>
      <c r="L562" s="49">
        <f ca="1">L897</f>
        <v>268.68863240390107</v>
      </c>
      <c r="M562" s="49"/>
      <c r="N562" s="49">
        <f t="shared" ca="1" si="89"/>
        <v>1879236.7259291359</v>
      </c>
      <c r="O562" s="49">
        <f ca="1">O897</f>
        <v>953096.34784122417</v>
      </c>
      <c r="P562" s="49">
        <f ca="1">P897</f>
        <v>926140.37808791187</v>
      </c>
      <c r="Q562" s="49">
        <f ca="1">Q897</f>
        <v>0</v>
      </c>
    </row>
    <row r="563" spans="1:17" x14ac:dyDescent="0.2">
      <c r="A563" s="49">
        <v>15</v>
      </c>
      <c r="B563" s="37" t="s">
        <v>1136</v>
      </c>
      <c r="C563" s="47"/>
      <c r="D563" s="55">
        <f ca="1">SUM(F563:I563)+K563</f>
        <v>980981.36999999965</v>
      </c>
      <c r="F563" s="49">
        <f t="shared" ref="F563:F569" ca="1" si="90">F899</f>
        <v>951646.55364259344</v>
      </c>
      <c r="H563" s="49">
        <f t="shared" ref="H563:H569" ca="1" si="91">H899</f>
        <v>29334.816357406231</v>
      </c>
      <c r="I563" s="49">
        <f t="shared" ca="1" si="88"/>
        <v>0</v>
      </c>
      <c r="L563" s="49">
        <f t="shared" ref="L563:L569" ca="1" si="92">L899</f>
        <v>0</v>
      </c>
      <c r="M563" s="49"/>
      <c r="N563" s="49">
        <f t="shared" ca="1" si="89"/>
        <v>0</v>
      </c>
      <c r="O563" s="49">
        <f t="shared" ref="O563:Q565" ca="1" si="93">O899</f>
        <v>0</v>
      </c>
      <c r="P563" s="49">
        <f t="shared" ca="1" si="93"/>
        <v>0</v>
      </c>
      <c r="Q563" s="49">
        <f t="shared" ca="1" si="93"/>
        <v>0</v>
      </c>
    </row>
    <row r="564" spans="1:17" x14ac:dyDescent="0.2">
      <c r="A564" s="49">
        <v>16</v>
      </c>
      <c r="B564" s="59" t="s">
        <v>797</v>
      </c>
      <c r="C564" s="47"/>
      <c r="D564" s="49">
        <f t="shared" ref="D564:D569" si="94">D900</f>
        <v>30898393.370000001</v>
      </c>
      <c r="F564" s="49">
        <f t="shared" si="90"/>
        <v>0</v>
      </c>
      <c r="H564" s="49">
        <f t="shared" ca="1" si="91"/>
        <v>1710542.4421739152</v>
      </c>
      <c r="I564" s="49">
        <f t="shared" ca="1" si="88"/>
        <v>1.0102626508301783E-2</v>
      </c>
      <c r="L564" s="49">
        <f t="shared" ca="1" si="92"/>
        <v>0</v>
      </c>
      <c r="M564" s="49"/>
      <c r="N564" s="49">
        <f t="shared" ca="1" si="89"/>
        <v>1.0102626508301783E-2</v>
      </c>
      <c r="O564" s="49">
        <f t="shared" ca="1" si="93"/>
        <v>1.0102626508301783E-2</v>
      </c>
      <c r="P564" s="49">
        <f t="shared" ca="1" si="93"/>
        <v>0</v>
      </c>
      <c r="Q564" s="49">
        <f t="shared" ca="1" si="93"/>
        <v>0</v>
      </c>
    </row>
    <row r="565" spans="1:17" x14ac:dyDescent="0.2">
      <c r="A565" s="49">
        <v>17</v>
      </c>
      <c r="B565" s="37" t="s">
        <v>697</v>
      </c>
      <c r="C565" s="47"/>
      <c r="D565" s="49">
        <f t="shared" ca="1" si="94"/>
        <v>-91173</v>
      </c>
      <c r="F565" s="49">
        <f t="shared" ca="1" si="90"/>
        <v>0</v>
      </c>
      <c r="H565" s="49">
        <f t="shared" ca="1" si="91"/>
        <v>-91173</v>
      </c>
      <c r="I565" s="49">
        <f t="shared" ca="1" si="88"/>
        <v>0</v>
      </c>
      <c r="L565" s="49">
        <f t="shared" ca="1" si="92"/>
        <v>0</v>
      </c>
      <c r="M565" s="49"/>
      <c r="N565" s="49">
        <f t="shared" ca="1" si="89"/>
        <v>0</v>
      </c>
      <c r="O565" s="49">
        <f t="shared" ca="1" si="93"/>
        <v>0</v>
      </c>
      <c r="P565" s="49">
        <f t="shared" ca="1" si="93"/>
        <v>0</v>
      </c>
      <c r="Q565" s="49">
        <f t="shared" ca="1" si="93"/>
        <v>0</v>
      </c>
    </row>
    <row r="566" spans="1:17" x14ac:dyDescent="0.2">
      <c r="A566" s="49">
        <v>18</v>
      </c>
      <c r="B566" s="59" t="s">
        <v>796</v>
      </c>
      <c r="D566" s="49">
        <f t="shared" si="94"/>
        <v>18730630.045384593</v>
      </c>
      <c r="F566" s="49">
        <f t="shared" si="90"/>
        <v>0</v>
      </c>
      <c r="H566" s="49">
        <f t="shared" ca="1" si="91"/>
        <v>886854.04044750531</v>
      </c>
      <c r="I566" s="49">
        <f t="shared" ca="1" si="88"/>
        <v>9.983713851556715E-13</v>
      </c>
      <c r="L566" s="49">
        <f t="shared" si="92"/>
        <v>0</v>
      </c>
      <c r="M566" s="49"/>
      <c r="N566" s="49">
        <f t="shared" ca="1" si="89"/>
        <v>9.983713851556715E-13</v>
      </c>
      <c r="O566" s="49">
        <f t="shared" ref="O566:Q569" si="95">O902</f>
        <v>0</v>
      </c>
      <c r="P566" s="49">
        <f t="shared" si="95"/>
        <v>0</v>
      </c>
      <c r="Q566" s="49">
        <f t="shared" ca="1" si="95"/>
        <v>9.983713851556715E-13</v>
      </c>
    </row>
    <row r="567" spans="1:17" x14ac:dyDescent="0.2">
      <c r="A567" s="49">
        <v>19</v>
      </c>
      <c r="B567" s="59" t="s">
        <v>1389</v>
      </c>
      <c r="D567" s="49">
        <f t="shared" si="94"/>
        <v>6921646.9999999981</v>
      </c>
      <c r="F567" s="49">
        <f t="shared" si="90"/>
        <v>0</v>
      </c>
      <c r="H567" s="49">
        <f t="shared" si="91"/>
        <v>0</v>
      </c>
      <c r="I567" s="49">
        <f ca="1">(L567+M567+N567)</f>
        <v>82431.071509685571</v>
      </c>
      <c r="L567" s="49">
        <f t="shared" si="92"/>
        <v>0</v>
      </c>
      <c r="M567" s="49"/>
      <c r="N567" s="49">
        <f ca="1">SUM(O567:Q567)</f>
        <v>82431.071509685571</v>
      </c>
      <c r="O567" s="49">
        <f t="shared" ca="1" si="95"/>
        <v>42969.645203490792</v>
      </c>
      <c r="P567" s="49">
        <f t="shared" ca="1" si="95"/>
        <v>39461.426306194786</v>
      </c>
      <c r="Q567" s="49">
        <f t="shared" ca="1" si="95"/>
        <v>3.689344291251633E-13</v>
      </c>
    </row>
    <row r="568" spans="1:17" x14ac:dyDescent="0.2">
      <c r="A568" s="49">
        <v>20</v>
      </c>
      <c r="B568" s="59" t="s">
        <v>1390</v>
      </c>
      <c r="D568" s="49">
        <f t="shared" si="94"/>
        <v>6465681.3499999996</v>
      </c>
      <c r="F568" s="49">
        <f t="shared" si="90"/>
        <v>0</v>
      </c>
      <c r="H568" s="49">
        <f t="shared" si="91"/>
        <v>0</v>
      </c>
      <c r="I568" s="49">
        <f ca="1">(L568+M568+N568)</f>
        <v>77000.89902312131</v>
      </c>
      <c r="L568" s="49">
        <f t="shared" si="92"/>
        <v>0</v>
      </c>
      <c r="M568" s="49"/>
      <c r="N568" s="49">
        <f ca="1">SUM(O568:Q568)</f>
        <v>77000.89902312131</v>
      </c>
      <c r="O568" s="49">
        <f t="shared" ca="1" si="95"/>
        <v>40139.006454435985</v>
      </c>
      <c r="P568" s="49">
        <f t="shared" ca="1" si="95"/>
        <v>36861.892568685318</v>
      </c>
      <c r="Q568" s="49">
        <f t="shared" ca="1" si="95"/>
        <v>3.4463075880169356E-13</v>
      </c>
    </row>
    <row r="569" spans="1:17" x14ac:dyDescent="0.2">
      <c r="A569" s="49">
        <v>21</v>
      </c>
      <c r="B569" s="59" t="s">
        <v>1391</v>
      </c>
      <c r="D569" s="49">
        <f t="shared" si="94"/>
        <v>1944142.0800000003</v>
      </c>
      <c r="F569" s="49">
        <f t="shared" si="90"/>
        <v>0</v>
      </c>
      <c r="H569" s="49">
        <f t="shared" si="91"/>
        <v>0</v>
      </c>
      <c r="I569" s="49">
        <f ca="1">(L569+M569+N569)</f>
        <v>23153.118733369229</v>
      </c>
      <c r="L569" s="49">
        <f t="shared" si="92"/>
        <v>0</v>
      </c>
      <c r="M569" s="49"/>
      <c r="N569" s="49">
        <f ca="1">SUM(O569:Q569)</f>
        <v>23153.118733369229</v>
      </c>
      <c r="O569" s="49">
        <f t="shared" ca="1" si="95"/>
        <v>12069.251061600895</v>
      </c>
      <c r="P569" s="49">
        <f t="shared" ca="1" si="95"/>
        <v>11083.867671768334</v>
      </c>
      <c r="Q569" s="49">
        <f t="shared" ca="1" si="95"/>
        <v>1.0362576254221111E-13</v>
      </c>
    </row>
    <row r="570" spans="1:17" x14ac:dyDescent="0.2">
      <c r="A570" s="49">
        <v>22</v>
      </c>
      <c r="B570" s="37" t="s">
        <v>1137</v>
      </c>
      <c r="C570" s="47"/>
      <c r="D570" s="49">
        <f ca="1">SUM(D561:D569)</f>
        <v>1560597355.2153842</v>
      </c>
      <c r="F570" s="49">
        <f ca="1">SUM(F561:F569)</f>
        <v>1402985263.5581381</v>
      </c>
      <c r="H570" s="49">
        <f ca="1">SUM(H561:H569)</f>
        <v>74020198.892355382</v>
      </c>
      <c r="I570" s="49">
        <f t="shared" ca="1" si="88"/>
        <v>21411380.501496658</v>
      </c>
      <c r="L570" s="49">
        <f ca="1">SUM(L561:L569)</f>
        <v>97948.647611923094</v>
      </c>
      <c r="M570" s="49"/>
      <c r="N570" s="49">
        <f t="shared" ca="1" si="89"/>
        <v>21313431.853884734</v>
      </c>
      <c r="O570" s="49">
        <f ca="1">SUM(O561:O569)</f>
        <v>11071277.73538713</v>
      </c>
      <c r="P570" s="49">
        <f ca="1">SUM(P561:P569)</f>
        <v>10242154.118497605</v>
      </c>
      <c r="Q570" s="49">
        <f ca="1">SUM(Q561:Q569)</f>
        <v>3.9331520013117364E-12</v>
      </c>
    </row>
    <row r="571" spans="1:17" x14ac:dyDescent="0.2">
      <c r="C571" s="47"/>
    </row>
    <row r="572" spans="1:17" x14ac:dyDescent="0.2">
      <c r="A572" s="49">
        <v>23</v>
      </c>
      <c r="B572" s="37" t="s">
        <v>1138</v>
      </c>
      <c r="C572" s="47"/>
      <c r="D572" s="49">
        <f ca="1">D549+D558-D570</f>
        <v>5586582932.2571783</v>
      </c>
      <c r="F572" s="49">
        <f ca="1">F549+F558-F570</f>
        <v>5299519247.5164509</v>
      </c>
      <c r="H572" s="49">
        <f ca="1">H549+H558-H570</f>
        <v>267523170.52161622</v>
      </c>
      <c r="I572" s="49">
        <f ca="1">(L572+M572+N572)</f>
        <v>81721026.482505113</v>
      </c>
      <c r="L572" s="49">
        <f ca="1">L549+L558-L570</f>
        <v>433424.77757689013</v>
      </c>
      <c r="M572" s="49"/>
      <c r="N572" s="49">
        <f ca="1">SUM(O572:Q572)</f>
        <v>81287601.704928219</v>
      </c>
      <c r="O572" s="49">
        <f ca="1">O549+O558-O570</f>
        <v>42169762.772069015</v>
      </c>
      <c r="P572" s="49">
        <f ca="1">P549+P558-P570</f>
        <v>39117838.932859212</v>
      </c>
      <c r="Q572" s="49">
        <f ca="1">Q549+Q558-Q570</f>
        <v>8.478121058865866E-12</v>
      </c>
    </row>
    <row r="573" spans="1:17" x14ac:dyDescent="0.2">
      <c r="C573" s="47"/>
    </row>
    <row r="574" spans="1:17" x14ac:dyDescent="0.2">
      <c r="B574" s="37" t="s">
        <v>1139</v>
      </c>
      <c r="C574" s="47"/>
    </row>
    <row r="575" spans="1:17" x14ac:dyDescent="0.2">
      <c r="A575" s="49">
        <v>24</v>
      </c>
      <c r="B575" s="37" t="s">
        <v>1140</v>
      </c>
      <c r="C575" s="47"/>
      <c r="D575" s="55">
        <f ca="1">SUM(F575:I575)+K575</f>
        <v>1736120504.5603518</v>
      </c>
      <c r="F575" s="49">
        <f ca="1">F946</f>
        <v>1637069309.6055508</v>
      </c>
      <c r="H575" s="49">
        <f ca="1">H946</f>
        <v>73646268.174997061</v>
      </c>
      <c r="I575" s="49">
        <f ca="1">(L575+M575+N575)</f>
        <v>25404926.779804032</v>
      </c>
      <c r="L575" s="49">
        <f ca="1">L946</f>
        <v>172.13271890353676</v>
      </c>
      <c r="M575" s="49"/>
      <c r="N575" s="49">
        <f ca="1">SUM(O575:Q575)</f>
        <v>25404754.64708513</v>
      </c>
      <c r="O575" s="49">
        <f ca="1">O946</f>
        <v>12946042.706812311</v>
      </c>
      <c r="P575" s="49">
        <f ca="1">P946</f>
        <v>12458711.940272819</v>
      </c>
      <c r="Q575" s="49">
        <f ca="1">Q946</f>
        <v>0</v>
      </c>
    </row>
    <row r="576" spans="1:17" x14ac:dyDescent="0.2">
      <c r="C576" s="47"/>
    </row>
    <row r="577" spans="1:23" x14ac:dyDescent="0.2">
      <c r="B577" s="37" t="s">
        <v>1141</v>
      </c>
      <c r="C577" s="47"/>
    </row>
    <row r="578" spans="1:23" x14ac:dyDescent="0.2">
      <c r="A578" s="49">
        <v>25</v>
      </c>
      <c r="B578" s="37" t="s">
        <v>1142</v>
      </c>
      <c r="C578" s="47"/>
      <c r="D578" s="55">
        <f t="shared" ref="D578:D583" ca="1" si="96">SUM(F578:I578)+K578</f>
        <v>938986321.69972646</v>
      </c>
      <c r="F578" s="49">
        <f ca="1">F1122</f>
        <v>880920467.52057183</v>
      </c>
      <c r="H578" s="49">
        <f ca="1">H1122</f>
        <v>42570834.742930502</v>
      </c>
      <c r="I578" s="49">
        <f t="shared" ref="I578:I588" ca="1" si="97">(L578+M578+N578)</f>
        <v>15495019.436224075</v>
      </c>
      <c r="L578" s="49">
        <f ca="1">L1122</f>
        <v>25291.61392747115</v>
      </c>
      <c r="M578" s="49"/>
      <c r="N578" s="49">
        <f t="shared" ref="N578:N588" ca="1" si="98">SUM(O578:Q578)</f>
        <v>15469727.822296605</v>
      </c>
      <c r="O578" s="49">
        <f ca="1">O1122</f>
        <v>7887472.1403945638</v>
      </c>
      <c r="P578" s="49">
        <f ca="1">P1122</f>
        <v>7582255.6819020417</v>
      </c>
      <c r="Q578" s="49">
        <f ca="1">Q1122</f>
        <v>5.7407053870481153E-12</v>
      </c>
    </row>
    <row r="579" spans="1:23" x14ac:dyDescent="0.2">
      <c r="A579" s="49">
        <v>26</v>
      </c>
      <c r="B579" s="37" t="s">
        <v>1143</v>
      </c>
      <c r="C579" s="47"/>
      <c r="D579" s="55">
        <f t="shared" ca="1" si="96"/>
        <v>358022830.75845891</v>
      </c>
      <c r="F579" s="49">
        <f ca="1">F1170</f>
        <v>335078116.00850677</v>
      </c>
      <c r="H579" s="49">
        <f ca="1">H1170</f>
        <v>17272167.44674965</v>
      </c>
      <c r="I579" s="49">
        <f t="shared" ca="1" si="97"/>
        <v>5672547.3032024838</v>
      </c>
      <c r="L579" s="49">
        <f ca="1">L1170</f>
        <v>7210.9210236152066</v>
      </c>
      <c r="M579" s="49"/>
      <c r="N579" s="49">
        <f t="shared" ca="1" si="98"/>
        <v>5665336.3821788682</v>
      </c>
      <c r="O579" s="49">
        <f ca="1">O1170</f>
        <v>2922543.2308066781</v>
      </c>
      <c r="P579" s="49">
        <f ca="1">P1170</f>
        <v>2742793.1513721901</v>
      </c>
      <c r="Q579" s="49">
        <f ca="1">Q1170</f>
        <v>2.7272049725390378E-14</v>
      </c>
    </row>
    <row r="580" spans="1:23" x14ac:dyDescent="0.2">
      <c r="A580" s="49">
        <v>27</v>
      </c>
      <c r="B580" s="37" t="s">
        <v>1470</v>
      </c>
      <c r="C580" s="47"/>
      <c r="D580" s="55">
        <f ca="1">SUM(F580:I580)+K580</f>
        <v>9627413.0644305404</v>
      </c>
      <c r="F580" s="49">
        <f ca="1">F1196</f>
        <v>8494101.2644305397</v>
      </c>
      <c r="H580" s="49">
        <f ca="1">H1196</f>
        <v>1133311.8</v>
      </c>
      <c r="I580" s="49">
        <f ca="1">(L580+M580+N580)</f>
        <v>0</v>
      </c>
      <c r="L580" s="49">
        <f ca="1">L1196</f>
        <v>0</v>
      </c>
      <c r="M580" s="49"/>
      <c r="N580" s="49">
        <f ca="1">SUM(O580:Q580)</f>
        <v>0</v>
      </c>
      <c r="O580" s="49">
        <f ca="1">O1196</f>
        <v>0</v>
      </c>
      <c r="P580" s="49">
        <f ca="1">P1196</f>
        <v>0</v>
      </c>
      <c r="Q580" s="49">
        <f ca="1">Q1196</f>
        <v>0</v>
      </c>
    </row>
    <row r="581" spans="1:23" x14ac:dyDescent="0.2">
      <c r="A581" s="49">
        <v>28</v>
      </c>
      <c r="B581" s="37" t="s">
        <v>1144</v>
      </c>
      <c r="C581" s="47"/>
      <c r="D581" s="55">
        <f t="shared" ca="1" si="96"/>
        <v>48259251.829488397</v>
      </c>
      <c r="F581" s="49">
        <f ca="1">F1230</f>
        <v>45509691.146959946</v>
      </c>
      <c r="H581" s="49">
        <f ca="1">H1230</f>
        <v>2133630.9316561818</v>
      </c>
      <c r="I581" s="49">
        <f t="shared" ca="1" si="97"/>
        <v>615929.75087226706</v>
      </c>
      <c r="L581" s="49">
        <f ca="1">L1230</f>
        <v>3434.1438449766092</v>
      </c>
      <c r="M581" s="49"/>
      <c r="N581" s="49">
        <f t="shared" ca="1" si="98"/>
        <v>612495.60702729051</v>
      </c>
      <c r="O581" s="49">
        <f ca="1">O1230</f>
        <v>318608.1565690529</v>
      </c>
      <c r="P581" s="49">
        <f ca="1">P1230</f>
        <v>293887.45045823761</v>
      </c>
      <c r="Q581" s="49">
        <f ca="1">Q1230</f>
        <v>6.1878304536300467E-13</v>
      </c>
    </row>
    <row r="582" spans="1:23" x14ac:dyDescent="0.2">
      <c r="A582" s="49">
        <v>29</v>
      </c>
      <c r="B582" s="37" t="s">
        <v>1145</v>
      </c>
      <c r="C582" s="47"/>
      <c r="D582" s="49">
        <f ca="1">D1286+D1296</f>
        <v>47732386.200000003</v>
      </c>
      <c r="F582" s="49">
        <f ca="1">F1286+F1296</f>
        <v>47024902.357943915</v>
      </c>
      <c r="H582" s="49">
        <f ca="1">H1286+H1296</f>
        <v>675646.39088924241</v>
      </c>
      <c r="I582" s="49">
        <f t="shared" ca="1" si="97"/>
        <v>246111.60235073496</v>
      </c>
      <c r="L582" s="49">
        <f ca="1">L1286+L1296</f>
        <v>-12345.117201263338</v>
      </c>
      <c r="M582" s="49"/>
      <c r="N582" s="49">
        <f t="shared" ca="1" si="98"/>
        <v>258456.71955199831</v>
      </c>
      <c r="O582" s="49">
        <f ca="1">O1286+O1296</f>
        <v>113748.9827932163</v>
      </c>
      <c r="P582" s="49">
        <f ca="1">P1286+P1296</f>
        <v>144707.736758782</v>
      </c>
      <c r="Q582" s="49">
        <f ca="1">Q1286+Q1296</f>
        <v>-2.4352747529461963E-14</v>
      </c>
    </row>
    <row r="583" spans="1:23" x14ac:dyDescent="0.2">
      <c r="A583" s="49">
        <v>30</v>
      </c>
      <c r="B583" s="59" t="s">
        <v>795</v>
      </c>
      <c r="C583" s="47"/>
      <c r="D583" s="55">
        <f t="shared" ca="1" si="96"/>
        <v>0</v>
      </c>
      <c r="F583" s="49">
        <f ca="1">F1232</f>
        <v>0</v>
      </c>
      <c r="H583" s="49">
        <f ca="1">H1232</f>
        <v>0</v>
      </c>
      <c r="I583" s="49">
        <f t="shared" ca="1" si="97"/>
        <v>0</v>
      </c>
      <c r="L583" s="49">
        <f ca="1">L1232</f>
        <v>0</v>
      </c>
      <c r="M583" s="49"/>
      <c r="N583" s="49">
        <f t="shared" ca="1" si="98"/>
        <v>0</v>
      </c>
      <c r="O583" s="49">
        <f t="shared" ref="O583:Q585" ca="1" si="99">O1232</f>
        <v>0</v>
      </c>
      <c r="P583" s="49">
        <f t="shared" ca="1" si="99"/>
        <v>0</v>
      </c>
      <c r="Q583" s="49">
        <f t="shared" ca="1" si="99"/>
        <v>0</v>
      </c>
    </row>
    <row r="584" spans="1:23" x14ac:dyDescent="0.2">
      <c r="A584" s="49">
        <v>31</v>
      </c>
      <c r="B584" s="59" t="s">
        <v>798</v>
      </c>
      <c r="C584" s="47"/>
      <c r="D584" s="49">
        <f>D1233</f>
        <v>0</v>
      </c>
      <c r="F584" s="49">
        <f>F1233</f>
        <v>0</v>
      </c>
      <c r="H584" s="49">
        <f ca="1">H1233</f>
        <v>0</v>
      </c>
      <c r="I584" s="49">
        <f>(L584+M584+N584)</f>
        <v>0</v>
      </c>
      <c r="L584" s="49">
        <f>L1233</f>
        <v>0</v>
      </c>
      <c r="M584" s="49"/>
      <c r="N584" s="49">
        <f>SUM(O584:Q584)</f>
        <v>0</v>
      </c>
      <c r="O584" s="49">
        <f t="shared" si="99"/>
        <v>0</v>
      </c>
      <c r="P584" s="49">
        <f t="shared" si="99"/>
        <v>0</v>
      </c>
      <c r="Q584" s="49">
        <f t="shared" si="99"/>
        <v>0</v>
      </c>
    </row>
    <row r="585" spans="1:23" x14ac:dyDescent="0.2">
      <c r="A585" s="49">
        <v>32</v>
      </c>
      <c r="B585" s="59" t="s">
        <v>799</v>
      </c>
      <c r="C585" s="47"/>
      <c r="D585" s="49">
        <f>D1234</f>
        <v>1123628.06</v>
      </c>
      <c r="F585" s="49">
        <f>F1234</f>
        <v>0</v>
      </c>
      <c r="H585" s="49">
        <f ca="1">H1234</f>
        <v>26600.655785648218</v>
      </c>
      <c r="I585" s="49">
        <f>(L585+M585+N585)</f>
        <v>0</v>
      </c>
      <c r="L585" s="49">
        <f>L1234</f>
        <v>0</v>
      </c>
      <c r="M585" s="49"/>
      <c r="N585" s="49">
        <f>SUM(O585:Q585)</f>
        <v>0</v>
      </c>
      <c r="O585" s="49">
        <f t="shared" si="99"/>
        <v>0</v>
      </c>
      <c r="P585" s="49">
        <f t="shared" si="99"/>
        <v>0</v>
      </c>
      <c r="Q585" s="49">
        <f t="shared" si="99"/>
        <v>0</v>
      </c>
    </row>
    <row r="586" spans="1:23" x14ac:dyDescent="0.2">
      <c r="A586" s="49">
        <v>33</v>
      </c>
      <c r="B586" s="59" t="s">
        <v>472</v>
      </c>
      <c r="C586" s="47"/>
      <c r="D586" s="49">
        <f>T$1268</f>
        <v>435510.9</v>
      </c>
      <c r="F586" s="49">
        <v>0</v>
      </c>
      <c r="H586" s="49">
        <f ca="1">H$1268</f>
        <v>21902.279497089981</v>
      </c>
      <c r="I586" s="49">
        <f>(L586+M586+N586)</f>
        <v>0</v>
      </c>
      <c r="L586" s="49">
        <f>L$110</f>
        <v>0</v>
      </c>
      <c r="M586" s="49"/>
      <c r="N586" s="49">
        <f>SUM(O586:Q586)</f>
        <v>0</v>
      </c>
      <c r="O586" s="49">
        <f>O$110</f>
        <v>0</v>
      </c>
      <c r="P586" s="49">
        <f>P$110</f>
        <v>0</v>
      </c>
      <c r="Q586" s="49">
        <f>Q$110</f>
        <v>0</v>
      </c>
    </row>
    <row r="587" spans="1:23" x14ac:dyDescent="0.2">
      <c r="A587" s="49">
        <v>34</v>
      </c>
      <c r="B587" s="37" t="s">
        <v>1388</v>
      </c>
      <c r="C587" s="47"/>
      <c r="D587" s="55">
        <f ca="1">SUM(F587:I587)+K587</f>
        <v>0</v>
      </c>
      <c r="F587" s="49">
        <f ca="1">F1219</f>
        <v>0</v>
      </c>
      <c r="H587" s="49">
        <f ca="1">H1219</f>
        <v>0</v>
      </c>
      <c r="I587" s="49">
        <f ca="1">(L587+M587+N587)</f>
        <v>0</v>
      </c>
      <c r="L587" s="49">
        <f ca="1">L1219</f>
        <v>0</v>
      </c>
      <c r="M587" s="49"/>
      <c r="N587" s="49">
        <f ca="1">SUM(O587:Q587)</f>
        <v>0</v>
      </c>
      <c r="O587" s="49">
        <f ca="1">O1219</f>
        <v>0</v>
      </c>
      <c r="P587" s="49">
        <f ca="1">P1219</f>
        <v>0</v>
      </c>
      <c r="Q587" s="49">
        <f ca="1">Q1219</f>
        <v>0</v>
      </c>
    </row>
    <row r="588" spans="1:23" x14ac:dyDescent="0.2">
      <c r="A588" s="49">
        <v>35</v>
      </c>
      <c r="B588" s="37" t="s">
        <v>1146</v>
      </c>
      <c r="C588" s="47"/>
      <c r="D588" s="49">
        <f ca="1">SUM(D578:D587)</f>
        <v>1404187342.5121043</v>
      </c>
      <c r="F588" s="49">
        <f ca="1">SUM(F578:F587)</f>
        <v>1317027278.298413</v>
      </c>
      <c r="H588" s="49">
        <f ca="1">SUM(H578:H587)</f>
        <v>63834094.24750831</v>
      </c>
      <c r="I588" s="49">
        <f t="shared" ca="1" si="97"/>
        <v>22029608.09264956</v>
      </c>
      <c r="L588" s="49">
        <f ca="1">SUM(L578:L587)</f>
        <v>23591.561594799627</v>
      </c>
      <c r="M588" s="49"/>
      <c r="N588" s="49">
        <f t="shared" ca="1" si="98"/>
        <v>22006016.531054761</v>
      </c>
      <c r="O588" s="49">
        <f ca="1">SUM(O578:O587)</f>
        <v>11242372.51056351</v>
      </c>
      <c r="P588" s="49">
        <f ca="1">SUM(P578:P587)</f>
        <v>10763644.020491252</v>
      </c>
      <c r="Q588" s="49">
        <f ca="1">SUM(Q578:Q587)</f>
        <v>6.3624077346070486E-12</v>
      </c>
    </row>
    <row r="589" spans="1:23" ht="13.5" thickBot="1" x14ac:dyDescent="0.25">
      <c r="C589" s="47"/>
      <c r="T589" s="65" t="s">
        <v>140</v>
      </c>
      <c r="U589" s="64"/>
      <c r="V589" s="64"/>
      <c r="W589" s="64"/>
    </row>
    <row r="590" spans="1:23" ht="13.5" thickBot="1" x14ac:dyDescent="0.25">
      <c r="A590" s="49">
        <v>36</v>
      </c>
      <c r="B590" s="37" t="s">
        <v>70</v>
      </c>
      <c r="C590" s="47"/>
      <c r="D590" s="49">
        <f ca="1">D575-D588</f>
        <v>331933162.04824758</v>
      </c>
      <c r="F590" s="49">
        <f ca="1">F575-F588</f>
        <v>320042031.30713773</v>
      </c>
      <c r="H590" s="49">
        <f ca="1">H575-H588</f>
        <v>9812173.9274887517</v>
      </c>
      <c r="I590" s="49">
        <f ca="1">(L590+M590+N590)</f>
        <v>3375318.6871544728</v>
      </c>
      <c r="L590" s="49">
        <f ca="1">L575-L588</f>
        <v>-23419.42887589609</v>
      </c>
      <c r="M590" s="49"/>
      <c r="N590" s="49">
        <f ca="1">SUM(O590:Q590)</f>
        <v>3398738.116030369</v>
      </c>
      <c r="O590" s="49">
        <f ca="1">O575-O588</f>
        <v>1703670.1962488014</v>
      </c>
      <c r="P590" s="49">
        <f ca="1">P575-P588</f>
        <v>1695067.9197815675</v>
      </c>
      <c r="Q590" s="49">
        <f ca="1">Q575-Q588</f>
        <v>-6.3624077346070486E-12</v>
      </c>
      <c r="T590" s="288">
        <f>IS!N375*1000</f>
        <v>333492302.18129474</v>
      </c>
      <c r="U590" s="64"/>
      <c r="V590" s="64"/>
      <c r="W590" s="66">
        <f ca="1">D590+D586+D585+D584-T590</f>
        <v>-1.1730471849441528</v>
      </c>
    </row>
    <row r="591" spans="1:23" x14ac:dyDescent="0.2">
      <c r="A591" s="49">
        <v>37</v>
      </c>
      <c r="B591" s="37" t="s">
        <v>397</v>
      </c>
      <c r="C591" s="47"/>
      <c r="D591" s="62">
        <f ca="1">IF(D572=0,0,(IF(OR((+D590/D572)&lt;-10000,(+D590/D572)&gt;10000),0,+D590/D572)))</f>
        <v>5.9416134347823023E-2</v>
      </c>
      <c r="F591" s="62">
        <f ca="1">IF(F572=0,0,(IF(OR((+F590/F572)&lt;-10000,(+F590/F572)&gt;10000),0,+F590/F572)))</f>
        <v>6.0390766852506703E-2</v>
      </c>
      <c r="G591" s="62"/>
      <c r="H591" s="62">
        <f ca="1">IF(H572=0,0,(IF(OR((+H590/H572)&lt;-10000,(+H590/H572)&gt;10000),0,+H590/H572)))</f>
        <v>3.6677847037910744E-2</v>
      </c>
      <c r="I591" s="62">
        <f ca="1">IF(I572=0,0,(IF(OR((+I590/I572)&lt;-10000,(+I590/I572)&gt;10000),0,+I590/I572)))</f>
        <v>4.1302940411266899E-2</v>
      </c>
      <c r="K591" s="62"/>
      <c r="L591" s="62">
        <f ca="1">IF(L572=0,0,(IF(OR((+L590/L572)&lt;-10000,(+L590/L572)&gt;10000),0,+L590/L572)))</f>
        <v>-5.4033433452570563E-2</v>
      </c>
      <c r="M591" s="62"/>
      <c r="N591" s="62">
        <f ca="1">IF(N572=0,0,(IF(OR((+N590/N572)&lt;-10000,(+N590/N572)&gt;10000),0,+N590/N572)))</f>
        <v>4.1811273118472554E-2</v>
      </c>
      <c r="O591" s="62">
        <f ca="1">IF(O572=0,0,(IF(OR((+O590/O572)&lt;-10000,(+O590/O572)&gt;10000),0,+O590/O572)))</f>
        <v>4.0400279353177228E-2</v>
      </c>
      <c r="P591" s="62">
        <f ca="1">IF(P572=0,0,(IF(OR((+P590/P572)&lt;-10000,(+P590/P572)&gt;10000),0,+P590/P572)))</f>
        <v>4.3332350815466457E-2</v>
      </c>
      <c r="Q591" s="62">
        <f ca="1">IF(Q572=0,0,(IF(OR((+Q590/Q572)&lt;-10000,(+Q590/Q572)&gt;10000),0,+Q590/Q572)))</f>
        <v>-0.75045021065766193</v>
      </c>
      <c r="T591" s="155"/>
      <c r="W591" s="39"/>
    </row>
    <row r="592" spans="1:23" x14ac:dyDescent="0.2">
      <c r="C592" s="47"/>
    </row>
    <row r="593" spans="1:25" x14ac:dyDescent="0.2">
      <c r="C593" s="47"/>
      <c r="D593" s="63"/>
      <c r="F593" s="63"/>
      <c r="G593" s="63"/>
      <c r="H593" s="63"/>
      <c r="I593" s="63"/>
      <c r="K593" s="63"/>
      <c r="L593" s="63"/>
      <c r="M593" s="63"/>
      <c r="N593" s="63"/>
      <c r="O593" s="63"/>
      <c r="P593" s="63"/>
      <c r="Q593" s="63"/>
    </row>
    <row r="594" spans="1:25" x14ac:dyDescent="0.2">
      <c r="C594" s="47"/>
    </row>
    <row r="595" spans="1:25" x14ac:dyDescent="0.2">
      <c r="C595" s="47"/>
    </row>
    <row r="596" spans="1:25" x14ac:dyDescent="0.2">
      <c r="B596" s="53" t="s">
        <v>71</v>
      </c>
      <c r="C596" s="47"/>
    </row>
    <row r="597" spans="1:25" x14ac:dyDescent="0.2">
      <c r="C597" s="47"/>
    </row>
    <row r="598" spans="1:25" x14ac:dyDescent="0.2">
      <c r="B598" s="37" t="s">
        <v>72</v>
      </c>
      <c r="C598" s="47"/>
    </row>
    <row r="599" spans="1:25" x14ac:dyDescent="0.2">
      <c r="A599" s="49">
        <v>1</v>
      </c>
      <c r="B599" s="59" t="s">
        <v>800</v>
      </c>
      <c r="C599" s="40" t="s">
        <v>673</v>
      </c>
      <c r="D599" s="55">
        <f ca="1">SUM(F599:I599)+K599</f>
        <v>44455.58</v>
      </c>
      <c r="F599" s="49">
        <f ca="1">INDEX(INDIRECT($C599),1,F$12+1)*$T599</f>
        <v>41564.808185138463</v>
      </c>
      <c r="H599" s="49">
        <f ca="1">INDEX(INDIRECT($C599),1,H$12+1)*$T599</f>
        <v>2243.9470024996299</v>
      </c>
      <c r="I599" s="49">
        <f ca="1">(L599+M599+N599)</f>
        <v>646.82481236191131</v>
      </c>
      <c r="L599" s="49">
        <f ca="1">INDEX(INDIRECT($C599),1,L$12+1)*$T599</f>
        <v>3.0551379220836417</v>
      </c>
      <c r="M599" s="49"/>
      <c r="N599" s="49">
        <f ca="1">SUM(O599:Q599)</f>
        <v>643.76967443982767</v>
      </c>
      <c r="O599" s="49">
        <f t="shared" ref="O599:Q601" ca="1" si="100">INDEX(INDIRECT($C599),1,O$12+1)*$T599</f>
        <v>334.60437101626371</v>
      </c>
      <c r="P599" s="49">
        <f t="shared" ca="1" si="100"/>
        <v>309.1653034235639</v>
      </c>
      <c r="Q599" s="49">
        <f t="shared" ca="1" si="100"/>
        <v>6.631294787760729E-17</v>
      </c>
      <c r="T599" s="242">
        <f>PIS!Q62+PIS!Q232</f>
        <v>44455.580000000009</v>
      </c>
      <c r="U599" s="39"/>
      <c r="V599" s="39"/>
      <c r="W599" s="39"/>
      <c r="X599" s="39"/>
      <c r="Y599" s="39"/>
    </row>
    <row r="600" spans="1:25" x14ac:dyDescent="0.2">
      <c r="A600" s="49">
        <v>2</v>
      </c>
      <c r="B600" s="59" t="s">
        <v>801</v>
      </c>
      <c r="C600" s="40" t="s">
        <v>675</v>
      </c>
      <c r="D600" s="55">
        <f ca="1">SUM(F600:I600)+K600</f>
        <v>55918.829999999994</v>
      </c>
      <c r="F600" s="49">
        <f ca="1">INDEX(INDIRECT($C600),1,F$12+1)*$T600</f>
        <v>55918.829999999994</v>
      </c>
      <c r="H600" s="49">
        <f ca="1">INDEX(INDIRECT($C600),1,H$12+1)*$T600</f>
        <v>0</v>
      </c>
      <c r="I600" s="49">
        <f ca="1">(L600+M600+N600)</f>
        <v>0</v>
      </c>
      <c r="L600" s="49">
        <f ca="1">INDEX(INDIRECT($C600),1,L$12+1)*$T600</f>
        <v>0</v>
      </c>
      <c r="M600" s="49"/>
      <c r="N600" s="49">
        <f ca="1">SUM(O600:Q600)</f>
        <v>0</v>
      </c>
      <c r="O600" s="49">
        <f t="shared" ca="1" si="100"/>
        <v>0</v>
      </c>
      <c r="P600" s="49">
        <f t="shared" ca="1" si="100"/>
        <v>0</v>
      </c>
      <c r="Q600" s="49">
        <f t="shared" ca="1" si="100"/>
        <v>0</v>
      </c>
      <c r="T600" s="242">
        <f>PIS!Q63</f>
        <v>55918.829999999994</v>
      </c>
      <c r="U600" s="44"/>
      <c r="V600" s="39"/>
      <c r="W600" s="39"/>
      <c r="X600" s="39"/>
      <c r="Y600" s="39"/>
    </row>
    <row r="601" spans="1:25" x14ac:dyDescent="0.2">
      <c r="A601" s="49">
        <v>3</v>
      </c>
      <c r="B601" s="59" t="s">
        <v>802</v>
      </c>
      <c r="C601" s="40" t="s">
        <v>673</v>
      </c>
      <c r="D601" s="55">
        <f ca="1">SUM(F601:I601)+K601</f>
        <v>97263001.621538445</v>
      </c>
      <c r="F601" s="49">
        <f ca="1">INDEX(INDIRECT($C601),1,F$12+1)*$T601</f>
        <v>90938370.524241433</v>
      </c>
      <c r="H601" s="49">
        <f ca="1">INDEX(INDIRECT($C601),1,H$12+1)*$T601</f>
        <v>4909462.9052813575</v>
      </c>
      <c r="I601" s="49">
        <f ca="1">(L601+M601+N601)</f>
        <v>1415168.1920156677</v>
      </c>
      <c r="L601" s="49">
        <f ca="1">INDEX(INDIRECT($C601),1,L$12+1)*$T601</f>
        <v>6684.2426680665249</v>
      </c>
      <c r="M601" s="49"/>
      <c r="N601" s="49">
        <f ca="1">SUM(O601:Q601)</f>
        <v>1408483.949347601</v>
      </c>
      <c r="O601" s="49">
        <f t="shared" ca="1" si="100"/>
        <v>732070.65301428316</v>
      </c>
      <c r="P601" s="49">
        <f t="shared" ca="1" si="100"/>
        <v>676413.29633331788</v>
      </c>
      <c r="Q601" s="49">
        <f t="shared" ca="1" si="100"/>
        <v>1.4508406721830447E-13</v>
      </c>
      <c r="T601" s="242">
        <f>PIS!Q64+PIS!Q65+PIS!Q152+PIS!Q153</f>
        <v>97263001.62153846</v>
      </c>
      <c r="U601" s="44"/>
    </row>
    <row r="602" spans="1:25" x14ac:dyDescent="0.2">
      <c r="A602" s="49">
        <v>4</v>
      </c>
      <c r="B602" s="37" t="s">
        <v>73</v>
      </c>
      <c r="C602" s="47"/>
      <c r="D602" s="55">
        <f ca="1">SUM(F602:I602)+K602</f>
        <v>97363376.031538457</v>
      </c>
      <c r="F602" s="49">
        <f ca="1">F600+F599+F601</f>
        <v>91035854.162426576</v>
      </c>
      <c r="H602" s="49">
        <f ca="1">H600+H599+H601</f>
        <v>4911706.8522838568</v>
      </c>
      <c r="I602" s="49">
        <f ca="1">(L602+M602+N602)</f>
        <v>1415815.0168280294</v>
      </c>
      <c r="L602" s="49">
        <f ca="1">L600+L599+L601</f>
        <v>6687.2978059886082</v>
      </c>
      <c r="M602" s="49"/>
      <c r="N602" s="49">
        <f ca="1">SUM(O602:Q602)</f>
        <v>1409127.7190220407</v>
      </c>
      <c r="O602" s="49">
        <f ca="1">O600+O599+O601</f>
        <v>732405.25738529942</v>
      </c>
      <c r="P602" s="49">
        <f ca="1">P600+P599+P601</f>
        <v>676722.46163674141</v>
      </c>
      <c r="Q602" s="49">
        <f ca="1">Q600+Q599+Q601</f>
        <v>1.4515038016618209E-13</v>
      </c>
      <c r="T602" s="39"/>
      <c r="U602" s="67" t="str">
        <f ca="1">IF(D602=SUM(T599:T601),"ok","err")</f>
        <v>ok</v>
      </c>
    </row>
    <row r="603" spans="1:25" x14ac:dyDescent="0.2">
      <c r="C603" s="47"/>
      <c r="T603" s="68"/>
    </row>
    <row r="604" spans="1:25" x14ac:dyDescent="0.2">
      <c r="B604" s="37" t="s">
        <v>74</v>
      </c>
      <c r="C604" s="47"/>
      <c r="T604" s="68"/>
      <c r="U604" s="39"/>
      <c r="V604" s="39"/>
      <c r="W604" s="39"/>
      <c r="X604" s="39"/>
      <c r="Y604" s="39"/>
    </row>
    <row r="605" spans="1:25" x14ac:dyDescent="0.2">
      <c r="B605" s="59" t="s">
        <v>619</v>
      </c>
      <c r="C605" s="47"/>
      <c r="T605" s="68"/>
      <c r="U605" s="39"/>
      <c r="V605" s="39"/>
      <c r="W605" s="44" t="s">
        <v>1225</v>
      </c>
      <c r="X605" s="39"/>
      <c r="Y605" s="39"/>
    </row>
    <row r="606" spans="1:25" x14ac:dyDescent="0.2">
      <c r="A606" s="49">
        <v>5</v>
      </c>
      <c r="B606" s="59" t="s">
        <v>431</v>
      </c>
      <c r="C606" s="40" t="s">
        <v>572</v>
      </c>
      <c r="D606" s="55">
        <f ca="1">SUM(F606:I606)+K606</f>
        <v>24446473.829999898</v>
      </c>
      <c r="F606" s="49">
        <f ca="1">INDEX(INDIRECT($C606),1,F$12+1)*$T606</f>
        <v>22916516.464653626</v>
      </c>
      <c r="H606" s="49">
        <f ca="1">INDEX(INDIRECT($C606),1,H$12+1)*$T606</f>
        <v>1049375.4913701473</v>
      </c>
      <c r="I606" s="49">
        <f ca="1">(L606+M606+N606)</f>
        <v>480581.87397612358</v>
      </c>
      <c r="L606" s="49">
        <f ca="1">INDEX(INDIRECT($C606),1,L$12+1)*$T606</f>
        <v>73.55882539851585</v>
      </c>
      <c r="M606" s="49"/>
      <c r="N606" s="49">
        <f ca="1">SUM(O606:Q606)</f>
        <v>480508.31515072507</v>
      </c>
      <c r="O606" s="49">
        <f t="shared" ref="O606:Q614" ca="1" si="101">INDEX(INDIRECT($C606),1,O$12+1)*$T606</f>
        <v>243700.388545283</v>
      </c>
      <c r="P606" s="49">
        <f t="shared" ca="1" si="101"/>
        <v>236807.92660544204</v>
      </c>
      <c r="Q606" s="49">
        <f t="shared" ca="1" si="101"/>
        <v>0</v>
      </c>
      <c r="T606" s="276">
        <f>PIS!Q83</f>
        <v>24446473.829999898</v>
      </c>
      <c r="U606" s="44"/>
      <c r="V606" s="39"/>
      <c r="W606" s="39"/>
      <c r="X606" s="39"/>
      <c r="Y606" s="39"/>
    </row>
    <row r="607" spans="1:25" x14ac:dyDescent="0.2">
      <c r="A607" s="49">
        <v>6</v>
      </c>
      <c r="B607" s="59" t="s">
        <v>425</v>
      </c>
      <c r="C607" s="40" t="s">
        <v>572</v>
      </c>
      <c r="D607" s="55">
        <f t="shared" ref="D607:D612" ca="1" si="102">SUM(F607:I607)+K607</f>
        <v>352632986.09461451</v>
      </c>
      <c r="F607" s="49">
        <f t="shared" ref="F607:F612" ca="1" si="103">INDEX(INDIRECT($C607),1,F$12+1)*$T607</f>
        <v>330563814.15222043</v>
      </c>
      <c r="H607" s="49">
        <f t="shared" ref="H607:H612" ca="1" si="104">INDEX(INDIRECT($C607),1,H$12+1)*$T607</f>
        <v>15136923.861888509</v>
      </c>
      <c r="I607" s="49">
        <f t="shared" ref="I607:I612" ca="1" si="105">(L607+M607+N607)</f>
        <v>6932248.0805055583</v>
      </c>
      <c r="L607" s="49">
        <f t="shared" ref="L607:L612" ca="1" si="106">INDEX(INDIRECT($C607),1,L$12+1)*$T607</f>
        <v>1061.0637932600002</v>
      </c>
      <c r="M607" s="49"/>
      <c r="N607" s="49">
        <f t="shared" ref="N607:N612" ca="1" si="107">SUM(O607:Q607)</f>
        <v>6931187.0167122986</v>
      </c>
      <c r="O607" s="49">
        <f t="shared" ca="1" si="101"/>
        <v>3515304.3470703806</v>
      </c>
      <c r="P607" s="49">
        <f t="shared" ca="1" si="101"/>
        <v>3415882.669641918</v>
      </c>
      <c r="Q607" s="49">
        <f t="shared" ca="1" si="101"/>
        <v>0</v>
      </c>
      <c r="T607" s="276">
        <f>PIS!Q84+PIS!Q85+PIS!Q166-AFUDC!H6</f>
        <v>352632986.09461451</v>
      </c>
      <c r="U607" s="44"/>
      <c r="V607" s="39"/>
      <c r="W607" s="39">
        <f>AFUDC!H6</f>
        <v>3590577.0200000005</v>
      </c>
      <c r="X607" s="39"/>
      <c r="Y607" s="39"/>
    </row>
    <row r="608" spans="1:25" x14ac:dyDescent="0.2">
      <c r="A608" s="49">
        <v>7</v>
      </c>
      <c r="B608" s="59" t="s">
        <v>426</v>
      </c>
      <c r="C608" s="40" t="s">
        <v>572</v>
      </c>
      <c r="D608" s="55">
        <f t="shared" ca="1" si="102"/>
        <v>4237631210.364615</v>
      </c>
      <c r="F608" s="49">
        <f t="shared" ca="1" si="103"/>
        <v>3972423429.1932311</v>
      </c>
      <c r="H608" s="49">
        <f t="shared" ca="1" si="104"/>
        <v>181902157.52771649</v>
      </c>
      <c r="I608" s="49">
        <f t="shared" ca="1" si="105"/>
        <v>83305623.643667385</v>
      </c>
      <c r="L608" s="49">
        <f t="shared" ca="1" si="106"/>
        <v>12750.925817529791</v>
      </c>
      <c r="M608" s="49"/>
      <c r="N608" s="49">
        <f t="shared" ca="1" si="107"/>
        <v>83292872.717849851</v>
      </c>
      <c r="O608" s="49">
        <f t="shared" ca="1" si="101"/>
        <v>42243817.233476199</v>
      </c>
      <c r="P608" s="49">
        <f t="shared" ca="1" si="101"/>
        <v>41049055.484373651</v>
      </c>
      <c r="Q608" s="49">
        <f t="shared" ca="1" si="101"/>
        <v>0</v>
      </c>
      <c r="T608" s="276">
        <f>PIS!Q86+PIS!Q87+PIS!Q167+PIS!Q365-AFUDC!H7</f>
        <v>4237631210.364615</v>
      </c>
      <c r="U608" s="44"/>
      <c r="V608" s="39"/>
      <c r="W608" s="39">
        <f>AFUDC!H7</f>
        <v>30534352.34</v>
      </c>
      <c r="X608" s="39"/>
      <c r="Y608" s="39"/>
    </row>
    <row r="609" spans="1:25" x14ac:dyDescent="0.2">
      <c r="A609" s="49">
        <v>8</v>
      </c>
      <c r="B609" s="59" t="s">
        <v>427</v>
      </c>
      <c r="C609" s="40" t="s">
        <v>572</v>
      </c>
      <c r="D609" s="55">
        <f t="shared" ca="1" si="102"/>
        <v>330257103.93461531</v>
      </c>
      <c r="F609" s="49">
        <f t="shared" ca="1" si="103"/>
        <v>309588303.51225621</v>
      </c>
      <c r="H609" s="49">
        <f t="shared" ca="1" si="104"/>
        <v>14176429.415950259</v>
      </c>
      <c r="I609" s="49">
        <f t="shared" ca="1" si="105"/>
        <v>6492371.0064088833</v>
      </c>
      <c r="L609" s="49">
        <f t="shared" ca="1" si="106"/>
        <v>993.735326161187</v>
      </c>
      <c r="M609" s="49"/>
      <c r="N609" s="49">
        <f t="shared" ca="1" si="107"/>
        <v>6491377.2710827217</v>
      </c>
      <c r="O609" s="49">
        <f t="shared" ca="1" si="101"/>
        <v>3292245.1355720125</v>
      </c>
      <c r="P609" s="49">
        <f t="shared" ca="1" si="101"/>
        <v>3199132.1355107087</v>
      </c>
      <c r="Q609" s="49">
        <f t="shared" ca="1" si="101"/>
        <v>0</v>
      </c>
      <c r="T609" s="276">
        <f>PIS!Q88+PIS!Q89+PIS!Q168-AFUDC!H8</f>
        <v>330257103.93461531</v>
      </c>
      <c r="U609" s="44"/>
      <c r="V609" s="39"/>
      <c r="W609" s="39">
        <f>AFUDC!H8</f>
        <v>4051050.8</v>
      </c>
      <c r="X609" s="39"/>
      <c r="Y609" s="39"/>
    </row>
    <row r="610" spans="1:25" x14ac:dyDescent="0.2">
      <c r="A610" s="49">
        <v>9</v>
      </c>
      <c r="B610" s="59" t="s">
        <v>428</v>
      </c>
      <c r="C610" s="40" t="s">
        <v>572</v>
      </c>
      <c r="D610" s="55">
        <f t="shared" ca="1" si="102"/>
        <v>250701562.97153842</v>
      </c>
      <c r="F610" s="49">
        <f t="shared" ca="1" si="103"/>
        <v>235011664.07489544</v>
      </c>
      <c r="H610" s="49">
        <f t="shared" ca="1" si="104"/>
        <v>10761473.317582471</v>
      </c>
      <c r="I610" s="49">
        <f t="shared" ca="1" si="105"/>
        <v>4928425.5790605191</v>
      </c>
      <c r="L610" s="49">
        <f t="shared" ca="1" si="106"/>
        <v>754.35470268631775</v>
      </c>
      <c r="M610" s="49"/>
      <c r="N610" s="49">
        <f t="shared" ca="1" si="107"/>
        <v>4927671.2243578332</v>
      </c>
      <c r="O610" s="49">
        <f t="shared" ca="1" si="101"/>
        <v>2499177.1299997708</v>
      </c>
      <c r="P610" s="49">
        <f t="shared" ca="1" si="101"/>
        <v>2428494.0943580624</v>
      </c>
      <c r="Q610" s="49">
        <f t="shared" ca="1" si="101"/>
        <v>0</v>
      </c>
      <c r="T610" s="276">
        <f>PIS!Q90+PIS!Q91+PIS!Q169-AFUDC!H9</f>
        <v>250701562.97153842</v>
      </c>
      <c r="U610" s="44"/>
      <c r="V610" s="39"/>
      <c r="W610" s="39">
        <f>AFUDC!H9</f>
        <v>2930174.6100000003</v>
      </c>
      <c r="X610" s="39"/>
      <c r="Y610" s="39"/>
    </row>
    <row r="611" spans="1:25" x14ac:dyDescent="0.2">
      <c r="A611" s="49">
        <v>10</v>
      </c>
      <c r="B611" s="59" t="s">
        <v>429</v>
      </c>
      <c r="C611" s="40" t="s">
        <v>572</v>
      </c>
      <c r="D611" s="55">
        <f t="shared" ca="1" si="102"/>
        <v>43103349.172307625</v>
      </c>
      <c r="F611" s="49">
        <f t="shared" ca="1" si="103"/>
        <v>40405770.495077819</v>
      </c>
      <c r="H611" s="49">
        <f t="shared" ca="1" si="104"/>
        <v>1850229.9567589429</v>
      </c>
      <c r="I611" s="49">
        <f t="shared" ca="1" si="105"/>
        <v>847348.72047086048</v>
      </c>
      <c r="L611" s="49">
        <f t="shared" ca="1" si="106"/>
        <v>129.69689444398091</v>
      </c>
      <c r="M611" s="49"/>
      <c r="N611" s="49">
        <f t="shared" ca="1" si="107"/>
        <v>847219.02357641654</v>
      </c>
      <c r="O611" s="49">
        <f t="shared" ca="1" si="101"/>
        <v>429685.81129290879</v>
      </c>
      <c r="P611" s="49">
        <f t="shared" ca="1" si="101"/>
        <v>417533.21228350775</v>
      </c>
      <c r="Q611" s="49">
        <f t="shared" ca="1" si="101"/>
        <v>0</v>
      </c>
      <c r="T611" s="276">
        <f>PIS!Q92+PIS!Q170-AFUDC!H10</f>
        <v>43103349.172307618</v>
      </c>
      <c r="U611" s="44"/>
      <c r="V611" s="39"/>
      <c r="W611" s="39">
        <f>AFUDC!H10</f>
        <v>256822.61000000002</v>
      </c>
      <c r="X611" s="39"/>
      <c r="Y611" s="39"/>
    </row>
    <row r="612" spans="1:25" x14ac:dyDescent="0.2">
      <c r="A612" s="49">
        <v>11</v>
      </c>
      <c r="B612" s="59" t="s">
        <v>430</v>
      </c>
      <c r="C612" s="40" t="s">
        <v>572</v>
      </c>
      <c r="D612" s="55">
        <f t="shared" ca="1" si="102"/>
        <v>178310652.40384617</v>
      </c>
      <c r="F612" s="49">
        <f t="shared" ca="1" si="103"/>
        <v>167151264.02488977</v>
      </c>
      <c r="H612" s="49">
        <f t="shared" ca="1" si="104"/>
        <v>7654062.0861727931</v>
      </c>
      <c r="I612" s="49">
        <f t="shared" ca="1" si="105"/>
        <v>3505326.2927836305</v>
      </c>
      <c r="L612" s="49">
        <f t="shared" ca="1" si="106"/>
        <v>536.53227201929053</v>
      </c>
      <c r="M612" s="49"/>
      <c r="N612" s="49">
        <f t="shared" ca="1" si="107"/>
        <v>3504789.7605116111</v>
      </c>
      <c r="O612" s="49">
        <f t="shared" ca="1" si="101"/>
        <v>1777531.4171999095</v>
      </c>
      <c r="P612" s="49">
        <f t="shared" ca="1" si="101"/>
        <v>1727258.3433117017</v>
      </c>
      <c r="Q612" s="49">
        <f t="shared" ca="1" si="101"/>
        <v>0</v>
      </c>
      <c r="T612" s="276">
        <f>PIS!Q94+PIS!Q93</f>
        <v>178310652.40384617</v>
      </c>
      <c r="U612" s="44"/>
      <c r="V612" s="39"/>
      <c r="W612" s="39">
        <f>AFUDC!H11</f>
        <v>41362977.379999995</v>
      </c>
      <c r="X612" s="39"/>
      <c r="Y612" s="39"/>
    </row>
    <row r="613" spans="1:25" x14ac:dyDescent="0.2">
      <c r="A613" s="49">
        <v>12</v>
      </c>
      <c r="B613" s="59" t="s">
        <v>803</v>
      </c>
      <c r="C613" s="40" t="s">
        <v>574</v>
      </c>
      <c r="D613" s="55">
        <f ca="1">SUM(F613:I613)+K613</f>
        <v>16782672.029999997</v>
      </c>
      <c r="F613" s="49">
        <f ca="1">INDEX(INDIRECT($C613),1,F$12+1)*$T613</f>
        <v>8813546.6613437645</v>
      </c>
      <c r="H613" s="49">
        <f ca="1">INDEX(INDIRECT($C613),1,H$12+1)*$T613</f>
        <v>5466169.9234149307</v>
      </c>
      <c r="I613" s="49">
        <f ca="1">(L613+M613+N613)</f>
        <v>2502955.4452413009</v>
      </c>
      <c r="L613" s="49">
        <f ca="1">INDEX(INDIRECT($C613),1,L$12+1)*$T613</f>
        <v>0</v>
      </c>
      <c r="M613" s="49"/>
      <c r="N613" s="49">
        <f ca="1">SUM(O613:Q613)</f>
        <v>2502955.4452413009</v>
      </c>
      <c r="O613" s="49">
        <f t="shared" ca="1" si="101"/>
        <v>1269429.0510363011</v>
      </c>
      <c r="P613" s="49">
        <f t="shared" ca="1" si="101"/>
        <v>1233526.3942049998</v>
      </c>
      <c r="Q613" s="49">
        <f t="shared" ca="1" si="101"/>
        <v>0</v>
      </c>
      <c r="T613" s="242">
        <f>AFUDC!D11+AFUDC!E11</f>
        <v>16782672.029999997</v>
      </c>
      <c r="U613" s="44"/>
    </row>
    <row r="614" spans="1:25" x14ac:dyDescent="0.2">
      <c r="A614" s="49">
        <v>13</v>
      </c>
      <c r="B614" s="59" t="s">
        <v>804</v>
      </c>
      <c r="C614" s="40" t="s">
        <v>580</v>
      </c>
      <c r="D614" s="55">
        <f ca="1">SUM(F614:I614)+K614</f>
        <v>24580305.350000001</v>
      </c>
      <c r="F614" s="49">
        <f ca="1">INDEX(INDIRECT($C614),1,F$12+1)*$T614</f>
        <v>19143695.29664474</v>
      </c>
      <c r="H614" s="49">
        <f ca="1">INDEX(INDIRECT($C614),1,H$12+1)*$T614</f>
        <v>0</v>
      </c>
      <c r="I614" s="49">
        <f ca="1">(L614+M614+N614)</f>
        <v>5436610.0533552635</v>
      </c>
      <c r="L614" s="49">
        <f ca="1">INDEX(INDIRECT($C614),1,L$12+1)*$T614</f>
        <v>0</v>
      </c>
      <c r="M614" s="49"/>
      <c r="N614" s="49">
        <f ca="1">SUM(O614:Q614)</f>
        <v>5436610.0533552635</v>
      </c>
      <c r="O614" s="49">
        <f t="shared" ca="1" si="101"/>
        <v>2757296.6806126465</v>
      </c>
      <c r="P614" s="49">
        <f t="shared" ca="1" si="101"/>
        <v>2679313.3727426175</v>
      </c>
      <c r="Q614" s="49">
        <f t="shared" ca="1" si="101"/>
        <v>0</v>
      </c>
      <c r="T614" s="242">
        <f>AFUDC!F11+AFUDC!G11</f>
        <v>24580305.350000005</v>
      </c>
      <c r="U614" s="44"/>
    </row>
    <row r="615" spans="1:25" x14ac:dyDescent="0.2">
      <c r="A615" s="49">
        <v>14</v>
      </c>
      <c r="B615" s="59" t="s">
        <v>998</v>
      </c>
      <c r="D615" s="55">
        <f ca="1">SUM(F615:I615)+K615</f>
        <v>5458446316.1515388</v>
      </c>
      <c r="F615" s="49">
        <f ca="1">SUM(F606:F614)</f>
        <v>5106018003.8752146</v>
      </c>
      <c r="H615" s="49">
        <f ca="1">SUM(H606:H614)</f>
        <v>237996821.58085454</v>
      </c>
      <c r="I615" s="49">
        <f ca="1">(L615+M615+N615)</f>
        <v>114431490.69546951</v>
      </c>
      <c r="L615" s="49">
        <f ca="1">SUM(L606:L614)</f>
        <v>16299.867631499083</v>
      </c>
      <c r="M615" s="49"/>
      <c r="N615" s="49">
        <f ca="1">SUM(O615:Q615)</f>
        <v>114415190.82783802</v>
      </c>
      <c r="O615" s="49">
        <f ca="1">SUM(O606:O614)</f>
        <v>58028187.194805413</v>
      </c>
      <c r="P615" s="49">
        <f ca="1">SUM(P606:P614)</f>
        <v>56387003.633032605</v>
      </c>
      <c r="Q615" s="49">
        <f ca="1">SUM(Q606:Q614)</f>
        <v>0</v>
      </c>
      <c r="T615" s="242">
        <f>PIS!Q95+PIS!Q171+PIS!Q372</f>
        <v>5458446316.151536</v>
      </c>
      <c r="U615" s="67" t="str">
        <f ca="1">IF(D615=SUM($T606:$T614),"ok","err")</f>
        <v>ok</v>
      </c>
      <c r="V615" s="67" t="str">
        <f>IF(T615=SUM($T606:$T614),"ok","err")</f>
        <v>ok</v>
      </c>
      <c r="W615" s="69" t="s">
        <v>706</v>
      </c>
    </row>
    <row r="616" spans="1:25" x14ac:dyDescent="0.2">
      <c r="T616" s="68"/>
      <c r="U616" s="39"/>
      <c r="V616" s="39"/>
      <c r="W616" s="39"/>
      <c r="X616" s="39"/>
      <c r="Y616" s="39"/>
    </row>
    <row r="617" spans="1:25" x14ac:dyDescent="0.2">
      <c r="B617" s="59" t="s">
        <v>432</v>
      </c>
      <c r="C617" s="47"/>
      <c r="T617" s="68"/>
      <c r="U617" s="39"/>
      <c r="V617" s="39"/>
      <c r="W617" s="39"/>
      <c r="X617" s="39"/>
      <c r="Y617" s="39"/>
    </row>
    <row r="618" spans="1:25" x14ac:dyDescent="0.2">
      <c r="A618" s="49">
        <v>15</v>
      </c>
      <c r="B618" s="59" t="s">
        <v>433</v>
      </c>
      <c r="C618" s="40" t="s">
        <v>572</v>
      </c>
      <c r="D618" s="55">
        <f ca="1">SUM(F618:I618)+K618</f>
        <v>855636.47000000009</v>
      </c>
      <c r="F618" s="49">
        <f ca="1">INDEX(INDIRECT($C618),1,F$12+1)*$T618</f>
        <v>802087.34351089003</v>
      </c>
      <c r="H618" s="49">
        <f ca="1">INDEX(INDIRECT($C618),1,H$12+1)*$T618</f>
        <v>36728.56655664651</v>
      </c>
      <c r="I618" s="49">
        <f ca="1">(L618+M618+N618)</f>
        <v>16820.559932463562</v>
      </c>
      <c r="L618" s="49">
        <f ca="1">INDEX(INDIRECT($C618),1,L$12+1)*$T618</f>
        <v>2.5745886355231753</v>
      </c>
      <c r="M618" s="49"/>
      <c r="N618" s="49">
        <f ca="1">SUM(O618:Q618)</f>
        <v>16817.985343828041</v>
      </c>
      <c r="O618" s="49">
        <f t="shared" ref="O618:Q627" ca="1" si="108">INDEX(INDIRECT($C618),1,O$12+1)*$T618</f>
        <v>8529.6121494882809</v>
      </c>
      <c r="P618" s="49">
        <f t="shared" ca="1" si="108"/>
        <v>8288.3731943397579</v>
      </c>
      <c r="Q618" s="49">
        <f t="shared" ca="1" si="108"/>
        <v>0</v>
      </c>
      <c r="T618" s="276">
        <f>PIS!Q51</f>
        <v>855636.47000000009</v>
      </c>
      <c r="U618" s="44"/>
      <c r="V618" s="39"/>
      <c r="W618" s="39"/>
      <c r="X618" s="39"/>
      <c r="Y618" s="39"/>
    </row>
    <row r="619" spans="1:25" x14ac:dyDescent="0.2">
      <c r="A619" s="49">
        <v>16</v>
      </c>
      <c r="B619" s="59" t="s">
        <v>434</v>
      </c>
      <c r="C619" s="40" t="s">
        <v>572</v>
      </c>
      <c r="D619" s="55">
        <f t="shared" ref="D619:D625" ca="1" si="109">SUM(F619:I619)+K619</f>
        <v>4472311.3646153836</v>
      </c>
      <c r="F619" s="49">
        <f t="shared" ref="F619:F625" ca="1" si="110">INDEX(INDIRECT($C619),1,F$12+1)*$T619</f>
        <v>4192416.3678973573</v>
      </c>
      <c r="H619" s="49">
        <f t="shared" ref="H619:H625" ca="1" si="111">INDEX(INDIRECT($C619),1,H$12+1)*$T619</f>
        <v>191975.90492761802</v>
      </c>
      <c r="I619" s="49">
        <f t="shared" ref="I619:I625" ca="1" si="112">(L619+M619+N619)</f>
        <v>87919.091790408303</v>
      </c>
      <c r="L619" s="49">
        <f t="shared" ref="L619:L625" ca="1" si="113">INDEX(INDIRECT($C619),1,L$12+1)*$T619</f>
        <v>13.457072504003843</v>
      </c>
      <c r="M619" s="49"/>
      <c r="N619" s="49">
        <f t="shared" ref="N619:N625" ca="1" si="114">SUM(O619:Q619)</f>
        <v>87905.634717904293</v>
      </c>
      <c r="O619" s="49">
        <f t="shared" ca="1" si="108"/>
        <v>44583.281205764732</v>
      </c>
      <c r="P619" s="49">
        <f t="shared" ca="1" si="108"/>
        <v>43322.353512139569</v>
      </c>
      <c r="Q619" s="49">
        <f t="shared" ca="1" si="108"/>
        <v>0</v>
      </c>
      <c r="T619" s="276">
        <f>PIS!Q52+PIS!Q143</f>
        <v>4472311.3646153836</v>
      </c>
      <c r="U619" s="44"/>
      <c r="V619" s="39"/>
      <c r="W619" s="39"/>
      <c r="X619" s="39"/>
      <c r="Y619" s="39"/>
    </row>
    <row r="620" spans="1:25" x14ac:dyDescent="0.2">
      <c r="A620" s="49">
        <v>17</v>
      </c>
      <c r="B620" s="59" t="s">
        <v>435</v>
      </c>
      <c r="C620" s="40" t="s">
        <v>572</v>
      </c>
      <c r="D620" s="55">
        <f t="shared" ca="1" si="109"/>
        <v>21842694.049999993</v>
      </c>
      <c r="F620" s="49">
        <f t="shared" ca="1" si="110"/>
        <v>20475691.558221702</v>
      </c>
      <c r="H620" s="49">
        <f t="shared" ca="1" si="111"/>
        <v>937607.11507761164</v>
      </c>
      <c r="I620" s="49">
        <f t="shared" ca="1" si="112"/>
        <v>429395.37670068</v>
      </c>
      <c r="L620" s="49">
        <f t="shared" ca="1" si="113"/>
        <v>65.724117475193239</v>
      </c>
      <c r="M620" s="49"/>
      <c r="N620" s="49">
        <f t="shared" ca="1" si="114"/>
        <v>429329.65258320479</v>
      </c>
      <c r="O620" s="49">
        <f t="shared" ca="1" si="108"/>
        <v>217744.00119531521</v>
      </c>
      <c r="P620" s="49">
        <f t="shared" ca="1" si="108"/>
        <v>211585.65138788958</v>
      </c>
      <c r="Q620" s="49">
        <f t="shared" ca="1" si="108"/>
        <v>0</v>
      </c>
      <c r="T620" s="276">
        <f>PIS!Q53+PIS!Q144-AFUDC!H16</f>
        <v>21842694.049999993</v>
      </c>
      <c r="U620" s="44"/>
      <c r="V620" s="39"/>
      <c r="W620" s="39">
        <f>AFUDC!H16</f>
        <v>42952.32</v>
      </c>
      <c r="X620" s="39"/>
      <c r="Y620" s="39"/>
    </row>
    <row r="621" spans="1:25" x14ac:dyDescent="0.2">
      <c r="A621" s="49">
        <v>18</v>
      </c>
      <c r="B621" s="59" t="s">
        <v>436</v>
      </c>
      <c r="C621" s="40" t="s">
        <v>572</v>
      </c>
      <c r="D621" s="55">
        <f t="shared" ca="1" si="109"/>
        <v>13988241.579999998</v>
      </c>
      <c r="F621" s="49">
        <f t="shared" ca="1" si="110"/>
        <v>13112801.899725912</v>
      </c>
      <c r="H621" s="49">
        <f t="shared" ca="1" si="111"/>
        <v>600451.33639696322</v>
      </c>
      <c r="I621" s="49">
        <f t="shared" ca="1" si="112"/>
        <v>274988.34387712431</v>
      </c>
      <c r="L621" s="49">
        <f t="shared" ca="1" si="113"/>
        <v>42.090267380515868</v>
      </c>
      <c r="M621" s="49"/>
      <c r="N621" s="49">
        <f t="shared" ca="1" si="114"/>
        <v>274946.25360974378</v>
      </c>
      <c r="O621" s="49">
        <f t="shared" ca="1" si="108"/>
        <v>139445.05583164908</v>
      </c>
      <c r="P621" s="49">
        <f t="shared" ca="1" si="108"/>
        <v>135501.19777809471</v>
      </c>
      <c r="Q621" s="49">
        <f t="shared" ca="1" si="108"/>
        <v>0</v>
      </c>
      <c r="T621" s="276">
        <f>PIS!Q54+PIS!Q145-AFUDC!H17</f>
        <v>13988241.58</v>
      </c>
      <c r="U621" s="44"/>
      <c r="V621" s="39"/>
      <c r="W621" s="39">
        <f>AFUDC!H17</f>
        <v>58500</v>
      </c>
      <c r="X621" s="39"/>
      <c r="Y621" s="39"/>
    </row>
    <row r="622" spans="1:25" x14ac:dyDescent="0.2">
      <c r="A622" s="49">
        <v>19</v>
      </c>
      <c r="B622" s="59" t="s">
        <v>437</v>
      </c>
      <c r="C622" s="40" t="s">
        <v>572</v>
      </c>
      <c r="D622" s="55">
        <f t="shared" ca="1" si="109"/>
        <v>1377986.23</v>
      </c>
      <c r="F622" s="49">
        <f t="shared" ca="1" si="110"/>
        <v>1291746.3822168382</v>
      </c>
      <c r="H622" s="49">
        <f t="shared" ca="1" si="111"/>
        <v>59150.656543073019</v>
      </c>
      <c r="I622" s="49">
        <f t="shared" ca="1" si="112"/>
        <v>27089.191240088814</v>
      </c>
      <c r="L622" s="49">
        <f t="shared" ca="1" si="113"/>
        <v>4.1463259363704124</v>
      </c>
      <c r="M622" s="49"/>
      <c r="N622" s="49">
        <f t="shared" ca="1" si="114"/>
        <v>27085.044914152444</v>
      </c>
      <c r="O622" s="49">
        <f t="shared" ca="1" si="108"/>
        <v>13736.777827195176</v>
      </c>
      <c r="P622" s="49">
        <f t="shared" ca="1" si="108"/>
        <v>13348.267086957267</v>
      </c>
      <c r="Q622" s="49">
        <f t="shared" ca="1" si="108"/>
        <v>0</v>
      </c>
      <c r="T622" s="276">
        <f>PIS!Q55+PIS!Q146-AFUDC!H18</f>
        <v>1377986.23</v>
      </c>
      <c r="U622" s="44"/>
      <c r="V622" s="39"/>
      <c r="W622" s="39">
        <f>AFUDC!H18</f>
        <v>3884.44</v>
      </c>
      <c r="X622" s="39"/>
      <c r="Y622" s="39"/>
    </row>
    <row r="623" spans="1:25" x14ac:dyDescent="0.2">
      <c r="A623" s="49">
        <v>20</v>
      </c>
      <c r="B623" s="59" t="s">
        <v>438</v>
      </c>
      <c r="C623" s="40" t="s">
        <v>572</v>
      </c>
      <c r="D623" s="55">
        <f t="shared" ca="1" si="109"/>
        <v>328554.18</v>
      </c>
      <c r="F623" s="49">
        <f t="shared" ca="1" si="110"/>
        <v>307991.95531672315</v>
      </c>
      <c r="H623" s="49">
        <f t="shared" ca="1" si="111"/>
        <v>14103.33066751399</v>
      </c>
      <c r="I623" s="49">
        <f t="shared" ca="1" si="112"/>
        <v>6458.894015762814</v>
      </c>
      <c r="L623" s="49">
        <f t="shared" ca="1" si="113"/>
        <v>0.98861127083752698</v>
      </c>
      <c r="M623" s="49"/>
      <c r="N623" s="49">
        <f t="shared" ca="1" si="114"/>
        <v>6457.9054044919767</v>
      </c>
      <c r="O623" s="49">
        <f t="shared" ca="1" si="108"/>
        <v>3275.2691402847267</v>
      </c>
      <c r="P623" s="49">
        <f t="shared" ca="1" si="108"/>
        <v>3182.63626420725</v>
      </c>
      <c r="Q623" s="49">
        <f t="shared" ca="1" si="108"/>
        <v>0</v>
      </c>
      <c r="T623" s="276">
        <f>PIS!Q56+PIS!Q147-AFUDC!H19</f>
        <v>328554.17999999993</v>
      </c>
      <c r="U623" s="44"/>
      <c r="V623" s="39"/>
      <c r="W623" s="39">
        <f>AFUDC!H19</f>
        <v>820</v>
      </c>
      <c r="X623" s="39"/>
      <c r="Y623" s="39"/>
    </row>
    <row r="624" spans="1:25" x14ac:dyDescent="0.2">
      <c r="A624" s="49">
        <v>21</v>
      </c>
      <c r="B624" s="59" t="s">
        <v>439</v>
      </c>
      <c r="C624" s="40" t="s">
        <v>572</v>
      </c>
      <c r="D624" s="55">
        <f t="shared" ca="1" si="109"/>
        <v>234509.12999999998</v>
      </c>
      <c r="F624" s="49">
        <f t="shared" ca="1" si="110"/>
        <v>219832.6178298009</v>
      </c>
      <c r="H624" s="49">
        <f t="shared" ca="1" si="111"/>
        <v>10066.406109765594</v>
      </c>
      <c r="I624" s="49">
        <f t="shared" ca="1" si="112"/>
        <v>4610.1060604334534</v>
      </c>
      <c r="L624" s="49">
        <f t="shared" ca="1" si="113"/>
        <v>0.70563207880144097</v>
      </c>
      <c r="M624" s="49"/>
      <c r="N624" s="49">
        <f t="shared" ca="1" si="114"/>
        <v>4609.4004283546519</v>
      </c>
      <c r="O624" s="49">
        <f t="shared" ca="1" si="108"/>
        <v>2337.7590770691736</v>
      </c>
      <c r="P624" s="49">
        <f t="shared" ca="1" si="108"/>
        <v>2271.6413512854783</v>
      </c>
      <c r="Q624" s="49">
        <f t="shared" ca="1" si="108"/>
        <v>0</v>
      </c>
      <c r="T624" s="276">
        <f>PIS!Q57+PIS!Q148</f>
        <v>234509.12999999995</v>
      </c>
      <c r="U624" s="44"/>
      <c r="V624" s="39"/>
      <c r="W624" s="39">
        <f>AFUDC!H20</f>
        <v>106156.76000000001</v>
      </c>
      <c r="X624" s="39"/>
      <c r="Y624" s="39"/>
    </row>
    <row r="625" spans="1:25" x14ac:dyDescent="0.2">
      <c r="A625" s="49">
        <v>22</v>
      </c>
      <c r="B625" s="59" t="s">
        <v>440</v>
      </c>
      <c r="C625" s="40" t="s">
        <v>572</v>
      </c>
      <c r="D625" s="55">
        <f t="shared" ca="1" si="109"/>
        <v>645787.98999999987</v>
      </c>
      <c r="F625" s="49">
        <f t="shared" ca="1" si="110"/>
        <v>605372.01432091487</v>
      </c>
      <c r="H625" s="49">
        <f t="shared" ca="1" si="111"/>
        <v>27720.7295432346</v>
      </c>
      <c r="I625" s="49">
        <f t="shared" ca="1" si="112"/>
        <v>12695.246135850399</v>
      </c>
      <c r="L625" s="49">
        <f t="shared" ca="1" si="113"/>
        <v>1.9431598328333919</v>
      </c>
      <c r="M625" s="49"/>
      <c r="N625" s="49">
        <f t="shared" ca="1" si="114"/>
        <v>12693.302976017565</v>
      </c>
      <c r="O625" s="49">
        <f t="shared" ca="1" si="108"/>
        <v>6437.6885261770276</v>
      </c>
      <c r="P625" s="49">
        <f t="shared" ca="1" si="108"/>
        <v>6255.6144498405374</v>
      </c>
      <c r="Q625" s="49">
        <f t="shared" ca="1" si="108"/>
        <v>0</v>
      </c>
      <c r="T625" s="276">
        <f>PIS!Q58+PIS!Q149</f>
        <v>645787.98999999987</v>
      </c>
      <c r="U625" s="44"/>
      <c r="V625" s="39"/>
      <c r="W625" s="39"/>
      <c r="X625" s="39"/>
      <c r="Y625" s="39"/>
    </row>
    <row r="626" spans="1:25" x14ac:dyDescent="0.2">
      <c r="A626" s="49">
        <v>23</v>
      </c>
      <c r="B626" s="59" t="s">
        <v>803</v>
      </c>
      <c r="C626" s="40" t="s">
        <v>574</v>
      </c>
      <c r="D626" s="55">
        <f ca="1">SUM(F626:I626)+K626</f>
        <v>819.99999999999989</v>
      </c>
      <c r="F626" s="49">
        <f ca="1">INDEX(INDIRECT($C626),1,F$12+1)*$T626</f>
        <v>430.62917808219174</v>
      </c>
      <c r="H626" s="49">
        <f ca="1">INDEX(INDIRECT($C626),1,H$12+1)*$T626</f>
        <v>267.07662100456622</v>
      </c>
      <c r="I626" s="49">
        <f ca="1">(L626+M626+N626)</f>
        <v>122.29420091324201</v>
      </c>
      <c r="L626" s="49">
        <f ca="1">INDEX(INDIRECT($C626),1,L$12+1)*$T626</f>
        <v>0</v>
      </c>
      <c r="M626" s="49"/>
      <c r="N626" s="49">
        <f ca="1">SUM(O626:Q626)</f>
        <v>122.29420091324201</v>
      </c>
      <c r="O626" s="49">
        <f t="shared" ca="1" si="108"/>
        <v>62.024200913242005</v>
      </c>
      <c r="P626" s="49">
        <f t="shared" ca="1" si="108"/>
        <v>60.269999999999996</v>
      </c>
      <c r="Q626" s="49">
        <f t="shared" ca="1" si="108"/>
        <v>0</v>
      </c>
      <c r="T626" s="242">
        <f>AFUDC!D20+AFUDC!E20</f>
        <v>820</v>
      </c>
      <c r="U626" s="44"/>
    </row>
    <row r="627" spans="1:25" x14ac:dyDescent="0.2">
      <c r="A627" s="49">
        <v>24</v>
      </c>
      <c r="B627" s="59" t="s">
        <v>804</v>
      </c>
      <c r="C627" s="40" t="s">
        <v>580</v>
      </c>
      <c r="D627" s="55">
        <f ca="1">SUM(F627:I627)+K627</f>
        <v>105336.76000000001</v>
      </c>
      <c r="F627" s="49">
        <f ca="1">INDEX(INDIRECT($C627),1,F$12+1)*$T627</f>
        <v>82038.640621516752</v>
      </c>
      <c r="H627" s="49">
        <f ca="1">INDEX(INDIRECT($C627),1,H$12+1)*$T627</f>
        <v>0</v>
      </c>
      <c r="I627" s="49">
        <f ca="1">(L627+M627+N627)</f>
        <v>23298.119378483254</v>
      </c>
      <c r="L627" s="49">
        <f ca="1">INDEX(INDIRECT($C627),1,L$12+1)*$T627</f>
        <v>0</v>
      </c>
      <c r="M627" s="49"/>
      <c r="N627" s="49">
        <f ca="1">SUM(O627:Q627)</f>
        <v>23298.119378483254</v>
      </c>
      <c r="O627" s="49">
        <f t="shared" ca="1" si="108"/>
        <v>11816.155029762109</v>
      </c>
      <c r="P627" s="49">
        <f t="shared" ca="1" si="108"/>
        <v>11481.964348721145</v>
      </c>
      <c r="Q627" s="49">
        <f t="shared" ca="1" si="108"/>
        <v>0</v>
      </c>
      <c r="T627" s="242">
        <f>AFUDC!F20+AFUDC!G20</f>
        <v>105336.76000000001</v>
      </c>
      <c r="U627" s="44"/>
    </row>
    <row r="628" spans="1:25" x14ac:dyDescent="0.2">
      <c r="A628" s="49">
        <v>25</v>
      </c>
      <c r="B628" s="37" t="s">
        <v>77</v>
      </c>
      <c r="D628" s="55">
        <f ca="1">SUM(F628:I628)+K628</f>
        <v>43851877.754615381</v>
      </c>
      <c r="F628" s="49">
        <f ca="1">SUM(F618:F627)</f>
        <v>41090409.40883974</v>
      </c>
      <c r="H628" s="49">
        <f ca="1">SUM(H618:H627)</f>
        <v>1878071.1224434311</v>
      </c>
      <c r="I628" s="49">
        <f ca="1">(L628+M628+N628)</f>
        <v>883397.22333220835</v>
      </c>
      <c r="L628" s="49">
        <f ca="1">SUM(L618:L627)</f>
        <v>131.62977511407891</v>
      </c>
      <c r="M628" s="49"/>
      <c r="N628" s="49">
        <f ca="1">SUM(O628:Q628)</f>
        <v>883265.59355709422</v>
      </c>
      <c r="O628" s="49">
        <f ca="1">SUM(O618:O627)</f>
        <v>447967.62418361881</v>
      </c>
      <c r="P628" s="49">
        <f ca="1">SUM(P618:P627)</f>
        <v>435297.96937347541</v>
      </c>
      <c r="Q628" s="49">
        <f ca="1">SUM(Q618:Q627)</f>
        <v>0</v>
      </c>
      <c r="T628" s="242">
        <f>PIS!Q59+PIS!Q149</f>
        <v>43851877.754615381</v>
      </c>
      <c r="U628" s="67" t="str">
        <f ca="1">IF(D628=SUM($T618:$T627),"ok","err")</f>
        <v>ok</v>
      </c>
      <c r="V628" s="67" t="str">
        <f>IF(T628=SUM($T618:$T627),"ok","err")</f>
        <v>ok</v>
      </c>
      <c r="W628" s="69" t="s">
        <v>705</v>
      </c>
    </row>
    <row r="629" spans="1:25" x14ac:dyDescent="0.2">
      <c r="T629" s="68"/>
      <c r="U629" s="39"/>
      <c r="V629" s="39"/>
      <c r="W629" s="39"/>
      <c r="X629" s="39"/>
      <c r="Y629" s="39"/>
    </row>
    <row r="630" spans="1:25" x14ac:dyDescent="0.2">
      <c r="B630" s="59" t="s">
        <v>441</v>
      </c>
      <c r="C630" s="47"/>
      <c r="T630" s="68"/>
      <c r="U630" s="39"/>
      <c r="V630" s="39"/>
      <c r="W630" s="39"/>
      <c r="X630" s="39"/>
      <c r="Y630" s="39"/>
    </row>
    <row r="631" spans="1:25" x14ac:dyDescent="0.2">
      <c r="A631" s="49">
        <v>26</v>
      </c>
      <c r="B631" s="59" t="s">
        <v>442</v>
      </c>
      <c r="C631" s="40" t="s">
        <v>572</v>
      </c>
      <c r="D631" s="55">
        <f ca="1">SUM(F631:I631)+K631</f>
        <v>902801.46</v>
      </c>
      <c r="F631" s="49">
        <f ca="1">INDEX(INDIRECT($C631),1,F$12+1)*$T631</f>
        <v>846300.56122917822</v>
      </c>
      <c r="H631" s="49">
        <f ca="1">INDEX(INDIRECT($C631),1,H$12+1)*$T631</f>
        <v>38753.144207431498</v>
      </c>
      <c r="I631" s="49">
        <f ca="1">(L631+M631+N631)</f>
        <v>17747.754563390223</v>
      </c>
      <c r="L631" s="49">
        <f ca="1">INDEX(INDIRECT($C631),1,L$12+1)*$T631</f>
        <v>2.7165069051459789</v>
      </c>
      <c r="M631" s="49"/>
      <c r="N631" s="49">
        <f ca="1">SUM(O631:Q631)</f>
        <v>17745.038056485078</v>
      </c>
      <c r="O631" s="49">
        <f t="shared" ref="O631:Q640" ca="1" si="115">INDEX(INDIRECT($C631),1,O$12+1)*$T631</f>
        <v>8999.787376748629</v>
      </c>
      <c r="P631" s="49">
        <f t="shared" ca="1" si="115"/>
        <v>8745.2506797364495</v>
      </c>
      <c r="Q631" s="49">
        <f t="shared" ca="1" si="115"/>
        <v>0</v>
      </c>
      <c r="T631" s="242">
        <f>PIS!Q69+PIS!Q70</f>
        <v>902801.46</v>
      </c>
      <c r="U631" s="44"/>
      <c r="V631" s="39"/>
      <c r="W631" s="39"/>
      <c r="X631" s="39"/>
      <c r="Y631" s="39"/>
    </row>
    <row r="632" spans="1:25" x14ac:dyDescent="0.2">
      <c r="A632" s="49">
        <v>27</v>
      </c>
      <c r="B632" s="59" t="s">
        <v>443</v>
      </c>
      <c r="C632" s="40" t="s">
        <v>572</v>
      </c>
      <c r="D632" s="55">
        <f t="shared" ref="D632:D638" ca="1" si="116">SUM(F632:I632)+K632</f>
        <v>86587215.239999995</v>
      </c>
      <c r="F632" s="49">
        <f t="shared" ref="F632:F638" ca="1" si="117">INDEX(INDIRECT($C632),1,F$12+1)*$T632</f>
        <v>81168243.627877668</v>
      </c>
      <c r="H632" s="49">
        <f t="shared" ref="H632:H638" ca="1" si="118">INDEX(INDIRECT($C632),1,H$12+1)*$T632</f>
        <v>3716793.7662790562</v>
      </c>
      <c r="I632" s="49">
        <f t="shared" ref="I632:I638" ca="1" si="119">(L632+M632+N632)</f>
        <v>1702177.8458432725</v>
      </c>
      <c r="L632" s="49">
        <f t="shared" ref="L632:L638" ca="1" si="120">INDEX(INDIRECT($C632),1,L$12+1)*$T632</f>
        <v>260.53875466353492</v>
      </c>
      <c r="M632" s="49"/>
      <c r="N632" s="49">
        <f t="shared" ref="N632:N638" ca="1" si="121">SUM(O632:Q632)</f>
        <v>1701917.3070886091</v>
      </c>
      <c r="O632" s="49">
        <f t="shared" ca="1" si="115"/>
        <v>863164.89420029125</v>
      </c>
      <c r="P632" s="49">
        <f t="shared" ca="1" si="115"/>
        <v>838752.41288831783</v>
      </c>
      <c r="Q632" s="49">
        <f t="shared" ca="1" si="115"/>
        <v>0</v>
      </c>
      <c r="T632" s="242">
        <f>PIS!Q71+PIS!Q157-AFUDC!H25</f>
        <v>86587215.239999995</v>
      </c>
      <c r="U632" s="44"/>
      <c r="V632" s="39"/>
      <c r="W632" s="39">
        <f>AFUDC!H25</f>
        <v>557500.47</v>
      </c>
      <c r="X632" s="39"/>
      <c r="Y632" s="39"/>
    </row>
    <row r="633" spans="1:25" x14ac:dyDescent="0.2">
      <c r="A633" s="49">
        <v>28</v>
      </c>
      <c r="B633" s="59" t="s">
        <v>444</v>
      </c>
      <c r="C633" s="40" t="s">
        <v>572</v>
      </c>
      <c r="D633" s="55">
        <f t="shared" ca="1" si="116"/>
        <v>75137359.71153833</v>
      </c>
      <c r="F633" s="49">
        <f t="shared" ca="1" si="117"/>
        <v>70434965.505210355</v>
      </c>
      <c r="H633" s="49">
        <f t="shared" ca="1" si="118"/>
        <v>3225303.7520197402</v>
      </c>
      <c r="I633" s="49">
        <f t="shared" ca="1" si="119"/>
        <v>1477090.4543082456</v>
      </c>
      <c r="L633" s="49">
        <f t="shared" ca="1" si="120"/>
        <v>226.08642712078822</v>
      </c>
      <c r="M633" s="49"/>
      <c r="N633" s="49">
        <f t="shared" ca="1" si="121"/>
        <v>1476864.3678811248</v>
      </c>
      <c r="O633" s="49">
        <f t="shared" ca="1" si="115"/>
        <v>749024.33305117139</v>
      </c>
      <c r="P633" s="49">
        <f t="shared" ca="1" si="115"/>
        <v>727840.03482995345</v>
      </c>
      <c r="Q633" s="49">
        <f t="shared" ca="1" si="115"/>
        <v>0</v>
      </c>
      <c r="T633" s="242">
        <f>PIS!Q72+PIS!Q73+PIS!Q158-AFUDC!H26</f>
        <v>75137359.711538345</v>
      </c>
      <c r="U633" s="44"/>
      <c r="V633" s="39"/>
      <c r="W633" s="39">
        <f>AFUDC!H26</f>
        <v>121128.43</v>
      </c>
      <c r="X633" s="39"/>
      <c r="Y633" s="39"/>
    </row>
    <row r="634" spans="1:25" x14ac:dyDescent="0.2">
      <c r="A634" s="49">
        <v>29</v>
      </c>
      <c r="B634" s="59" t="s">
        <v>445</v>
      </c>
      <c r="C634" s="40" t="s">
        <v>572</v>
      </c>
      <c r="D634" s="55">
        <f t="shared" ca="1" si="116"/>
        <v>676385810.19923067</v>
      </c>
      <c r="F634" s="49">
        <f t="shared" ca="1" si="117"/>
        <v>634054901.48305845</v>
      </c>
      <c r="H634" s="49">
        <f t="shared" ca="1" si="118"/>
        <v>29034154.245287973</v>
      </c>
      <c r="I634" s="49">
        <f t="shared" ca="1" si="119"/>
        <v>13296754.470884208</v>
      </c>
      <c r="L634" s="49">
        <f t="shared" ca="1" si="120"/>
        <v>2035.2279048695466</v>
      </c>
      <c r="M634" s="49"/>
      <c r="N634" s="49">
        <f t="shared" ca="1" si="121"/>
        <v>13294719.242979338</v>
      </c>
      <c r="O634" s="49">
        <f t="shared" ca="1" si="115"/>
        <v>6742710.0488328077</v>
      </c>
      <c r="P634" s="49">
        <f t="shared" ca="1" si="115"/>
        <v>6552009.1941465307</v>
      </c>
      <c r="Q634" s="49">
        <f t="shared" ca="1" si="115"/>
        <v>0</v>
      </c>
      <c r="T634" s="242">
        <f>PIS!Q74+PIS!Q159-AFUDC!H27</f>
        <v>676385810.19923067</v>
      </c>
      <c r="U634" s="44"/>
      <c r="V634" s="39"/>
      <c r="W634" s="39">
        <f>AFUDC!H27</f>
        <v>3197533.4699999997</v>
      </c>
      <c r="X634" s="39"/>
      <c r="Y634" s="39"/>
    </row>
    <row r="635" spans="1:25" x14ac:dyDescent="0.2">
      <c r="A635" s="49">
        <v>30</v>
      </c>
      <c r="B635" s="59" t="s">
        <v>446</v>
      </c>
      <c r="C635" s="40" t="s">
        <v>572</v>
      </c>
      <c r="D635" s="55">
        <f t="shared" ca="1" si="116"/>
        <v>131706344.10230757</v>
      </c>
      <c r="F635" s="49">
        <f t="shared" ca="1" si="117"/>
        <v>123463638.31891252</v>
      </c>
      <c r="H635" s="49">
        <f t="shared" ca="1" si="118"/>
        <v>5653551.9404568989</v>
      </c>
      <c r="I635" s="49">
        <f t="shared" ca="1" si="119"/>
        <v>2589153.8429381498</v>
      </c>
      <c r="L635" s="49">
        <f t="shared" ca="1" si="120"/>
        <v>396.30107953685734</v>
      </c>
      <c r="M635" s="49"/>
      <c r="N635" s="49">
        <f t="shared" ca="1" si="121"/>
        <v>2588757.541858613</v>
      </c>
      <c r="O635" s="49">
        <f t="shared" ca="1" si="115"/>
        <v>1312945.4765056083</v>
      </c>
      <c r="P635" s="49">
        <f t="shared" ca="1" si="115"/>
        <v>1275812.0653530047</v>
      </c>
      <c r="Q635" s="49">
        <f t="shared" ca="1" si="115"/>
        <v>0</v>
      </c>
      <c r="T635" s="242">
        <f>PIS!Q75+PIS!Q160-AFUDC!H28</f>
        <v>131706344.10230757</v>
      </c>
      <c r="U635" s="44"/>
      <c r="V635" s="39"/>
      <c r="W635" s="39">
        <f>AFUDC!H28</f>
        <v>715565.6</v>
      </c>
      <c r="X635" s="39"/>
      <c r="Y635" s="39"/>
    </row>
    <row r="636" spans="1:25" x14ac:dyDescent="0.2">
      <c r="A636" s="49">
        <v>31</v>
      </c>
      <c r="B636" s="59" t="s">
        <v>447</v>
      </c>
      <c r="C636" s="40" t="s">
        <v>572</v>
      </c>
      <c r="D636" s="55">
        <f t="shared" ca="1" si="116"/>
        <v>78988054.973076835</v>
      </c>
      <c r="F636" s="49">
        <f t="shared" ca="1" si="117"/>
        <v>74044668.973083094</v>
      </c>
      <c r="H636" s="49">
        <f t="shared" ca="1" si="118"/>
        <v>3390596.5161334295</v>
      </c>
      <c r="I636" s="49">
        <f t="shared" ca="1" si="119"/>
        <v>1552789.4838603188</v>
      </c>
      <c r="L636" s="49">
        <f t="shared" ca="1" si="120"/>
        <v>237.67307239225488</v>
      </c>
      <c r="M636" s="49"/>
      <c r="N636" s="49">
        <f t="shared" ca="1" si="121"/>
        <v>1552551.8107879264</v>
      </c>
      <c r="O636" s="49">
        <f t="shared" ca="1" si="115"/>
        <v>787410.88883554051</v>
      </c>
      <c r="P636" s="49">
        <f t="shared" ca="1" si="115"/>
        <v>765140.92195238604</v>
      </c>
      <c r="Q636" s="49">
        <f t="shared" ca="1" si="115"/>
        <v>0</v>
      </c>
      <c r="T636" s="242">
        <f>PIS!Q76+PIS!Q77+PIS!Q161-AFUDC!H29</f>
        <v>78988054.973076835</v>
      </c>
      <c r="U636" s="44"/>
      <c r="V636" s="39"/>
      <c r="W636" s="39">
        <f>AFUDC!H29</f>
        <v>358326.93</v>
      </c>
      <c r="X636" s="39"/>
      <c r="Y636" s="39"/>
    </row>
    <row r="637" spans="1:25" x14ac:dyDescent="0.2">
      <c r="A637" s="49">
        <v>32</v>
      </c>
      <c r="B637" s="59" t="s">
        <v>448</v>
      </c>
      <c r="C637" s="40" t="s">
        <v>572</v>
      </c>
      <c r="D637" s="55">
        <f t="shared" ca="1" si="116"/>
        <v>12558313.253846155</v>
      </c>
      <c r="F637" s="49">
        <f t="shared" ca="1" si="117"/>
        <v>11772364.163901363</v>
      </c>
      <c r="H637" s="49">
        <f t="shared" ca="1" si="118"/>
        <v>539071.04284966306</v>
      </c>
      <c r="I637" s="49">
        <f t="shared" ca="1" si="119"/>
        <v>246878.04709512991</v>
      </c>
      <c r="L637" s="49">
        <f t="shared" ca="1" si="120"/>
        <v>37.787648982157549</v>
      </c>
      <c r="M637" s="49"/>
      <c r="N637" s="49">
        <f t="shared" ca="1" si="121"/>
        <v>246840.25944614774</v>
      </c>
      <c r="O637" s="49">
        <f t="shared" ca="1" si="115"/>
        <v>125190.48107788796</v>
      </c>
      <c r="P637" s="49">
        <f t="shared" ca="1" si="115"/>
        <v>121649.77836825978</v>
      </c>
      <c r="Q637" s="49">
        <f t="shared" ca="1" si="115"/>
        <v>0</v>
      </c>
      <c r="T637" s="242">
        <f>PIS!Q78+PIS!Q162-AFUDC!H30</f>
        <v>12558313.253846155</v>
      </c>
      <c r="U637" s="44"/>
      <c r="V637" s="39"/>
      <c r="W637" s="39">
        <f>AFUDC!H30</f>
        <v>34152.94</v>
      </c>
      <c r="X637" s="39"/>
      <c r="Y637" s="39"/>
    </row>
    <row r="638" spans="1:25" x14ac:dyDescent="0.2">
      <c r="A638" s="49">
        <v>33</v>
      </c>
      <c r="B638" s="59" t="s">
        <v>449</v>
      </c>
      <c r="C638" s="40" t="s">
        <v>572</v>
      </c>
      <c r="D638" s="55">
        <f t="shared" ca="1" si="116"/>
        <v>406991.12</v>
      </c>
      <c r="F638" s="49">
        <f t="shared" ca="1" si="117"/>
        <v>381520.00027923286</v>
      </c>
      <c r="H638" s="49">
        <f t="shared" ca="1" si="118"/>
        <v>17470.270334414457</v>
      </c>
      <c r="I638" s="49">
        <f t="shared" ca="1" si="119"/>
        <v>8000.8493863526746</v>
      </c>
      <c r="L638" s="49">
        <f t="shared" ca="1" si="120"/>
        <v>1.2246260521256753</v>
      </c>
      <c r="M638" s="49"/>
      <c r="N638" s="49">
        <f t="shared" ca="1" si="121"/>
        <v>7999.6247603005486</v>
      </c>
      <c r="O638" s="49">
        <f t="shared" ca="1" si="115"/>
        <v>4057.1861106923625</v>
      </c>
      <c r="P638" s="49">
        <f t="shared" ca="1" si="115"/>
        <v>3942.4386496081861</v>
      </c>
      <c r="Q638" s="49">
        <f t="shared" ca="1" si="115"/>
        <v>0</v>
      </c>
      <c r="T638" s="242">
        <f>PIS!Q79</f>
        <v>406991.12</v>
      </c>
      <c r="U638" s="44"/>
      <c r="V638" s="39"/>
      <c r="W638" s="39">
        <f>AFUDC!H31</f>
        <v>4984207.84</v>
      </c>
      <c r="X638" s="39"/>
      <c r="Y638" s="39"/>
    </row>
    <row r="639" spans="1:25" x14ac:dyDescent="0.2">
      <c r="A639" s="49">
        <v>34</v>
      </c>
      <c r="B639" s="59" t="s">
        <v>803</v>
      </c>
      <c r="C639" s="40" t="s">
        <v>574</v>
      </c>
      <c r="D639" s="55">
        <f ca="1">SUM(F639:I639)+K639</f>
        <v>1934.2600000000002</v>
      </c>
      <c r="F639" s="49">
        <f ca="1">INDEX(INDIRECT($C639),1,F$12+1)*$T639</f>
        <v>1015.7912121917808</v>
      </c>
      <c r="H639" s="49">
        <f ca="1">INDEX(INDIRECT($C639),1,H$12+1)*$T639</f>
        <v>629.99466456621019</v>
      </c>
      <c r="I639" s="49">
        <f ca="1">(L639+M639+N639)</f>
        <v>288.47412324200917</v>
      </c>
      <c r="L639" s="49">
        <f ca="1">INDEX(INDIRECT($C639),1,L$12+1)*$T639</f>
        <v>0</v>
      </c>
      <c r="M639" s="49"/>
      <c r="N639" s="49">
        <f ca="1">SUM(O639:Q639)</f>
        <v>288.47412324200917</v>
      </c>
      <c r="O639" s="49">
        <f t="shared" ca="1" si="115"/>
        <v>146.30601324200916</v>
      </c>
      <c r="P639" s="49">
        <f t="shared" ca="1" si="115"/>
        <v>142.16811000000001</v>
      </c>
      <c r="Q639" s="49">
        <f t="shared" ca="1" si="115"/>
        <v>0</v>
      </c>
      <c r="T639" s="242">
        <f>AFUDC!D31+AFUDC!E31</f>
        <v>1934.2600000000002</v>
      </c>
      <c r="U639" s="44"/>
      <c r="W639" s="39"/>
    </row>
    <row r="640" spans="1:25" x14ac:dyDescent="0.2">
      <c r="A640" s="49">
        <v>35</v>
      </c>
      <c r="B640" s="59" t="s">
        <v>804</v>
      </c>
      <c r="C640" s="40" t="s">
        <v>580</v>
      </c>
      <c r="D640" s="55">
        <f ca="1">SUM(F640:I640)+K640</f>
        <v>4982273.58</v>
      </c>
      <c r="F640" s="49">
        <f ca="1">INDEX(INDIRECT($C640),1,F$12+1)*$T640</f>
        <v>3880306.8530653277</v>
      </c>
      <c r="H640" s="49">
        <f ca="1">INDEX(INDIRECT($C640),1,H$12+1)*$T640</f>
        <v>0</v>
      </c>
      <c r="I640" s="49">
        <f ca="1">(L640+M640+N640)</f>
        <v>1101966.7269346723</v>
      </c>
      <c r="L640" s="49">
        <f ca="1">INDEX(INDIRECT($C640),1,L$12+1)*$T640</f>
        <v>0</v>
      </c>
      <c r="M640" s="49"/>
      <c r="N640" s="49">
        <f ca="1">SUM(O640:Q640)</f>
        <v>1101966.7269346723</v>
      </c>
      <c r="O640" s="49">
        <f t="shared" ca="1" si="115"/>
        <v>558886.72693148965</v>
      </c>
      <c r="P640" s="49">
        <f t="shared" ca="1" si="115"/>
        <v>543080.00000318279</v>
      </c>
      <c r="Q640" s="49">
        <f t="shared" ca="1" si="115"/>
        <v>0</v>
      </c>
      <c r="T640" s="242">
        <f>AFUDC!F31+AFUDC!G31</f>
        <v>4982273.58</v>
      </c>
      <c r="U640" s="44"/>
    </row>
    <row r="641" spans="1:25" x14ac:dyDescent="0.2">
      <c r="A641" s="49">
        <v>36</v>
      </c>
      <c r="B641" s="37" t="s">
        <v>78</v>
      </c>
      <c r="D641" s="55">
        <f ca="1">SUM(F641:I641)+K641</f>
        <v>1067657097.8999995</v>
      </c>
      <c r="F641" s="49">
        <f ca="1">SUM(F631:F640)</f>
        <v>1000047925.2778294</v>
      </c>
      <c r="H641" s="49">
        <f ca="1">SUM(H631:H640)</f>
        <v>45616324.672233164</v>
      </c>
      <c r="I641" s="49">
        <f ca="1">(L641+M641+N641)</f>
        <v>21992847.949936979</v>
      </c>
      <c r="L641" s="49">
        <f ca="1">SUM(L631:L640)</f>
        <v>3197.5560205224106</v>
      </c>
      <c r="M641" s="49"/>
      <c r="N641" s="49">
        <f ca="1">SUM(O641:Q641)</f>
        <v>21989650.393916458</v>
      </c>
      <c r="O641" s="49">
        <f ca="1">SUM(O631:O640)</f>
        <v>11152536.128935479</v>
      </c>
      <c r="P641" s="49">
        <f ca="1">SUM(P631:P640)</f>
        <v>10837114.264980981</v>
      </c>
      <c r="Q641" s="49">
        <f ca="1">SUM(Q631:Q640)</f>
        <v>0</v>
      </c>
      <c r="T641" s="242">
        <f>PIS!Q80+PIS!Q163</f>
        <v>1067657097.8999996</v>
      </c>
      <c r="U641" s="67" t="str">
        <f ca="1">IF(D641=SUM($T631:$T640),"ok","err")</f>
        <v>ok</v>
      </c>
      <c r="V641" s="67" t="str">
        <f>IF(T641=SUM($T631:$T640),"ok","err")</f>
        <v>ok</v>
      </c>
      <c r="W641" s="70" t="s">
        <v>704</v>
      </c>
    </row>
    <row r="642" spans="1:25" x14ac:dyDescent="0.2">
      <c r="T642" s="68"/>
    </row>
    <row r="643" spans="1:25" x14ac:dyDescent="0.2">
      <c r="A643" s="49">
        <v>37</v>
      </c>
      <c r="B643" s="37" t="s">
        <v>962</v>
      </c>
      <c r="C643" s="47"/>
      <c r="D643" s="55">
        <f ca="1">SUM(F643:I643)+K643</f>
        <v>6569955291.8061543</v>
      </c>
      <c r="F643" s="49">
        <f ca="1">F641+F628+F615</f>
        <v>6147156338.5618839</v>
      </c>
      <c r="H643" s="49">
        <f ca="1">H641+H628+H615</f>
        <v>285491217.37553114</v>
      </c>
      <c r="I643" s="49">
        <f ca="1">(L643+M643+N643)</f>
        <v>137307735.86873868</v>
      </c>
      <c r="L643" s="49">
        <f ca="1">L641+L628+L615</f>
        <v>19629.053427135572</v>
      </c>
      <c r="M643" s="49"/>
      <c r="N643" s="49">
        <f ca="1">SUM(O643:Q643)</f>
        <v>137288106.81531155</v>
      </c>
      <c r="O643" s="49">
        <f ca="1">O641+O628+O615</f>
        <v>69628690.94792451</v>
      </c>
      <c r="P643" s="49">
        <f ca="1">P641+P628+P615</f>
        <v>67659415.867387056</v>
      </c>
      <c r="Q643" s="49">
        <f ca="1">Q641+Q628+Q615</f>
        <v>0</v>
      </c>
      <c r="T643" s="71"/>
      <c r="U643" s="44"/>
    </row>
    <row r="644" spans="1:25" x14ac:dyDescent="0.2">
      <c r="C644" s="47"/>
      <c r="T644" s="68"/>
    </row>
    <row r="645" spans="1:25" x14ac:dyDescent="0.2">
      <c r="B645" s="53" t="s">
        <v>79</v>
      </c>
      <c r="T645" s="68"/>
    </row>
    <row r="646" spans="1:25" x14ac:dyDescent="0.2">
      <c r="C646" s="47"/>
      <c r="T646" s="68"/>
    </row>
    <row r="647" spans="1:25" x14ac:dyDescent="0.2">
      <c r="B647" s="37" t="s">
        <v>80</v>
      </c>
      <c r="C647" s="47"/>
      <c r="T647" s="72"/>
    </row>
    <row r="648" spans="1:25" x14ac:dyDescent="0.2">
      <c r="B648" s="59" t="s">
        <v>326</v>
      </c>
      <c r="C648" s="47"/>
      <c r="R648" s="73" t="s">
        <v>703</v>
      </c>
      <c r="W648" s="44" t="s">
        <v>1225</v>
      </c>
    </row>
    <row r="649" spans="1:25" x14ac:dyDescent="0.2">
      <c r="A649" s="49">
        <v>1</v>
      </c>
      <c r="B649" s="59" t="s">
        <v>369</v>
      </c>
      <c r="C649" s="40" t="s">
        <v>1241</v>
      </c>
      <c r="D649" s="55">
        <f ca="1">SUM(F649:I649)+K649</f>
        <v>29679524.65000001</v>
      </c>
      <c r="F649" s="49">
        <f ca="1">INDEX(INDIRECT($C649),1,F$12+1)*$T649</f>
        <v>28379883.751539264</v>
      </c>
      <c r="H649" s="49">
        <f ca="1">INDEX(INDIRECT($C649),1,H$12+1)*$T649</f>
        <v>1299549.8029874456</v>
      </c>
      <c r="I649" s="49">
        <f ca="1">(L649+M649+N649)</f>
        <v>91.095473298899876</v>
      </c>
      <c r="L649" s="49">
        <f ca="1">INDEX(INDIRECT($C649),1,L$12+1)*$T649</f>
        <v>91.095473298899876</v>
      </c>
      <c r="M649" s="49"/>
      <c r="N649" s="49">
        <f ca="1">SUM(O649:Q649)</f>
        <v>0</v>
      </c>
      <c r="O649" s="49">
        <f t="shared" ref="O649:Q659" ca="1" si="122">INDEX(INDIRECT($C649),1,O$12+1)*$T649</f>
        <v>0</v>
      </c>
      <c r="P649" s="49">
        <f t="shared" ca="1" si="122"/>
        <v>0</v>
      </c>
      <c r="Q649" s="49">
        <f t="shared" ca="1" si="122"/>
        <v>0</v>
      </c>
      <c r="T649" s="242">
        <f>PIS!Q98+PIS!Q99+PIS!Q174+PIS!Q308-AFUDC!H36</f>
        <v>29679524.65000001</v>
      </c>
      <c r="U649" s="39"/>
      <c r="V649" s="39"/>
      <c r="W649" s="39">
        <f>AFUDC!H36</f>
        <v>82517.86</v>
      </c>
      <c r="X649" s="39"/>
      <c r="Y649" s="39"/>
    </row>
    <row r="650" spans="1:25" x14ac:dyDescent="0.2">
      <c r="A650" s="49">
        <v>2</v>
      </c>
      <c r="B650" s="59" t="s">
        <v>370</v>
      </c>
      <c r="C650" s="40" t="s">
        <v>1241</v>
      </c>
      <c r="D650" s="55">
        <f t="shared" ref="D650:D656" ca="1" si="123">SUM(F650:I650)+K650</f>
        <v>27813584.91307693</v>
      </c>
      <c r="F650" s="49">
        <f t="shared" ref="F650:F657" ca="1" si="124">INDEX(INDIRECT($C650),1,F$12+1)*$T650</f>
        <v>26595651.913403854</v>
      </c>
      <c r="H650" s="49">
        <f t="shared" ref="H650:H657" ca="1" si="125">INDEX(INDIRECT($C650),1,H$12+1)*$T650</f>
        <v>1217847.6313354198</v>
      </c>
      <c r="I650" s="49">
        <f t="shared" ref="I650:I656" ca="1" si="126">(L650+M650+N650)</f>
        <v>85.368337656172088</v>
      </c>
      <c r="L650" s="49">
        <f t="shared" ref="L650:L657" ca="1" si="127">INDEX(INDIRECT($C650),1,L$12+1)*$T650</f>
        <v>85.368337656172088</v>
      </c>
      <c r="M650" s="49"/>
      <c r="N650" s="49">
        <f t="shared" ref="N650:N656" ca="1" si="128">SUM(O650:Q650)</f>
        <v>0</v>
      </c>
      <c r="O650" s="49">
        <f t="shared" ca="1" si="122"/>
        <v>0</v>
      </c>
      <c r="P650" s="49">
        <f t="shared" ca="1" si="122"/>
        <v>0</v>
      </c>
      <c r="Q650" s="49">
        <f t="shared" ca="1" si="122"/>
        <v>0</v>
      </c>
      <c r="T650" s="242">
        <f>PIS!Q100+PIS!Q101+PIS!Q175-AFUDC!H37</f>
        <v>27813584.91307693</v>
      </c>
      <c r="U650" s="39"/>
      <c r="V650" s="39"/>
      <c r="W650" s="39">
        <f>AFUDC!H37</f>
        <v>111197.47000000002</v>
      </c>
      <c r="X650" s="39"/>
      <c r="Y650" s="39"/>
    </row>
    <row r="651" spans="1:25" x14ac:dyDescent="0.2">
      <c r="A651" s="49">
        <v>3</v>
      </c>
      <c r="B651" s="59" t="s">
        <v>371</v>
      </c>
      <c r="C651" s="40" t="s">
        <v>1241</v>
      </c>
      <c r="D651" s="55">
        <f t="shared" ca="1" si="123"/>
        <v>345178620.71461433</v>
      </c>
      <c r="F651" s="49">
        <f t="shared" ca="1" si="124"/>
        <v>330063545.32020491</v>
      </c>
      <c r="H651" s="49">
        <f t="shared" ca="1" si="125"/>
        <v>15114015.936409384</v>
      </c>
      <c r="I651" s="49">
        <f t="shared" ca="1" si="126"/>
        <v>1059.4580000006579</v>
      </c>
      <c r="L651" s="49">
        <f t="shared" ca="1" si="127"/>
        <v>1059.4580000006579</v>
      </c>
      <c r="M651" s="49"/>
      <c r="N651" s="49">
        <f t="shared" ca="1" si="128"/>
        <v>0</v>
      </c>
      <c r="O651" s="49">
        <f t="shared" ca="1" si="122"/>
        <v>0</v>
      </c>
      <c r="P651" s="49">
        <f t="shared" ca="1" si="122"/>
        <v>0</v>
      </c>
      <c r="Q651" s="49">
        <f t="shared" ca="1" si="122"/>
        <v>0</v>
      </c>
      <c r="T651" s="242">
        <f>PIS!Q102+PIS!Q103+PIS!Q104+PIS!Q176-AFUDC!H38</f>
        <v>345178620.71461433</v>
      </c>
      <c r="U651" s="39"/>
      <c r="V651" s="39"/>
      <c r="W651" s="39">
        <f>AFUDC!H38</f>
        <v>1022534.23</v>
      </c>
      <c r="X651" s="39"/>
      <c r="Y651" s="39"/>
    </row>
    <row r="652" spans="1:25" x14ac:dyDescent="0.2">
      <c r="A652" s="49">
        <v>4</v>
      </c>
      <c r="B652" s="59" t="s">
        <v>372</v>
      </c>
      <c r="C652" s="40" t="s">
        <v>1241</v>
      </c>
      <c r="D652" s="55">
        <f t="shared" ca="1" si="123"/>
        <v>69889664.12000002</v>
      </c>
      <c r="F652" s="49">
        <f t="shared" ca="1" si="124"/>
        <v>66829255.742804646</v>
      </c>
      <c r="H652" s="49">
        <f t="shared" ca="1" si="125"/>
        <v>3060193.8645942817</v>
      </c>
      <c r="I652" s="49">
        <f t="shared" ca="1" si="126"/>
        <v>214.51260108751575</v>
      </c>
      <c r="L652" s="49">
        <f t="shared" ca="1" si="127"/>
        <v>214.51260108751575</v>
      </c>
      <c r="M652" s="49"/>
      <c r="N652" s="49">
        <f t="shared" ca="1" si="128"/>
        <v>0</v>
      </c>
      <c r="O652" s="49">
        <f t="shared" ca="1" si="122"/>
        <v>0</v>
      </c>
      <c r="P652" s="49">
        <f t="shared" ca="1" si="122"/>
        <v>0</v>
      </c>
      <c r="Q652" s="49">
        <f t="shared" ca="1" si="122"/>
        <v>0</v>
      </c>
      <c r="T652" s="242">
        <f>PIS!Q105+PIS!Q177-AFUDC!H39</f>
        <v>69889664.12000002</v>
      </c>
      <c r="U652" s="39"/>
      <c r="V652" s="39"/>
      <c r="W652" s="39">
        <f>AFUDC!H39</f>
        <v>962348.73</v>
      </c>
      <c r="X652" s="39"/>
      <c r="Y652" s="39"/>
    </row>
    <row r="653" spans="1:25" x14ac:dyDescent="0.2">
      <c r="A653" s="49">
        <v>5</v>
      </c>
      <c r="B653" s="59" t="s">
        <v>373</v>
      </c>
      <c r="C653" s="40" t="s">
        <v>1241</v>
      </c>
      <c r="D653" s="55">
        <f t="shared" ca="1" si="123"/>
        <v>417586768.60538429</v>
      </c>
      <c r="F653" s="49">
        <f t="shared" ca="1" si="124"/>
        <v>399301002.59209269</v>
      </c>
      <c r="H653" s="49">
        <f t="shared" ca="1" si="125"/>
        <v>18284484.312699094</v>
      </c>
      <c r="I653" s="49">
        <f t="shared" ca="1" si="126"/>
        <v>1281.7005925149024</v>
      </c>
      <c r="L653" s="49">
        <f t="shared" ca="1" si="127"/>
        <v>1281.7005925149024</v>
      </c>
      <c r="M653" s="49"/>
      <c r="N653" s="49">
        <f t="shared" ca="1" si="128"/>
        <v>0</v>
      </c>
      <c r="O653" s="49">
        <f t="shared" ca="1" si="122"/>
        <v>0</v>
      </c>
      <c r="P653" s="49">
        <f t="shared" ca="1" si="122"/>
        <v>0</v>
      </c>
      <c r="Q653" s="49">
        <f t="shared" ca="1" si="122"/>
        <v>0</v>
      </c>
      <c r="T653" s="242">
        <f>PIS!Q106+PIS!Q178+PIS!Q309-AFUDC!H40</f>
        <v>417586768.60538429</v>
      </c>
      <c r="U653" s="39"/>
      <c r="V653" s="39"/>
      <c r="W653" s="39">
        <f>AFUDC!H40</f>
        <v>809499.69</v>
      </c>
      <c r="X653" s="39"/>
      <c r="Y653" s="39"/>
    </row>
    <row r="654" spans="1:25" x14ac:dyDescent="0.2">
      <c r="A654" s="49">
        <v>6</v>
      </c>
      <c r="B654" s="59" t="s">
        <v>374</v>
      </c>
      <c r="C654" s="40" t="s">
        <v>1241</v>
      </c>
      <c r="D654" s="55">
        <f t="shared" ca="1" si="123"/>
        <v>169751654.6423077</v>
      </c>
      <c r="F654" s="49">
        <f t="shared" ca="1" si="124"/>
        <v>162318375.45215306</v>
      </c>
      <c r="H654" s="49">
        <f t="shared" ca="1" si="125"/>
        <v>7432758.1707816813</v>
      </c>
      <c r="I654" s="49">
        <f t="shared" ca="1" si="126"/>
        <v>521.01937296062488</v>
      </c>
      <c r="L654" s="49">
        <f t="shared" ca="1" si="127"/>
        <v>521.01937296062488</v>
      </c>
      <c r="M654" s="49"/>
      <c r="N654" s="49">
        <f t="shared" ca="1" si="128"/>
        <v>0</v>
      </c>
      <c r="O654" s="49">
        <f t="shared" ca="1" si="122"/>
        <v>0</v>
      </c>
      <c r="P654" s="49">
        <f t="shared" ca="1" si="122"/>
        <v>0</v>
      </c>
      <c r="Q654" s="49">
        <f t="shared" ca="1" si="122"/>
        <v>0</v>
      </c>
      <c r="T654" s="242">
        <f>PIS!Q107+PIS!Q179+PIS!Q310-AFUDC!H41</f>
        <v>169751654.6423077</v>
      </c>
      <c r="U654" s="39"/>
      <c r="V654" s="39"/>
      <c r="W654" s="39">
        <f>AFUDC!H41</f>
        <v>1238241.1299999999</v>
      </c>
      <c r="X654" s="39"/>
      <c r="Y654" s="39"/>
    </row>
    <row r="655" spans="1:25" x14ac:dyDescent="0.2">
      <c r="A655" s="49">
        <v>7</v>
      </c>
      <c r="B655" s="59" t="s">
        <v>375</v>
      </c>
      <c r="C655" s="40" t="s">
        <v>1241</v>
      </c>
      <c r="D655" s="55">
        <f t="shared" ca="1" si="123"/>
        <v>447363.25999999995</v>
      </c>
      <c r="F655" s="49">
        <f t="shared" ca="1" si="124"/>
        <v>427773.60699776676</v>
      </c>
      <c r="H655" s="49">
        <f t="shared" ca="1" si="125"/>
        <v>19588.279908547029</v>
      </c>
      <c r="I655" s="49">
        <f t="shared" ca="1" si="126"/>
        <v>1.3730936861968506</v>
      </c>
      <c r="L655" s="49">
        <f t="shared" ca="1" si="127"/>
        <v>1.3730936861968506</v>
      </c>
      <c r="M655" s="49"/>
      <c r="N655" s="49">
        <f t="shared" ca="1" si="128"/>
        <v>0</v>
      </c>
      <c r="O655" s="49">
        <f t="shared" ca="1" si="122"/>
        <v>0</v>
      </c>
      <c r="P655" s="49">
        <f t="shared" ca="1" si="122"/>
        <v>0</v>
      </c>
      <c r="Q655" s="49">
        <f t="shared" ca="1" si="122"/>
        <v>0</v>
      </c>
      <c r="T655" s="242">
        <f>PIS!Q108-AFUDC!H42</f>
        <v>447363.26</v>
      </c>
      <c r="U655" s="39"/>
      <c r="V655" s="39"/>
      <c r="W655" s="39">
        <f>AFUDC!H42</f>
        <v>1397</v>
      </c>
      <c r="X655" s="39"/>
      <c r="Y655" s="39"/>
    </row>
    <row r="656" spans="1:25" x14ac:dyDescent="0.2">
      <c r="A656" s="49">
        <v>8</v>
      </c>
      <c r="B656" s="59" t="s">
        <v>376</v>
      </c>
      <c r="C656" s="40" t="s">
        <v>1241</v>
      </c>
      <c r="D656" s="55">
        <f t="shared" ca="1" si="123"/>
        <v>4859140.0115384609</v>
      </c>
      <c r="F656" s="49">
        <f t="shared" ca="1" si="124"/>
        <v>4646362.4430020861</v>
      </c>
      <c r="H656" s="49">
        <f t="shared" ca="1" si="125"/>
        <v>212762.65436020785</v>
      </c>
      <c r="I656" s="49">
        <f t="shared" ca="1" si="126"/>
        <v>14.914176166791059</v>
      </c>
      <c r="L656" s="49">
        <f t="shared" ca="1" si="127"/>
        <v>14.914176166791059</v>
      </c>
      <c r="M656" s="49"/>
      <c r="N656" s="49">
        <f t="shared" ca="1" si="128"/>
        <v>0</v>
      </c>
      <c r="O656" s="49">
        <f t="shared" ca="1" si="122"/>
        <v>0</v>
      </c>
      <c r="P656" s="49">
        <f t="shared" ca="1" si="122"/>
        <v>0</v>
      </c>
      <c r="Q656" s="49">
        <f t="shared" ca="1" si="122"/>
        <v>0</v>
      </c>
      <c r="T656" s="242">
        <f>PIS!Q109-AFUDC!H43</f>
        <v>4859140.0115384609</v>
      </c>
      <c r="U656" s="39"/>
      <c r="V656" s="39"/>
      <c r="W656" s="39">
        <f>AFUDC!H43</f>
        <v>3339</v>
      </c>
      <c r="X656" s="39"/>
      <c r="Y656" s="39"/>
    </row>
    <row r="657" spans="1:25" x14ac:dyDescent="0.2">
      <c r="A657" s="49">
        <v>9</v>
      </c>
      <c r="B657" s="59" t="s">
        <v>377</v>
      </c>
      <c r="C657" s="40" t="s">
        <v>1241</v>
      </c>
      <c r="D657" s="55">
        <f ca="1">SUM(F657:I657)+K657</f>
        <v>551323.88</v>
      </c>
      <c r="F657" s="49">
        <f t="shared" ca="1" si="124"/>
        <v>527181.88071949384</v>
      </c>
      <c r="H657" s="49">
        <f t="shared" ca="1" si="125"/>
        <v>24140.307100109632</v>
      </c>
      <c r="I657" s="49">
        <f ca="1">(L657+M657+N657)</f>
        <v>1.6921803964803681</v>
      </c>
      <c r="L657" s="49">
        <f t="shared" ca="1" si="127"/>
        <v>1.6921803964803681</v>
      </c>
      <c r="M657" s="49"/>
      <c r="N657" s="49">
        <f ca="1">SUM(O657:Q657)</f>
        <v>0</v>
      </c>
      <c r="O657" s="49">
        <f t="shared" ca="1" si="122"/>
        <v>0</v>
      </c>
      <c r="P657" s="49">
        <f t="shared" ca="1" si="122"/>
        <v>0</v>
      </c>
      <c r="Q657" s="49">
        <f t="shared" ca="1" si="122"/>
        <v>0</v>
      </c>
      <c r="T657" s="242">
        <f>PIS!Q110+PIS!Q111</f>
        <v>551323.88</v>
      </c>
      <c r="U657" s="39"/>
      <c r="V657" s="39"/>
      <c r="W657" s="39">
        <f>AFUDC!H44</f>
        <v>4231075.1099999994</v>
      </c>
      <c r="X657" s="39"/>
      <c r="Y657" s="39"/>
    </row>
    <row r="658" spans="1:25" x14ac:dyDescent="0.2">
      <c r="A658" s="49">
        <v>10</v>
      </c>
      <c r="B658" s="59" t="s">
        <v>803</v>
      </c>
      <c r="C658" s="40" t="s">
        <v>574</v>
      </c>
      <c r="D658" s="55">
        <f ca="1">SUM(F658:I658)+K658</f>
        <v>2810844.66</v>
      </c>
      <c r="F658" s="49">
        <f ca="1">INDEX(INDIRECT($C658),1,F$12+1)*$T658</f>
        <v>1476136.2507957534</v>
      </c>
      <c r="H658" s="49">
        <f ca="1">INDEX(INDIRECT($C658),1,H$12+1)*$T658</f>
        <v>915501.09019698645</v>
      </c>
      <c r="I658" s="49">
        <f ca="1">(L658+M658+N658)</f>
        <v>419207.31900726026</v>
      </c>
      <c r="L658" s="49">
        <f ca="1">INDEX(INDIRECT($C658),1,L$12+1)*$T658</f>
        <v>0</v>
      </c>
      <c r="M658" s="49"/>
      <c r="N658" s="49">
        <f ca="1">SUM(O658:Q658)</f>
        <v>419207.31900726026</v>
      </c>
      <c r="O658" s="49">
        <f t="shared" ca="1" si="122"/>
        <v>212610.23649726028</v>
      </c>
      <c r="P658" s="49">
        <f t="shared" ca="1" si="122"/>
        <v>206597.08251000001</v>
      </c>
      <c r="Q658" s="49">
        <f t="shared" ca="1" si="122"/>
        <v>0</v>
      </c>
      <c r="T658" s="242">
        <f>AFUDC!D44+AFUDC!E44</f>
        <v>2810844.66</v>
      </c>
      <c r="U658" s="39"/>
      <c r="V658" s="39"/>
      <c r="W658" s="39"/>
      <c r="X658" s="39"/>
      <c r="Y658" s="39"/>
    </row>
    <row r="659" spans="1:25" x14ac:dyDescent="0.2">
      <c r="A659" s="49">
        <v>11</v>
      </c>
      <c r="B659" s="59" t="s">
        <v>804</v>
      </c>
      <c r="C659" s="40" t="s">
        <v>580</v>
      </c>
      <c r="D659" s="55">
        <f ca="1">SUM(F659:I659)+K659</f>
        <v>1420230.45</v>
      </c>
      <c r="F659" s="49">
        <f ca="1">INDEX(INDIRECT($C659),1,F$12+1)*$T659</f>
        <v>1106107.4546747499</v>
      </c>
      <c r="H659" s="49">
        <f ca="1">INDEX(INDIRECT($C659),1,H$12+1)*$T659</f>
        <v>0</v>
      </c>
      <c r="I659" s="49">
        <f ca="1">(L659+M659+N659)</f>
        <v>314122.99532525009</v>
      </c>
      <c r="L659" s="49">
        <f ca="1">INDEX(INDIRECT($C659),1,L$12+1)*$T659</f>
        <v>0</v>
      </c>
      <c r="M659" s="49"/>
      <c r="N659" s="49">
        <f ca="1">SUM(O659:Q659)</f>
        <v>314122.99532525009</v>
      </c>
      <c r="O659" s="49">
        <f t="shared" ca="1" si="122"/>
        <v>159314.40434648644</v>
      </c>
      <c r="P659" s="49">
        <f t="shared" ca="1" si="122"/>
        <v>154808.59097876362</v>
      </c>
      <c r="Q659" s="49">
        <f t="shared" ca="1" si="122"/>
        <v>0</v>
      </c>
      <c r="T659" s="242">
        <f>AFUDC!G44+AFUDC!F44</f>
        <v>1420230.45</v>
      </c>
      <c r="U659" s="39"/>
    </row>
    <row r="660" spans="1:25" x14ac:dyDescent="0.2">
      <c r="A660" s="49">
        <v>12</v>
      </c>
      <c r="B660" s="59" t="s">
        <v>382</v>
      </c>
      <c r="C660" s="47"/>
      <c r="D660" s="55">
        <f ca="1">SUM(F660:I660)+K660</f>
        <v>1069988719.9069217</v>
      </c>
      <c r="F660" s="49">
        <f ca="1">SUM(F649:F659)</f>
        <v>1021671276.4083883</v>
      </c>
      <c r="H660" s="49">
        <f ca="1">SUM(H649:H659)</f>
        <v>47580842.050373152</v>
      </c>
      <c r="I660" s="49">
        <f ca="1">(L660+M660+N660)</f>
        <v>736601.44816027861</v>
      </c>
      <c r="L660" s="49">
        <f ca="1">SUM(L649:L659)</f>
        <v>3271.1338277682412</v>
      </c>
      <c r="M660" s="49"/>
      <c r="N660" s="49">
        <f ca="1">SUM(O660:Q660)</f>
        <v>733330.31433251034</v>
      </c>
      <c r="O660" s="49">
        <f ca="1">SUM(O649:O659)</f>
        <v>371924.64084374672</v>
      </c>
      <c r="P660" s="49">
        <f ca="1">SUM(P649:P659)</f>
        <v>361405.67348876363</v>
      </c>
      <c r="Q660" s="49">
        <f ca="1">SUM(Q649:Q659)</f>
        <v>0</v>
      </c>
      <c r="T660" s="74"/>
      <c r="U660" s="67" t="str">
        <f ca="1">IF(D660=SUM(T649:T659),"ok","err")</f>
        <v>ok</v>
      </c>
    </row>
    <row r="661" spans="1:25" x14ac:dyDescent="0.2">
      <c r="C661" s="47"/>
    </row>
    <row r="662" spans="1:25" x14ac:dyDescent="0.2">
      <c r="B662" s="59" t="s">
        <v>380</v>
      </c>
      <c r="C662" s="47"/>
      <c r="T662" s="72"/>
      <c r="W662" s="39" t="s">
        <v>702</v>
      </c>
    </row>
    <row r="663" spans="1:25" x14ac:dyDescent="0.2">
      <c r="A663" s="49">
        <v>13</v>
      </c>
      <c r="B663" s="59" t="s">
        <v>369</v>
      </c>
      <c r="C663" s="40" t="s">
        <v>587</v>
      </c>
      <c r="D663" s="55">
        <f t="shared" ref="D663:D671" ca="1" si="129">SUM(F663:I663)+K663</f>
        <v>2101901.4269230766</v>
      </c>
      <c r="F663" s="49">
        <f t="shared" ref="F663:F670" ca="1" si="130">INDEX(INDIRECT($C663),1,F$12+1)*$T663</f>
        <v>0</v>
      </c>
      <c r="H663" s="49">
        <f t="shared" ref="H663:H670" ca="1" si="131">INDEX(INDIRECT($C663),1,H$12+1)*$T663</f>
        <v>2101901.4269230766</v>
      </c>
      <c r="I663" s="49">
        <f t="shared" ref="I663:I671" ca="1" si="132">(L663+M663+N663)</f>
        <v>0</v>
      </c>
      <c r="L663" s="49">
        <f t="shared" ref="L663:L670" ca="1" si="133">INDEX(INDIRECT($C663),1,L$12+1)*$T663</f>
        <v>0</v>
      </c>
      <c r="M663" s="49"/>
      <c r="N663" s="49">
        <f t="shared" ref="N663:N671" ca="1" si="134">SUM(O663:Q663)</f>
        <v>0</v>
      </c>
      <c r="O663" s="49">
        <f t="shared" ref="O663:Q670" ca="1" si="135">INDEX(INDIRECT($C663),1,O$12+1)*$T663</f>
        <v>0</v>
      </c>
      <c r="P663" s="49">
        <f t="shared" ca="1" si="135"/>
        <v>0</v>
      </c>
      <c r="Q663" s="49">
        <f t="shared" ca="1" si="135"/>
        <v>0</v>
      </c>
      <c r="T663" s="74">
        <f>W663-T674</f>
        <v>2101901.4269230766</v>
      </c>
      <c r="U663" s="39"/>
      <c r="V663" s="39"/>
      <c r="W663" s="242">
        <f>PIS!Q236+PIS!Q237</f>
        <v>2382272.1769230766</v>
      </c>
      <c r="X663" s="39"/>
      <c r="Y663" s="39"/>
    </row>
    <row r="664" spans="1:25" x14ac:dyDescent="0.2">
      <c r="A664" s="49">
        <v>14</v>
      </c>
      <c r="B664" s="59" t="s">
        <v>370</v>
      </c>
      <c r="C664" s="40" t="s">
        <v>587</v>
      </c>
      <c r="D664" s="55">
        <f t="shared" ca="1" si="129"/>
        <v>1743195.88</v>
      </c>
      <c r="F664" s="49">
        <f t="shared" ca="1" si="130"/>
        <v>0</v>
      </c>
      <c r="H664" s="49">
        <f t="shared" ca="1" si="131"/>
        <v>1743195.88</v>
      </c>
      <c r="I664" s="49">
        <f t="shared" ca="1" si="132"/>
        <v>0</v>
      </c>
      <c r="L664" s="49">
        <f t="shared" ca="1" si="133"/>
        <v>0</v>
      </c>
      <c r="M664" s="49"/>
      <c r="N664" s="49">
        <f t="shared" ca="1" si="134"/>
        <v>0</v>
      </c>
      <c r="O664" s="49">
        <f t="shared" ca="1" si="135"/>
        <v>0</v>
      </c>
      <c r="P664" s="49">
        <f t="shared" ca="1" si="135"/>
        <v>0</v>
      </c>
      <c r="Q664" s="49">
        <f t="shared" ca="1" si="135"/>
        <v>0</v>
      </c>
      <c r="T664" s="74">
        <f>W664</f>
        <v>1743195.88</v>
      </c>
      <c r="U664" s="39"/>
      <c r="V664" s="39"/>
      <c r="W664" s="242">
        <f>PIS!Q238-AFUDC!H49</f>
        <v>1743195.88</v>
      </c>
      <c r="X664" s="39">
        <f>AFUDC!H49</f>
        <v>3</v>
      </c>
      <c r="Y664" s="39"/>
    </row>
    <row r="665" spans="1:25" x14ac:dyDescent="0.2">
      <c r="A665" s="49">
        <v>15</v>
      </c>
      <c r="B665" s="59" t="s">
        <v>371</v>
      </c>
      <c r="C665" s="40" t="s">
        <v>587</v>
      </c>
      <c r="D665" s="55">
        <f t="shared" ca="1" si="129"/>
        <v>22950562.109999996</v>
      </c>
      <c r="F665" s="49">
        <f t="shared" ca="1" si="130"/>
        <v>0</v>
      </c>
      <c r="H665" s="49">
        <f t="shared" ca="1" si="131"/>
        <v>22950562.109999996</v>
      </c>
      <c r="I665" s="49">
        <f t="shared" ca="1" si="132"/>
        <v>0</v>
      </c>
      <c r="L665" s="49">
        <f t="shared" ca="1" si="133"/>
        <v>0</v>
      </c>
      <c r="M665" s="49"/>
      <c r="N665" s="49">
        <f t="shared" ca="1" si="134"/>
        <v>0</v>
      </c>
      <c r="O665" s="49">
        <f t="shared" ca="1" si="135"/>
        <v>0</v>
      </c>
      <c r="P665" s="49">
        <f t="shared" ca="1" si="135"/>
        <v>0</v>
      </c>
      <c r="Q665" s="49">
        <f t="shared" ca="1" si="135"/>
        <v>0</v>
      </c>
      <c r="T665" s="74">
        <f>W665</f>
        <v>22950562.109999996</v>
      </c>
      <c r="U665" s="39"/>
      <c r="V665" s="39"/>
      <c r="W665" s="242">
        <f>PIS!Q239+PIS!Q270-AFUDC!H50</f>
        <v>22950562.109999996</v>
      </c>
      <c r="X665" s="39">
        <f>AFUDC!H50</f>
        <v>1573</v>
      </c>
      <c r="Y665" s="39"/>
    </row>
    <row r="666" spans="1:25" x14ac:dyDescent="0.2">
      <c r="A666" s="49">
        <v>16</v>
      </c>
      <c r="B666" s="59" t="s">
        <v>372</v>
      </c>
      <c r="C666" s="40" t="s">
        <v>587</v>
      </c>
      <c r="D666" s="55">
        <f t="shared" ca="1" si="129"/>
        <v>2411758.4300000016</v>
      </c>
      <c r="F666" s="49">
        <f t="shared" ca="1" si="130"/>
        <v>0</v>
      </c>
      <c r="H666" s="49">
        <f t="shared" ca="1" si="131"/>
        <v>2411758.4300000016</v>
      </c>
      <c r="I666" s="49">
        <f t="shared" ca="1" si="132"/>
        <v>0</v>
      </c>
      <c r="L666" s="49">
        <f t="shared" ca="1" si="133"/>
        <v>0</v>
      </c>
      <c r="M666" s="49"/>
      <c r="N666" s="49">
        <f t="shared" ca="1" si="134"/>
        <v>0</v>
      </c>
      <c r="O666" s="49">
        <f t="shared" ca="1" si="135"/>
        <v>0</v>
      </c>
      <c r="P666" s="49">
        <f t="shared" ca="1" si="135"/>
        <v>0</v>
      </c>
      <c r="Q666" s="49">
        <f t="shared" ca="1" si="135"/>
        <v>0</v>
      </c>
      <c r="T666" s="74">
        <f>W666-T675</f>
        <v>2411758.4300000016</v>
      </c>
      <c r="U666" s="39"/>
      <c r="V666" s="39"/>
      <c r="W666" s="242">
        <f>PIS!Q240</f>
        <v>7181081.3000000007</v>
      </c>
      <c r="X666" s="39"/>
      <c r="Y666" s="39"/>
    </row>
    <row r="667" spans="1:25" x14ac:dyDescent="0.2">
      <c r="A667" s="49">
        <v>17</v>
      </c>
      <c r="B667" s="59" t="s">
        <v>373</v>
      </c>
      <c r="C667" s="40" t="s">
        <v>587</v>
      </c>
      <c r="D667" s="55">
        <f t="shared" ca="1" si="129"/>
        <v>14911337.73384615</v>
      </c>
      <c r="F667" s="49">
        <f t="shared" ca="1" si="130"/>
        <v>0</v>
      </c>
      <c r="H667" s="49">
        <f t="shared" ca="1" si="131"/>
        <v>14911337.73384615</v>
      </c>
      <c r="I667" s="49">
        <f t="shared" ca="1" si="132"/>
        <v>0</v>
      </c>
      <c r="L667" s="49">
        <f t="shared" ca="1" si="133"/>
        <v>0</v>
      </c>
      <c r="M667" s="49"/>
      <c r="N667" s="49">
        <f t="shared" ca="1" si="134"/>
        <v>0</v>
      </c>
      <c r="O667" s="49">
        <f t="shared" ca="1" si="135"/>
        <v>0</v>
      </c>
      <c r="P667" s="49">
        <f t="shared" ca="1" si="135"/>
        <v>0</v>
      </c>
      <c r="Q667" s="49">
        <f t="shared" ca="1" si="135"/>
        <v>0</v>
      </c>
      <c r="T667" s="74">
        <f>W667-T676</f>
        <v>14911337.73384615</v>
      </c>
      <c r="U667" s="39"/>
      <c r="V667" s="39"/>
      <c r="W667" s="242">
        <f>PIS!Q241-AFUDC!H51</f>
        <v>14962695.713846151</v>
      </c>
      <c r="X667" s="39">
        <f>AFUDC!H51</f>
        <v>649.77</v>
      </c>
      <c r="Y667" s="39"/>
    </row>
    <row r="668" spans="1:25" x14ac:dyDescent="0.2">
      <c r="A668" s="49">
        <v>18</v>
      </c>
      <c r="B668" s="59" t="s">
        <v>374</v>
      </c>
      <c r="C668" s="40" t="s">
        <v>587</v>
      </c>
      <c r="D668" s="55">
        <f t="shared" ca="1" si="129"/>
        <v>15565058.869999992</v>
      </c>
      <c r="F668" s="49">
        <f t="shared" ca="1" si="130"/>
        <v>0</v>
      </c>
      <c r="H668" s="49">
        <f t="shared" ca="1" si="131"/>
        <v>15565058.869999992</v>
      </c>
      <c r="I668" s="49">
        <f t="shared" ca="1" si="132"/>
        <v>0</v>
      </c>
      <c r="L668" s="49">
        <f t="shared" ca="1" si="133"/>
        <v>0</v>
      </c>
      <c r="M668" s="49"/>
      <c r="N668" s="49">
        <f t="shared" ca="1" si="134"/>
        <v>0</v>
      </c>
      <c r="O668" s="49">
        <f t="shared" ca="1" si="135"/>
        <v>0</v>
      </c>
      <c r="P668" s="49">
        <f t="shared" ca="1" si="135"/>
        <v>0</v>
      </c>
      <c r="Q668" s="49">
        <f t="shared" ca="1" si="135"/>
        <v>0</v>
      </c>
      <c r="T668" s="74">
        <f>W668-T677</f>
        <v>15565058.869999992</v>
      </c>
      <c r="U668" s="39"/>
      <c r="V668" s="39"/>
      <c r="W668" s="242">
        <f>PIS!Q242-AFUDC!H52</f>
        <v>18694436.679999992</v>
      </c>
      <c r="X668" s="39">
        <f>AFUDC!H52</f>
        <v>2064.61</v>
      </c>
      <c r="Y668" s="39"/>
    </row>
    <row r="669" spans="1:25" x14ac:dyDescent="0.2">
      <c r="A669" s="49">
        <v>19</v>
      </c>
      <c r="B669" s="59" t="s">
        <v>803</v>
      </c>
      <c r="C669" s="40" t="s">
        <v>587</v>
      </c>
      <c r="D669" s="55">
        <f t="shared" ca="1" si="129"/>
        <v>2</v>
      </c>
      <c r="F669" s="49">
        <f t="shared" ca="1" si="130"/>
        <v>0</v>
      </c>
      <c r="H669" s="49">
        <f t="shared" ca="1" si="131"/>
        <v>2</v>
      </c>
      <c r="I669" s="49">
        <f t="shared" ca="1" si="132"/>
        <v>0</v>
      </c>
      <c r="L669" s="49">
        <f t="shared" ca="1" si="133"/>
        <v>0</v>
      </c>
      <c r="M669" s="49"/>
      <c r="N669" s="49">
        <f t="shared" ca="1" si="134"/>
        <v>0</v>
      </c>
      <c r="O669" s="49">
        <f t="shared" ca="1" si="135"/>
        <v>0</v>
      </c>
      <c r="P669" s="49">
        <f t="shared" ca="1" si="135"/>
        <v>0</v>
      </c>
      <c r="Q669" s="49">
        <f t="shared" ca="1" si="135"/>
        <v>0</v>
      </c>
      <c r="T669" s="74">
        <f>W669-T678</f>
        <v>2</v>
      </c>
      <c r="U669" s="39"/>
      <c r="V669" s="39"/>
      <c r="W669" s="242">
        <f>SUM(AFUDC!D53:E53)</f>
        <v>2</v>
      </c>
      <c r="X669" s="39">
        <f>AFUDC!H53</f>
        <v>4290.38</v>
      </c>
      <c r="Y669" s="39"/>
    </row>
    <row r="670" spans="1:25" x14ac:dyDescent="0.2">
      <c r="A670" s="49">
        <v>20</v>
      </c>
      <c r="B670" s="59" t="s">
        <v>804</v>
      </c>
      <c r="C670" s="40" t="s">
        <v>587</v>
      </c>
      <c r="D670" s="55">
        <f t="shared" ca="1" si="129"/>
        <v>4288.38</v>
      </c>
      <c r="F670" s="49">
        <f t="shared" ca="1" si="130"/>
        <v>0</v>
      </c>
      <c r="H670" s="49">
        <f t="shared" ca="1" si="131"/>
        <v>4288.38</v>
      </c>
      <c r="I670" s="49">
        <f t="shared" ca="1" si="132"/>
        <v>0</v>
      </c>
      <c r="L670" s="49">
        <f t="shared" ca="1" si="133"/>
        <v>0</v>
      </c>
      <c r="M670" s="49"/>
      <c r="N670" s="49">
        <f t="shared" ca="1" si="134"/>
        <v>0</v>
      </c>
      <c r="O670" s="49">
        <f t="shared" ca="1" si="135"/>
        <v>0</v>
      </c>
      <c r="P670" s="49">
        <f t="shared" ca="1" si="135"/>
        <v>0</v>
      </c>
      <c r="Q670" s="49">
        <f t="shared" ca="1" si="135"/>
        <v>0</v>
      </c>
      <c r="T670" s="74">
        <f>W670-T679</f>
        <v>4288.38</v>
      </c>
      <c r="U670" s="39"/>
      <c r="W670" s="242">
        <f>SUM(AFUDC!F53:G53)</f>
        <v>4288.38</v>
      </c>
    </row>
    <row r="671" spans="1:25" x14ac:dyDescent="0.2">
      <c r="A671" s="49">
        <v>21</v>
      </c>
      <c r="B671" s="59" t="s">
        <v>381</v>
      </c>
      <c r="C671" s="47"/>
      <c r="D671" s="55">
        <f t="shared" ca="1" si="129"/>
        <v>59688104.830769219</v>
      </c>
      <c r="F671" s="49">
        <f ca="1">SUM(F663:F670)</f>
        <v>0</v>
      </c>
      <c r="H671" s="49">
        <f ca="1">SUM(H663:H670)</f>
        <v>59688104.830769219</v>
      </c>
      <c r="I671" s="49">
        <f t="shared" ca="1" si="132"/>
        <v>0</v>
      </c>
      <c r="L671" s="49">
        <f ca="1">SUM(L663:L670)</f>
        <v>0</v>
      </c>
      <c r="M671" s="49"/>
      <c r="N671" s="49">
        <f t="shared" ca="1" si="134"/>
        <v>0</v>
      </c>
      <c r="O671" s="49">
        <f ca="1">SUM(O663:O670)</f>
        <v>0</v>
      </c>
      <c r="P671" s="49">
        <f ca="1">SUM(P663:P670)</f>
        <v>0</v>
      </c>
      <c r="Q671" s="49">
        <f ca="1">SUM(Q663:Q670)</f>
        <v>0</v>
      </c>
      <c r="T671" s="74"/>
      <c r="U671" s="67" t="str">
        <f ca="1">IF(D671=SUM(T663:T670),"ok","err")</f>
        <v>ok</v>
      </c>
    </row>
    <row r="672" spans="1:25" x14ac:dyDescent="0.2">
      <c r="C672" s="47"/>
    </row>
    <row r="673" spans="1:25" x14ac:dyDescent="0.2">
      <c r="B673" s="59" t="s">
        <v>378</v>
      </c>
      <c r="C673" s="47"/>
      <c r="T673" s="72"/>
      <c r="W673" s="73"/>
    </row>
    <row r="674" spans="1:25" x14ac:dyDescent="0.2">
      <c r="A674" s="49">
        <v>22</v>
      </c>
      <c r="B674" s="59" t="s">
        <v>369</v>
      </c>
      <c r="C674" s="40" t="s">
        <v>1395</v>
      </c>
      <c r="D674" s="55">
        <f t="shared" ref="D674:D680" ca="1" si="136">SUM(F674:I674)+K674</f>
        <v>280370.75</v>
      </c>
      <c r="F674" s="49">
        <f t="shared" ref="F674:F679" ca="1" si="137">INDEX(INDIRECT($C674),1,F$12+1)*$T674</f>
        <v>280369.85005183908</v>
      </c>
      <c r="H674" s="49">
        <f t="shared" ref="H674:H679" ca="1" si="138">INDEX(INDIRECT($C674),1,H$12+1)*$T674</f>
        <v>0</v>
      </c>
      <c r="I674" s="49">
        <f t="shared" ref="I674:I680" ca="1" si="139">(L674+M674+N674)</f>
        <v>0.89994816091621976</v>
      </c>
      <c r="L674" s="49">
        <f t="shared" ref="L674:L679" ca="1" si="140">INDEX(INDIRECT($C674),1,L$12+1)*$T674</f>
        <v>0.89994816091621976</v>
      </c>
      <c r="M674" s="49"/>
      <c r="N674" s="49">
        <f t="shared" ref="N674:N680" ca="1" si="141">SUM(O674:Q674)</f>
        <v>0</v>
      </c>
      <c r="O674" s="49">
        <f t="shared" ref="O674:Q679" ca="1" si="142">INDEX(INDIRECT($C674),1,O$12+1)*$T674</f>
        <v>0</v>
      </c>
      <c r="P674" s="49">
        <f t="shared" ca="1" si="142"/>
        <v>0</v>
      </c>
      <c r="Q674" s="49">
        <f t="shared" ca="1" si="142"/>
        <v>0</v>
      </c>
      <c r="T674" s="242">
        <f>VA500KV!D6</f>
        <v>280370.75</v>
      </c>
      <c r="U674" s="39"/>
      <c r="V674" s="39"/>
      <c r="W674" s="39"/>
      <c r="X674" s="39"/>
      <c r="Y674" s="39"/>
    </row>
    <row r="675" spans="1:25" x14ac:dyDescent="0.2">
      <c r="A675" s="49">
        <v>23</v>
      </c>
      <c r="B675" s="59" t="s">
        <v>372</v>
      </c>
      <c r="C675" s="40" t="s">
        <v>1395</v>
      </c>
      <c r="D675" s="55">
        <f t="shared" ca="1" si="136"/>
        <v>4769322.8699999992</v>
      </c>
      <c r="F675" s="49">
        <f t="shared" ca="1" si="137"/>
        <v>4769307.5611871304</v>
      </c>
      <c r="H675" s="49">
        <f t="shared" ca="1" si="138"/>
        <v>0</v>
      </c>
      <c r="I675" s="49">
        <f t="shared" ca="1" si="139"/>
        <v>15.308812868932177</v>
      </c>
      <c r="L675" s="49">
        <f t="shared" ca="1" si="140"/>
        <v>15.308812868932177</v>
      </c>
      <c r="M675" s="49"/>
      <c r="N675" s="49">
        <f t="shared" ca="1" si="141"/>
        <v>0</v>
      </c>
      <c r="O675" s="49">
        <f t="shared" ca="1" si="142"/>
        <v>0</v>
      </c>
      <c r="P675" s="49">
        <f t="shared" ca="1" si="142"/>
        <v>0</v>
      </c>
      <c r="Q675" s="49">
        <f t="shared" ca="1" si="142"/>
        <v>0</v>
      </c>
      <c r="T675" s="242">
        <f>SUM(VA500KV!D7:D17)</f>
        <v>4769322.8699999992</v>
      </c>
      <c r="U675" s="39"/>
      <c r="V675" s="39"/>
      <c r="W675" s="39"/>
      <c r="X675" s="39"/>
      <c r="Y675" s="39"/>
    </row>
    <row r="676" spans="1:25" x14ac:dyDescent="0.2">
      <c r="A676" s="49">
        <v>24</v>
      </c>
      <c r="B676" s="59" t="s">
        <v>373</v>
      </c>
      <c r="C676" s="40" t="s">
        <v>1395</v>
      </c>
      <c r="D676" s="55">
        <f t="shared" ca="1" si="136"/>
        <v>51357.98</v>
      </c>
      <c r="F676" s="49">
        <f t="shared" ca="1" si="137"/>
        <v>51357.815148567926</v>
      </c>
      <c r="H676" s="49">
        <f t="shared" ca="1" si="138"/>
        <v>0</v>
      </c>
      <c r="I676" s="49">
        <f t="shared" ca="1" si="139"/>
        <v>0.164851432074751</v>
      </c>
      <c r="L676" s="49">
        <f t="shared" ca="1" si="140"/>
        <v>0.164851432074751</v>
      </c>
      <c r="M676" s="49"/>
      <c r="N676" s="49">
        <f t="shared" ca="1" si="141"/>
        <v>0</v>
      </c>
      <c r="O676" s="49">
        <f t="shared" ca="1" si="142"/>
        <v>0</v>
      </c>
      <c r="P676" s="49">
        <f t="shared" ca="1" si="142"/>
        <v>0</v>
      </c>
      <c r="Q676" s="49">
        <f t="shared" ca="1" si="142"/>
        <v>0</v>
      </c>
      <c r="T676" s="242">
        <f>SUM(VA500KV!D18:D24)</f>
        <v>51357.979999999996</v>
      </c>
      <c r="U676" s="39"/>
      <c r="V676" s="39"/>
      <c r="W676" s="39"/>
      <c r="X676" s="39"/>
      <c r="Y676" s="39"/>
    </row>
    <row r="677" spans="1:25" x14ac:dyDescent="0.2">
      <c r="A677" s="49">
        <v>25</v>
      </c>
      <c r="B677" s="59" t="s">
        <v>374</v>
      </c>
      <c r="C677" s="40" t="s">
        <v>1395</v>
      </c>
      <c r="D677" s="55">
        <f t="shared" ca="1" si="136"/>
        <v>3129377.81</v>
      </c>
      <c r="F677" s="49">
        <f t="shared" ca="1" si="137"/>
        <v>3129367.7651654198</v>
      </c>
      <c r="H677" s="49">
        <f t="shared" ca="1" si="138"/>
        <v>0</v>
      </c>
      <c r="I677" s="49">
        <f t="shared" ca="1" si="139"/>
        <v>10.044834580360209</v>
      </c>
      <c r="L677" s="49">
        <f t="shared" ca="1" si="140"/>
        <v>10.044834580360209</v>
      </c>
      <c r="M677" s="49"/>
      <c r="N677" s="49">
        <f t="shared" ca="1" si="141"/>
        <v>0</v>
      </c>
      <c r="O677" s="49">
        <f t="shared" ca="1" si="142"/>
        <v>0</v>
      </c>
      <c r="P677" s="49">
        <f t="shared" ca="1" si="142"/>
        <v>0</v>
      </c>
      <c r="Q677" s="49">
        <f t="shared" ca="1" si="142"/>
        <v>0</v>
      </c>
      <c r="T677" s="242">
        <f>SUM(VA500KV!D25:D29)</f>
        <v>3129377.81</v>
      </c>
      <c r="U677" s="39"/>
      <c r="V677" s="39"/>
      <c r="W677" s="39"/>
      <c r="X677" s="39"/>
      <c r="Y677" s="39"/>
    </row>
    <row r="678" spans="1:25" x14ac:dyDescent="0.2">
      <c r="A678" s="49">
        <v>26</v>
      </c>
      <c r="B678" s="59" t="s">
        <v>803</v>
      </c>
      <c r="C678" s="40" t="s">
        <v>574</v>
      </c>
      <c r="D678" s="55">
        <f t="shared" ca="1" si="136"/>
        <v>0</v>
      </c>
      <c r="F678" s="49">
        <f t="shared" ca="1" si="137"/>
        <v>0</v>
      </c>
      <c r="H678" s="49">
        <f t="shared" ca="1" si="138"/>
        <v>0</v>
      </c>
      <c r="I678" s="49">
        <f t="shared" ca="1" si="139"/>
        <v>0</v>
      </c>
      <c r="L678" s="49">
        <f t="shared" ca="1" si="140"/>
        <v>0</v>
      </c>
      <c r="M678" s="49"/>
      <c r="N678" s="49">
        <f t="shared" ca="1" si="141"/>
        <v>0</v>
      </c>
      <c r="O678" s="49">
        <f t="shared" ca="1" si="142"/>
        <v>0</v>
      </c>
      <c r="P678" s="49">
        <f t="shared" ca="1" si="142"/>
        <v>0</v>
      </c>
      <c r="Q678" s="49">
        <f t="shared" ca="1" si="142"/>
        <v>0</v>
      </c>
      <c r="T678" s="39">
        <v>0</v>
      </c>
      <c r="U678" s="39"/>
      <c r="V678" s="39"/>
      <c r="W678" s="39"/>
      <c r="X678" s="39"/>
      <c r="Y678" s="39"/>
    </row>
    <row r="679" spans="1:25" x14ac:dyDescent="0.2">
      <c r="A679" s="49">
        <v>27</v>
      </c>
      <c r="B679" s="59" t="s">
        <v>804</v>
      </c>
      <c r="C679" s="40" t="s">
        <v>580</v>
      </c>
      <c r="D679" s="55">
        <f t="shared" ca="1" si="136"/>
        <v>0</v>
      </c>
      <c r="F679" s="49">
        <f t="shared" ca="1" si="137"/>
        <v>0</v>
      </c>
      <c r="H679" s="49">
        <f t="shared" ca="1" si="138"/>
        <v>0</v>
      </c>
      <c r="I679" s="49">
        <f t="shared" ca="1" si="139"/>
        <v>0</v>
      </c>
      <c r="L679" s="49">
        <f t="shared" ca="1" si="140"/>
        <v>0</v>
      </c>
      <c r="M679" s="49"/>
      <c r="N679" s="49">
        <f t="shared" ca="1" si="141"/>
        <v>0</v>
      </c>
      <c r="O679" s="49">
        <f t="shared" ca="1" si="142"/>
        <v>0</v>
      </c>
      <c r="P679" s="49">
        <f t="shared" ca="1" si="142"/>
        <v>0</v>
      </c>
      <c r="Q679" s="49">
        <f t="shared" ca="1" si="142"/>
        <v>0</v>
      </c>
      <c r="T679" s="39">
        <v>0</v>
      </c>
      <c r="U679" s="39"/>
    </row>
    <row r="680" spans="1:25" x14ac:dyDescent="0.2">
      <c r="A680" s="49">
        <v>28</v>
      </c>
      <c r="B680" s="59" t="s">
        <v>379</v>
      </c>
      <c r="C680" s="47"/>
      <c r="D680" s="55">
        <f t="shared" ca="1" si="136"/>
        <v>8230429.4099999983</v>
      </c>
      <c r="F680" s="49">
        <f ca="1">SUM(F674:F679)</f>
        <v>8230402.9915529564</v>
      </c>
      <c r="H680" s="49">
        <f ca="1">SUM(H674:H679)</f>
        <v>0</v>
      </c>
      <c r="I680" s="49">
        <f t="shared" ca="1" si="139"/>
        <v>26.418447042283358</v>
      </c>
      <c r="L680" s="49">
        <f ca="1">SUM(L674:L679)</f>
        <v>26.418447042283358</v>
      </c>
      <c r="M680" s="49"/>
      <c r="N680" s="49">
        <f t="shared" ca="1" si="141"/>
        <v>0</v>
      </c>
      <c r="O680" s="49">
        <f ca="1">SUM(O674:O679)</f>
        <v>0</v>
      </c>
      <c r="P680" s="49">
        <f ca="1">SUM(P674:P679)</f>
        <v>0</v>
      </c>
      <c r="Q680" s="49">
        <f ca="1">SUM(Q674:Q679)</f>
        <v>0</v>
      </c>
      <c r="T680" s="74"/>
      <c r="U680" s="67" t="str">
        <f ca="1">IF(D680=SUM(T674:T679),"ok","err")</f>
        <v>ok</v>
      </c>
    </row>
    <row r="681" spans="1:25" x14ac:dyDescent="0.2">
      <c r="T681" s="68"/>
    </row>
    <row r="682" spans="1:25" x14ac:dyDescent="0.2">
      <c r="A682" s="49">
        <v>29</v>
      </c>
      <c r="B682" s="37" t="s">
        <v>964</v>
      </c>
      <c r="C682" s="47"/>
      <c r="D682" s="55">
        <f ca="1">SUM(F682:I682)+K682</f>
        <v>1137907254.147691</v>
      </c>
      <c r="F682" s="49">
        <f ca="1">F660+F671+F680</f>
        <v>1029901679.3999412</v>
      </c>
      <c r="H682" s="49">
        <f ca="1">H660+H671+H680</f>
        <v>107268946.88114238</v>
      </c>
      <c r="I682" s="49">
        <f ca="1">(L682+M682+N682)</f>
        <v>736627.86660732084</v>
      </c>
      <c r="L682" s="49">
        <f ca="1">L660+L671+L680</f>
        <v>3297.5522748105245</v>
      </c>
      <c r="M682" s="49"/>
      <c r="N682" s="49">
        <f ca="1">SUM(O682:Q682)</f>
        <v>733330.31433251034</v>
      </c>
      <c r="O682" s="49">
        <f ca="1">O660+O671+O680</f>
        <v>371924.64084374672</v>
      </c>
      <c r="P682" s="49">
        <f ca="1">P660+P671+P680</f>
        <v>361405.67348876363</v>
      </c>
      <c r="Q682" s="49">
        <f ca="1">Q660+Q671+Q680</f>
        <v>0</v>
      </c>
      <c r="T682" s="74"/>
      <c r="U682" s="67" t="str">
        <f ca="1">IF(D682=SUM(T649:T680),"ok","err")</f>
        <v>ok</v>
      </c>
    </row>
    <row r="683" spans="1:25" x14ac:dyDescent="0.2">
      <c r="C683" s="47"/>
      <c r="T683" s="68"/>
    </row>
    <row r="684" spans="1:25" x14ac:dyDescent="0.2">
      <c r="B684" s="53" t="s">
        <v>79</v>
      </c>
      <c r="T684" s="68"/>
    </row>
    <row r="685" spans="1:25" x14ac:dyDescent="0.2">
      <c r="T685" s="68"/>
    </row>
    <row r="686" spans="1:25" x14ac:dyDescent="0.2">
      <c r="B686" s="37" t="s">
        <v>84</v>
      </c>
      <c r="C686" s="47"/>
    </row>
    <row r="687" spans="1:25" x14ac:dyDescent="0.2">
      <c r="B687" s="37" t="s">
        <v>85</v>
      </c>
      <c r="C687" s="47"/>
      <c r="T687" s="47"/>
    </row>
    <row r="688" spans="1:25" x14ac:dyDescent="0.2">
      <c r="A688" s="49">
        <v>1</v>
      </c>
      <c r="B688" s="59" t="s">
        <v>383</v>
      </c>
      <c r="C688" s="45" t="s">
        <v>1157</v>
      </c>
      <c r="D688" s="55">
        <f t="shared" ref="D688:D694" ca="1" si="143">SUM(F688:I688)+K688</f>
        <v>9234551.6115384512</v>
      </c>
      <c r="F688" s="49">
        <f t="shared" ref="F688:F694" ca="1" si="144">INDEX(INDIRECT($C688),1,F$12+1)*$T688</f>
        <v>9225394.6115384512</v>
      </c>
      <c r="H688" s="49">
        <f t="shared" ref="H688:H694" ca="1" si="145">INDEX(INDIRECT($C688),1,H$12+1)*$T688</f>
        <v>0</v>
      </c>
      <c r="I688" s="49">
        <f t="shared" ref="I688:I694" ca="1" si="146">(L688+M688+N688)</f>
        <v>9157</v>
      </c>
      <c r="L688" s="49">
        <f t="shared" ref="L688:L694" ca="1" si="147">INDEX(INDIRECT($C688),1,L$12+1)*$T688</f>
        <v>0</v>
      </c>
      <c r="M688" s="49"/>
      <c r="N688" s="49">
        <f t="shared" ref="N688:N694" ca="1" si="148">SUM(O688:Q688)</f>
        <v>9157</v>
      </c>
      <c r="O688" s="49">
        <f t="shared" ref="O688:Q690" ca="1" si="149">INDEX(INDIRECT($C688),1,O$12+1)*$T688</f>
        <v>9157</v>
      </c>
      <c r="P688" s="49">
        <f t="shared" ca="1" si="149"/>
        <v>0</v>
      </c>
      <c r="Q688" s="49">
        <f t="shared" ca="1" si="149"/>
        <v>0</v>
      </c>
      <c r="T688" s="242">
        <f>SUM(PIS!Q11:Q12)+PIS!Q120</f>
        <v>9234551.6115384512</v>
      </c>
      <c r="U688" s="39"/>
      <c r="V688" s="39"/>
      <c r="W688" s="39"/>
      <c r="X688" s="39"/>
      <c r="Y688" s="39"/>
    </row>
    <row r="689" spans="1:27" x14ac:dyDescent="0.2">
      <c r="A689" s="49">
        <v>2</v>
      </c>
      <c r="B689" s="59" t="s">
        <v>384</v>
      </c>
      <c r="C689" s="45" t="s">
        <v>1158</v>
      </c>
      <c r="D689" s="55">
        <f t="shared" ca="1" si="143"/>
        <v>27775081.824615382</v>
      </c>
      <c r="F689" s="49">
        <f t="shared" ca="1" si="144"/>
        <v>27419669.824615382</v>
      </c>
      <c r="H689" s="49">
        <f t="shared" ca="1" si="145"/>
        <v>0</v>
      </c>
      <c r="I689" s="49">
        <f t="shared" ca="1" si="146"/>
        <v>355412</v>
      </c>
      <c r="L689" s="49">
        <f t="shared" ca="1" si="147"/>
        <v>0</v>
      </c>
      <c r="M689" s="49"/>
      <c r="N689" s="49">
        <f t="shared" ca="1" si="148"/>
        <v>355412</v>
      </c>
      <c r="O689" s="49">
        <f t="shared" ca="1" si="149"/>
        <v>355412</v>
      </c>
      <c r="P689" s="49">
        <f t="shared" ca="1" si="149"/>
        <v>0</v>
      </c>
      <c r="Q689" s="49">
        <f t="shared" ca="1" si="149"/>
        <v>0</v>
      </c>
      <c r="T689" s="242">
        <f>PIS!Q13+PIS!Q121</f>
        <v>27775081.824615382</v>
      </c>
      <c r="U689" s="39"/>
      <c r="V689" s="39"/>
      <c r="W689" s="39"/>
      <c r="X689" s="39"/>
      <c r="Y689" s="39"/>
    </row>
    <row r="690" spans="1:27" x14ac:dyDescent="0.2">
      <c r="A690" s="49">
        <v>3</v>
      </c>
      <c r="B690" s="59" t="s">
        <v>385</v>
      </c>
      <c r="C690" s="45" t="s">
        <v>1159</v>
      </c>
      <c r="D690" s="55">
        <f t="shared" ca="1" si="143"/>
        <v>245177243.63692296</v>
      </c>
      <c r="F690" s="49">
        <f t="shared" ca="1" si="144"/>
        <v>241924160.63692296</v>
      </c>
      <c r="H690" s="49">
        <f t="shared" ca="1" si="145"/>
        <v>0</v>
      </c>
      <c r="I690" s="49">
        <f t="shared" ca="1" si="146"/>
        <v>3253083</v>
      </c>
      <c r="L690" s="49">
        <f t="shared" ca="1" si="147"/>
        <v>0</v>
      </c>
      <c r="M690" s="49"/>
      <c r="N690" s="49">
        <f t="shared" ca="1" si="148"/>
        <v>3253083</v>
      </c>
      <c r="O690" s="49">
        <f t="shared" ca="1" si="149"/>
        <v>3253083</v>
      </c>
      <c r="P690" s="49">
        <f t="shared" ca="1" si="149"/>
        <v>0</v>
      </c>
      <c r="Q690" s="49">
        <f t="shared" ca="1" si="149"/>
        <v>0</v>
      </c>
      <c r="T690" s="242">
        <f>PIS!Q14+PIS!Q122</f>
        <v>245177243.63692296</v>
      </c>
      <c r="U690" s="39"/>
      <c r="V690" s="39"/>
      <c r="W690" s="70"/>
      <c r="X690" s="39"/>
      <c r="Y690" s="39"/>
    </row>
    <row r="691" spans="1:27" x14ac:dyDescent="0.2">
      <c r="A691" s="49">
        <v>4</v>
      </c>
      <c r="B691" s="59" t="s">
        <v>1147</v>
      </c>
      <c r="C691" s="45" t="s">
        <v>1160</v>
      </c>
      <c r="D691" s="55">
        <f t="shared" ca="1" si="143"/>
        <v>397421920.64384615</v>
      </c>
      <c r="F691" s="49">
        <f t="shared" ca="1" si="144"/>
        <v>397421920.64384615</v>
      </c>
      <c r="H691" s="49">
        <f t="shared" ca="1" si="145"/>
        <v>0</v>
      </c>
      <c r="I691" s="49">
        <f t="shared" ca="1" si="146"/>
        <v>0</v>
      </c>
      <c r="L691" s="49">
        <f t="shared" ca="1" si="147"/>
        <v>0</v>
      </c>
      <c r="M691" s="49"/>
      <c r="N691" s="49">
        <f t="shared" ca="1" si="148"/>
        <v>0</v>
      </c>
      <c r="O691" s="49">
        <f t="shared" ref="O691:Q694" ca="1" si="150">INDEX(INDIRECT($C691),1,O$12+1)*$T691</f>
        <v>0</v>
      </c>
      <c r="P691" s="49">
        <f t="shared" ca="1" si="150"/>
        <v>0</v>
      </c>
      <c r="Q691" s="49">
        <f t="shared" ca="1" si="150"/>
        <v>0</v>
      </c>
      <c r="T691" s="242">
        <f>PIS!Q15+PIS!Q123</f>
        <v>397421920.64384615</v>
      </c>
      <c r="U691" s="39"/>
      <c r="V691" s="39"/>
      <c r="W691" s="39"/>
      <c r="X691" s="39"/>
      <c r="Y691" s="39"/>
    </row>
    <row r="692" spans="1:27" x14ac:dyDescent="0.2">
      <c r="A692" s="49">
        <v>5</v>
      </c>
      <c r="B692" s="59" t="s">
        <v>1148</v>
      </c>
      <c r="C692" s="45" t="s">
        <v>1161</v>
      </c>
      <c r="D692" s="55">
        <f t="shared" ca="1" si="143"/>
        <v>398758262.67615396</v>
      </c>
      <c r="F692" s="49">
        <f t="shared" ca="1" si="144"/>
        <v>398758262.67615396</v>
      </c>
      <c r="H692" s="49">
        <f t="shared" ca="1" si="145"/>
        <v>0</v>
      </c>
      <c r="I692" s="49">
        <f t="shared" ca="1" si="146"/>
        <v>0</v>
      </c>
      <c r="L692" s="49">
        <f t="shared" ca="1" si="147"/>
        <v>0</v>
      </c>
      <c r="M692" s="49"/>
      <c r="N692" s="49">
        <f t="shared" ca="1" si="148"/>
        <v>0</v>
      </c>
      <c r="O692" s="49">
        <f t="shared" ca="1" si="150"/>
        <v>0</v>
      </c>
      <c r="P692" s="49">
        <f t="shared" ca="1" si="150"/>
        <v>0</v>
      </c>
      <c r="Q692" s="49">
        <f t="shared" ca="1" si="150"/>
        <v>0</v>
      </c>
      <c r="T692" s="242">
        <f>PIS!Q16+PIS!Q124</f>
        <v>398758262.67615396</v>
      </c>
      <c r="U692" s="39"/>
      <c r="V692" s="39"/>
      <c r="W692" s="39"/>
      <c r="X692" s="39"/>
      <c r="Y692" s="39"/>
    </row>
    <row r="693" spans="1:27" x14ac:dyDescent="0.2">
      <c r="A693" s="49">
        <v>6</v>
      </c>
      <c r="B693" s="59" t="s">
        <v>1149</v>
      </c>
      <c r="C693" s="45" t="s">
        <v>1162</v>
      </c>
      <c r="D693" s="55">
        <f t="shared" ca="1" si="143"/>
        <v>2390106.04</v>
      </c>
      <c r="F693" s="49">
        <f t="shared" ca="1" si="144"/>
        <v>2390106.04</v>
      </c>
      <c r="H693" s="49">
        <f t="shared" ca="1" si="145"/>
        <v>0</v>
      </c>
      <c r="I693" s="49">
        <f t="shared" ca="1" si="146"/>
        <v>0</v>
      </c>
      <c r="L693" s="49">
        <f t="shared" ca="1" si="147"/>
        <v>0</v>
      </c>
      <c r="M693" s="49"/>
      <c r="N693" s="49">
        <f t="shared" ca="1" si="148"/>
        <v>0</v>
      </c>
      <c r="O693" s="49">
        <f t="shared" ca="1" si="150"/>
        <v>0</v>
      </c>
      <c r="P693" s="49">
        <f t="shared" ca="1" si="150"/>
        <v>0</v>
      </c>
      <c r="Q693" s="49">
        <f t="shared" ca="1" si="150"/>
        <v>0</v>
      </c>
      <c r="T693" s="242">
        <f>PIS!Q17+PIS!Q125</f>
        <v>2390106.04</v>
      </c>
      <c r="U693" s="39"/>
      <c r="V693" s="39"/>
      <c r="W693" s="39"/>
      <c r="X693" s="39"/>
      <c r="Y693" s="39"/>
    </row>
    <row r="694" spans="1:27" x14ac:dyDescent="0.2">
      <c r="A694" s="49">
        <v>7</v>
      </c>
      <c r="B694" s="59" t="s">
        <v>1150</v>
      </c>
      <c r="C694" s="45" t="s">
        <v>1163</v>
      </c>
      <c r="D694" s="55">
        <f t="shared" ca="1" si="143"/>
        <v>216528926.2153846</v>
      </c>
      <c r="F694" s="49">
        <f t="shared" ca="1" si="144"/>
        <v>216528926.2153846</v>
      </c>
      <c r="H694" s="49">
        <f t="shared" ca="1" si="145"/>
        <v>0</v>
      </c>
      <c r="I694" s="49">
        <f t="shared" ca="1" si="146"/>
        <v>0</v>
      </c>
      <c r="L694" s="49">
        <f t="shared" ca="1" si="147"/>
        <v>0</v>
      </c>
      <c r="M694" s="49"/>
      <c r="N694" s="49">
        <f t="shared" ca="1" si="148"/>
        <v>0</v>
      </c>
      <c r="O694" s="49">
        <f t="shared" ca="1" si="150"/>
        <v>0</v>
      </c>
      <c r="P694" s="49">
        <f t="shared" ca="1" si="150"/>
        <v>0</v>
      </c>
      <c r="Q694" s="49">
        <f t="shared" ca="1" si="150"/>
        <v>0</v>
      </c>
      <c r="T694" s="242">
        <f>PIS!Q18+PIS!Q126</f>
        <v>216528926.2153846</v>
      </c>
      <c r="U694" s="39"/>
      <c r="V694" s="39"/>
      <c r="W694" s="39"/>
      <c r="X694" s="39"/>
      <c r="Y694" s="39"/>
    </row>
    <row r="695" spans="1:27" x14ac:dyDescent="0.2">
      <c r="B695" s="59" t="s">
        <v>1151</v>
      </c>
      <c r="C695" s="47"/>
      <c r="T695" s="47"/>
      <c r="V695" s="39"/>
    </row>
    <row r="696" spans="1:27" x14ac:dyDescent="0.2">
      <c r="A696" s="49">
        <v>8</v>
      </c>
      <c r="B696" s="37" t="s">
        <v>88</v>
      </c>
      <c r="C696" s="40" t="s">
        <v>591</v>
      </c>
      <c r="D696" s="55">
        <f t="shared" ref="D696:D704" ca="1" si="151">SUM(F696:I696)+K696</f>
        <v>5932112.0200000023</v>
      </c>
      <c r="F696" s="49">
        <f ca="1">INDEX(INDIRECT($C696),1,F$12+1)*$T696</f>
        <v>5932112.0200000023</v>
      </c>
      <c r="H696" s="49">
        <f ca="1">INDEX(INDIRECT($C696),1,H$12+1)*$T696</f>
        <v>0</v>
      </c>
      <c r="I696" s="49">
        <f t="shared" ref="I696:I704" ca="1" si="152">(L696+M696+N696)</f>
        <v>0</v>
      </c>
      <c r="L696" s="49">
        <f ca="1">INDEX(INDIRECT($C696),1,L$12+1)*$T696</f>
        <v>0</v>
      </c>
      <c r="M696" s="49"/>
      <c r="N696" s="49">
        <f t="shared" ref="N696:N704" ca="1" si="153">SUM(O696:Q696)</f>
        <v>0</v>
      </c>
      <c r="O696" s="49">
        <f t="shared" ref="O696:Q697" ca="1" si="154">INDEX(INDIRECT($C696),1,O$12+1)*$T696</f>
        <v>0</v>
      </c>
      <c r="P696" s="49">
        <f t="shared" ca="1" si="154"/>
        <v>0</v>
      </c>
      <c r="Q696" s="49">
        <f t="shared" ca="1" si="154"/>
        <v>0</v>
      </c>
      <c r="T696" s="57">
        <v>5932112.0200000023</v>
      </c>
      <c r="U696" s="39"/>
      <c r="V696" s="39"/>
      <c r="W696" s="70"/>
      <c r="X696" s="39"/>
      <c r="Y696" s="39"/>
      <c r="AA696" s="39"/>
    </row>
    <row r="697" spans="1:27" x14ac:dyDescent="0.2">
      <c r="A697" s="49">
        <v>9</v>
      </c>
      <c r="B697" s="37" t="s">
        <v>89</v>
      </c>
      <c r="C697" s="40" t="s">
        <v>591</v>
      </c>
      <c r="D697" s="55">
        <f t="shared" ca="1" si="151"/>
        <v>309505030.81230778</v>
      </c>
      <c r="F697" s="49">
        <f ca="1">INDEX(INDIRECT($C697),1,F$12+1)*$T697</f>
        <v>309505030.81230778</v>
      </c>
      <c r="H697" s="49">
        <f ca="1">INDEX(INDIRECT($C697),1,H$12+1)*$T697</f>
        <v>0</v>
      </c>
      <c r="I697" s="49">
        <f t="shared" ca="1" si="152"/>
        <v>0</v>
      </c>
      <c r="L697" s="49">
        <f ca="1">INDEX(INDIRECT($C697),1,L$12+1)*$T697</f>
        <v>0</v>
      </c>
      <c r="M697" s="49"/>
      <c r="N697" s="49">
        <f t="shared" ca="1" si="153"/>
        <v>0</v>
      </c>
      <c r="O697" s="49">
        <f t="shared" ca="1" si="154"/>
        <v>0</v>
      </c>
      <c r="P697" s="49">
        <f t="shared" ca="1" si="154"/>
        <v>0</v>
      </c>
      <c r="Q697" s="49">
        <f t="shared" ca="1" si="154"/>
        <v>0</v>
      </c>
      <c r="T697" s="57">
        <f>T698-T696</f>
        <v>309505030.81230778</v>
      </c>
      <c r="U697" s="39"/>
      <c r="V697" s="39"/>
      <c r="W697" s="39"/>
      <c r="X697" s="39"/>
      <c r="Y697" s="39"/>
    </row>
    <row r="698" spans="1:27" x14ac:dyDescent="0.2">
      <c r="A698" s="49">
        <v>10</v>
      </c>
      <c r="B698" s="59" t="s">
        <v>1152</v>
      </c>
      <c r="C698" s="47"/>
      <c r="D698" s="55">
        <f t="shared" ca="1" si="151"/>
        <v>315437142.83230776</v>
      </c>
      <c r="F698" s="49">
        <f ca="1">F697+F696</f>
        <v>315437142.83230776</v>
      </c>
      <c r="H698" s="49">
        <f ca="1">H697+H696</f>
        <v>0</v>
      </c>
      <c r="I698" s="49">
        <f t="shared" ca="1" si="152"/>
        <v>0</v>
      </c>
      <c r="L698" s="49">
        <f ca="1">L697+L696</f>
        <v>0</v>
      </c>
      <c r="M698" s="49"/>
      <c r="N698" s="49">
        <f t="shared" ca="1" si="153"/>
        <v>0</v>
      </c>
      <c r="O698" s="49">
        <f ca="1">O697+O696</f>
        <v>0</v>
      </c>
      <c r="P698" s="49">
        <f ca="1">P697+P696</f>
        <v>0</v>
      </c>
      <c r="Q698" s="49">
        <f ca="1">Q697+Q696</f>
        <v>0</v>
      </c>
      <c r="T698" s="243">
        <f>PIS!Q19+PIS!Q127</f>
        <v>315437142.83230776</v>
      </c>
      <c r="U698" s="67" t="str">
        <f ca="1">IF(D698=SUM(T696:T697),"ok","err")</f>
        <v>ok</v>
      </c>
      <c r="V698" s="39"/>
      <c r="W698" s="39"/>
    </row>
    <row r="699" spans="1:27" x14ac:dyDescent="0.2">
      <c r="A699" s="49">
        <v>11</v>
      </c>
      <c r="B699" s="59" t="s">
        <v>1153</v>
      </c>
      <c r="C699" s="40" t="s">
        <v>636</v>
      </c>
      <c r="D699" s="55">
        <f t="shared" ca="1" si="151"/>
        <v>108671232.43846154</v>
      </c>
      <c r="F699" s="49">
        <f ca="1">INDEX(INDIRECT($C699),1,F$12+1)*$T699</f>
        <v>108671232.43846154</v>
      </c>
      <c r="H699" s="49">
        <f ca="1">INDEX(INDIRECT($C699),1,H$12+1)*$T699</f>
        <v>0</v>
      </c>
      <c r="I699" s="49">
        <f t="shared" ca="1" si="152"/>
        <v>0</v>
      </c>
      <c r="L699" s="49">
        <f ca="1">INDEX(INDIRECT($C699),1,L$12+1)*$T699</f>
        <v>0</v>
      </c>
      <c r="M699" s="49"/>
      <c r="N699" s="49">
        <f t="shared" ca="1" si="153"/>
        <v>0</v>
      </c>
      <c r="O699" s="49">
        <f t="shared" ref="O699:Q703" ca="1" si="155">INDEX(INDIRECT($C699),1,O$12+1)*$T699</f>
        <v>0</v>
      </c>
      <c r="P699" s="49">
        <f t="shared" ca="1" si="155"/>
        <v>0</v>
      </c>
      <c r="Q699" s="49">
        <f t="shared" ca="1" si="155"/>
        <v>0</v>
      </c>
      <c r="T699" s="243">
        <f>PIS!Q20+PIS!Q128</f>
        <v>108671232.43846154</v>
      </c>
      <c r="U699" s="39"/>
      <c r="V699" s="39"/>
      <c r="W699" s="39"/>
      <c r="X699" s="39"/>
      <c r="Y699" s="39"/>
    </row>
    <row r="700" spans="1:27" x14ac:dyDescent="0.2">
      <c r="A700" s="49">
        <v>12</v>
      </c>
      <c r="B700" s="59" t="s">
        <v>1154</v>
      </c>
      <c r="C700" s="40" t="s">
        <v>638</v>
      </c>
      <c r="D700" s="55">
        <f t="shared" ca="1" si="151"/>
        <v>78790854.271538451</v>
      </c>
      <c r="F700" s="49">
        <f ca="1">INDEX(INDIRECT($C700),1,F$12+1)*$T700</f>
        <v>78743546.271538451</v>
      </c>
      <c r="H700" s="49">
        <f ca="1">INDEX(INDIRECT($C700),1,H$12+1)*$T700</f>
        <v>0</v>
      </c>
      <c r="I700" s="49">
        <f t="shared" ca="1" si="152"/>
        <v>47308</v>
      </c>
      <c r="L700" s="49">
        <f ca="1">INDEX(INDIRECT($C700),1,L$12+1)*$T700</f>
        <v>0</v>
      </c>
      <c r="M700" s="49"/>
      <c r="N700" s="49">
        <f t="shared" ca="1" si="153"/>
        <v>47308</v>
      </c>
      <c r="O700" s="49">
        <f t="shared" ca="1" si="155"/>
        <v>20456</v>
      </c>
      <c r="P700" s="49">
        <f t="shared" ca="1" si="155"/>
        <v>26852</v>
      </c>
      <c r="Q700" s="49">
        <f t="shared" ca="1" si="155"/>
        <v>0</v>
      </c>
      <c r="T700" s="243">
        <f>PIS!Q21+PIS!Q22+PIS!Q23</f>
        <v>78790854.271538451</v>
      </c>
      <c r="U700" s="39"/>
      <c r="V700" s="39"/>
      <c r="W700" s="39"/>
      <c r="X700" s="39"/>
      <c r="Y700" s="39"/>
    </row>
    <row r="701" spans="1:27" x14ac:dyDescent="0.2">
      <c r="A701" s="49">
        <v>13</v>
      </c>
      <c r="B701" s="59" t="s">
        <v>1155</v>
      </c>
      <c r="C701" s="40" t="s">
        <v>640</v>
      </c>
      <c r="D701" s="55">
        <f t="shared" ca="1" si="151"/>
        <v>145659.96</v>
      </c>
      <c r="F701" s="49">
        <f ca="1">INDEX(INDIRECT($C701),1,F$12+1)*$T701</f>
        <v>145659.96</v>
      </c>
      <c r="H701" s="49">
        <f ca="1">INDEX(INDIRECT($C701),1,H$12+1)*$T701</f>
        <v>0</v>
      </c>
      <c r="I701" s="49">
        <f t="shared" ca="1" si="152"/>
        <v>0</v>
      </c>
      <c r="L701" s="49">
        <f ca="1">INDEX(INDIRECT($C701),1,L$12+1)*$T701</f>
        <v>0</v>
      </c>
      <c r="M701" s="49"/>
      <c r="N701" s="49">
        <f t="shared" ca="1" si="153"/>
        <v>0</v>
      </c>
      <c r="O701" s="49">
        <f t="shared" ca="1" si="155"/>
        <v>0</v>
      </c>
      <c r="P701" s="49">
        <f t="shared" ca="1" si="155"/>
        <v>0</v>
      </c>
      <c r="Q701" s="49">
        <f t="shared" ca="1" si="155"/>
        <v>0</v>
      </c>
      <c r="T701" s="243">
        <f>PIS!Q24</f>
        <v>145659.96</v>
      </c>
      <c r="U701" s="39"/>
      <c r="V701" s="39"/>
      <c r="W701" s="39"/>
      <c r="X701" s="39"/>
      <c r="Y701" s="39"/>
    </row>
    <row r="702" spans="1:27" x14ac:dyDescent="0.2">
      <c r="A702" s="49">
        <v>14</v>
      </c>
      <c r="B702" s="59" t="s">
        <v>1156</v>
      </c>
      <c r="C702" s="40" t="s">
        <v>642</v>
      </c>
      <c r="D702" s="55">
        <f t="shared" ca="1" si="151"/>
        <v>126856868.76999998</v>
      </c>
      <c r="F702" s="49">
        <f ca="1">INDEX(INDIRECT($C702),1,F$12+1)*$T702</f>
        <v>126856868.76999998</v>
      </c>
      <c r="H702" s="49">
        <f ca="1">INDEX(INDIRECT($C702),1,H$12+1)*$T702</f>
        <v>0</v>
      </c>
      <c r="I702" s="49">
        <f t="shared" ca="1" si="152"/>
        <v>0</v>
      </c>
      <c r="L702" s="49">
        <f ca="1">INDEX(INDIRECT($C702),1,L$12+1)*$T702</f>
        <v>0</v>
      </c>
      <c r="M702" s="49"/>
      <c r="N702" s="49">
        <f t="shared" ca="1" si="153"/>
        <v>0</v>
      </c>
      <c r="O702" s="49">
        <f t="shared" ca="1" si="155"/>
        <v>0</v>
      </c>
      <c r="P702" s="49">
        <f t="shared" ca="1" si="155"/>
        <v>0</v>
      </c>
      <c r="Q702" s="49">
        <f t="shared" ca="1" si="155"/>
        <v>0</v>
      </c>
      <c r="T702" s="243">
        <f>PIS!Q25+PIS!Q129</f>
        <v>126856868.76999998</v>
      </c>
      <c r="U702" s="39"/>
      <c r="V702" s="39"/>
      <c r="W702" s="39"/>
      <c r="X702" s="39"/>
      <c r="Y702" s="39"/>
    </row>
    <row r="703" spans="1:27" x14ac:dyDescent="0.2">
      <c r="A703" s="49">
        <v>15</v>
      </c>
      <c r="B703" s="59" t="s">
        <v>3</v>
      </c>
      <c r="C703" s="40" t="s">
        <v>4</v>
      </c>
      <c r="D703" s="55">
        <f ca="1">SUM(F703:I703)+K703</f>
        <v>658287.18999999994</v>
      </c>
      <c r="F703" s="49">
        <f ca="1">INDEX(INDIRECT($C703),1,F$12+1)*$T703</f>
        <v>658287.18999999994</v>
      </c>
      <c r="H703" s="49">
        <f ca="1">INDEX(INDIRECT($C703),1,H$12+1)*$T703</f>
        <v>0</v>
      </c>
      <c r="I703" s="49">
        <f ca="1">(L703+M703+N703)</f>
        <v>0</v>
      </c>
      <c r="L703" s="49">
        <f ca="1">INDEX(INDIRECT($C703),1,L$12+1)*$T703</f>
        <v>0</v>
      </c>
      <c r="M703" s="49"/>
      <c r="N703" s="49">
        <f ca="1">SUM(O703:Q703)</f>
        <v>0</v>
      </c>
      <c r="O703" s="49">
        <f t="shared" ca="1" si="155"/>
        <v>0</v>
      </c>
      <c r="P703" s="49">
        <f t="shared" ca="1" si="155"/>
        <v>0</v>
      </c>
      <c r="Q703" s="49">
        <f t="shared" ca="1" si="155"/>
        <v>0</v>
      </c>
      <c r="T703" s="243">
        <f>PIS!Q26+PIS!Q27</f>
        <v>658287.18999999994</v>
      </c>
      <c r="U703" s="39"/>
      <c r="V703" s="39"/>
      <c r="W703" s="39"/>
      <c r="X703" s="39"/>
      <c r="Y703" s="39"/>
    </row>
    <row r="704" spans="1:27" x14ac:dyDescent="0.2">
      <c r="A704" s="49">
        <v>16</v>
      </c>
      <c r="B704" s="37" t="s">
        <v>90</v>
      </c>
      <c r="C704" s="47"/>
      <c r="D704" s="55">
        <f t="shared" ca="1" si="151"/>
        <v>1927846138.110769</v>
      </c>
      <c r="F704" s="49">
        <f ca="1">SUM(F688:F697)+SUM(F699:F703)</f>
        <v>1924181178.110769</v>
      </c>
      <c r="H704" s="49">
        <f ca="1">SUM(H688:H697)+SUM(H699:H703)</f>
        <v>0</v>
      </c>
      <c r="I704" s="49">
        <f t="shared" ca="1" si="152"/>
        <v>3664960</v>
      </c>
      <c r="L704" s="49">
        <f ca="1">SUM(L688:L697)+SUM(L699:L703)</f>
        <v>0</v>
      </c>
      <c r="M704" s="49"/>
      <c r="N704" s="49">
        <f t="shared" ca="1" si="153"/>
        <v>3664960</v>
      </c>
      <c r="O704" s="49">
        <f ca="1">SUM(O688:O697)+SUM(O699:O703)</f>
        <v>3638108</v>
      </c>
      <c r="P704" s="49">
        <f ca="1">SUM(P688:P697)+SUM(P699:P703)</f>
        <v>26852</v>
      </c>
      <c r="Q704" s="49">
        <f ca="1">SUM(Q688:Q697)+SUM(Q699:Q703)</f>
        <v>0</v>
      </c>
      <c r="T704" s="47"/>
      <c r="U704" s="67" t="str">
        <f ca="1">IF($D$704=SUM($T$688:$T$697,$T$699:$T$703),"ok","err")</f>
        <v>ok</v>
      </c>
      <c r="V704" s="67">
        <f>SUM($T$688:$T$697,$T$699:$T$703)</f>
        <v>1927846138.1107693</v>
      </c>
      <c r="W704" s="722">
        <f ca="1">D704-V704</f>
        <v>0</v>
      </c>
    </row>
    <row r="705" spans="1:27" x14ac:dyDescent="0.2">
      <c r="B705" s="47"/>
      <c r="C705" s="47"/>
      <c r="V705" s="39"/>
      <c r="W705" s="39"/>
    </row>
    <row r="706" spans="1:27" x14ac:dyDescent="0.2">
      <c r="B706" s="37" t="s">
        <v>91</v>
      </c>
      <c r="C706" s="47"/>
      <c r="V706" s="39"/>
      <c r="W706" s="39"/>
    </row>
    <row r="707" spans="1:27" x14ac:dyDescent="0.2">
      <c r="A707" s="49">
        <v>17</v>
      </c>
      <c r="B707" s="59" t="s">
        <v>383</v>
      </c>
      <c r="C707" s="45" t="s">
        <v>17</v>
      </c>
      <c r="D707" s="55">
        <f t="shared" ref="D707:D712" ca="1" si="156">SUM(F707:I707)+K707</f>
        <v>313284.18999999901</v>
      </c>
      <c r="F707" s="49">
        <f t="shared" ref="F707:F712" ca="1" si="157">INDEX(INDIRECT($C707),1,F$12+1)*$T707</f>
        <v>0</v>
      </c>
      <c r="H707" s="49">
        <f t="shared" ref="H707:H712" ca="1" si="158">INDEX(INDIRECT($C707),1,H$12+1)*$T707</f>
        <v>313284.18999999901</v>
      </c>
      <c r="I707" s="49">
        <f t="shared" ref="I707:I712" ca="1" si="159">(L707+M707+N707)</f>
        <v>0</v>
      </c>
      <c r="L707" s="49">
        <f t="shared" ref="L707:L712" ca="1" si="160">INDEX(INDIRECT($C707),1,L$12+1)*$T707</f>
        <v>0</v>
      </c>
      <c r="M707" s="49"/>
      <c r="N707" s="49">
        <f t="shared" ref="N707:N712" ca="1" si="161">SUM(O707:Q707)</f>
        <v>0</v>
      </c>
      <c r="O707" s="49">
        <f t="shared" ref="O707:Q709" ca="1" si="162">INDEX(INDIRECT($C707),1,O$12+1)*$T707</f>
        <v>0</v>
      </c>
      <c r="P707" s="49">
        <f t="shared" ca="1" si="162"/>
        <v>0</v>
      </c>
      <c r="Q707" s="49">
        <f t="shared" ca="1" si="162"/>
        <v>0</v>
      </c>
      <c r="T707" s="242">
        <f>SUM(PIS!Q199:Q200)</f>
        <v>313284.18999999901</v>
      </c>
      <c r="U707" s="39"/>
      <c r="V707" s="39"/>
      <c r="W707" s="39"/>
      <c r="X707" s="39"/>
      <c r="Y707" s="39"/>
    </row>
    <row r="708" spans="1:27" x14ac:dyDescent="0.2">
      <c r="A708" s="49">
        <v>18</v>
      </c>
      <c r="B708" s="59" t="s">
        <v>384</v>
      </c>
      <c r="C708" s="45" t="s">
        <v>18</v>
      </c>
      <c r="D708" s="55">
        <f t="shared" ca="1" si="156"/>
        <v>767594.02000000025</v>
      </c>
      <c r="F708" s="49">
        <f t="shared" ca="1" si="157"/>
        <v>0</v>
      </c>
      <c r="H708" s="49">
        <f t="shared" ca="1" si="158"/>
        <v>767594.02000000025</v>
      </c>
      <c r="I708" s="49">
        <f t="shared" ca="1" si="159"/>
        <v>0</v>
      </c>
      <c r="L708" s="49">
        <f t="shared" ca="1" si="160"/>
        <v>0</v>
      </c>
      <c r="M708" s="49"/>
      <c r="N708" s="49">
        <f t="shared" ca="1" si="161"/>
        <v>0</v>
      </c>
      <c r="O708" s="49">
        <f t="shared" ca="1" si="162"/>
        <v>0</v>
      </c>
      <c r="P708" s="49">
        <f t="shared" ca="1" si="162"/>
        <v>0</v>
      </c>
      <c r="Q708" s="49">
        <f t="shared" ca="1" si="162"/>
        <v>0</v>
      </c>
      <c r="T708" s="242">
        <f>PIS!Q201+PIS!Q253</f>
        <v>767594.02000000025</v>
      </c>
      <c r="U708" s="39"/>
      <c r="V708" s="39"/>
      <c r="W708" s="39"/>
      <c r="X708" s="39"/>
      <c r="Y708" s="39"/>
    </row>
    <row r="709" spans="1:27" x14ac:dyDescent="0.2">
      <c r="A709" s="49">
        <v>19</v>
      </c>
      <c r="B709" s="59" t="s">
        <v>385</v>
      </c>
      <c r="C709" s="45" t="s">
        <v>19</v>
      </c>
      <c r="D709" s="55">
        <f t="shared" ca="1" si="156"/>
        <v>8513231.9299999978</v>
      </c>
      <c r="F709" s="49">
        <f t="shared" ca="1" si="157"/>
        <v>0</v>
      </c>
      <c r="H709" s="49">
        <f t="shared" ca="1" si="158"/>
        <v>8513231.9299999978</v>
      </c>
      <c r="I709" s="49">
        <f t="shared" ca="1" si="159"/>
        <v>0</v>
      </c>
      <c r="L709" s="49">
        <f t="shared" ca="1" si="160"/>
        <v>0</v>
      </c>
      <c r="M709" s="49"/>
      <c r="N709" s="49">
        <f t="shared" ca="1" si="161"/>
        <v>0</v>
      </c>
      <c r="O709" s="49">
        <f t="shared" ca="1" si="162"/>
        <v>0</v>
      </c>
      <c r="P709" s="49">
        <f t="shared" ca="1" si="162"/>
        <v>0</v>
      </c>
      <c r="Q709" s="49">
        <f t="shared" ca="1" si="162"/>
        <v>0</v>
      </c>
      <c r="T709" s="242">
        <f>PIS!Q202+PIS!Q254</f>
        <v>8513231.9299999978</v>
      </c>
      <c r="U709" s="39"/>
      <c r="V709" s="39"/>
      <c r="W709" s="39"/>
      <c r="X709" s="39"/>
      <c r="Y709" s="39"/>
    </row>
    <row r="710" spans="1:27" x14ac:dyDescent="0.2">
      <c r="A710" s="49">
        <v>20</v>
      </c>
      <c r="B710" s="59" t="s">
        <v>1147</v>
      </c>
      <c r="C710" s="45" t="s">
        <v>20</v>
      </c>
      <c r="D710" s="55">
        <f t="shared" ca="1" si="156"/>
        <v>30706197.12153846</v>
      </c>
      <c r="F710" s="49">
        <f t="shared" ca="1" si="157"/>
        <v>0</v>
      </c>
      <c r="H710" s="49">
        <f t="shared" ca="1" si="158"/>
        <v>30706197.12153846</v>
      </c>
      <c r="I710" s="49">
        <f t="shared" ca="1" si="159"/>
        <v>0</v>
      </c>
      <c r="L710" s="49">
        <f t="shared" ca="1" si="160"/>
        <v>0</v>
      </c>
      <c r="M710" s="49"/>
      <c r="N710" s="49">
        <f t="shared" ca="1" si="161"/>
        <v>0</v>
      </c>
      <c r="O710" s="49">
        <f t="shared" ref="O710:Q712" ca="1" si="163">INDEX(INDIRECT($C710),1,O$12+1)*$T710</f>
        <v>0</v>
      </c>
      <c r="P710" s="49">
        <f t="shared" ca="1" si="163"/>
        <v>0</v>
      </c>
      <c r="Q710" s="49">
        <f t="shared" ca="1" si="163"/>
        <v>0</v>
      </c>
      <c r="T710" s="242">
        <f>PIS!Q203+PIS!Q255</f>
        <v>30706197.12153846</v>
      </c>
      <c r="U710" s="39"/>
      <c r="V710" s="39"/>
      <c r="W710" s="39"/>
      <c r="X710" s="39"/>
      <c r="Y710" s="39"/>
    </row>
    <row r="711" spans="1:27" x14ac:dyDescent="0.2">
      <c r="A711" s="49">
        <v>21</v>
      </c>
      <c r="B711" s="59" t="s">
        <v>1148</v>
      </c>
      <c r="C711" s="45" t="s">
        <v>21</v>
      </c>
      <c r="D711" s="55">
        <f t="shared" ca="1" si="156"/>
        <v>29286126.640769172</v>
      </c>
      <c r="F711" s="49">
        <f t="shared" ca="1" si="157"/>
        <v>0</v>
      </c>
      <c r="H711" s="49">
        <f t="shared" ca="1" si="158"/>
        <v>29286126.640769172</v>
      </c>
      <c r="I711" s="49">
        <f t="shared" ca="1" si="159"/>
        <v>0</v>
      </c>
      <c r="L711" s="49">
        <f t="shared" ca="1" si="160"/>
        <v>0</v>
      </c>
      <c r="M711" s="49"/>
      <c r="N711" s="49">
        <f t="shared" ca="1" si="161"/>
        <v>0</v>
      </c>
      <c r="O711" s="49">
        <f t="shared" ca="1" si="163"/>
        <v>0</v>
      </c>
      <c r="P711" s="49">
        <f t="shared" ca="1" si="163"/>
        <v>0</v>
      </c>
      <c r="Q711" s="49">
        <f t="shared" ca="1" si="163"/>
        <v>0</v>
      </c>
      <c r="T711" s="242">
        <f>PIS!Q204+PIS!Q256</f>
        <v>29286126.640769172</v>
      </c>
      <c r="U711" s="39"/>
      <c r="V711" s="39"/>
      <c r="W711" s="39"/>
      <c r="X711" s="39"/>
      <c r="Y711" s="39"/>
    </row>
    <row r="712" spans="1:27" x14ac:dyDescent="0.2">
      <c r="A712" s="49">
        <v>22</v>
      </c>
      <c r="B712" s="59" t="s">
        <v>1150</v>
      </c>
      <c r="C712" s="45" t="s">
        <v>22</v>
      </c>
      <c r="D712" s="55">
        <f t="shared" ca="1" si="156"/>
        <v>5120978.2023076899</v>
      </c>
      <c r="F712" s="49">
        <f t="shared" ca="1" si="157"/>
        <v>0</v>
      </c>
      <c r="H712" s="49">
        <f t="shared" ca="1" si="158"/>
        <v>5120978.2023076899</v>
      </c>
      <c r="I712" s="49">
        <f t="shared" ca="1" si="159"/>
        <v>0</v>
      </c>
      <c r="L712" s="49">
        <f t="shared" ca="1" si="160"/>
        <v>0</v>
      </c>
      <c r="M712" s="49"/>
      <c r="N712" s="49">
        <f t="shared" ca="1" si="161"/>
        <v>0</v>
      </c>
      <c r="O712" s="49">
        <f t="shared" ca="1" si="163"/>
        <v>0</v>
      </c>
      <c r="P712" s="49">
        <f t="shared" ca="1" si="163"/>
        <v>0</v>
      </c>
      <c r="Q712" s="49">
        <f t="shared" ca="1" si="163"/>
        <v>0</v>
      </c>
      <c r="T712" s="242">
        <f>PIS!Q206+SUM(PIS!Q257:Q258)</f>
        <v>5120978.2023076899</v>
      </c>
      <c r="U712" s="39"/>
      <c r="V712" s="39"/>
      <c r="W712" s="39"/>
      <c r="X712" s="39"/>
      <c r="Y712" s="39"/>
    </row>
    <row r="713" spans="1:27" x14ac:dyDescent="0.2">
      <c r="B713" s="59" t="s">
        <v>1151</v>
      </c>
      <c r="C713" s="47"/>
      <c r="V713" s="39"/>
      <c r="W713" s="39"/>
    </row>
    <row r="714" spans="1:27" x14ac:dyDescent="0.2">
      <c r="A714" s="49">
        <v>23</v>
      </c>
      <c r="B714" s="37" t="s">
        <v>88</v>
      </c>
      <c r="C714" s="40" t="s">
        <v>599</v>
      </c>
      <c r="D714" s="55">
        <f t="shared" ref="D714:D721" ca="1" si="164">SUM(F714:I714)+K714</f>
        <v>128027.56</v>
      </c>
      <c r="F714" s="49">
        <f ca="1">INDEX(INDIRECT($C714),1,F$12+1)*$T714</f>
        <v>0</v>
      </c>
      <c r="H714" s="49">
        <f ca="1">INDEX(INDIRECT($C714),1,H$12+1)*$T714</f>
        <v>128027.56</v>
      </c>
      <c r="I714" s="49">
        <f t="shared" ref="I714:I721" ca="1" si="165">(L714+M714+N714)</f>
        <v>0</v>
      </c>
      <c r="L714" s="49">
        <f ca="1">INDEX(INDIRECT($C714),1,L$12+1)*$T714</f>
        <v>0</v>
      </c>
      <c r="M714" s="49"/>
      <c r="N714" s="49">
        <f t="shared" ref="N714:N721" ca="1" si="166">SUM(O714:Q714)</f>
        <v>0</v>
      </c>
      <c r="O714" s="49">
        <f t="shared" ref="O714:Q715" ca="1" si="167">INDEX(INDIRECT($C714),1,O$12+1)*$T714</f>
        <v>0</v>
      </c>
      <c r="P714" s="49">
        <f t="shared" ca="1" si="167"/>
        <v>0</v>
      </c>
      <c r="Q714" s="49">
        <f t="shared" ca="1" si="167"/>
        <v>0</v>
      </c>
      <c r="T714" s="57">
        <v>128027.56</v>
      </c>
      <c r="U714" s="39"/>
      <c r="V714" s="39"/>
      <c r="W714" s="70"/>
      <c r="X714" s="39"/>
      <c r="Y714" s="39"/>
      <c r="AA714" s="39"/>
    </row>
    <row r="715" spans="1:27" x14ac:dyDescent="0.2">
      <c r="A715" s="49">
        <v>24</v>
      </c>
      <c r="B715" s="37" t="s">
        <v>89</v>
      </c>
      <c r="C715" s="40" t="s">
        <v>599</v>
      </c>
      <c r="D715" s="55">
        <f t="shared" ca="1" si="164"/>
        <v>11046496.479230767</v>
      </c>
      <c r="F715" s="49">
        <f ca="1">INDEX(INDIRECT($C715),1,F$12+1)*$T715</f>
        <v>0</v>
      </c>
      <c r="H715" s="49">
        <f ca="1">INDEX(INDIRECT($C715),1,H$12+1)*$T715</f>
        <v>11046496.479230767</v>
      </c>
      <c r="I715" s="49">
        <f t="shared" ca="1" si="165"/>
        <v>0</v>
      </c>
      <c r="L715" s="49">
        <f ca="1">INDEX(INDIRECT($C715),1,L$12+1)*$T715</f>
        <v>0</v>
      </c>
      <c r="M715" s="49"/>
      <c r="N715" s="49">
        <f t="shared" ca="1" si="166"/>
        <v>0</v>
      </c>
      <c r="O715" s="49">
        <f t="shared" ca="1" si="167"/>
        <v>0</v>
      </c>
      <c r="P715" s="49">
        <f t="shared" ca="1" si="167"/>
        <v>0</v>
      </c>
      <c r="Q715" s="49">
        <f t="shared" ca="1" si="167"/>
        <v>0</v>
      </c>
      <c r="T715" s="57">
        <f>T716-T714</f>
        <v>11046496.479230767</v>
      </c>
      <c r="U715" s="39"/>
      <c r="V715" s="39"/>
      <c r="W715" s="39"/>
      <c r="X715" s="39"/>
      <c r="Y715" s="39"/>
    </row>
    <row r="716" spans="1:27" x14ac:dyDescent="0.2">
      <c r="A716" s="49">
        <v>25</v>
      </c>
      <c r="B716" s="59" t="s">
        <v>1152</v>
      </c>
      <c r="C716" s="47"/>
      <c r="D716" s="55">
        <f t="shared" ca="1" si="164"/>
        <v>11174524.039230768</v>
      </c>
      <c r="F716" s="49">
        <f ca="1">F715+F714</f>
        <v>0</v>
      </c>
      <c r="H716" s="49">
        <f ca="1">H715+H714</f>
        <v>11174524.039230768</v>
      </c>
      <c r="I716" s="49">
        <f t="shared" ca="1" si="165"/>
        <v>0</v>
      </c>
      <c r="L716" s="49">
        <f ca="1">L715+L714</f>
        <v>0</v>
      </c>
      <c r="M716" s="49"/>
      <c r="N716" s="49">
        <f t="shared" ca="1" si="166"/>
        <v>0</v>
      </c>
      <c r="O716" s="49">
        <f ca="1">O715+O714</f>
        <v>0</v>
      </c>
      <c r="P716" s="49">
        <f ca="1">P715+P714</f>
        <v>0</v>
      </c>
      <c r="Q716" s="49">
        <f ca="1">Q715+Q714</f>
        <v>0</v>
      </c>
      <c r="T716" s="243">
        <f>PIS!Q207+PIS!Q259</f>
        <v>11174524.039230768</v>
      </c>
      <c r="U716" s="67" t="str">
        <f ca="1">IF(D716=SUM(T714:T715),"ok","err")</f>
        <v>ok</v>
      </c>
      <c r="V716" s="39"/>
      <c r="W716" s="39"/>
    </row>
    <row r="717" spans="1:27" x14ac:dyDescent="0.2">
      <c r="A717" s="49">
        <v>26</v>
      </c>
      <c r="B717" s="59" t="s">
        <v>1153</v>
      </c>
      <c r="C717" s="40" t="s">
        <v>654</v>
      </c>
      <c r="D717" s="55">
        <f t="shared" ca="1" si="164"/>
        <v>5852947.5299999993</v>
      </c>
      <c r="F717" s="49">
        <f ca="1">INDEX(INDIRECT($C717),1,F$12+1)*$T717</f>
        <v>0</v>
      </c>
      <c r="H717" s="49">
        <f ca="1">INDEX(INDIRECT($C717),1,H$12+1)*$T717</f>
        <v>5852947.5299999993</v>
      </c>
      <c r="I717" s="49">
        <f t="shared" ca="1" si="165"/>
        <v>0</v>
      </c>
      <c r="L717" s="49">
        <f ca="1">INDEX(INDIRECT($C717),1,L$12+1)*$T717</f>
        <v>0</v>
      </c>
      <c r="M717" s="49"/>
      <c r="N717" s="49">
        <f t="shared" ca="1" si="166"/>
        <v>0</v>
      </c>
      <c r="O717" s="49">
        <f t="shared" ref="O717:Q720" ca="1" si="168">INDEX(INDIRECT($C717),1,O$12+1)*$T717</f>
        <v>0</v>
      </c>
      <c r="P717" s="49">
        <f t="shared" ca="1" si="168"/>
        <v>0</v>
      </c>
      <c r="Q717" s="49">
        <f t="shared" ca="1" si="168"/>
        <v>0</v>
      </c>
      <c r="T717" s="243">
        <f>PIS!Q208+PIS!Q260</f>
        <v>5852947.5299999993</v>
      </c>
      <c r="U717" s="39"/>
      <c r="V717" s="39"/>
      <c r="W717" s="39"/>
      <c r="X717" s="39"/>
      <c r="Y717" s="39"/>
    </row>
    <row r="718" spans="1:27" x14ac:dyDescent="0.2">
      <c r="A718" s="49">
        <v>27</v>
      </c>
      <c r="B718" s="59" t="s">
        <v>1154</v>
      </c>
      <c r="C718" s="40" t="s">
        <v>656</v>
      </c>
      <c r="D718" s="55">
        <f t="shared" ca="1" si="164"/>
        <v>3783545.2</v>
      </c>
      <c r="F718" s="49">
        <f ca="1">INDEX(INDIRECT($C718),1,F$12+1)*$T718</f>
        <v>0</v>
      </c>
      <c r="H718" s="49">
        <f ca="1">INDEX(INDIRECT($C718),1,H$12+1)*$T718</f>
        <v>3783545.2</v>
      </c>
      <c r="I718" s="49">
        <f t="shared" ca="1" si="165"/>
        <v>0</v>
      </c>
      <c r="L718" s="49">
        <f ca="1">INDEX(INDIRECT($C718),1,L$12+1)*$T718</f>
        <v>0</v>
      </c>
      <c r="M718" s="49"/>
      <c r="N718" s="49">
        <f t="shared" ca="1" si="166"/>
        <v>0</v>
      </c>
      <c r="O718" s="49">
        <f t="shared" ca="1" si="168"/>
        <v>0</v>
      </c>
      <c r="P718" s="49">
        <f t="shared" ca="1" si="168"/>
        <v>0</v>
      </c>
      <c r="Q718" s="49">
        <f t="shared" ca="1" si="168"/>
        <v>0</v>
      </c>
      <c r="T718" s="243">
        <f>PIS!Q209+PIS!Q210</f>
        <v>3783545.2</v>
      </c>
      <c r="U718" s="39"/>
      <c r="V718" s="39"/>
      <c r="W718" s="39"/>
      <c r="X718" s="39"/>
      <c r="Y718" s="39"/>
    </row>
    <row r="719" spans="1:27" x14ac:dyDescent="0.2">
      <c r="A719" s="49">
        <v>28</v>
      </c>
      <c r="B719" s="59" t="s">
        <v>1155</v>
      </c>
      <c r="C719" s="40" t="s">
        <v>658</v>
      </c>
      <c r="D719" s="55">
        <f t="shared" ca="1" si="164"/>
        <v>0</v>
      </c>
      <c r="F719" s="49">
        <f ca="1">INDEX(INDIRECT($C719),1,F$12+1)*$T719</f>
        <v>0</v>
      </c>
      <c r="H719" s="49">
        <f ca="1">INDEX(INDIRECT($C719),1,H$12+1)*$T719</f>
        <v>0</v>
      </c>
      <c r="I719" s="49">
        <f t="shared" ca="1" si="165"/>
        <v>0</v>
      </c>
      <c r="L719" s="49">
        <f ca="1">INDEX(INDIRECT($C719),1,L$12+1)*$T719</f>
        <v>0</v>
      </c>
      <c r="M719" s="49"/>
      <c r="N719" s="49">
        <f t="shared" ca="1" si="166"/>
        <v>0</v>
      </c>
      <c r="O719" s="49">
        <f t="shared" ca="1" si="168"/>
        <v>0</v>
      </c>
      <c r="P719" s="49">
        <f t="shared" ca="1" si="168"/>
        <v>0</v>
      </c>
      <c r="Q719" s="49">
        <f t="shared" ca="1" si="168"/>
        <v>0</v>
      </c>
      <c r="T719" s="243">
        <f>PIS!Q211</f>
        <v>0</v>
      </c>
      <c r="U719" s="39"/>
      <c r="V719" s="39"/>
      <c r="W719" s="39"/>
      <c r="X719" s="39"/>
      <c r="Y719" s="39"/>
    </row>
    <row r="720" spans="1:27" x14ac:dyDescent="0.2">
      <c r="A720" s="49">
        <v>29</v>
      </c>
      <c r="B720" s="59" t="s">
        <v>1156</v>
      </c>
      <c r="C720" s="40" t="s">
        <v>660</v>
      </c>
      <c r="D720" s="55">
        <f t="shared" ca="1" si="164"/>
        <v>3991840.8323076926</v>
      </c>
      <c r="F720" s="49">
        <f ca="1">INDEX(INDIRECT($C720),1,F$12+1)*$T720</f>
        <v>0</v>
      </c>
      <c r="H720" s="49">
        <f ca="1">INDEX(INDIRECT($C720),1,H$12+1)*$T720</f>
        <v>3991840.8323076926</v>
      </c>
      <c r="I720" s="49">
        <f t="shared" ca="1" si="165"/>
        <v>0</v>
      </c>
      <c r="L720" s="49">
        <f ca="1">INDEX(INDIRECT($C720),1,L$12+1)*$T720</f>
        <v>0</v>
      </c>
      <c r="M720" s="49"/>
      <c r="N720" s="49">
        <f t="shared" ca="1" si="166"/>
        <v>0</v>
      </c>
      <c r="O720" s="49">
        <f t="shared" ca="1" si="168"/>
        <v>0</v>
      </c>
      <c r="P720" s="49">
        <f t="shared" ca="1" si="168"/>
        <v>0</v>
      </c>
      <c r="Q720" s="49">
        <f t="shared" ca="1" si="168"/>
        <v>0</v>
      </c>
      <c r="T720" s="243">
        <f>PIS!Q212+PIS!Q261</f>
        <v>3991840.8323076926</v>
      </c>
      <c r="U720" s="39"/>
      <c r="V720" s="39"/>
      <c r="W720" s="39"/>
      <c r="X720" s="39"/>
      <c r="Y720" s="39"/>
    </row>
    <row r="721" spans="1:25" x14ac:dyDescent="0.2">
      <c r="A721" s="49">
        <v>30</v>
      </c>
      <c r="B721" s="37" t="s">
        <v>92</v>
      </c>
      <c r="C721" s="47"/>
      <c r="D721" s="55">
        <f t="shared" ca="1" si="164"/>
        <v>99510269.70615378</v>
      </c>
      <c r="F721" s="49">
        <f ca="1">SUM(F707:F715,F717:F720)</f>
        <v>0</v>
      </c>
      <c r="H721" s="49">
        <f ca="1">SUM(H707:H715,H717:H720)</f>
        <v>99510269.70615378</v>
      </c>
      <c r="I721" s="49">
        <f t="shared" ca="1" si="165"/>
        <v>0</v>
      </c>
      <c r="L721" s="49">
        <f ca="1">SUM(L707:L715,L717:L720)</f>
        <v>0</v>
      </c>
      <c r="M721" s="49"/>
      <c r="N721" s="49">
        <f t="shared" ca="1" si="166"/>
        <v>0</v>
      </c>
      <c r="O721" s="49">
        <f ca="1">SUM(O707:O715,O717:O720)</f>
        <v>0</v>
      </c>
      <c r="P721" s="49">
        <f ca="1">SUM(P707:P715,P717:P720)</f>
        <v>0</v>
      </c>
      <c r="Q721" s="49">
        <f ca="1">SUM(Q707:Q715,Q717:Q720)</f>
        <v>0</v>
      </c>
      <c r="U721" s="67" t="str">
        <f ca="1">IF(D721=SUM(T707:T715,T717:T720),"ok","err")</f>
        <v>ok</v>
      </c>
      <c r="V721" s="39"/>
      <c r="W721" s="39"/>
    </row>
    <row r="722" spans="1:25" x14ac:dyDescent="0.2">
      <c r="C722" s="47"/>
      <c r="V722" s="39"/>
      <c r="W722" s="39"/>
    </row>
    <row r="723" spans="1:25" x14ac:dyDescent="0.2">
      <c r="B723" s="59" t="s">
        <v>23</v>
      </c>
      <c r="C723" s="47"/>
      <c r="V723" s="39"/>
      <c r="W723" s="39"/>
    </row>
    <row r="724" spans="1:25" x14ac:dyDescent="0.2">
      <c r="A724" s="49">
        <v>31</v>
      </c>
      <c r="B724" s="59" t="s">
        <v>383</v>
      </c>
      <c r="C724" s="40" t="s">
        <v>25</v>
      </c>
      <c r="D724" s="55">
        <f ca="1">SUM(F724:I724)+K724</f>
        <v>475572.53000000009</v>
      </c>
      <c r="F724" s="49">
        <f ca="1">INDEX(INDIRECT($C724),1,F$12+1)*$T724</f>
        <v>0</v>
      </c>
      <c r="H724" s="49">
        <f ca="1">INDEX(INDIRECT($C724),1,H$12+1)*$T724</f>
        <v>0</v>
      </c>
      <c r="I724" s="49">
        <f ca="1">(L724+M724+N724)</f>
        <v>475572.53000000009</v>
      </c>
      <c r="L724" s="49">
        <f ca="1">INDEX(INDIRECT($C724),1,L$12+1)*$T724</f>
        <v>475572.53000000009</v>
      </c>
      <c r="M724" s="49"/>
      <c r="N724" s="49">
        <f ca="1">SUM(O724:Q724)</f>
        <v>0</v>
      </c>
      <c r="O724" s="49">
        <f ca="1">INDEX(INDIRECT($C724),1,O$12+1)*$T724</f>
        <v>0</v>
      </c>
      <c r="P724" s="49">
        <f ca="1">INDEX(INDIRECT($C724),1,P$12+1)*$T724</f>
        <v>0</v>
      </c>
      <c r="Q724" s="49">
        <f ca="1">INDEX(INDIRECT($C724),1,Q$12+1)*$T724</f>
        <v>0</v>
      </c>
      <c r="T724" s="242">
        <f>PIS!Q292+PIS!Q293</f>
        <v>475572.53000000009</v>
      </c>
      <c r="U724" s="67" t="str">
        <f ca="1">IF(D724=T724,"ok","err")</f>
        <v>ok</v>
      </c>
      <c r="V724" s="39"/>
      <c r="W724" s="39"/>
      <c r="X724" s="39"/>
      <c r="Y724" s="39"/>
    </row>
    <row r="725" spans="1:25" x14ac:dyDescent="0.2">
      <c r="A725" s="49">
        <v>32</v>
      </c>
      <c r="B725" s="59" t="s">
        <v>384</v>
      </c>
      <c r="C725" s="40" t="s">
        <v>26</v>
      </c>
      <c r="D725" s="55">
        <f t="shared" ref="D725:D732" ca="1" si="169">SUM(F725:I725)+K725</f>
        <v>2545.13</v>
      </c>
      <c r="F725" s="49">
        <f t="shared" ref="F725:F732" ca="1" si="170">INDEX(INDIRECT($C725),1,F$12+1)*$T725</f>
        <v>0</v>
      </c>
      <c r="H725" s="49">
        <f t="shared" ref="H725:H732" ca="1" si="171">INDEX(INDIRECT($C725),1,H$12+1)*$T725</f>
        <v>0</v>
      </c>
      <c r="I725" s="49">
        <f t="shared" ref="I725:I733" ca="1" si="172">(L725+M725+N725)</f>
        <v>2545.13</v>
      </c>
      <c r="L725" s="49">
        <f t="shared" ref="L725:L732" ca="1" si="173">INDEX(INDIRECT($C725),1,L$12+1)*$T725</f>
        <v>2545.13</v>
      </c>
      <c r="M725" s="49"/>
      <c r="N725" s="49">
        <f t="shared" ref="N725:N733" ca="1" si="174">SUM(O725:Q725)</f>
        <v>0</v>
      </c>
      <c r="O725" s="49">
        <f t="shared" ref="O725:Q732" ca="1" si="175">INDEX(INDIRECT($C725),1,O$12+1)*$T725</f>
        <v>0</v>
      </c>
      <c r="P725" s="49">
        <f t="shared" ca="1" si="175"/>
        <v>0</v>
      </c>
      <c r="Q725" s="49">
        <f t="shared" ca="1" si="175"/>
        <v>0</v>
      </c>
      <c r="T725" s="242">
        <f>PIS!Q294</f>
        <v>2545.13</v>
      </c>
      <c r="U725" s="67" t="str">
        <f t="shared" ref="U725:U732" ca="1" si="176">IF(D725=T725,"ok","err")</f>
        <v>ok</v>
      </c>
      <c r="V725" s="39"/>
      <c r="W725" s="39"/>
      <c r="X725" s="39"/>
      <c r="Y725" s="39"/>
    </row>
    <row r="726" spans="1:25" x14ac:dyDescent="0.2">
      <c r="A726" s="49">
        <v>33</v>
      </c>
      <c r="B726" s="59" t="s">
        <v>385</v>
      </c>
      <c r="C726" s="40" t="s">
        <v>27</v>
      </c>
      <c r="D726" s="55">
        <f t="shared" ca="1" si="169"/>
        <v>66880.14999999998</v>
      </c>
      <c r="F726" s="49">
        <f t="shared" ca="1" si="170"/>
        <v>0</v>
      </c>
      <c r="H726" s="49">
        <f t="shared" ca="1" si="171"/>
        <v>0</v>
      </c>
      <c r="I726" s="49">
        <f t="shared" ca="1" si="172"/>
        <v>66880.14999999998</v>
      </c>
      <c r="L726" s="49">
        <f t="shared" ca="1" si="173"/>
        <v>66880.14999999998</v>
      </c>
      <c r="M726" s="49"/>
      <c r="N726" s="49">
        <f t="shared" ca="1" si="174"/>
        <v>0</v>
      </c>
      <c r="O726" s="49">
        <f t="shared" ca="1" si="175"/>
        <v>0</v>
      </c>
      <c r="P726" s="49">
        <f t="shared" ca="1" si="175"/>
        <v>0</v>
      </c>
      <c r="Q726" s="49">
        <f t="shared" ca="1" si="175"/>
        <v>0</v>
      </c>
      <c r="T726" s="242">
        <f>PIS!Q295</f>
        <v>66880.14999999998</v>
      </c>
      <c r="U726" s="67" t="str">
        <f t="shared" ca="1" si="176"/>
        <v>ok</v>
      </c>
      <c r="V726" s="39"/>
      <c r="W726" s="39"/>
      <c r="X726" s="39"/>
      <c r="Y726" s="39"/>
    </row>
    <row r="727" spans="1:25" x14ac:dyDescent="0.2">
      <c r="A727" s="49">
        <v>34</v>
      </c>
      <c r="B727" s="59" t="s">
        <v>1147</v>
      </c>
      <c r="C727" s="40" t="s">
        <v>28</v>
      </c>
      <c r="D727" s="55">
        <f t="shared" ca="1" si="169"/>
        <v>47785.56</v>
      </c>
      <c r="F727" s="49">
        <f t="shared" ca="1" si="170"/>
        <v>0</v>
      </c>
      <c r="H727" s="49">
        <f t="shared" ca="1" si="171"/>
        <v>0</v>
      </c>
      <c r="I727" s="49">
        <f t="shared" ca="1" si="172"/>
        <v>47785.56</v>
      </c>
      <c r="L727" s="49">
        <f t="shared" ca="1" si="173"/>
        <v>47785.56</v>
      </c>
      <c r="M727" s="49"/>
      <c r="N727" s="49">
        <f t="shared" ca="1" si="174"/>
        <v>0</v>
      </c>
      <c r="O727" s="49">
        <f t="shared" ca="1" si="175"/>
        <v>0</v>
      </c>
      <c r="P727" s="49">
        <f t="shared" ca="1" si="175"/>
        <v>0</v>
      </c>
      <c r="Q727" s="49">
        <f t="shared" ca="1" si="175"/>
        <v>0</v>
      </c>
      <c r="T727" s="242">
        <f>PIS!Q296</f>
        <v>47785.56</v>
      </c>
      <c r="U727" s="67" t="str">
        <f t="shared" ca="1" si="176"/>
        <v>ok</v>
      </c>
      <c r="V727" s="39"/>
      <c r="W727" s="39"/>
      <c r="X727" s="39"/>
      <c r="Y727" s="39"/>
    </row>
    <row r="728" spans="1:25" x14ac:dyDescent="0.2">
      <c r="A728" s="49">
        <v>35</v>
      </c>
      <c r="B728" s="59" t="s">
        <v>1148</v>
      </c>
      <c r="C728" s="40" t="s">
        <v>29</v>
      </c>
      <c r="D728" s="55">
        <f t="shared" ca="1" si="169"/>
        <v>46763.22</v>
      </c>
      <c r="F728" s="49">
        <f t="shared" ca="1" si="170"/>
        <v>0</v>
      </c>
      <c r="H728" s="49">
        <f t="shared" ca="1" si="171"/>
        <v>0</v>
      </c>
      <c r="I728" s="49">
        <f t="shared" ca="1" si="172"/>
        <v>46763.22</v>
      </c>
      <c r="L728" s="49">
        <f t="shared" ca="1" si="173"/>
        <v>46763.22</v>
      </c>
      <c r="M728" s="49"/>
      <c r="N728" s="49">
        <f t="shared" ca="1" si="174"/>
        <v>0</v>
      </c>
      <c r="O728" s="49">
        <f t="shared" ca="1" si="175"/>
        <v>0</v>
      </c>
      <c r="P728" s="49">
        <f t="shared" ca="1" si="175"/>
        <v>0</v>
      </c>
      <c r="Q728" s="49">
        <f t="shared" ca="1" si="175"/>
        <v>0</v>
      </c>
      <c r="T728" s="242">
        <f>PIS!Q297</f>
        <v>46763.22</v>
      </c>
      <c r="U728" s="67" t="str">
        <f t="shared" ca="1" si="176"/>
        <v>ok</v>
      </c>
      <c r="V728" s="39"/>
      <c r="W728" s="39"/>
      <c r="X728" s="39"/>
      <c r="Y728" s="39"/>
    </row>
    <row r="729" spans="1:25" x14ac:dyDescent="0.2">
      <c r="A729" s="49">
        <v>36</v>
      </c>
      <c r="B729" s="59" t="s">
        <v>1151</v>
      </c>
      <c r="C729" s="40" t="s">
        <v>30</v>
      </c>
      <c r="D729" s="55">
        <f t="shared" ca="1" si="169"/>
        <v>3118.2799999999988</v>
      </c>
      <c r="F729" s="49">
        <f t="shared" ca="1" si="170"/>
        <v>0</v>
      </c>
      <c r="H729" s="49">
        <f t="shared" ca="1" si="171"/>
        <v>0</v>
      </c>
      <c r="I729" s="49">
        <f t="shared" ca="1" si="172"/>
        <v>3118.2799999999988</v>
      </c>
      <c r="L729" s="49">
        <f t="shared" ca="1" si="173"/>
        <v>3118.2799999999988</v>
      </c>
      <c r="M729" s="49"/>
      <c r="N729" s="49">
        <f t="shared" ca="1" si="174"/>
        <v>0</v>
      </c>
      <c r="O729" s="49">
        <f t="shared" ca="1" si="175"/>
        <v>0</v>
      </c>
      <c r="P729" s="49">
        <f t="shared" ca="1" si="175"/>
        <v>0</v>
      </c>
      <c r="Q729" s="49">
        <f t="shared" ca="1" si="175"/>
        <v>0</v>
      </c>
      <c r="T729" s="242">
        <f>PIS!Q300</f>
        <v>3118.2799999999988</v>
      </c>
      <c r="U729" s="67" t="str">
        <f t="shared" ca="1" si="176"/>
        <v>ok</v>
      </c>
      <c r="V729" s="39"/>
      <c r="W729" s="39"/>
      <c r="X729" s="39"/>
      <c r="Y729" s="39"/>
    </row>
    <row r="730" spans="1:25" x14ac:dyDescent="0.2">
      <c r="A730" s="49">
        <v>37</v>
      </c>
      <c r="B730" s="59" t="s">
        <v>1153</v>
      </c>
      <c r="C730" s="40" t="s">
        <v>33</v>
      </c>
      <c r="D730" s="55">
        <f t="shared" ca="1" si="169"/>
        <v>254.62</v>
      </c>
      <c r="F730" s="49">
        <f t="shared" ca="1" si="170"/>
        <v>0</v>
      </c>
      <c r="H730" s="49">
        <f t="shared" ca="1" si="171"/>
        <v>0</v>
      </c>
      <c r="I730" s="49">
        <f t="shared" ca="1" si="172"/>
        <v>254.62</v>
      </c>
      <c r="L730" s="49">
        <f t="shared" ca="1" si="173"/>
        <v>254.62</v>
      </c>
      <c r="M730" s="49"/>
      <c r="N730" s="49">
        <f t="shared" ca="1" si="174"/>
        <v>0</v>
      </c>
      <c r="O730" s="49">
        <f t="shared" ca="1" si="175"/>
        <v>0</v>
      </c>
      <c r="P730" s="49">
        <f t="shared" ca="1" si="175"/>
        <v>0</v>
      </c>
      <c r="Q730" s="49">
        <f t="shared" ca="1" si="175"/>
        <v>0</v>
      </c>
      <c r="T730" s="242">
        <f>PIS!Q301</f>
        <v>254.62</v>
      </c>
      <c r="U730" s="67" t="str">
        <f t="shared" ca="1" si="176"/>
        <v>ok</v>
      </c>
      <c r="V730" s="39"/>
      <c r="W730" s="39"/>
      <c r="X730" s="39"/>
      <c r="Y730" s="39"/>
    </row>
    <row r="731" spans="1:25" x14ac:dyDescent="0.2">
      <c r="A731" s="49">
        <v>38</v>
      </c>
      <c r="B731" s="59" t="s">
        <v>1154</v>
      </c>
      <c r="C731" s="40" t="s">
        <v>32</v>
      </c>
      <c r="D731" s="55">
        <f t="shared" ca="1" si="169"/>
        <v>4199.21</v>
      </c>
      <c r="F731" s="49">
        <f t="shared" ca="1" si="170"/>
        <v>0</v>
      </c>
      <c r="H731" s="49">
        <f t="shared" ca="1" si="171"/>
        <v>0</v>
      </c>
      <c r="I731" s="49">
        <f t="shared" ca="1" si="172"/>
        <v>4199.21</v>
      </c>
      <c r="L731" s="49">
        <f t="shared" ca="1" si="173"/>
        <v>4199.21</v>
      </c>
      <c r="M731" s="49"/>
      <c r="N731" s="49">
        <f t="shared" ca="1" si="174"/>
        <v>0</v>
      </c>
      <c r="O731" s="49">
        <f t="shared" ca="1" si="175"/>
        <v>0</v>
      </c>
      <c r="P731" s="49">
        <f t="shared" ca="1" si="175"/>
        <v>0</v>
      </c>
      <c r="Q731" s="49">
        <f t="shared" ca="1" si="175"/>
        <v>0</v>
      </c>
      <c r="T731" s="242">
        <f>PIS!Q302+PIS!Q303</f>
        <v>4199.21</v>
      </c>
      <c r="U731" s="67" t="str">
        <f t="shared" ca="1" si="176"/>
        <v>ok</v>
      </c>
      <c r="V731" s="39"/>
      <c r="W731" s="39"/>
      <c r="X731" s="39"/>
      <c r="Y731" s="39"/>
    </row>
    <row r="732" spans="1:25" x14ac:dyDescent="0.2">
      <c r="A732" s="49">
        <v>39</v>
      </c>
      <c r="B732" s="59" t="s">
        <v>1155</v>
      </c>
      <c r="C732" s="40" t="s">
        <v>31</v>
      </c>
      <c r="D732" s="55">
        <f t="shared" ca="1" si="169"/>
        <v>0</v>
      </c>
      <c r="F732" s="49">
        <f t="shared" ca="1" si="170"/>
        <v>0</v>
      </c>
      <c r="H732" s="49">
        <f t="shared" ca="1" si="171"/>
        <v>0</v>
      </c>
      <c r="I732" s="49">
        <f t="shared" ca="1" si="172"/>
        <v>0</v>
      </c>
      <c r="L732" s="49">
        <f t="shared" ca="1" si="173"/>
        <v>0</v>
      </c>
      <c r="M732" s="49"/>
      <c r="N732" s="49">
        <f t="shared" ca="1" si="174"/>
        <v>0</v>
      </c>
      <c r="O732" s="49">
        <f t="shared" ca="1" si="175"/>
        <v>0</v>
      </c>
      <c r="P732" s="49">
        <f t="shared" ca="1" si="175"/>
        <v>0</v>
      </c>
      <c r="Q732" s="49">
        <f t="shared" ca="1" si="175"/>
        <v>0</v>
      </c>
      <c r="T732" s="242">
        <f>PIS!Q304</f>
        <v>0</v>
      </c>
      <c r="U732" s="67" t="str">
        <f t="shared" ca="1" si="176"/>
        <v>ok</v>
      </c>
      <c r="V732" s="39"/>
      <c r="W732" s="39"/>
      <c r="X732" s="39"/>
      <c r="Y732" s="39"/>
    </row>
    <row r="733" spans="1:25" x14ac:dyDescent="0.2">
      <c r="A733" s="49">
        <v>40</v>
      </c>
      <c r="B733" s="59" t="s">
        <v>24</v>
      </c>
      <c r="C733" s="47"/>
      <c r="D733" s="55">
        <f ca="1">SUM(F733:I733)+K733</f>
        <v>647118.70000000007</v>
      </c>
      <c r="F733" s="49">
        <f ca="1">SUM(F724:F732)</f>
        <v>0</v>
      </c>
      <c r="H733" s="49">
        <f ca="1">SUM(H724:H732)</f>
        <v>0</v>
      </c>
      <c r="I733" s="49">
        <f t="shared" ca="1" si="172"/>
        <v>647118.70000000007</v>
      </c>
      <c r="L733" s="49">
        <f ca="1">SUM(L724:L732)</f>
        <v>647118.70000000007</v>
      </c>
      <c r="M733" s="49"/>
      <c r="N733" s="49">
        <f t="shared" ca="1" si="174"/>
        <v>0</v>
      </c>
      <c r="O733" s="49">
        <f ca="1">SUM(O724:O732)</f>
        <v>0</v>
      </c>
      <c r="P733" s="49">
        <f ca="1">SUM(P724:P732)</f>
        <v>0</v>
      </c>
      <c r="Q733" s="49">
        <f ca="1">SUM(Q724:Q732)</f>
        <v>0</v>
      </c>
      <c r="U733" s="67" t="str">
        <f ca="1">IF(D733=SUM(T724:T732),"ok","err")</f>
        <v>ok</v>
      </c>
      <c r="V733" s="39"/>
      <c r="W733" s="39"/>
    </row>
    <row r="734" spans="1:25" x14ac:dyDescent="0.2">
      <c r="A734" s="49"/>
      <c r="B734" s="37"/>
      <c r="C734" s="40"/>
      <c r="D734" s="55"/>
      <c r="F734" s="49"/>
      <c r="H734" s="49"/>
      <c r="I734" s="49"/>
      <c r="L734" s="49"/>
      <c r="M734" s="49"/>
      <c r="N734" s="49"/>
      <c r="O734" s="49"/>
      <c r="P734" s="49"/>
      <c r="Q734" s="49"/>
      <c r="T734" s="75"/>
      <c r="U734" s="67"/>
      <c r="V734" s="39"/>
      <c r="W734" s="39"/>
      <c r="X734" s="39"/>
      <c r="Y734" s="39"/>
    </row>
    <row r="735" spans="1:25" x14ac:dyDescent="0.2">
      <c r="A735" s="49">
        <v>41</v>
      </c>
      <c r="B735" s="37" t="s">
        <v>953</v>
      </c>
      <c r="C735" s="47"/>
      <c r="D735" s="55">
        <f ca="1">SUM(F735:I735)+K735</f>
        <v>2028003526.516923</v>
      </c>
      <c r="F735" s="49">
        <f ca="1">F733+F721+F704</f>
        <v>1924181178.110769</v>
      </c>
      <c r="H735" s="49">
        <f ca="1">H733+H721+H704</f>
        <v>99510269.70615378</v>
      </c>
      <c r="I735" s="49">
        <f ca="1">(L735+M735+N735)</f>
        <v>4312078.7</v>
      </c>
      <c r="L735" s="49">
        <f ca="1">L733+L721+L704</f>
        <v>647118.70000000007</v>
      </c>
      <c r="M735" s="49"/>
      <c r="N735" s="49">
        <f ca="1">SUM(O735:Q735)</f>
        <v>3664960</v>
      </c>
      <c r="O735" s="49">
        <f ca="1">O733+O721+O704</f>
        <v>3638108</v>
      </c>
      <c r="P735" s="49">
        <f ca="1">P733+P721+P704</f>
        <v>26852</v>
      </c>
      <c r="Q735" s="49">
        <f ca="1">Q733+Q721+Q704</f>
        <v>0</v>
      </c>
      <c r="T735" s="47"/>
      <c r="U735" s="39"/>
      <c r="V735" s="39"/>
      <c r="W735" s="39"/>
    </row>
    <row r="736" spans="1:25" x14ac:dyDescent="0.2">
      <c r="C736" s="47"/>
      <c r="T736" s="47"/>
      <c r="U736" s="39"/>
      <c r="V736" s="39"/>
      <c r="W736" s="39"/>
    </row>
    <row r="737" spans="1:23" x14ac:dyDescent="0.2">
      <c r="B737" s="53" t="s">
        <v>79</v>
      </c>
      <c r="T737" s="68"/>
    </row>
    <row r="738" spans="1:23" x14ac:dyDescent="0.2">
      <c r="T738" s="68"/>
    </row>
    <row r="739" spans="1:23" x14ac:dyDescent="0.2">
      <c r="B739" s="59" t="s">
        <v>118</v>
      </c>
      <c r="C739" s="47"/>
      <c r="V739" s="39"/>
      <c r="W739" s="39"/>
    </row>
    <row r="740" spans="1:23" x14ac:dyDescent="0.2">
      <c r="A740" s="49">
        <v>1</v>
      </c>
      <c r="B740" s="59" t="s">
        <v>43</v>
      </c>
      <c r="C740" s="40" t="s">
        <v>677</v>
      </c>
      <c r="D740" s="55">
        <f ca="1">SUM(F740:I740)+K740</f>
        <v>4407139.5876923064</v>
      </c>
      <c r="F740" s="49">
        <f ca="1">INDEX(INDIRECT($C740),1,F$12+1)*$T740</f>
        <v>4145688.9076379142</v>
      </c>
      <c r="H740" s="49">
        <f ca="1">INDEX(INDIRECT($C740),1,H$12+1)*$T740</f>
        <v>208668.34381388917</v>
      </c>
      <c r="I740" s="49">
        <f ca="1">(L740+M740+N740)</f>
        <v>52782.336240502576</v>
      </c>
      <c r="L740" s="49">
        <f ca="1">INDEX(INDIRECT($C740),1,L$12+1)*$T740</f>
        <v>296.96122697894339</v>
      </c>
      <c r="M740" s="49"/>
      <c r="N740" s="49">
        <f ca="1">SUM(O740:Q740)</f>
        <v>52485.375013523633</v>
      </c>
      <c r="O740" s="49">
        <f ca="1">INDEX(INDIRECT($C740),1,O$12+1)*$T740</f>
        <v>27359.561163029142</v>
      </c>
      <c r="P740" s="49">
        <f ca="1">INDEX(INDIRECT($C740),1,P$12+1)*$T740</f>
        <v>25125.813850494491</v>
      </c>
      <c r="Q740" s="49">
        <f ca="1">INDEX(INDIRECT($C740),1,Q$12+1)*$T740</f>
        <v>2.3490731727003254E-13</v>
      </c>
      <c r="T740" s="242">
        <f>SUM(PIS!Q31,PIS!Q216)</f>
        <v>4407139.5876923064</v>
      </c>
      <c r="U740" s="67" t="str">
        <f ca="1">IF(D740=T740,"ok","err")</f>
        <v>ok</v>
      </c>
      <c r="V740" s="44"/>
      <c r="W740" s="44"/>
    </row>
    <row r="741" spans="1:23" x14ac:dyDescent="0.2">
      <c r="A741" s="49">
        <v>2</v>
      </c>
      <c r="B741" s="59" t="s">
        <v>44</v>
      </c>
      <c r="C741" s="40" t="s">
        <v>677</v>
      </c>
      <c r="D741" s="55">
        <f t="shared" ref="D741:D752" ca="1" si="177">SUM(F741:I741)+K741</f>
        <v>82444608.495384604</v>
      </c>
      <c r="F741" s="49">
        <f t="shared" ref="F741:F752" ca="1" si="178">INDEX(INDIRECT($C741),1,F$12+1)*$T741</f>
        <v>77553635.897617787</v>
      </c>
      <c r="H741" s="49">
        <f t="shared" ref="H741:H752" ca="1" si="179">INDEX(INDIRECT($C741),1,H$12+1)*$T741</f>
        <v>3903570.460795104</v>
      </c>
      <c r="I741" s="49">
        <f t="shared" ref="I741:I753" ca="1" si="180">(L741+M741+N741)</f>
        <v>987402.13697170583</v>
      </c>
      <c r="L741" s="49">
        <f t="shared" ref="L741:L752" ca="1" si="181">INDEX(INDIRECT($C741),1,L$12+1)*$T741</f>
        <v>5555.270399186039</v>
      </c>
      <c r="M741" s="49"/>
      <c r="N741" s="49">
        <f t="shared" ref="N741:N753" ca="1" si="182">SUM(O741:Q741)</f>
        <v>981846.86657251976</v>
      </c>
      <c r="O741" s="49">
        <f t="shared" ref="O741:Q752" ca="1" si="183">INDEX(INDIRECT($C741),1,O$12+1)*$T741</f>
        <v>511816.85168102052</v>
      </c>
      <c r="P741" s="49">
        <f t="shared" ca="1" si="183"/>
        <v>470030.01489149919</v>
      </c>
      <c r="Q741" s="49">
        <f t="shared" ca="1" si="183"/>
        <v>4.3944244151272548E-12</v>
      </c>
      <c r="T741" s="242">
        <f>SUM(PIS!Q32:Q33,PIS!Q133,PIS!Q217:Q218,PIS!Q265)</f>
        <v>82444608.495384604</v>
      </c>
      <c r="U741" s="67" t="str">
        <f t="shared" ref="U741:U752" ca="1" si="184">IF(D741=T741,"ok","err")</f>
        <v>ok</v>
      </c>
      <c r="V741" s="44"/>
      <c r="W741" s="44"/>
    </row>
    <row r="742" spans="1:23" x14ac:dyDescent="0.2">
      <c r="A742" s="49">
        <v>3</v>
      </c>
      <c r="B742" s="59" t="s">
        <v>45</v>
      </c>
      <c r="C742" s="40" t="s">
        <v>677</v>
      </c>
      <c r="D742" s="55">
        <f t="shared" ca="1" si="177"/>
        <v>43470434.537692279</v>
      </c>
      <c r="F742" s="49">
        <f t="shared" ca="1" si="178"/>
        <v>40891579.376426384</v>
      </c>
      <c r="H742" s="49">
        <f t="shared" ca="1" si="179"/>
        <v>2058229.2435625119</v>
      </c>
      <c r="I742" s="49">
        <f t="shared" ca="1" si="180"/>
        <v>520625.91770338628</v>
      </c>
      <c r="L742" s="49">
        <f t="shared" ca="1" si="181"/>
        <v>2929.1183818347008</v>
      </c>
      <c r="M742" s="49"/>
      <c r="N742" s="49">
        <f t="shared" ca="1" si="182"/>
        <v>517696.79932155157</v>
      </c>
      <c r="O742" s="49">
        <f t="shared" ca="1" si="183"/>
        <v>269864.83837245824</v>
      </c>
      <c r="P742" s="49">
        <f t="shared" ca="1" si="183"/>
        <v>247831.96094909334</v>
      </c>
      <c r="Q742" s="49">
        <f t="shared" ca="1" si="183"/>
        <v>2.3170410091682354E-12</v>
      </c>
      <c r="T742" s="242">
        <f>SUM(PIS!Q34:Q37,PIS!Q134:Q136,PIS!Q219,PIS!Q220)</f>
        <v>43470434.537692286</v>
      </c>
      <c r="U742" s="67" t="str">
        <f t="shared" ca="1" si="184"/>
        <v>ok</v>
      </c>
      <c r="V742" s="44"/>
      <c r="W742" s="44"/>
    </row>
    <row r="743" spans="1:23" x14ac:dyDescent="0.2">
      <c r="A743" s="49">
        <v>4</v>
      </c>
      <c r="B743" s="59" t="s">
        <v>46</v>
      </c>
      <c r="C743" s="40" t="s">
        <v>677</v>
      </c>
      <c r="D743" s="55">
        <f t="shared" ca="1" si="177"/>
        <v>7538271.7000000011</v>
      </c>
      <c r="F743" s="49">
        <f t="shared" ca="1" si="178"/>
        <v>7091068.6506788917</v>
      </c>
      <c r="H743" s="49">
        <f t="shared" ca="1" si="179"/>
        <v>356920.54666273331</v>
      </c>
      <c r="I743" s="49">
        <f t="shared" ca="1" si="180"/>
        <v>90282.502658376063</v>
      </c>
      <c r="L743" s="49">
        <f t="shared" ca="1" si="181"/>
        <v>507.94270723447232</v>
      </c>
      <c r="M743" s="49"/>
      <c r="N743" s="49">
        <f t="shared" ca="1" si="182"/>
        <v>89774.559951141593</v>
      </c>
      <c r="O743" s="49">
        <f t="shared" ca="1" si="183"/>
        <v>46797.656742176478</v>
      </c>
      <c r="P743" s="49">
        <f t="shared" ca="1" si="183"/>
        <v>42976.903208965123</v>
      </c>
      <c r="Q743" s="49">
        <f t="shared" ca="1" si="183"/>
        <v>4.0180147387318019E-13</v>
      </c>
      <c r="T743" s="242">
        <f>SUM(PIS!Q38,PIS!Q39,PIS!Q221)</f>
        <v>7538271.700000002</v>
      </c>
      <c r="U743" s="67" t="str">
        <f t="shared" ca="1" si="184"/>
        <v>ok</v>
      </c>
      <c r="V743" s="44"/>
      <c r="W743" s="44"/>
    </row>
    <row r="744" spans="1:23" x14ac:dyDescent="0.2">
      <c r="A744" s="49">
        <v>5</v>
      </c>
      <c r="B744" s="59" t="s">
        <v>47</v>
      </c>
      <c r="C744" s="40" t="s">
        <v>677</v>
      </c>
      <c r="D744" s="55">
        <f t="shared" ca="1" si="177"/>
        <v>908062.33307692292</v>
      </c>
      <c r="F744" s="49">
        <f t="shared" ca="1" si="178"/>
        <v>854192.12774515699</v>
      </c>
      <c r="H744" s="49">
        <f t="shared" ca="1" si="179"/>
        <v>42994.749622204821</v>
      </c>
      <c r="I744" s="49">
        <f t="shared" ca="1" si="180"/>
        <v>10875.455709561178</v>
      </c>
      <c r="L744" s="49">
        <f t="shared" ca="1" si="181"/>
        <v>61.186921638914029</v>
      </c>
      <c r="M744" s="49"/>
      <c r="N744" s="49">
        <f t="shared" ca="1" si="182"/>
        <v>10814.268787922265</v>
      </c>
      <c r="O744" s="49">
        <f t="shared" ca="1" si="183"/>
        <v>5637.2589175624644</v>
      </c>
      <c r="P744" s="49">
        <f t="shared" ca="1" si="183"/>
        <v>5177.0098703598014</v>
      </c>
      <c r="Q744" s="49">
        <f t="shared" ca="1" si="183"/>
        <v>4.8401118760289078E-14</v>
      </c>
      <c r="T744" s="242">
        <f>SUM(PIS!Q40,PIS!Q222)</f>
        <v>908062.33307692304</v>
      </c>
      <c r="U744" s="67" t="str">
        <f t="shared" ca="1" si="184"/>
        <v>ok</v>
      </c>
      <c r="V744" s="44"/>
      <c r="W744" s="44"/>
    </row>
    <row r="745" spans="1:23" x14ac:dyDescent="0.2">
      <c r="A745" s="49">
        <v>6</v>
      </c>
      <c r="B745" s="59" t="s">
        <v>48</v>
      </c>
      <c r="C745" s="40" t="s">
        <v>677</v>
      </c>
      <c r="D745" s="55">
        <f t="shared" ca="1" si="177"/>
        <v>16911378.212307632</v>
      </c>
      <c r="F745" s="49">
        <f t="shared" ca="1" si="178"/>
        <v>15908121.735791065</v>
      </c>
      <c r="H745" s="49">
        <f t="shared" ca="1" si="179"/>
        <v>800716.47674321372</v>
      </c>
      <c r="I745" s="49">
        <f t="shared" ca="1" si="180"/>
        <v>202539.99977335209</v>
      </c>
      <c r="L745" s="49">
        <f t="shared" ca="1" si="181"/>
        <v>1139.5199820438427</v>
      </c>
      <c r="M745" s="49"/>
      <c r="N745" s="49">
        <f t="shared" ca="1" si="182"/>
        <v>201400.47979130826</v>
      </c>
      <c r="O745" s="49">
        <f t="shared" ca="1" si="183"/>
        <v>104985.98407068485</v>
      </c>
      <c r="P745" s="49">
        <f t="shared" ca="1" si="183"/>
        <v>96414.49572062341</v>
      </c>
      <c r="Q745" s="49">
        <f t="shared" ca="1" si="183"/>
        <v>9.0140246482917186E-13</v>
      </c>
      <c r="T745" s="242">
        <f>SUM(PIS!Q41,PIS!Q137,PIS!Q223)</f>
        <v>16911378.212307632</v>
      </c>
      <c r="U745" s="67" t="str">
        <f t="shared" ca="1" si="184"/>
        <v>ok</v>
      </c>
      <c r="V745" s="44"/>
      <c r="W745" s="44"/>
    </row>
    <row r="746" spans="1:23" x14ac:dyDescent="0.2">
      <c r="A746" s="49">
        <v>7</v>
      </c>
      <c r="B746" s="59" t="s">
        <v>49</v>
      </c>
      <c r="C746" s="40" t="s">
        <v>677</v>
      </c>
      <c r="D746" s="55">
        <f t="shared" ca="1" si="177"/>
        <v>0</v>
      </c>
      <c r="F746" s="49">
        <f t="shared" ca="1" si="178"/>
        <v>0</v>
      </c>
      <c r="H746" s="49">
        <f t="shared" ca="1" si="179"/>
        <v>0</v>
      </c>
      <c r="I746" s="49">
        <f t="shared" ca="1" si="180"/>
        <v>0</v>
      </c>
      <c r="L746" s="49">
        <f t="shared" ca="1" si="181"/>
        <v>0</v>
      </c>
      <c r="M746" s="49"/>
      <c r="N746" s="49">
        <f t="shared" ca="1" si="182"/>
        <v>0</v>
      </c>
      <c r="O746" s="49">
        <f t="shared" ca="1" si="183"/>
        <v>0</v>
      </c>
      <c r="P746" s="49">
        <f t="shared" ca="1" si="183"/>
        <v>0</v>
      </c>
      <c r="Q746" s="49">
        <f t="shared" ca="1" si="183"/>
        <v>0</v>
      </c>
      <c r="T746" s="242">
        <f>SUM(PIS!Q42,PIS!Q224)</f>
        <v>0</v>
      </c>
      <c r="U746" s="67" t="str">
        <f t="shared" ca="1" si="184"/>
        <v>ok</v>
      </c>
      <c r="V746" s="44"/>
      <c r="W746" s="44"/>
    </row>
    <row r="747" spans="1:23" x14ac:dyDescent="0.2">
      <c r="A747" s="49">
        <v>8</v>
      </c>
      <c r="B747" s="59" t="s">
        <v>50</v>
      </c>
      <c r="C747" s="40" t="s">
        <v>677</v>
      </c>
      <c r="D747" s="55">
        <f t="shared" ca="1" si="177"/>
        <v>4137907.3999999994</v>
      </c>
      <c r="F747" s="49">
        <f t="shared" ca="1" si="178"/>
        <v>3892428.7437864826</v>
      </c>
      <c r="H747" s="49">
        <f t="shared" ca="1" si="179"/>
        <v>195920.79325659873</v>
      </c>
      <c r="I747" s="49">
        <f t="shared" ca="1" si="180"/>
        <v>49557.862956918092</v>
      </c>
      <c r="L747" s="49">
        <f t="shared" ca="1" si="181"/>
        <v>278.8198635824649</v>
      </c>
      <c r="M747" s="49"/>
      <c r="N747" s="49">
        <f t="shared" ca="1" si="182"/>
        <v>49279.043093335626</v>
      </c>
      <c r="O747" s="49">
        <f t="shared" ca="1" si="183"/>
        <v>25688.165383600048</v>
      </c>
      <c r="P747" s="49">
        <f t="shared" ca="1" si="183"/>
        <v>23590.877709735574</v>
      </c>
      <c r="Q747" s="49">
        <f t="shared" ca="1" si="183"/>
        <v>2.2055682764402594E-13</v>
      </c>
      <c r="T747" s="242">
        <f>SUM(PIS!Q43,PIS!Q138,PIS!Q225,PIS!Q266)</f>
        <v>4137907.4</v>
      </c>
      <c r="U747" s="67" t="str">
        <f t="shared" ca="1" si="184"/>
        <v>ok</v>
      </c>
      <c r="V747" s="44"/>
      <c r="W747" s="44"/>
    </row>
    <row r="748" spans="1:23" x14ac:dyDescent="0.2">
      <c r="B748" s="59" t="s">
        <v>51</v>
      </c>
      <c r="C748" s="47"/>
      <c r="V748" s="39"/>
      <c r="W748" s="39"/>
    </row>
    <row r="749" spans="1:23" x14ac:dyDescent="0.2">
      <c r="A749" s="49">
        <v>9</v>
      </c>
      <c r="B749" s="59" t="s">
        <v>1351</v>
      </c>
      <c r="C749" s="40" t="s">
        <v>1086</v>
      </c>
      <c r="D749" s="55">
        <f t="shared" ca="1" si="177"/>
        <v>7971453.149230768</v>
      </c>
      <c r="F749" s="49">
        <f t="shared" ca="1" si="178"/>
        <v>7971453.149230768</v>
      </c>
      <c r="H749" s="49">
        <f t="shared" ca="1" si="179"/>
        <v>0</v>
      </c>
      <c r="I749" s="49">
        <f t="shared" ca="1" si="180"/>
        <v>0</v>
      </c>
      <c r="L749" s="49">
        <f t="shared" ca="1" si="181"/>
        <v>0</v>
      </c>
      <c r="M749" s="49"/>
      <c r="N749" s="49">
        <f t="shared" ca="1" si="182"/>
        <v>0</v>
      </c>
      <c r="O749" s="49">
        <f t="shared" ca="1" si="183"/>
        <v>0</v>
      </c>
      <c r="P749" s="49">
        <f t="shared" ca="1" si="183"/>
        <v>0</v>
      </c>
      <c r="Q749" s="49">
        <f t="shared" ca="1" si="183"/>
        <v>0</v>
      </c>
      <c r="T749" s="242">
        <f>SUM(PIS!Q46)</f>
        <v>7971453.149230768</v>
      </c>
      <c r="U749" s="67" t="str">
        <f t="shared" ca="1" si="184"/>
        <v>ok</v>
      </c>
      <c r="V749" s="44"/>
      <c r="W749" s="44"/>
    </row>
    <row r="750" spans="1:23" x14ac:dyDescent="0.2">
      <c r="A750" s="49">
        <v>10</v>
      </c>
      <c r="B750" s="59" t="s">
        <v>89</v>
      </c>
      <c r="C750" s="40" t="s">
        <v>677</v>
      </c>
      <c r="D750" s="55">
        <f ca="1">SUM(F750:I750)+K750</f>
        <v>59463070.029230684</v>
      </c>
      <c r="F750" s="49">
        <f t="shared" ca="1" si="178"/>
        <v>55935462.203810088</v>
      </c>
      <c r="H750" s="49">
        <f t="shared" ca="1" si="179"/>
        <v>2815445.2778715054</v>
      </c>
      <c r="I750" s="49">
        <f ca="1">(L750+M750+N750)</f>
        <v>712162.54754909151</v>
      </c>
      <c r="L750" s="49">
        <f t="shared" ca="1" si="181"/>
        <v>4006.7317779379646</v>
      </c>
      <c r="M750" s="49"/>
      <c r="N750" s="49">
        <f ca="1">SUM(O750:Q750)</f>
        <v>708155.81577115355</v>
      </c>
      <c r="O750" s="49">
        <f t="shared" ca="1" si="183"/>
        <v>369147.25958523608</v>
      </c>
      <c r="P750" s="49">
        <f t="shared" ca="1" si="183"/>
        <v>339008.55618591746</v>
      </c>
      <c r="Q750" s="49">
        <f t="shared" ca="1" si="183"/>
        <v>3.1694730741489475E-12</v>
      </c>
      <c r="T750" s="242">
        <f>SUM(PIS!Q44,PIS!Q45,PIS!Q226,PIS!Q227)</f>
        <v>59463070.029230691</v>
      </c>
      <c r="U750" s="67" t="str">
        <f ca="1">IF(D750=T750,"ok","err")</f>
        <v>ok</v>
      </c>
      <c r="V750" s="44"/>
      <c r="W750" s="44"/>
    </row>
    <row r="751" spans="1:23" x14ac:dyDescent="0.2">
      <c r="A751" s="49">
        <v>11</v>
      </c>
      <c r="B751" s="59" t="s">
        <v>1350</v>
      </c>
      <c r="C751" s="47"/>
      <c r="D751" s="55">
        <f ca="1">SUM(F751:I751)+K751</f>
        <v>67434523.178461462</v>
      </c>
      <c r="F751" s="49">
        <f ca="1">F750+F749</f>
        <v>63906915.353040859</v>
      </c>
      <c r="H751" s="49">
        <f ca="1">H750+H749</f>
        <v>2815445.2778715054</v>
      </c>
      <c r="I751" s="49">
        <f ca="1">(L751+M751+N751)</f>
        <v>712162.54754909151</v>
      </c>
      <c r="L751" s="49">
        <f ca="1">L750+L749</f>
        <v>4006.7317779379646</v>
      </c>
      <c r="M751" s="49"/>
      <c r="N751" s="49">
        <f ca="1">SUM(O751:Q751)</f>
        <v>708155.81577115355</v>
      </c>
      <c r="O751" s="49">
        <f ca="1">O750+O749</f>
        <v>369147.25958523608</v>
      </c>
      <c r="P751" s="49">
        <f ca="1">P750+P749</f>
        <v>339008.55618591746</v>
      </c>
      <c r="Q751" s="49">
        <f ca="1">Q750+Q749</f>
        <v>3.1694730741489475E-12</v>
      </c>
      <c r="T751" s="242">
        <f>SUM(PIS!Q44,PIS!Q45,PIS!Q46,PIS!Q226,PIS!Q227)</f>
        <v>67434523.178461462</v>
      </c>
      <c r="U751" s="67" t="str">
        <f ca="1">IF(D751=SUM(T749:T750),"ok","err")</f>
        <v>ok</v>
      </c>
      <c r="V751" s="39"/>
      <c r="W751" s="39"/>
    </row>
    <row r="752" spans="1:23" x14ac:dyDescent="0.2">
      <c r="A752" s="49">
        <v>12</v>
      </c>
      <c r="B752" s="59" t="s">
        <v>52</v>
      </c>
      <c r="C752" s="40" t="s">
        <v>677</v>
      </c>
      <c r="D752" s="55">
        <f t="shared" ca="1" si="177"/>
        <v>0</v>
      </c>
      <c r="F752" s="49">
        <f t="shared" ca="1" si="178"/>
        <v>0</v>
      </c>
      <c r="H752" s="49">
        <f t="shared" ca="1" si="179"/>
        <v>0</v>
      </c>
      <c r="I752" s="49">
        <f t="shared" ca="1" si="180"/>
        <v>0</v>
      </c>
      <c r="L752" s="49">
        <f t="shared" ca="1" si="181"/>
        <v>0</v>
      </c>
      <c r="M752" s="49"/>
      <c r="N752" s="49">
        <f t="shared" ca="1" si="182"/>
        <v>0</v>
      </c>
      <c r="O752" s="49">
        <f t="shared" ca="1" si="183"/>
        <v>0</v>
      </c>
      <c r="P752" s="49">
        <f t="shared" ca="1" si="183"/>
        <v>0</v>
      </c>
      <c r="Q752" s="49">
        <f t="shared" ca="1" si="183"/>
        <v>0</v>
      </c>
      <c r="T752" s="242">
        <f>SUM(PIS!Q47,PIS!Q228)</f>
        <v>0</v>
      </c>
      <c r="U752" s="67" t="str">
        <f t="shared" ca="1" si="184"/>
        <v>ok</v>
      </c>
      <c r="V752" s="44"/>
      <c r="W752" s="44"/>
    </row>
    <row r="753" spans="1:25" x14ac:dyDescent="0.2">
      <c r="A753" s="49">
        <v>13</v>
      </c>
      <c r="B753" s="59" t="s">
        <v>53</v>
      </c>
      <c r="C753" s="47"/>
      <c r="D753" s="55">
        <f ca="1">SUM(F753:I753)+K753</f>
        <v>227252325.44461519</v>
      </c>
      <c r="F753" s="49">
        <f ca="1">SUM(F740:F750,F752)</f>
        <v>214243630.79272455</v>
      </c>
      <c r="H753" s="49">
        <f ca="1">SUM(H740:H750,H752)</f>
        <v>10382465.892327761</v>
      </c>
      <c r="I753" s="49">
        <f t="shared" ca="1" si="180"/>
        <v>2626228.7595628933</v>
      </c>
      <c r="L753" s="49">
        <f ca="1">SUM(L740:L750,L752)</f>
        <v>14775.55126043734</v>
      </c>
      <c r="M753" s="49"/>
      <c r="N753" s="49">
        <f t="shared" ca="1" si="182"/>
        <v>2611453.208302456</v>
      </c>
      <c r="O753" s="49">
        <f ca="1">SUM(O740:O750,O752)</f>
        <v>1361297.5759157678</v>
      </c>
      <c r="P753" s="49">
        <f ca="1">SUM(P740:P750,P752)</f>
        <v>1250155.6323866884</v>
      </c>
      <c r="Q753" s="49">
        <f ca="1">SUM(Q740:Q752)</f>
        <v>1.4857480774970084E-11</v>
      </c>
      <c r="U753" s="67" t="str">
        <f ca="1">IF(D753=SUM(T740:T750,T752),"ok","err")</f>
        <v>ok</v>
      </c>
      <c r="V753" s="39"/>
      <c r="W753" s="39"/>
    </row>
    <row r="754" spans="1:25" x14ac:dyDescent="0.2">
      <c r="C754" s="47"/>
      <c r="T754" s="47"/>
      <c r="U754" s="39"/>
      <c r="V754" s="39"/>
      <c r="W754" s="39"/>
    </row>
    <row r="755" spans="1:25" x14ac:dyDescent="0.2">
      <c r="B755" s="59" t="s">
        <v>793</v>
      </c>
      <c r="C755" s="47"/>
      <c r="T755" s="68"/>
      <c r="U755" s="39"/>
      <c r="V755" s="39"/>
      <c r="W755" s="39"/>
      <c r="X755" s="39"/>
      <c r="Y755" s="39"/>
    </row>
    <row r="756" spans="1:25" x14ac:dyDescent="0.2">
      <c r="A756" s="49">
        <v>14</v>
      </c>
      <c r="B756" s="59" t="s">
        <v>54</v>
      </c>
      <c r="C756" s="40" t="s">
        <v>572</v>
      </c>
      <c r="D756" s="55">
        <f ca="1">SUM(F756:I756)+K756</f>
        <v>309540.85000000003</v>
      </c>
      <c r="F756" s="49">
        <f ca="1">INDEX(INDIRECT($C756),1,F$12+1)*$T756</f>
        <v>290168.5549759267</v>
      </c>
      <c r="H756" s="49">
        <f ca="1">INDEX(INDIRECT($C756),1,H$12+1)*$T756</f>
        <v>13287.175231352554</v>
      </c>
      <c r="I756" s="49">
        <f ca="1">(L756+M756+N756)</f>
        <v>6085.1197927207468</v>
      </c>
      <c r="L756" s="49">
        <f ca="1">INDEX(INDIRECT($C756),1,L$12+1)*$T756</f>
        <v>0.93140063868500578</v>
      </c>
      <c r="M756" s="49"/>
      <c r="N756" s="49">
        <f ca="1">SUM(O756:Q756)</f>
        <v>6084.1883920820619</v>
      </c>
      <c r="O756" s="49">
        <f t="shared" ref="O756:Q759" ca="1" si="185">INDEX(INDIRECT($C756),1,O$12+1)*$T756</f>
        <v>3085.7303159634239</v>
      </c>
      <c r="P756" s="49">
        <f t="shared" ca="1" si="185"/>
        <v>2998.4580761186385</v>
      </c>
      <c r="Q756" s="49">
        <f t="shared" ca="1" si="185"/>
        <v>0</v>
      </c>
      <c r="T756" s="242">
        <f>PIS!Q334</f>
        <v>309540.84999999998</v>
      </c>
      <c r="U756" s="44"/>
      <c r="V756" s="39"/>
      <c r="W756" s="39"/>
      <c r="X756" s="39"/>
      <c r="Y756" s="39"/>
    </row>
    <row r="757" spans="1:25" x14ac:dyDescent="0.2">
      <c r="A757" s="49">
        <v>15</v>
      </c>
      <c r="B757" s="59" t="s">
        <v>55</v>
      </c>
      <c r="C757" s="40" t="s">
        <v>1241</v>
      </c>
      <c r="D757" s="55">
        <f ca="1">SUM(F757:I757)+K757</f>
        <v>0</v>
      </c>
      <c r="F757" s="49">
        <f ca="1">INDEX(INDIRECT($C757),1,F$12+1)*$T757</f>
        <v>0</v>
      </c>
      <c r="H757" s="49">
        <f ca="1">INDEX(INDIRECT($C757),1,H$12+1)*$T757</f>
        <v>0</v>
      </c>
      <c r="I757" s="49">
        <f ca="1">(L757+M757+N757)</f>
        <v>0</v>
      </c>
      <c r="L757" s="49">
        <f ca="1">INDEX(INDIRECT($C757),1,L$12+1)*$T757</f>
        <v>0</v>
      </c>
      <c r="M757" s="49"/>
      <c r="N757" s="49">
        <f ca="1">SUM(O757:Q757)</f>
        <v>0</v>
      </c>
      <c r="O757" s="49">
        <f t="shared" ca="1" si="185"/>
        <v>0</v>
      </c>
      <c r="P757" s="49">
        <f t="shared" ca="1" si="185"/>
        <v>0</v>
      </c>
      <c r="Q757" s="49">
        <f t="shared" ca="1" si="185"/>
        <v>0</v>
      </c>
      <c r="T757" s="39">
        <v>0</v>
      </c>
      <c r="U757" s="44"/>
      <c r="V757" s="39"/>
      <c r="W757" s="39"/>
      <c r="X757" s="39"/>
      <c r="Y757" s="39"/>
    </row>
    <row r="758" spans="1:25" x14ac:dyDescent="0.2">
      <c r="A758" s="49">
        <v>16</v>
      </c>
      <c r="B758" s="59" t="s">
        <v>56</v>
      </c>
      <c r="C758" s="45" t="s">
        <v>1449</v>
      </c>
      <c r="D758" s="55">
        <f ca="1">SUM(F758:I758)+K758</f>
        <v>1471422.5899999999</v>
      </c>
      <c r="F758" s="49">
        <f ca="1">INDEX(INDIRECT($C758),1,F$12+1)*$T758+U758</f>
        <v>1147334.75</v>
      </c>
      <c r="H758" s="49">
        <f ca="1">INDEX(INDIRECT($C758),1,H$12+1)*$T758</f>
        <v>324087.83999999997</v>
      </c>
      <c r="I758" s="49">
        <f ca="1">(L758+M758+N758)</f>
        <v>0</v>
      </c>
      <c r="L758" s="49">
        <f ca="1">INDEX(INDIRECT($C758),1,L$12+1)*$T758</f>
        <v>0</v>
      </c>
      <c r="M758" s="49"/>
      <c r="N758" s="49">
        <f ca="1">SUM(O758:Q758)</f>
        <v>0</v>
      </c>
      <c r="O758" s="49">
        <f ca="1">INDEX(INDIRECT($C758),1,O$12+1)*$T758-U758</f>
        <v>0</v>
      </c>
      <c r="P758" s="49">
        <f t="shared" ca="1" si="185"/>
        <v>0</v>
      </c>
      <c r="Q758" s="49">
        <f t="shared" ca="1" si="185"/>
        <v>0</v>
      </c>
      <c r="T758" s="242">
        <f>PIS!$Q330</f>
        <v>1471422.5899999999</v>
      </c>
      <c r="U758" s="44"/>
      <c r="V758" s="39"/>
      <c r="W758" s="39"/>
      <c r="X758" s="39"/>
      <c r="Y758" s="242"/>
    </row>
    <row r="759" spans="1:25" x14ac:dyDescent="0.2">
      <c r="A759" s="49">
        <v>17</v>
      </c>
      <c r="B759" s="59" t="s">
        <v>131</v>
      </c>
      <c r="C759" s="40" t="s">
        <v>677</v>
      </c>
      <c r="D759" s="55">
        <f ca="1">SUM(F759:I759)+K759</f>
        <v>131956.31</v>
      </c>
      <c r="F759" s="49">
        <f ca="1">INDEX(INDIRECT($C759),1,F$12+1)*$T759</f>
        <v>124128.08802052934</v>
      </c>
      <c r="H759" s="49">
        <f ca="1">INDEX(INDIRECT($C759),1,H$12+1)*$T759</f>
        <v>6247.8403770982532</v>
      </c>
      <c r="I759" s="49">
        <f ca="1">(L759+M759+N759)</f>
        <v>1580.3816023723973</v>
      </c>
      <c r="L759" s="49">
        <f ca="1">INDEX(INDIRECT($C759),1,L$12+1)*$T759</f>
        <v>8.8914605370447521</v>
      </c>
      <c r="M759" s="49"/>
      <c r="N759" s="49">
        <f ca="1">SUM(O759:Q759)</f>
        <v>1571.4901418353525</v>
      </c>
      <c r="O759" s="49">
        <f t="shared" ca="1" si="185"/>
        <v>819.18592830027967</v>
      </c>
      <c r="P759" s="49">
        <f t="shared" ca="1" si="185"/>
        <v>752.30421353507268</v>
      </c>
      <c r="Q759" s="49">
        <f t="shared" ca="1" si="185"/>
        <v>7.0334742438198731E-15</v>
      </c>
      <c r="T759" s="242">
        <f>PIS!Q348</f>
        <v>131956.31</v>
      </c>
      <c r="U759" s="44"/>
      <c r="V759" s="39"/>
      <c r="W759" s="39"/>
      <c r="X759" s="39"/>
      <c r="Y759" s="39"/>
    </row>
    <row r="760" spans="1:25" x14ac:dyDescent="0.2">
      <c r="A760" s="49">
        <v>18</v>
      </c>
      <c r="B760" s="59" t="s">
        <v>794</v>
      </c>
      <c r="D760" s="55">
        <f ca="1">SUM(F760:I760)+K760</f>
        <v>1912919.7499999998</v>
      </c>
      <c r="F760" s="49">
        <f ca="1">SUM(F756:F759)</f>
        <v>1561631.392996456</v>
      </c>
      <c r="H760" s="49">
        <f ca="1">SUM(H756:H759)</f>
        <v>343622.85560845077</v>
      </c>
      <c r="I760" s="49">
        <f ca="1">(L760+M760+N760)</f>
        <v>7665.5013950931443</v>
      </c>
      <c r="L760" s="49">
        <f ca="1">SUM(L756:L759)</f>
        <v>9.8228611757297575</v>
      </c>
      <c r="M760" s="49"/>
      <c r="N760" s="49">
        <f ca="1">SUM(O760:Q760)</f>
        <v>7655.6785339174148</v>
      </c>
      <c r="O760" s="49">
        <f ca="1">SUM(O756:O759)</f>
        <v>3904.9162442637034</v>
      </c>
      <c r="P760" s="49">
        <f ca="1">SUM(P756:P759)</f>
        <v>3750.7622896537114</v>
      </c>
      <c r="Q760" s="49">
        <f ca="1">SUM(Q756:Q759)</f>
        <v>7.0334742438198731E-15</v>
      </c>
      <c r="T760" s="74">
        <f>SUM(T756:T759)</f>
        <v>1912919.75</v>
      </c>
      <c r="U760" s="67" t="str">
        <f ca="1">IF(D760=SUM($T756:$T759),"ok","err")</f>
        <v>ok</v>
      </c>
      <c r="V760" s="67" t="str">
        <f>IF(T760=SUM($T756:$T759),"ok","err")</f>
        <v>ok</v>
      </c>
      <c r="W760" s="70" t="s">
        <v>57</v>
      </c>
    </row>
    <row r="761" spans="1:25" x14ac:dyDescent="0.2">
      <c r="T761" s="68"/>
      <c r="U761" s="39"/>
      <c r="V761" s="39"/>
      <c r="W761" s="39"/>
      <c r="X761" s="39"/>
      <c r="Y761" s="39"/>
    </row>
    <row r="762" spans="1:25" x14ac:dyDescent="0.2">
      <c r="A762" s="49">
        <v>19</v>
      </c>
      <c r="B762" s="37" t="s">
        <v>990</v>
      </c>
      <c r="C762" s="47"/>
      <c r="D762" s="55">
        <f ca="1">SUM(F762:I762)+K762</f>
        <v>10062394693.696922</v>
      </c>
      <c r="F762" s="49">
        <f ca="1">F602+F643+F682+F735+F753+F760</f>
        <v>9408080312.420742</v>
      </c>
      <c r="H762" s="49">
        <f ca="1">H602+H643+H682+H735+H753+H760</f>
        <v>507908229.56304741</v>
      </c>
      <c r="I762" s="49">
        <f ca="1">(L762+M762+N762)</f>
        <v>146406151.71313202</v>
      </c>
      <c r="L762" s="49">
        <f ca="1">L602+L643+L682+L735+L753+L760</f>
        <v>691517.97762954782</v>
      </c>
      <c r="M762" s="49"/>
      <c r="N762" s="49">
        <f ca="1">SUM(O762:Q762)</f>
        <v>145714633.73550248</v>
      </c>
      <c r="O762" s="49">
        <f ca="1">O602+O643+O682+O735+O753+O760</f>
        <v>75736331.338313594</v>
      </c>
      <c r="P762" s="49">
        <f ca="1">P602+P643+P682+P735+P753+P760</f>
        <v>69978302.397188902</v>
      </c>
      <c r="Q762" s="49">
        <f ca="1">Q602+Q643+Q682+Q735+Q753+Q760</f>
        <v>1.5009664629380087E-11</v>
      </c>
      <c r="T762" s="47"/>
      <c r="U762" s="67" t="str">
        <f ca="1">IF(D762=SUM(T599:T601,T615,T628,T641,T649:T659,T663:T680,T688:T694,T698:T712,T716:T747,T751,T752,T760),"ok","err")</f>
        <v>ok</v>
      </c>
      <c r="V762" s="39"/>
      <c r="W762" s="39"/>
    </row>
    <row r="763" spans="1:25" x14ac:dyDescent="0.2">
      <c r="C763" s="47"/>
      <c r="T763" s="47"/>
      <c r="U763" s="39"/>
      <c r="V763" s="39"/>
      <c r="W763" s="39"/>
    </row>
    <row r="764" spans="1:25" x14ac:dyDescent="0.2">
      <c r="B764" s="53" t="s">
        <v>79</v>
      </c>
      <c r="T764" s="47"/>
      <c r="V764" s="39"/>
      <c r="W764" s="39"/>
    </row>
    <row r="766" spans="1:25" x14ac:dyDescent="0.2">
      <c r="B766" s="37" t="s">
        <v>94</v>
      </c>
      <c r="C766" s="47"/>
    </row>
    <row r="767" spans="1:25" x14ac:dyDescent="0.2">
      <c r="C767" s="47"/>
    </row>
    <row r="768" spans="1:25" x14ac:dyDescent="0.2">
      <c r="B768" s="37" t="s">
        <v>104</v>
      </c>
    </row>
    <row r="769" spans="1:25" x14ac:dyDescent="0.2">
      <c r="B769" s="37" t="s">
        <v>105</v>
      </c>
    </row>
    <row r="770" spans="1:25" x14ac:dyDescent="0.2">
      <c r="A770" s="49">
        <v>1</v>
      </c>
      <c r="B770" s="37" t="s">
        <v>106</v>
      </c>
      <c r="C770" s="40" t="s">
        <v>679</v>
      </c>
      <c r="D770" s="55">
        <f ca="1">SUM(F770:I770)+K770</f>
        <v>1867065978.9509361</v>
      </c>
      <c r="F770" s="49">
        <f ca="1">INDEX(INDIRECT($C770),1,F$12+1)*$T770</f>
        <v>1750217579.2206655</v>
      </c>
      <c r="H770" s="49">
        <f ca="1">INDEX(INDIRECT($C770),1,H$12+1)*$T770</f>
        <v>80144616.876311734</v>
      </c>
      <c r="I770" s="49">
        <f ca="1">(L770+M770+N770)</f>
        <v>36703782.853958949</v>
      </c>
      <c r="L770" s="49">
        <f ca="1">INDEX(INDIRECT($C770),1,L$12+1)*$T770</f>
        <v>5617.9546100682564</v>
      </c>
      <c r="M770" s="49"/>
      <c r="N770" s="49">
        <f ca="1">SUM(O770:Q770)</f>
        <v>36698164.899348885</v>
      </c>
      <c r="O770" s="49">
        <f t="shared" ref="O770:Q772" ca="1" si="186">INDEX(INDIRECT($C770),1,O$12+1)*$T770</f>
        <v>18612283.623156141</v>
      </c>
      <c r="P770" s="49">
        <f t="shared" ca="1" si="186"/>
        <v>18085881.27619274</v>
      </c>
      <c r="Q770" s="49">
        <f t="shared" ca="1" si="186"/>
        <v>0</v>
      </c>
      <c r="T770" s="242">
        <f>'RWIP Allocation'!D32</f>
        <v>1867065978.9509358</v>
      </c>
      <c r="U770" s="39"/>
      <c r="V770" s="44" t="s">
        <v>93</v>
      </c>
      <c r="W770" s="39"/>
      <c r="X770" s="39"/>
      <c r="Y770" s="39"/>
    </row>
    <row r="771" spans="1:25" x14ac:dyDescent="0.2">
      <c r="A771" s="49">
        <v>2</v>
      </c>
      <c r="B771" s="37" t="s">
        <v>107</v>
      </c>
      <c r="C771" s="40" t="s">
        <v>574</v>
      </c>
      <c r="D771" s="55">
        <f ca="1">SUM(F771:I771)+K771</f>
        <v>18008590.653333403</v>
      </c>
      <c r="F771" s="49">
        <f ca="1">INDEX(INDIRECT($C771),1,F$12+1)*$T771</f>
        <v>9457347.0627604946</v>
      </c>
      <c r="H771" s="49">
        <f ca="1">INDEX(INDIRECT($C771),1,H$12+1)*$T771</f>
        <v>5865455.5374959754</v>
      </c>
      <c r="I771" s="49">
        <f ca="1">(L771+M771+N771)</f>
        <v>2685788.0530769359</v>
      </c>
      <c r="L771" s="49">
        <f ca="1">INDEX(INDIRECT($C771),1,L$12+1)*$T771</f>
        <v>0</v>
      </c>
      <c r="M771" s="49"/>
      <c r="N771" s="49">
        <f ca="1">SUM(O771:Q771)</f>
        <v>2685788.0530769359</v>
      </c>
      <c r="O771" s="49">
        <f t="shared" ca="1" si="186"/>
        <v>1362156.6400569309</v>
      </c>
      <c r="P771" s="49">
        <f t="shared" ca="1" si="186"/>
        <v>1323631.4130200052</v>
      </c>
      <c r="Q771" s="49">
        <f t="shared" ca="1" si="186"/>
        <v>0</v>
      </c>
      <c r="T771" s="242">
        <f>'RWIP Allocation'!C30*-1</f>
        <v>18008590.653333407</v>
      </c>
      <c r="U771" s="39"/>
      <c r="V771" s="39"/>
      <c r="W771" s="39"/>
      <c r="X771" s="39"/>
      <c r="Y771" s="39"/>
    </row>
    <row r="772" spans="1:25" x14ac:dyDescent="0.2">
      <c r="A772" s="49">
        <v>3</v>
      </c>
      <c r="B772" s="37" t="s">
        <v>108</v>
      </c>
      <c r="C772" s="40" t="s">
        <v>580</v>
      </c>
      <c r="D772" s="55">
        <f ca="1">SUM(F772:I772)+K772</f>
        <v>7410604.1733333375</v>
      </c>
      <c r="F772" s="49">
        <f ca="1">INDEX(INDIRECT($C772),1,F$12+1)*$T772</f>
        <v>5771545.3993876958</v>
      </c>
      <c r="H772" s="49">
        <f ca="1">INDEX(INDIRECT($C772),1,H$12+1)*$T772</f>
        <v>0</v>
      </c>
      <c r="I772" s="49">
        <f ca="1">(L772+M772+N772)</f>
        <v>1639058.7739456415</v>
      </c>
      <c r="L772" s="49">
        <f ca="1">INDEX(INDIRECT($C772),1,L$12+1)*$T772</f>
        <v>0</v>
      </c>
      <c r="M772" s="49"/>
      <c r="N772" s="49">
        <f ca="1">SUM(O772:Q772)</f>
        <v>1639058.7739456415</v>
      </c>
      <c r="O772" s="49">
        <f t="shared" ca="1" si="186"/>
        <v>831284.80291503912</v>
      </c>
      <c r="P772" s="49">
        <f t="shared" ca="1" si="186"/>
        <v>807773.97103060235</v>
      </c>
      <c r="Q772" s="49">
        <f t="shared" ca="1" si="186"/>
        <v>0</v>
      </c>
      <c r="T772" s="242">
        <f>'RWIP Allocation'!C31*-1</f>
        <v>7410604.1733333375</v>
      </c>
      <c r="U772" s="39"/>
      <c r="V772" s="39"/>
      <c r="W772" s="39"/>
    </row>
    <row r="773" spans="1:25" x14ac:dyDescent="0.2">
      <c r="A773" s="49">
        <v>4</v>
      </c>
      <c r="B773" s="37" t="s">
        <v>109</v>
      </c>
      <c r="D773" s="55">
        <f ca="1">SUM(F773:I773)+K773</f>
        <v>1892485173.7776029</v>
      </c>
      <c r="F773" s="49">
        <f ca="1">SUM(F770:F772)</f>
        <v>1765446471.6828136</v>
      </c>
      <c r="H773" s="49">
        <f ca="1">SUM(H770:H772)</f>
        <v>86010072.413807705</v>
      </c>
      <c r="I773" s="49">
        <f ca="1">(L773+M773+N773)</f>
        <v>41028629.680981524</v>
      </c>
      <c r="L773" s="49">
        <f ca="1">SUM(L770:L772)</f>
        <v>5617.9546100682564</v>
      </c>
      <c r="M773" s="49"/>
      <c r="N773" s="49">
        <f ca="1">SUM(O773:Q773)</f>
        <v>41023011.72637146</v>
      </c>
      <c r="O773" s="49">
        <f ca="1">SUM(O770:O772)</f>
        <v>20805725.066128112</v>
      </c>
      <c r="P773" s="49">
        <f ca="1">SUM(P770:P772)</f>
        <v>20217286.660243347</v>
      </c>
      <c r="Q773" s="49">
        <f ca="1">SUM(Q770:Q772)</f>
        <v>0</v>
      </c>
      <c r="T773" s="72"/>
      <c r="U773" s="74" t="str">
        <f ca="1">IF(D773=SUM(T770:T772),"ok","err")</f>
        <v>ok</v>
      </c>
      <c r="V773" s="39"/>
      <c r="W773" s="39"/>
    </row>
    <row r="774" spans="1:25" x14ac:dyDescent="0.2">
      <c r="A774" s="49"/>
      <c r="B774" s="37"/>
      <c r="D774" s="55"/>
      <c r="F774" s="49"/>
      <c r="H774" s="49"/>
      <c r="I774" s="49"/>
      <c r="L774" s="49"/>
      <c r="M774" s="49"/>
      <c r="N774" s="49"/>
      <c r="O774" s="49"/>
      <c r="P774" s="49"/>
      <c r="Q774" s="49"/>
      <c r="T774" s="72"/>
      <c r="U774" s="39"/>
      <c r="V774" s="39"/>
      <c r="W774" s="39"/>
    </row>
    <row r="775" spans="1:25" x14ac:dyDescent="0.2">
      <c r="B775" s="37" t="s">
        <v>110</v>
      </c>
      <c r="T775" s="76"/>
      <c r="V775" s="39"/>
      <c r="W775" s="39"/>
    </row>
    <row r="776" spans="1:25" x14ac:dyDescent="0.2">
      <c r="A776" s="49">
        <v>5</v>
      </c>
      <c r="B776" s="37" t="s">
        <v>106</v>
      </c>
      <c r="C776" s="40" t="s">
        <v>944</v>
      </c>
      <c r="D776" s="55">
        <f ca="1">SUM(F776:I776)+K776</f>
        <v>15260000.475758707</v>
      </c>
      <c r="F776" s="49">
        <f ca="1">INDEX(INDIRECT($C776),1,F$12+1)*$T776</f>
        <v>14304969.075916339</v>
      </c>
      <c r="H776" s="49">
        <f ca="1">INDEX(INDIRECT($C776),1,H$12+1)*$T776</f>
        <v>655042.13854788244</v>
      </c>
      <c r="I776" s="49">
        <f ca="1">(L776+M776+N776)</f>
        <v>299989.26129448618</v>
      </c>
      <c r="L776" s="49">
        <f ca="1">INDEX(INDIRECT($C776),1,L$12+1)*$T776</f>
        <v>45.916957937716958</v>
      </c>
      <c r="M776" s="49"/>
      <c r="N776" s="49">
        <f ca="1">SUM(O776:Q776)</f>
        <v>299943.34433654847</v>
      </c>
      <c r="O776" s="49">
        <f t="shared" ref="O776:Q778" ca="1" si="187">INDEX(INDIRECT($C776),1,O$12+1)*$T776</f>
        <v>152122.88164765626</v>
      </c>
      <c r="P776" s="49">
        <f t="shared" ca="1" si="187"/>
        <v>147820.46268889218</v>
      </c>
      <c r="Q776" s="49">
        <f t="shared" ca="1" si="187"/>
        <v>0</v>
      </c>
      <c r="T776" s="242">
        <f>'RWIP Allocation'!D39</f>
        <v>15260000.475758709</v>
      </c>
      <c r="U776" s="39"/>
      <c r="V776" s="44" t="s">
        <v>93</v>
      </c>
      <c r="W776" s="39"/>
      <c r="X776" s="39"/>
      <c r="Y776" s="39"/>
    </row>
    <row r="777" spans="1:25" x14ac:dyDescent="0.2">
      <c r="A777" s="49">
        <v>6</v>
      </c>
      <c r="B777" s="37" t="s">
        <v>107</v>
      </c>
      <c r="C777" s="40" t="s">
        <v>574</v>
      </c>
      <c r="D777" s="55">
        <f ca="1">SUM(F777:I777)+K777</f>
        <v>3414.3333333333408</v>
      </c>
      <c r="F777" s="49">
        <f ca="1">INDEX(INDIRECT($C777),1,F$12+1)*$T777</f>
        <v>1793.0628744292276</v>
      </c>
      <c r="H777" s="49">
        <f ca="1">INDEX(INDIRECT($C777),1,H$12+1)*$T777</f>
        <v>1112.0592800608854</v>
      </c>
      <c r="I777" s="49">
        <f ca="1">(L777+M777+N777)</f>
        <v>509.21117884322786</v>
      </c>
      <c r="L777" s="49">
        <f ca="1">INDEX(INDIRECT($C777),1,L$12+1)*$T777</f>
        <v>0</v>
      </c>
      <c r="M777" s="49"/>
      <c r="N777" s="49">
        <f ca="1">SUM(O777:Q777)</f>
        <v>509.21117884322786</v>
      </c>
      <c r="O777" s="49">
        <f t="shared" ca="1" si="187"/>
        <v>258.25767884322732</v>
      </c>
      <c r="P777" s="49">
        <f t="shared" ca="1" si="187"/>
        <v>250.95350000000053</v>
      </c>
      <c r="Q777" s="49">
        <f t="shared" ca="1" si="187"/>
        <v>0</v>
      </c>
      <c r="T777" s="242">
        <f>'RWIP Allocation'!C37*-1</f>
        <v>3414.3333333333408</v>
      </c>
      <c r="U777" s="39"/>
      <c r="V777" s="39"/>
      <c r="W777" s="39"/>
      <c r="X777" s="39"/>
      <c r="Y777" s="39"/>
    </row>
    <row r="778" spans="1:25" x14ac:dyDescent="0.2">
      <c r="A778" s="49">
        <v>7</v>
      </c>
      <c r="B778" s="37" t="s">
        <v>108</v>
      </c>
      <c r="C778" s="40" t="s">
        <v>580</v>
      </c>
      <c r="D778" s="55">
        <f ca="1">SUM(F778:I778)+K778</f>
        <v>21448.5</v>
      </c>
      <c r="F778" s="49">
        <f ca="1">INDEX(INDIRECT($C778),1,F$12+1)*$T778</f>
        <v>16704.574769250565</v>
      </c>
      <c r="H778" s="49">
        <f ca="1">INDEX(INDIRECT($C778),1,H$12+1)*$T778</f>
        <v>0</v>
      </c>
      <c r="I778" s="49">
        <f ca="1">(L778+M778+N778)</f>
        <v>4743.9252307494371</v>
      </c>
      <c r="L778" s="49">
        <f ca="1">INDEX(INDIRECT($C778),1,L$12+1)*$T778</f>
        <v>0</v>
      </c>
      <c r="M778" s="49"/>
      <c r="N778" s="49">
        <f ca="1">SUM(O778:Q778)</f>
        <v>4743.9252307494371</v>
      </c>
      <c r="O778" s="49">
        <f t="shared" ca="1" si="187"/>
        <v>2405.9862972418418</v>
      </c>
      <c r="P778" s="49">
        <f t="shared" ca="1" si="187"/>
        <v>2337.9389335075948</v>
      </c>
      <c r="Q778" s="49">
        <f t="shared" ca="1" si="187"/>
        <v>0</v>
      </c>
      <c r="T778" s="242">
        <f>'RWIP Allocation'!C38*-1</f>
        <v>21448.5</v>
      </c>
      <c r="U778" s="39"/>
      <c r="V778" s="39"/>
      <c r="W778" s="39"/>
    </row>
    <row r="779" spans="1:25" x14ac:dyDescent="0.2">
      <c r="A779" s="49">
        <v>8</v>
      </c>
      <c r="B779" s="37" t="s">
        <v>111</v>
      </c>
      <c r="D779" s="55">
        <f ca="1">SUM(F779:I779)+K779</f>
        <v>15284863.309092041</v>
      </c>
      <c r="F779" s="49">
        <f ca="1">SUM(F776:F778)</f>
        <v>14323466.713560019</v>
      </c>
      <c r="H779" s="49">
        <f ca="1">SUM(H776:H778)</f>
        <v>656154.19782794337</v>
      </c>
      <c r="I779" s="49">
        <f ca="1">(L779+M779+N779)</f>
        <v>305242.39770407882</v>
      </c>
      <c r="L779" s="49">
        <f ca="1">SUM(L776:L778)</f>
        <v>45.916957937716958</v>
      </c>
      <c r="M779" s="49"/>
      <c r="N779" s="49">
        <f ca="1">SUM(O779:Q779)</f>
        <v>305196.48074614111</v>
      </c>
      <c r="O779" s="49">
        <f ca="1">SUM(O776:O778)</f>
        <v>154787.12562374133</v>
      </c>
      <c r="P779" s="49">
        <f ca="1">SUM(P776:P778)</f>
        <v>150409.35512239978</v>
      </c>
      <c r="Q779" s="49">
        <f ca="1">SUM(Q776:Q778)</f>
        <v>0</v>
      </c>
      <c r="T779" s="72"/>
      <c r="U779" s="74" t="str">
        <f ca="1">IF(D779=SUM(T776:T778),"ok","err")</f>
        <v>ok</v>
      </c>
      <c r="V779" s="39"/>
      <c r="W779" s="39"/>
    </row>
    <row r="780" spans="1:25" x14ac:dyDescent="0.2">
      <c r="A780" s="49"/>
      <c r="B780" s="37"/>
      <c r="D780" s="55"/>
      <c r="F780" s="49"/>
      <c r="H780" s="49"/>
      <c r="I780" s="49"/>
      <c r="L780" s="49"/>
      <c r="M780" s="49"/>
      <c r="N780" s="49"/>
      <c r="O780" s="49"/>
      <c r="P780" s="49"/>
      <c r="Q780" s="49"/>
      <c r="T780" s="72"/>
      <c r="U780" s="39"/>
      <c r="V780" s="39"/>
      <c r="W780" s="39"/>
    </row>
    <row r="781" spans="1:25" x14ac:dyDescent="0.2">
      <c r="B781" s="37" t="s">
        <v>112</v>
      </c>
      <c r="T781" s="76"/>
      <c r="V781" s="39"/>
      <c r="W781" s="39"/>
    </row>
    <row r="782" spans="1:25" x14ac:dyDescent="0.2">
      <c r="A782" s="49">
        <v>9</v>
      </c>
      <c r="B782" s="37" t="s">
        <v>106</v>
      </c>
      <c r="C782" s="40" t="s">
        <v>946</v>
      </c>
      <c r="D782" s="55">
        <f ca="1">SUM(F782:I782)+K782</f>
        <v>380214296.52636313</v>
      </c>
      <c r="F782" s="49">
        <f ca="1">INDEX(INDIRECT($C782),1,F$12+1)*$T782</f>
        <v>356418976.70127636</v>
      </c>
      <c r="H782" s="49">
        <f ca="1">INDEX(INDIRECT($C782),1,H$12+1)*$T782</f>
        <v>16320863.573939359</v>
      </c>
      <c r="I782" s="49">
        <f ca="1">(L782+M782+N782)</f>
        <v>7474456.2511473615</v>
      </c>
      <c r="L782" s="49">
        <f ca="1">INDEX(INDIRECT($C782),1,L$12+1)*$T782</f>
        <v>1144.0552632126737</v>
      </c>
      <c r="M782" s="49"/>
      <c r="N782" s="49">
        <f ca="1">SUM(O782:Q782)</f>
        <v>7473312.1958841486</v>
      </c>
      <c r="O782" s="49">
        <f t="shared" ref="O782:Q784" ca="1" si="188">INDEX(INDIRECT($C782),1,O$12+1)*$T782</f>
        <v>3790255.0870235879</v>
      </c>
      <c r="P782" s="49">
        <f t="shared" ca="1" si="188"/>
        <v>3683057.1088605607</v>
      </c>
      <c r="Q782" s="49">
        <f t="shared" ca="1" si="188"/>
        <v>0</v>
      </c>
      <c r="T782" s="242">
        <f>'RWIP Allocation'!D46</f>
        <v>380214296.52636307</v>
      </c>
      <c r="U782" s="39"/>
      <c r="V782" s="44" t="s">
        <v>93</v>
      </c>
      <c r="W782" s="39"/>
      <c r="X782" s="39"/>
      <c r="Y782" s="39"/>
    </row>
    <row r="783" spans="1:25" x14ac:dyDescent="0.2">
      <c r="A783" s="49">
        <v>10</v>
      </c>
      <c r="B783" s="37" t="s">
        <v>107</v>
      </c>
      <c r="C783" s="40" t="s">
        <v>574</v>
      </c>
      <c r="D783" s="55">
        <f ca="1">SUM(F783:I783)+K783</f>
        <v>1842.1566666666668</v>
      </c>
      <c r="F783" s="49">
        <f ca="1">INDEX(INDIRECT($C783),1,F$12+1)*$T783</f>
        <v>967.42245276255721</v>
      </c>
      <c r="H783" s="49">
        <f ca="1">INDEX(INDIRECT($C783),1,H$12+1)*$T783</f>
        <v>599.9963145053274</v>
      </c>
      <c r="I783" s="49">
        <f ca="1">(L783+M783+N783)</f>
        <v>274.73789939878236</v>
      </c>
      <c r="L783" s="49">
        <f ca="1">INDEX(INDIRECT($C783),1,L$12+1)*$T783</f>
        <v>0</v>
      </c>
      <c r="M783" s="49"/>
      <c r="N783" s="49">
        <f ca="1">SUM(O783:Q783)</f>
        <v>274.73789939878236</v>
      </c>
      <c r="O783" s="49">
        <f t="shared" ca="1" si="188"/>
        <v>139.33938439878236</v>
      </c>
      <c r="P783" s="49">
        <f t="shared" ca="1" si="188"/>
        <v>135.398515</v>
      </c>
      <c r="Q783" s="49">
        <f t="shared" ca="1" si="188"/>
        <v>0</v>
      </c>
      <c r="T783" s="242">
        <f>'RWIP Allocation'!C44*-1</f>
        <v>1842.156666666667</v>
      </c>
      <c r="U783" s="39"/>
      <c r="V783" s="39"/>
      <c r="W783" s="39"/>
      <c r="X783" s="39"/>
      <c r="Y783" s="39"/>
    </row>
    <row r="784" spans="1:25" x14ac:dyDescent="0.2">
      <c r="A784" s="49">
        <v>11</v>
      </c>
      <c r="B784" s="37" t="s">
        <v>108</v>
      </c>
      <c r="C784" s="40" t="s">
        <v>580</v>
      </c>
      <c r="D784" s="55">
        <f ca="1">SUM(F784:I784)+K784</f>
        <v>1868599.35</v>
      </c>
      <c r="F784" s="49">
        <f ca="1">INDEX(INDIRECT($C784),1,F$12+1)*$T784</f>
        <v>1455307.2501968904</v>
      </c>
      <c r="H784" s="49">
        <f ca="1">INDEX(INDIRECT($C784),1,H$12+1)*$T784</f>
        <v>0</v>
      </c>
      <c r="I784" s="49">
        <f ca="1">(L784+M784+N784)</f>
        <v>413292.09980310965</v>
      </c>
      <c r="L784" s="49">
        <f ca="1">INDEX(INDIRECT($C784),1,L$12+1)*$T784</f>
        <v>0</v>
      </c>
      <c r="M784" s="49"/>
      <c r="N784" s="49">
        <f ca="1">SUM(O784:Q784)</f>
        <v>413292.09980310965</v>
      </c>
      <c r="O784" s="49">
        <f t="shared" ca="1" si="188"/>
        <v>209610.20263118693</v>
      </c>
      <c r="P784" s="49">
        <f t="shared" ca="1" si="188"/>
        <v>203681.89717192273</v>
      </c>
      <c r="Q784" s="49">
        <f t="shared" ca="1" si="188"/>
        <v>0</v>
      </c>
      <c r="T784" s="242">
        <f>'RWIP Allocation'!C45*-1</f>
        <v>1868599.35</v>
      </c>
      <c r="U784" s="39"/>
      <c r="V784" s="39"/>
      <c r="W784" s="39"/>
    </row>
    <row r="785" spans="1:25" x14ac:dyDescent="0.2">
      <c r="A785" s="49">
        <v>12</v>
      </c>
      <c r="B785" s="37" t="s">
        <v>113</v>
      </c>
      <c r="D785" s="55">
        <f ca="1">SUM(F785:I785)+K785</f>
        <v>382084738.03302968</v>
      </c>
      <c r="F785" s="49">
        <f ca="1">SUM(F782:F784)</f>
        <v>357875251.37392598</v>
      </c>
      <c r="H785" s="49">
        <f ca="1">SUM(H782:H784)</f>
        <v>16321463.570253864</v>
      </c>
      <c r="I785" s="49">
        <f ca="1">(L785+M785+N785)</f>
        <v>7888023.0888498705</v>
      </c>
      <c r="L785" s="49">
        <f ca="1">SUM(L782:L784)</f>
        <v>1144.0552632126737</v>
      </c>
      <c r="M785" s="49"/>
      <c r="N785" s="49">
        <f ca="1">SUM(O785:Q785)</f>
        <v>7886879.0335866576</v>
      </c>
      <c r="O785" s="49">
        <f ca="1">SUM(O782:O784)</f>
        <v>4000004.6290391739</v>
      </c>
      <c r="P785" s="49">
        <f ca="1">SUM(P782:P784)</f>
        <v>3886874.4045474837</v>
      </c>
      <c r="Q785" s="49">
        <f ca="1">SUM(Q782:Q784)</f>
        <v>0</v>
      </c>
      <c r="T785" s="72"/>
      <c r="U785" s="74" t="str">
        <f ca="1">IF(D785=SUM(T782:T784),"ok","err")</f>
        <v>ok</v>
      </c>
      <c r="V785" s="39"/>
      <c r="W785" s="39"/>
    </row>
    <row r="786" spans="1:25" x14ac:dyDescent="0.2">
      <c r="A786" s="49"/>
      <c r="B786" s="37"/>
      <c r="D786" s="55"/>
      <c r="F786" s="49"/>
      <c r="H786" s="49"/>
      <c r="I786" s="49"/>
      <c r="L786" s="49"/>
      <c r="M786" s="49"/>
      <c r="N786" s="49"/>
      <c r="O786" s="49"/>
      <c r="P786" s="49"/>
      <c r="Q786" s="49"/>
      <c r="T786" s="72"/>
      <c r="U786" s="39"/>
      <c r="V786" s="39"/>
      <c r="W786" s="39"/>
    </row>
    <row r="787" spans="1:25" x14ac:dyDescent="0.2">
      <c r="A787" s="49">
        <v>13</v>
      </c>
      <c r="B787" s="37" t="s">
        <v>114</v>
      </c>
      <c r="D787" s="55">
        <f ca="1">SUM(F787:I787)+K787</f>
        <v>2289854775.1197243</v>
      </c>
      <c r="F787" s="49">
        <f ca="1">F773+F779+F785</f>
        <v>2137645189.7702997</v>
      </c>
      <c r="H787" s="49">
        <f ca="1">H773+H779+H785</f>
        <v>102987690.18188952</v>
      </c>
      <c r="I787" s="49">
        <f ca="1">(L787+M787+N787)</f>
        <v>49221895.167535469</v>
      </c>
      <c r="L787" s="49">
        <f ca="1">L773+L779+L785</f>
        <v>6807.9268312186468</v>
      </c>
      <c r="M787" s="49"/>
      <c r="N787" s="49">
        <f ca="1">SUM(O787:Q787)</f>
        <v>49215087.240704253</v>
      </c>
      <c r="O787" s="49">
        <f ca="1">O773+O779+O785</f>
        <v>24960516.820791028</v>
      </c>
      <c r="P787" s="49">
        <f ca="1">P773+P779+P785</f>
        <v>24254570.419913229</v>
      </c>
      <c r="Q787" s="49">
        <f ca="1">Q773+Q779+Q785</f>
        <v>0</v>
      </c>
      <c r="T787" s="72"/>
      <c r="V787" s="39"/>
      <c r="W787" s="39"/>
    </row>
    <row r="788" spans="1:25" x14ac:dyDescent="0.2">
      <c r="C788" s="47"/>
      <c r="T788" s="76"/>
      <c r="V788" s="39"/>
      <c r="W788" s="39"/>
    </row>
    <row r="789" spans="1:25" x14ac:dyDescent="0.2">
      <c r="B789" s="37" t="s">
        <v>115</v>
      </c>
      <c r="T789" s="76"/>
      <c r="V789" s="39"/>
      <c r="W789" s="39"/>
    </row>
    <row r="790" spans="1:25" x14ac:dyDescent="0.2">
      <c r="A790" s="49">
        <v>14</v>
      </c>
      <c r="B790" s="37" t="s">
        <v>81</v>
      </c>
      <c r="C790" s="40" t="s">
        <v>1393</v>
      </c>
      <c r="D790" s="55">
        <f ca="1">SUM(F790:I790)+K790</f>
        <v>329107718.52566779</v>
      </c>
      <c r="F790" s="49">
        <f ca="1">INDEX(INDIRECT($C790),1,F$12+1)*$T790</f>
        <v>314461733.02908176</v>
      </c>
      <c r="H790" s="49">
        <f ca="1">INDEX(INDIRECT($C790),1,H$12+1)*$T790</f>
        <v>14644978.669403752</v>
      </c>
      <c r="I790" s="49">
        <f ca="1">(L790+M790+N790)</f>
        <v>1006.8271822872298</v>
      </c>
      <c r="L790" s="49">
        <f ca="1">INDEX(INDIRECT($C790),1,L$12+1)*$T790</f>
        <v>1006.8271822872298</v>
      </c>
      <c r="M790" s="49"/>
      <c r="N790" s="49">
        <f ca="1">SUM(O790:Q790)</f>
        <v>0</v>
      </c>
      <c r="O790" s="49">
        <f t="shared" ref="O790:Q793" ca="1" si="189">INDEX(INDIRECT($C790),1,O$12+1)*$T790</f>
        <v>0</v>
      </c>
      <c r="P790" s="49">
        <f t="shared" ca="1" si="189"/>
        <v>0</v>
      </c>
      <c r="Q790" s="49">
        <f t="shared" ca="1" si="189"/>
        <v>0</v>
      </c>
      <c r="T790" s="242">
        <f>'RWIP Allocation'!D55</f>
        <v>329107718.52566785</v>
      </c>
      <c r="U790" s="39"/>
      <c r="V790" s="44" t="s">
        <v>93</v>
      </c>
      <c r="W790" s="39"/>
      <c r="X790" s="39"/>
      <c r="Y790" s="39"/>
    </row>
    <row r="791" spans="1:25" x14ac:dyDescent="0.2">
      <c r="A791" s="49">
        <v>15</v>
      </c>
      <c r="B791" s="37" t="s">
        <v>83</v>
      </c>
      <c r="C791" s="40" t="s">
        <v>988</v>
      </c>
      <c r="D791" s="55">
        <f ca="1">SUM(F791:I791)+K791</f>
        <v>32678753.999470506</v>
      </c>
      <c r="F791" s="49">
        <f ca="1">INDEX(INDIRECT($C791),1,F$12+1)*$T791</f>
        <v>3960028.2556748395</v>
      </c>
      <c r="H791" s="49">
        <f ca="1">INDEX(INDIRECT($C791),1,H$12+1)*$T791</f>
        <v>28718713.032656629</v>
      </c>
      <c r="I791" s="49">
        <f ca="1">(L791+M791+N791)</f>
        <v>12.711139037282019</v>
      </c>
      <c r="L791" s="49">
        <f ca="1">INDEX(INDIRECT($C791),1,L$12+1)*$T791</f>
        <v>12.711139037282019</v>
      </c>
      <c r="M791" s="49"/>
      <c r="N791" s="49">
        <f ca="1">SUM(O791:Q791)</f>
        <v>0</v>
      </c>
      <c r="O791" s="49">
        <f t="shared" ca="1" si="189"/>
        <v>0</v>
      </c>
      <c r="P791" s="49">
        <f t="shared" ca="1" si="189"/>
        <v>0</v>
      </c>
      <c r="Q791" s="49">
        <f t="shared" ca="1" si="189"/>
        <v>0</v>
      </c>
      <c r="T791" s="242">
        <f>'RWIP Allocation'!D62</f>
        <v>32678753.999470506</v>
      </c>
      <c r="U791" s="39"/>
      <c r="V791" s="39"/>
      <c r="W791" s="39"/>
      <c r="X791" s="39"/>
      <c r="Y791" s="39"/>
    </row>
    <row r="792" spans="1:25" x14ac:dyDescent="0.2">
      <c r="A792" s="49">
        <v>16</v>
      </c>
      <c r="B792" s="37" t="s">
        <v>75</v>
      </c>
      <c r="C792" s="40" t="s">
        <v>574</v>
      </c>
      <c r="D792" s="55">
        <f ca="1">SUM(F792:I792)+K792</f>
        <v>2703657.0133333327</v>
      </c>
      <c r="F792" s="49">
        <f ca="1">INDEX(INDIRECT($C792),1,F$12+1)*$T792</f>
        <v>1419845.8505705935</v>
      </c>
      <c r="H792" s="49">
        <f ca="1">INDEX(INDIRECT($C792),1,H$12+1)*$T792</f>
        <v>880589.73106873664</v>
      </c>
      <c r="I792" s="49">
        <f ca="1">(L792+M792+N792)</f>
        <v>403221.431694003</v>
      </c>
      <c r="L792" s="49">
        <f ca="1">INDEX(INDIRECT($C792),1,L$12+1)*$T792</f>
        <v>0</v>
      </c>
      <c r="M792" s="49"/>
      <c r="N792" s="49">
        <f ca="1">SUM(O792:Q792)</f>
        <v>403221.431694003</v>
      </c>
      <c r="O792" s="49">
        <f t="shared" ca="1" si="189"/>
        <v>204502.64121400303</v>
      </c>
      <c r="P792" s="49">
        <f t="shared" ca="1" si="189"/>
        <v>198718.79047999997</v>
      </c>
      <c r="Q792" s="49">
        <f t="shared" ca="1" si="189"/>
        <v>0</v>
      </c>
      <c r="T792" s="242">
        <f>('RWIP Allocation'!C53+'RWIP Allocation'!C60)*-1</f>
        <v>2703657.0133333332</v>
      </c>
      <c r="U792" s="39"/>
      <c r="V792" s="39"/>
      <c r="W792" s="39"/>
      <c r="X792" s="39"/>
      <c r="Y792" s="39"/>
    </row>
    <row r="793" spans="1:25" x14ac:dyDescent="0.2">
      <c r="A793" s="49">
        <v>17</v>
      </c>
      <c r="B793" s="37" t="s">
        <v>76</v>
      </c>
      <c r="C793" s="40" t="s">
        <v>580</v>
      </c>
      <c r="D793" s="55">
        <f ca="1">SUM(F793:I793)+K793</f>
        <v>355111.563333333</v>
      </c>
      <c r="F793" s="49">
        <f ca="1">INDEX(INDIRECT($C793),1,F$12+1)*$T793</f>
        <v>276568.88179253176</v>
      </c>
      <c r="H793" s="49">
        <f ca="1">INDEX(INDIRECT($C793),1,H$12+1)*$T793</f>
        <v>0</v>
      </c>
      <c r="I793" s="49">
        <f ca="1">(L793+M793+N793)</f>
        <v>78542.681540801219</v>
      </c>
      <c r="L793" s="49">
        <f ca="1">INDEX(INDIRECT($C793),1,L$12+1)*$T793</f>
        <v>0</v>
      </c>
      <c r="M793" s="49"/>
      <c r="N793" s="49">
        <f ca="1">SUM(O793:Q793)</f>
        <v>78542.681540801219</v>
      </c>
      <c r="O793" s="49">
        <f t="shared" ca="1" si="189"/>
        <v>39834.653023387538</v>
      </c>
      <c r="P793" s="49">
        <f t="shared" ca="1" si="189"/>
        <v>38708.028517413673</v>
      </c>
      <c r="Q793" s="49">
        <f t="shared" ca="1" si="189"/>
        <v>0</v>
      </c>
      <c r="T793" s="242">
        <f>('RWIP Allocation'!C54+'RWIP Allocation'!C61)*-1</f>
        <v>355111.563333333</v>
      </c>
      <c r="U793" s="39"/>
      <c r="V793" s="39"/>
      <c r="W793" s="39"/>
    </row>
    <row r="794" spans="1:25" x14ac:dyDescent="0.2">
      <c r="A794" s="49">
        <v>18</v>
      </c>
      <c r="B794" s="37" t="s">
        <v>116</v>
      </c>
      <c r="D794" s="55">
        <f ca="1">SUM(F794:I794)+K794</f>
        <v>364845241.10180503</v>
      </c>
      <c r="F794" s="49">
        <f ca="1">SUM(F790:F793)</f>
        <v>320118176.01711977</v>
      </c>
      <c r="H794" s="49">
        <f ca="1">SUM(H790:H793)</f>
        <v>44244281.433129117</v>
      </c>
      <c r="I794" s="49">
        <f ca="1">(L794+M794+N794)</f>
        <v>482783.65155612875</v>
      </c>
      <c r="L794" s="49">
        <f ca="1">SUM(L790:L793)</f>
        <v>1019.5383213245118</v>
      </c>
      <c r="M794" s="49"/>
      <c r="N794" s="49">
        <f ca="1">SUM(O794:Q794)</f>
        <v>481764.11323480424</v>
      </c>
      <c r="O794" s="49">
        <f ca="1">SUM(O790:O793)</f>
        <v>244337.29423739057</v>
      </c>
      <c r="P794" s="49">
        <f ca="1">SUM(P790:P793)</f>
        <v>237426.81899741365</v>
      </c>
      <c r="Q794" s="49">
        <f ca="1">SUM(Q790:Q793)</f>
        <v>0</v>
      </c>
      <c r="T794" s="72"/>
      <c r="U794" s="74" t="str">
        <f ca="1">IF(D794=SUM(T790:T793),"ok","err")</f>
        <v>ok</v>
      </c>
      <c r="V794" s="39"/>
      <c r="W794" s="39"/>
    </row>
    <row r="795" spans="1:25" x14ac:dyDescent="0.2">
      <c r="C795" s="47"/>
      <c r="T795" s="76"/>
      <c r="V795" s="39"/>
      <c r="W795" s="39"/>
    </row>
    <row r="796" spans="1:25" x14ac:dyDescent="0.2">
      <c r="A796" s="49">
        <v>19</v>
      </c>
      <c r="B796" s="59" t="s">
        <v>59</v>
      </c>
      <c r="C796" s="40" t="s">
        <v>621</v>
      </c>
      <c r="D796" s="55">
        <f ca="1">SUM(F796:I796)+K796</f>
        <v>42397904.754276715</v>
      </c>
      <c r="F796" s="49">
        <f ca="1">INDEX(INDIRECT($C796),1,F$12+1)*$T796</f>
        <v>0</v>
      </c>
      <c r="H796" s="49">
        <f ca="1">INDEX(INDIRECT($C796),1,H$12+1)*$T796</f>
        <v>42243614.96949438</v>
      </c>
      <c r="I796" s="49">
        <f ca="1">(L796+M796+N796)</f>
        <v>154289.7847823358</v>
      </c>
      <c r="L796" s="49">
        <f ca="1">INDEX(INDIRECT($C796),1,L$12+1)*$T796</f>
        <v>154289.7847823358</v>
      </c>
      <c r="M796" s="49"/>
      <c r="N796" s="49">
        <f ca="1">SUM(O796:Q796)</f>
        <v>0</v>
      </c>
      <c r="O796" s="49">
        <f t="shared" ref="O796:Q797" ca="1" si="190">INDEX(INDIRECT($C796),1,O$12+1)*$T796</f>
        <v>0</v>
      </c>
      <c r="P796" s="49">
        <f t="shared" ca="1" si="190"/>
        <v>0</v>
      </c>
      <c r="Q796" s="49">
        <f t="shared" ca="1" si="190"/>
        <v>0</v>
      </c>
      <c r="T796" s="242">
        <f>'RWIP Allocation'!D80</f>
        <v>42397904.754276715</v>
      </c>
      <c r="U796" s="39"/>
      <c r="V796" s="39"/>
      <c r="W796" s="39"/>
      <c r="X796" s="39"/>
      <c r="Y796" s="39"/>
    </row>
    <row r="797" spans="1:25" x14ac:dyDescent="0.2">
      <c r="A797" s="49">
        <v>20</v>
      </c>
      <c r="B797" s="59" t="s">
        <v>60</v>
      </c>
      <c r="C797" s="40" t="s">
        <v>956</v>
      </c>
      <c r="D797" s="55">
        <f ca="1">SUM(F797:I797)+K797</f>
        <v>680156847.46387565</v>
      </c>
      <c r="F797" s="49">
        <f ca="1">INDEX(INDIRECT($C797),1,F$12+1)*$T797</f>
        <v>678863825.37544072</v>
      </c>
      <c r="H797" s="49">
        <f ca="1">INDEX(INDIRECT($C797),1,H$12+1)*$T797</f>
        <v>0</v>
      </c>
      <c r="I797" s="49">
        <f ca="1">(L797+M797+N797)</f>
        <v>1293022.0884349325</v>
      </c>
      <c r="L797" s="49">
        <f ca="1">INDEX(INDIRECT($C797),1,L$12+1)*$T797</f>
        <v>0</v>
      </c>
      <c r="M797" s="49"/>
      <c r="N797" s="49">
        <f ca="1">SUM(O797:Q797)</f>
        <v>1293022.0884349325</v>
      </c>
      <c r="O797" s="49">
        <f t="shared" ca="1" si="190"/>
        <v>1283548.5255260181</v>
      </c>
      <c r="P797" s="49">
        <f t="shared" ca="1" si="190"/>
        <v>9473.5629089143695</v>
      </c>
      <c r="Q797" s="49">
        <f t="shared" ca="1" si="190"/>
        <v>0</v>
      </c>
      <c r="T797" s="242">
        <f>'RWIP Allocation'!D71</f>
        <v>680156847.46387565</v>
      </c>
      <c r="U797" s="39"/>
      <c r="V797" s="44" t="s">
        <v>93</v>
      </c>
      <c r="W797" s="39"/>
      <c r="X797" s="39"/>
      <c r="Y797" s="39"/>
    </row>
    <row r="798" spans="1:25" x14ac:dyDescent="0.2">
      <c r="A798" s="49">
        <v>21</v>
      </c>
      <c r="B798" s="37" t="s">
        <v>117</v>
      </c>
      <c r="D798" s="55">
        <f ca="1">SUM(F798:I798)+K798</f>
        <v>722554752.21815228</v>
      </c>
      <c r="F798" s="49">
        <f ca="1">SUM(F796:F797)</f>
        <v>678863825.37544072</v>
      </c>
      <c r="H798" s="49">
        <f ca="1">SUM(H796:H797)</f>
        <v>42243614.96949438</v>
      </c>
      <c r="I798" s="49">
        <f ca="1">(L798+M798+N798)</f>
        <v>1447311.8732172684</v>
      </c>
      <c r="L798" s="49">
        <f ca="1">SUM(L796:L797)</f>
        <v>154289.7847823358</v>
      </c>
      <c r="M798" s="49"/>
      <c r="N798" s="49">
        <f ca="1">SUM(O798:Q798)</f>
        <v>1293022.0884349325</v>
      </c>
      <c r="O798" s="49">
        <f ca="1">SUM(O796:O797)</f>
        <v>1283548.5255260181</v>
      </c>
      <c r="P798" s="49">
        <f ca="1">SUM(P796:P797)</f>
        <v>9473.5629089143695</v>
      </c>
      <c r="Q798" s="49">
        <f ca="1">SUM(Q796:Q797)</f>
        <v>0</v>
      </c>
      <c r="T798" s="72"/>
      <c r="U798" s="74" t="str">
        <f ca="1">IF(D798=SUM(T796:T797),"ok","err")</f>
        <v>ok</v>
      </c>
      <c r="V798" s="39"/>
      <c r="W798" s="39"/>
    </row>
    <row r="799" spans="1:25" x14ac:dyDescent="0.2">
      <c r="T799" s="76"/>
      <c r="V799" s="39"/>
      <c r="W799" s="39"/>
    </row>
    <row r="800" spans="1:25" x14ac:dyDescent="0.2">
      <c r="A800" s="49">
        <v>22</v>
      </c>
      <c r="B800" s="37" t="s">
        <v>118</v>
      </c>
      <c r="C800" s="40" t="s">
        <v>958</v>
      </c>
      <c r="D800" s="55">
        <f ca="1">SUM(F800:I800)+K800</f>
        <v>79133477.833015531</v>
      </c>
      <c r="F800" s="49">
        <f ca="1">INDEX(INDIRECT($C800),1,F$12+1)*$T800</f>
        <v>74603608.896106705</v>
      </c>
      <c r="H800" s="49">
        <f ca="1">INDEX(INDIRECT($C800),1,H$12+1)*$T800</f>
        <v>3615367.3364402824</v>
      </c>
      <c r="I800" s="49">
        <f ca="1">(L800+M800+N800)</f>
        <v>914501.60046853987</v>
      </c>
      <c r="L800" s="49">
        <f ca="1">INDEX(INDIRECT($C800),1,L$12+1)*$T800</f>
        <v>5145.1212032739541</v>
      </c>
      <c r="M800" s="49"/>
      <c r="N800" s="49">
        <f ca="1">SUM(O800:Q800)</f>
        <v>909356.47926526587</v>
      </c>
      <c r="O800" s="49">
        <f ca="1">INDEX(INDIRECT($C800),1,O$12+1)*$T800</f>
        <v>474029.08347409707</v>
      </c>
      <c r="P800" s="49">
        <f ca="1">INDEX(INDIRECT($C800),1,P$12+1)*$T800</f>
        <v>435327.39579116879</v>
      </c>
      <c r="Q800" s="49">
        <f ca="1">INDEX(INDIRECT($C800),1,Q$12+1)*$T800</f>
        <v>5.1736505809578215E-12</v>
      </c>
      <c r="T800" s="242">
        <f>'RWIP Allocation'!D86</f>
        <v>79133477.833015516</v>
      </c>
      <c r="U800" s="39"/>
      <c r="V800" s="44" t="s">
        <v>93</v>
      </c>
      <c r="W800" s="39"/>
      <c r="X800" s="39"/>
      <c r="Y800" s="39"/>
    </row>
    <row r="801" spans="1:25" x14ac:dyDescent="0.2">
      <c r="T801" s="72"/>
      <c r="V801" s="39"/>
      <c r="W801" s="39"/>
    </row>
    <row r="802" spans="1:25" x14ac:dyDescent="0.2">
      <c r="A802" s="49">
        <v>23</v>
      </c>
      <c r="B802" s="37" t="s">
        <v>692</v>
      </c>
      <c r="C802" s="45" t="s">
        <v>1199</v>
      </c>
      <c r="D802" s="55">
        <f ca="1">SUM(F802:I802)+K802</f>
        <v>73066.841372800001</v>
      </c>
      <c r="F802" s="49">
        <f ca="1">INDEX(INDIRECT($C802),1,F$12+1)*$T802</f>
        <v>73066.841372800001</v>
      </c>
      <c r="H802" s="49">
        <f ca="1">INDEX(INDIRECT($C802),1,H$12+1)*$T802</f>
        <v>0</v>
      </c>
      <c r="I802" s="49">
        <f ca="1">(L802+M802+N802)</f>
        <v>0</v>
      </c>
      <c r="L802" s="49">
        <f ca="1">INDEX(INDIRECT($C802),1,L$12+1)*$T802</f>
        <v>0</v>
      </c>
      <c r="M802" s="49"/>
      <c r="N802" s="49">
        <f ca="1">SUM(O802:Q802)</f>
        <v>0</v>
      </c>
      <c r="O802" s="49">
        <f t="shared" ref="O802:Q803" ca="1" si="191">INDEX(INDIRECT($C802),1,O$12+1)*$T802</f>
        <v>0</v>
      </c>
      <c r="P802" s="49">
        <f t="shared" ca="1" si="191"/>
        <v>0</v>
      </c>
      <c r="Q802" s="49">
        <f t="shared" ca="1" si="191"/>
        <v>0</v>
      </c>
      <c r="T802" s="242">
        <f>'RWIP Allocation'!C92</f>
        <v>73066.841372800001</v>
      </c>
      <c r="U802" s="39"/>
      <c r="V802" s="73" t="s">
        <v>99</v>
      </c>
      <c r="W802" s="39"/>
      <c r="X802" s="39"/>
      <c r="Y802" s="39"/>
    </row>
    <row r="803" spans="1:25" x14ac:dyDescent="0.2">
      <c r="A803" s="49">
        <v>24</v>
      </c>
      <c r="B803" s="37" t="s">
        <v>693</v>
      </c>
      <c r="C803" s="45" t="s">
        <v>1200</v>
      </c>
      <c r="D803" s="55">
        <f ca="1">SUM(F803:I803)+K803</f>
        <v>40303567.928576879</v>
      </c>
      <c r="F803" s="49">
        <f ca="1">INDEX(INDIRECT($C803),1,F$12+1)*$T803</f>
        <v>37682785.156059064</v>
      </c>
      <c r="H803" s="49">
        <f ca="1">INDEX(INDIRECT($C803),1,H$12+1)*$T803</f>
        <v>2034369.3737292434</v>
      </c>
      <c r="I803" s="49">
        <f ca="1">(L803+M803+N803)</f>
        <v>586413.39878857229</v>
      </c>
      <c r="L803" s="49">
        <f ca="1">INDEX(INDIRECT($C803),1,L$12+1)*$T803</f>
        <v>2769.7975996234727</v>
      </c>
      <c r="M803" s="49"/>
      <c r="N803" s="49">
        <f ca="1">SUM(O803:Q803)</f>
        <v>583643.60118894884</v>
      </c>
      <c r="O803" s="49">
        <f t="shared" ca="1" si="191"/>
        <v>303353.36973339954</v>
      </c>
      <c r="P803" s="49">
        <f t="shared" ca="1" si="191"/>
        <v>280290.23145554925</v>
      </c>
      <c r="Q803" s="49">
        <f t="shared" ca="1" si="191"/>
        <v>6.0119526037661025E-14</v>
      </c>
      <c r="T803" s="242">
        <f>'RWIP Allocation'!C91</f>
        <v>40303567.928576872</v>
      </c>
      <c r="U803" s="39"/>
      <c r="V803" s="44" t="s">
        <v>93</v>
      </c>
      <c r="W803" s="39"/>
      <c r="X803" s="39"/>
      <c r="Y803" s="39"/>
    </row>
    <row r="804" spans="1:25" x14ac:dyDescent="0.2">
      <c r="A804" s="49"/>
      <c r="B804" s="37"/>
      <c r="C804" s="40"/>
      <c r="D804" s="55"/>
      <c r="F804" s="49"/>
      <c r="H804" s="49"/>
      <c r="I804" s="49"/>
      <c r="L804" s="49"/>
      <c r="M804" s="49"/>
      <c r="N804" s="49"/>
      <c r="O804" s="49"/>
      <c r="P804" s="49"/>
      <c r="Q804" s="49"/>
      <c r="T804" s="72"/>
      <c r="U804" s="39"/>
      <c r="V804" s="39"/>
      <c r="W804" s="39"/>
      <c r="X804" s="39"/>
      <c r="Y804" s="39"/>
    </row>
    <row r="805" spans="1:25" x14ac:dyDescent="0.2">
      <c r="A805" s="49">
        <v>25</v>
      </c>
      <c r="B805" s="37" t="s">
        <v>119</v>
      </c>
      <c r="C805" s="47"/>
      <c r="D805" s="55">
        <f ca="1">SUM(F805:I805)+K805</f>
        <v>3496764881.0426474</v>
      </c>
      <c r="F805" s="49">
        <f ca="1">F787+F794+F798+F800+F802+F803</f>
        <v>3248986652.0563989</v>
      </c>
      <c r="H805" s="49">
        <f ca="1">H787+H794+H798+H800+H802+H803</f>
        <v>195125323.29468253</v>
      </c>
      <c r="I805" s="49">
        <f ca="1">(L805+M805+N805)</f>
        <v>52652905.691565983</v>
      </c>
      <c r="L805" s="49">
        <f ca="1">L787+L794+L798+L800+L802+L803</f>
        <v>170032.16873777637</v>
      </c>
      <c r="M805" s="49"/>
      <c r="N805" s="49">
        <f ca="1">SUM(O805:Q805)</f>
        <v>52482873.522828206</v>
      </c>
      <c r="O805" s="49">
        <f ca="1">O787+O794+O798+O800+O802+O803</f>
        <v>27265785.093761932</v>
      </c>
      <c r="P805" s="49">
        <f ca="1">P787+P794+P798+P800+P802+P803</f>
        <v>25217088.429066274</v>
      </c>
      <c r="Q805" s="49">
        <f ca="1">Q787+Q794+Q798+Q800+Q802+Q803</f>
        <v>5.2337701069954829E-12</v>
      </c>
      <c r="T805" s="39"/>
      <c r="U805" s="39" t="str">
        <f ca="1">IF(ROUND(D805,0)=ROUND('RWIP Allocation'!D101,0),"ok","err")</f>
        <v>ok</v>
      </c>
      <c r="W805" s="39"/>
    </row>
    <row r="806" spans="1:25" x14ac:dyDescent="0.2">
      <c r="C806" s="47"/>
      <c r="T806" s="47"/>
      <c r="U806" s="39"/>
      <c r="V806" s="39"/>
      <c r="W806" s="39"/>
    </row>
    <row r="807" spans="1:25" x14ac:dyDescent="0.2">
      <c r="A807" s="49">
        <v>26</v>
      </c>
      <c r="B807" s="37" t="s">
        <v>1030</v>
      </c>
      <c r="C807" s="47"/>
      <c r="D807" s="55">
        <f ca="1">SUM(F807:I807)+K807</f>
        <v>6565629812.6542749</v>
      </c>
      <c r="F807" s="49">
        <f ca="1">F762-F805</f>
        <v>6159093660.3643436</v>
      </c>
      <c r="H807" s="49">
        <f ca="1">H762-H805</f>
        <v>312782906.26836491</v>
      </c>
      <c r="I807" s="49">
        <f ca="1">(L807+M807+N807)</f>
        <v>93753246.021566063</v>
      </c>
      <c r="L807" s="49">
        <f ca="1">L762-L805</f>
        <v>521485.80889177148</v>
      </c>
      <c r="M807" s="49"/>
      <c r="N807" s="49">
        <f ca="1">SUM(O807:Q807)</f>
        <v>93231760.21267429</v>
      </c>
      <c r="O807" s="49">
        <f ca="1">O762-O805</f>
        <v>48470546.244551659</v>
      </c>
      <c r="P807" s="49">
        <f ca="1">P762-P805</f>
        <v>44761213.968122631</v>
      </c>
      <c r="Q807" s="49">
        <f ca="1">Q762-Q805</f>
        <v>9.7758945223846052E-12</v>
      </c>
      <c r="T807" s="47"/>
      <c r="U807" s="39"/>
      <c r="V807" s="39"/>
      <c r="W807" s="39"/>
    </row>
    <row r="808" spans="1:25" x14ac:dyDescent="0.2">
      <c r="C808" s="47"/>
      <c r="T808" s="47"/>
      <c r="U808" s="39"/>
      <c r="W808" s="39"/>
    </row>
    <row r="809" spans="1:25" x14ac:dyDescent="0.2">
      <c r="C809" s="47"/>
      <c r="T809" s="47"/>
      <c r="U809" s="39"/>
      <c r="W809" s="39"/>
    </row>
    <row r="810" spans="1:25" x14ac:dyDescent="0.2">
      <c r="B810" s="53" t="s">
        <v>120</v>
      </c>
      <c r="C810" s="47"/>
      <c r="T810" s="47"/>
      <c r="U810" s="39"/>
      <c r="W810" s="39"/>
    </row>
    <row r="811" spans="1:25" x14ac:dyDescent="0.2">
      <c r="C811" s="47"/>
      <c r="W811" s="39"/>
    </row>
    <row r="812" spans="1:25" x14ac:dyDescent="0.2">
      <c r="B812" s="48" t="s">
        <v>121</v>
      </c>
      <c r="C812" s="47"/>
      <c r="W812" s="39"/>
    </row>
    <row r="813" spans="1:25" x14ac:dyDescent="0.2">
      <c r="B813" s="48"/>
      <c r="C813" s="47"/>
      <c r="W813" s="39"/>
    </row>
    <row r="814" spans="1:25" x14ac:dyDescent="0.2">
      <c r="B814" s="37" t="s">
        <v>104</v>
      </c>
      <c r="W814" s="39"/>
    </row>
    <row r="815" spans="1:25" x14ac:dyDescent="0.2">
      <c r="A815" s="49">
        <v>1</v>
      </c>
      <c r="B815" s="37" t="s">
        <v>122</v>
      </c>
      <c r="C815" s="40" t="s">
        <v>961</v>
      </c>
      <c r="D815" s="55">
        <f ca="1">SUM(F815:I815)+K815</f>
        <v>126475092.05627653</v>
      </c>
      <c r="F815" s="49">
        <f ca="1">INDEX(INDIRECT($C815),1,F$12+1)*$T815</f>
        <v>118559778.78983361</v>
      </c>
      <c r="H815" s="49">
        <f ca="1">INDEX(INDIRECT($C815),1,H$12+1)*$T815</f>
        <v>5428998.1776337158</v>
      </c>
      <c r="I815" s="49">
        <f ca="1">(L815+M815+N815)</f>
        <v>2486315.0888092052</v>
      </c>
      <c r="L815" s="49">
        <f ca="1">INDEX(INDIRECT($C815),1,L$12+1)*$T815</f>
        <v>380.56037359515165</v>
      </c>
      <c r="M815" s="49"/>
      <c r="N815" s="49">
        <f ca="1">SUM(O815:Q815)</f>
        <v>2485934.5284356102</v>
      </c>
      <c r="O815" s="49">
        <f t="shared" ref="O815:Q817" ca="1" si="192">INDEX(INDIRECT($C815),1,O$12+1)*$T815</f>
        <v>1260796.517720738</v>
      </c>
      <c r="P815" s="49">
        <f t="shared" ca="1" si="192"/>
        <v>1225138.0107148723</v>
      </c>
      <c r="Q815" s="49">
        <f t="shared" ca="1" si="192"/>
        <v>0</v>
      </c>
      <c r="T815" s="242">
        <f>'CWIP and AFUDC'!F57-T817</f>
        <v>126475092.05627653</v>
      </c>
      <c r="U815" s="39"/>
      <c r="V815" s="39"/>
      <c r="W815" s="39"/>
      <c r="X815" s="39"/>
      <c r="Y815" s="39"/>
    </row>
    <row r="816" spans="1:25" x14ac:dyDescent="0.2">
      <c r="A816" s="49">
        <v>2</v>
      </c>
      <c r="B816" s="37" t="s">
        <v>123</v>
      </c>
      <c r="C816" s="40" t="s">
        <v>574</v>
      </c>
      <c r="D816" s="55">
        <f ca="1">SUM(F816:I816)+K816</f>
        <v>0</v>
      </c>
      <c r="F816" s="49">
        <f ca="1">INDEX(INDIRECT($C816),1,F$12+1)*$T816</f>
        <v>0</v>
      </c>
      <c r="H816" s="49">
        <f ca="1">INDEX(INDIRECT($C816),1,H$12+1)*$T816</f>
        <v>0</v>
      </c>
      <c r="I816" s="49">
        <f ca="1">(L816+M816+N816)</f>
        <v>0</v>
      </c>
      <c r="L816" s="49">
        <f ca="1">INDEX(INDIRECT($C816),1,L$12+1)*$T816</f>
        <v>0</v>
      </c>
      <c r="M816" s="49"/>
      <c r="N816" s="49">
        <f ca="1">SUM(O816:Q816)</f>
        <v>0</v>
      </c>
      <c r="O816" s="49">
        <f t="shared" ca="1" si="192"/>
        <v>0</v>
      </c>
      <c r="P816" s="49">
        <f t="shared" ca="1" si="192"/>
        <v>0</v>
      </c>
      <c r="Q816" s="49">
        <f t="shared" ca="1" si="192"/>
        <v>0</v>
      </c>
      <c r="T816" s="39">
        <v>0</v>
      </c>
      <c r="U816" s="39"/>
      <c r="V816" s="39"/>
      <c r="W816" s="39"/>
      <c r="X816" s="39"/>
      <c r="Y816" s="39"/>
    </row>
    <row r="817" spans="1:25" x14ac:dyDescent="0.2">
      <c r="A817" s="49">
        <v>3</v>
      </c>
      <c r="B817" s="37" t="s">
        <v>124</v>
      </c>
      <c r="C817" s="40" t="s">
        <v>580</v>
      </c>
      <c r="D817" s="55">
        <f ca="1">SUM(F817:I817)+K817</f>
        <v>961676.92</v>
      </c>
      <c r="F817" s="49">
        <f ca="1">INDEX(INDIRECT($C817),1,F$12+1)*$T817</f>
        <v>748975.63997494429</v>
      </c>
      <c r="H817" s="49">
        <f ca="1">INDEX(INDIRECT($C817),1,H$12+1)*$T817</f>
        <v>0</v>
      </c>
      <c r="I817" s="49">
        <f ca="1">(L817+M817+N817)</f>
        <v>212701.28002505572</v>
      </c>
      <c r="L817" s="49">
        <f ca="1">INDEX(INDIRECT($C817),1,L$12+1)*$T817</f>
        <v>0</v>
      </c>
      <c r="M817" s="49"/>
      <c r="N817" s="49">
        <f ca="1">SUM(O817:Q817)</f>
        <v>212701.28002505572</v>
      </c>
      <c r="O817" s="49">
        <f t="shared" ca="1" si="192"/>
        <v>107876.14480703727</v>
      </c>
      <c r="P817" s="49">
        <f t="shared" ca="1" si="192"/>
        <v>104825.13521801845</v>
      </c>
      <c r="Q817" s="49">
        <f t="shared" ca="1" si="192"/>
        <v>0</v>
      </c>
      <c r="T817" s="242">
        <f>'CWIP and AFUDC'!H23</f>
        <v>961676.92</v>
      </c>
      <c r="U817" s="127"/>
      <c r="V817" s="39"/>
      <c r="W817" s="39"/>
      <c r="X817" s="39"/>
      <c r="Y817" s="39"/>
    </row>
    <row r="818" spans="1:25" x14ac:dyDescent="0.2">
      <c r="A818" s="49">
        <v>4</v>
      </c>
      <c r="B818" s="37" t="s">
        <v>125</v>
      </c>
      <c r="D818" s="55">
        <f ca="1">SUM(F818:I818)+K818</f>
        <v>127436768.97627653</v>
      </c>
      <c r="F818" s="49">
        <f ca="1">SUM(F815:F817)</f>
        <v>119308754.42980856</v>
      </c>
      <c r="H818" s="49">
        <f ca="1">SUM(H815:H817)</f>
        <v>5428998.1776337158</v>
      </c>
      <c r="I818" s="49">
        <f ca="1">(L818+M818+N818)</f>
        <v>2699016.3688342609</v>
      </c>
      <c r="L818" s="49">
        <f ca="1">SUM(L815:L817)</f>
        <v>380.56037359515165</v>
      </c>
      <c r="M818" s="49"/>
      <c r="N818" s="49">
        <f ca="1">SUM(O818:Q818)</f>
        <v>2698635.8084606659</v>
      </c>
      <c r="O818" s="49">
        <f ca="1">SUM(O815:O817)</f>
        <v>1368672.6625277752</v>
      </c>
      <c r="P818" s="49">
        <f ca="1">SUM(P815:P817)</f>
        <v>1329963.1459328907</v>
      </c>
      <c r="Q818" s="49">
        <f ca="1">SUM(Q815:Q817)</f>
        <v>0</v>
      </c>
      <c r="T818" s="72"/>
      <c r="U818" s="127"/>
      <c r="W818" s="39"/>
    </row>
    <row r="819" spans="1:25" x14ac:dyDescent="0.2">
      <c r="T819" s="76"/>
      <c r="W819" s="39"/>
    </row>
    <row r="820" spans="1:25" x14ac:dyDescent="0.2">
      <c r="B820" s="37" t="s">
        <v>115</v>
      </c>
      <c r="C820" s="47"/>
      <c r="T820" s="76"/>
      <c r="W820" s="39"/>
    </row>
    <row r="821" spans="1:25" x14ac:dyDescent="0.2">
      <c r="A821" s="49">
        <v>5</v>
      </c>
      <c r="B821" s="37" t="s">
        <v>122</v>
      </c>
      <c r="C821" s="40" t="s">
        <v>1393</v>
      </c>
      <c r="D821" s="55">
        <f t="shared" ref="D821:D826" ca="1" si="193">SUM(F821:I821)+K821</f>
        <v>59090176.029163994</v>
      </c>
      <c r="F821" s="49">
        <f ca="1">INDEX(INDIRECT($C821),1,F$12+1)*$T821</f>
        <v>56460538.945625477</v>
      </c>
      <c r="H821" s="49">
        <f ca="1">INDEX(INDIRECT($C821),1,H$12+1)*$T821</f>
        <v>2629456.3111285013</v>
      </c>
      <c r="I821" s="49">
        <f t="shared" ref="I821:I826" ca="1" si="194">(L821+M821+N821)</f>
        <v>180.77241001462431</v>
      </c>
      <c r="L821" s="49">
        <f ca="1">INDEX(INDIRECT($C821),1,L$12+1)*$T821</f>
        <v>180.77241001462431</v>
      </c>
      <c r="M821" s="49"/>
      <c r="N821" s="49">
        <f t="shared" ref="N821:N826" ca="1" si="195">SUM(O821:Q821)</f>
        <v>0</v>
      </c>
      <c r="O821" s="49">
        <f t="shared" ref="O821:Q825" ca="1" si="196">INDEX(INDIRECT($C821),1,O$12+1)*$T821</f>
        <v>0</v>
      </c>
      <c r="P821" s="49">
        <f t="shared" ca="1" si="196"/>
        <v>0</v>
      </c>
      <c r="Q821" s="49">
        <f t="shared" ca="1" si="196"/>
        <v>0</v>
      </c>
      <c r="T821" s="242">
        <f>'CWIP and AFUDC'!F59+'CWIP and AFUDC'!F75-T825</f>
        <v>59090176.029164001</v>
      </c>
      <c r="U821" s="39"/>
      <c r="V821" s="39"/>
      <c r="W821" s="39"/>
      <c r="X821" s="39"/>
      <c r="Y821" s="39"/>
    </row>
    <row r="822" spans="1:25" x14ac:dyDescent="0.2">
      <c r="A822" s="49">
        <v>6</v>
      </c>
      <c r="B822" s="37" t="s">
        <v>126</v>
      </c>
      <c r="C822" s="40" t="s">
        <v>1393</v>
      </c>
      <c r="D822" s="55">
        <f t="shared" ca="1" si="193"/>
        <v>0</v>
      </c>
      <c r="F822" s="49">
        <f ca="1">INDEX(INDIRECT($C822),1,F$12+1)*$T822</f>
        <v>0</v>
      </c>
      <c r="H822" s="49">
        <f ca="1">INDEX(INDIRECT($C822),1,H$12+1)*$T822</f>
        <v>0</v>
      </c>
      <c r="I822" s="49">
        <f t="shared" ca="1" si="194"/>
        <v>0</v>
      </c>
      <c r="L822" s="49">
        <f ca="1">INDEX(INDIRECT($C822),1,L$12+1)*$T822</f>
        <v>0</v>
      </c>
      <c r="M822" s="49"/>
      <c r="N822" s="49">
        <f t="shared" ca="1" si="195"/>
        <v>0</v>
      </c>
      <c r="O822" s="49">
        <f t="shared" ca="1" si="196"/>
        <v>0</v>
      </c>
      <c r="P822" s="49">
        <f t="shared" ca="1" si="196"/>
        <v>0</v>
      </c>
      <c r="Q822" s="49">
        <f t="shared" ca="1" si="196"/>
        <v>0</v>
      </c>
      <c r="T822" s="39">
        <v>0</v>
      </c>
      <c r="U822" s="39"/>
      <c r="V822" s="39"/>
      <c r="W822" s="39"/>
      <c r="X822" s="39"/>
      <c r="Y822" s="39"/>
    </row>
    <row r="823" spans="1:25" x14ac:dyDescent="0.2">
      <c r="A823" s="49">
        <v>7</v>
      </c>
      <c r="B823" s="37" t="s">
        <v>127</v>
      </c>
      <c r="C823" s="40" t="s">
        <v>950</v>
      </c>
      <c r="D823" s="55">
        <f t="shared" ca="1" si="193"/>
        <v>3379185.996746521</v>
      </c>
      <c r="F823" s="49">
        <f ca="1">INDEX(INDIRECT($C823),1,F$12+1)*$T823</f>
        <v>0</v>
      </c>
      <c r="H823" s="49">
        <f ca="1">INDEX(INDIRECT($C823),1,H$12+1)*$T823</f>
        <v>3379185.996746521</v>
      </c>
      <c r="I823" s="49">
        <f t="shared" ca="1" si="194"/>
        <v>0</v>
      </c>
      <c r="L823" s="49">
        <f ca="1">INDEX(INDIRECT($C823),1,L$12+1)*$T823</f>
        <v>0</v>
      </c>
      <c r="M823" s="49"/>
      <c r="N823" s="49">
        <f t="shared" ca="1" si="195"/>
        <v>0</v>
      </c>
      <c r="O823" s="49">
        <f t="shared" ca="1" si="196"/>
        <v>0</v>
      </c>
      <c r="P823" s="49">
        <f t="shared" ca="1" si="196"/>
        <v>0</v>
      </c>
      <c r="Q823" s="49">
        <f t="shared" ca="1" si="196"/>
        <v>0</v>
      </c>
      <c r="T823" s="242">
        <f>'CWIP and AFUDC'!F68</f>
        <v>3379185.996746521</v>
      </c>
      <c r="U823" s="39"/>
      <c r="V823" s="39"/>
      <c r="W823" s="39"/>
      <c r="X823" s="39"/>
      <c r="Y823" s="39"/>
    </row>
    <row r="824" spans="1:25" x14ac:dyDescent="0.2">
      <c r="A824" s="49">
        <v>8</v>
      </c>
      <c r="B824" s="37" t="s">
        <v>123</v>
      </c>
      <c r="C824" s="40" t="s">
        <v>574</v>
      </c>
      <c r="D824" s="55">
        <f t="shared" ca="1" si="193"/>
        <v>0</v>
      </c>
      <c r="F824" s="49">
        <f ca="1">INDEX(INDIRECT($C824),1,F$12+1)*$T824</f>
        <v>0</v>
      </c>
      <c r="H824" s="49">
        <f ca="1">INDEX(INDIRECT($C824),1,H$12+1)*$T824</f>
        <v>0</v>
      </c>
      <c r="I824" s="49">
        <f t="shared" ca="1" si="194"/>
        <v>0</v>
      </c>
      <c r="L824" s="49">
        <f ca="1">INDEX(INDIRECT($C824),1,L$12+1)*$T824</f>
        <v>0</v>
      </c>
      <c r="M824" s="49"/>
      <c r="N824" s="49">
        <f t="shared" ca="1" si="195"/>
        <v>0</v>
      </c>
      <c r="O824" s="49">
        <f t="shared" ca="1" si="196"/>
        <v>0</v>
      </c>
      <c r="P824" s="49">
        <f t="shared" ca="1" si="196"/>
        <v>0</v>
      </c>
      <c r="Q824" s="49">
        <f t="shared" ca="1" si="196"/>
        <v>0</v>
      </c>
      <c r="T824" s="39">
        <v>0</v>
      </c>
      <c r="U824" s="39"/>
      <c r="V824" s="39"/>
      <c r="W824" s="39"/>
      <c r="X824" s="39"/>
      <c r="Y824" s="39"/>
    </row>
    <row r="825" spans="1:25" x14ac:dyDescent="0.2">
      <c r="A825" s="49">
        <v>9</v>
      </c>
      <c r="B825" s="37" t="s">
        <v>124</v>
      </c>
      <c r="C825" s="40" t="s">
        <v>580</v>
      </c>
      <c r="D825" s="55">
        <f t="shared" ca="1" si="193"/>
        <v>0</v>
      </c>
      <c r="F825" s="49">
        <f ca="1">INDEX(INDIRECT($C825),1,F$12+1)*$T825</f>
        <v>0</v>
      </c>
      <c r="H825" s="49">
        <f ca="1">INDEX(INDIRECT($C825),1,H$12+1)*$T825</f>
        <v>0</v>
      </c>
      <c r="I825" s="49">
        <f t="shared" ca="1" si="194"/>
        <v>0</v>
      </c>
      <c r="L825" s="49">
        <f ca="1">INDEX(INDIRECT($C825),1,L$12+1)*$T825</f>
        <v>0</v>
      </c>
      <c r="M825" s="49"/>
      <c r="N825" s="49">
        <f t="shared" ca="1" si="195"/>
        <v>0</v>
      </c>
      <c r="O825" s="49">
        <f t="shared" ca="1" si="196"/>
        <v>0</v>
      </c>
      <c r="P825" s="49">
        <f t="shared" ca="1" si="196"/>
        <v>0</v>
      </c>
      <c r="Q825" s="49">
        <f t="shared" ca="1" si="196"/>
        <v>0</v>
      </c>
      <c r="T825" s="242">
        <f>'CWIP and AFUDC'!H43</f>
        <v>0</v>
      </c>
      <c r="U825" s="39"/>
      <c r="V825" s="39"/>
      <c r="W825" s="39"/>
      <c r="X825" s="39"/>
      <c r="Y825" s="39"/>
    </row>
    <row r="826" spans="1:25" x14ac:dyDescent="0.2">
      <c r="A826" s="49">
        <v>10</v>
      </c>
      <c r="B826" s="37" t="s">
        <v>128</v>
      </c>
      <c r="D826" s="55">
        <f t="shared" ca="1" si="193"/>
        <v>62469362.025910512</v>
      </c>
      <c r="F826" s="49">
        <f ca="1">SUM(F821:F825)</f>
        <v>56460538.945625477</v>
      </c>
      <c r="H826" s="49">
        <f ca="1">SUM(H821:H825)</f>
        <v>6008642.3078750223</v>
      </c>
      <c r="I826" s="49">
        <f t="shared" ca="1" si="194"/>
        <v>180.77241001462431</v>
      </c>
      <c r="L826" s="49">
        <f ca="1">SUM(L821:L825)</f>
        <v>180.77241001462431</v>
      </c>
      <c r="M826" s="49"/>
      <c r="N826" s="49">
        <f t="shared" ca="1" si="195"/>
        <v>0</v>
      </c>
      <c r="O826" s="49">
        <f ca="1">SUM(O821:O825)</f>
        <v>0</v>
      </c>
      <c r="P826" s="49">
        <f ca="1">SUM(P821:P825)</f>
        <v>0</v>
      </c>
      <c r="Q826" s="49">
        <f ca="1">SUM(Q821:Q825)</f>
        <v>0</v>
      </c>
      <c r="T826" s="72"/>
      <c r="W826" s="93"/>
    </row>
    <row r="827" spans="1:25" s="64" customFormat="1" x14ac:dyDescent="0.2">
      <c r="A827" s="128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U827" s="127"/>
      <c r="W827" s="93"/>
    </row>
    <row r="828" spans="1:25" x14ac:dyDescent="0.2">
      <c r="A828" s="49">
        <v>11</v>
      </c>
      <c r="B828" s="59" t="s">
        <v>129</v>
      </c>
      <c r="C828" s="40" t="s">
        <v>623</v>
      </c>
      <c r="D828" s="55">
        <f ca="1">SUM(F828:I828)+K828</f>
        <v>8760.6189088464362</v>
      </c>
      <c r="F828" s="49">
        <f ca="1">INDEX(INDIRECT($C828),1,F$12+1)*$T828</f>
        <v>0</v>
      </c>
      <c r="H828" s="49">
        <f ca="1">INDEX(INDIRECT($C828),1,H$12+1)*$T828</f>
        <v>8760.6189088464362</v>
      </c>
      <c r="I828" s="49">
        <f ca="1">(L828+M828+N828)</f>
        <v>0</v>
      </c>
      <c r="L828" s="49">
        <f ca="1">INDEX(INDIRECT($C828),1,L$12+1)*$T828</f>
        <v>0</v>
      </c>
      <c r="M828" s="49"/>
      <c r="N828" s="49">
        <f ca="1">SUM(O828:Q828)</f>
        <v>0</v>
      </c>
      <c r="O828" s="49">
        <f t="shared" ref="O828:Q829" ca="1" si="197">INDEX(INDIRECT($C828),1,O$12+1)*$T828</f>
        <v>0</v>
      </c>
      <c r="P828" s="49">
        <f t="shared" ca="1" si="197"/>
        <v>0</v>
      </c>
      <c r="Q828" s="49">
        <f t="shared" ca="1" si="197"/>
        <v>0</v>
      </c>
      <c r="T828" s="242">
        <f>'CWIP and AFUDC'!F70+'CWIP and AFUDC'!F77</f>
        <v>8760.6189088464362</v>
      </c>
      <c r="U828" s="39"/>
      <c r="V828" s="39"/>
      <c r="W828" s="93"/>
      <c r="X828" s="39"/>
      <c r="Y828" s="39"/>
    </row>
    <row r="829" spans="1:25" x14ac:dyDescent="0.2">
      <c r="A829" s="49">
        <v>12</v>
      </c>
      <c r="B829" s="59" t="s">
        <v>61</v>
      </c>
      <c r="C829" s="40" t="s">
        <v>993</v>
      </c>
      <c r="D829" s="55">
        <f ca="1">SUM(F829:I829)+K829</f>
        <v>20275974.271796197</v>
      </c>
      <c r="F829" s="49">
        <f ca="1">INDEX(INDIRECT($C829),1,F$12+1)*$T829</f>
        <v>20275974.271796197</v>
      </c>
      <c r="H829" s="49">
        <f ca="1">INDEX(INDIRECT($C829),1,H$12+1)*$T829</f>
        <v>0</v>
      </c>
      <c r="I829" s="49">
        <f ca="1">(L829+M829+N829)</f>
        <v>0</v>
      </c>
      <c r="L829" s="49">
        <f ca="1">INDEX(INDIRECT($C829),1,L$12+1)*$T829</f>
        <v>0</v>
      </c>
      <c r="M829" s="49"/>
      <c r="N829" s="49">
        <f ca="1">SUM(O829:Q829)</f>
        <v>0</v>
      </c>
      <c r="O829" s="49">
        <f t="shared" ca="1" si="197"/>
        <v>0</v>
      </c>
      <c r="P829" s="49">
        <f t="shared" ca="1" si="197"/>
        <v>0</v>
      </c>
      <c r="Q829" s="49">
        <f t="shared" ca="1" si="197"/>
        <v>0</v>
      </c>
      <c r="T829" s="242">
        <f>'CWIP and AFUDC'!F61</f>
        <v>20275974.271796197</v>
      </c>
      <c r="U829" s="39"/>
      <c r="V829" s="89"/>
      <c r="X829" s="39"/>
      <c r="Y829" s="39"/>
    </row>
    <row r="830" spans="1:25" x14ac:dyDescent="0.2">
      <c r="A830" s="49">
        <v>13</v>
      </c>
      <c r="B830" s="37" t="s">
        <v>130</v>
      </c>
      <c r="D830" s="55">
        <f ca="1">SUM(F830:I830)+K830</f>
        <v>20284734.890705042</v>
      </c>
      <c r="F830" s="49">
        <f ca="1">SUM(F828:F829)</f>
        <v>20275974.271796197</v>
      </c>
      <c r="H830" s="49">
        <f ca="1">SUM(H828:H829)</f>
        <v>8760.6189088464362</v>
      </c>
      <c r="I830" s="49">
        <f ca="1">(L830+M830+N830)</f>
        <v>0</v>
      </c>
      <c r="L830" s="49">
        <f ca="1">SUM(L828:L829)</f>
        <v>0</v>
      </c>
      <c r="M830" s="49"/>
      <c r="N830" s="49">
        <f ca="1">SUM(O830:Q830)</f>
        <v>0</v>
      </c>
      <c r="O830" s="49">
        <f ca="1">SUM(O828:O829)</f>
        <v>0</v>
      </c>
      <c r="P830" s="49">
        <f ca="1">SUM(P828:P829)</f>
        <v>0</v>
      </c>
      <c r="Q830" s="49">
        <f ca="1">SUM(Q828:Q829)</f>
        <v>0</v>
      </c>
      <c r="T830" s="72"/>
      <c r="U830" s="39"/>
      <c r="W830" s="39"/>
    </row>
    <row r="831" spans="1:25" x14ac:dyDescent="0.2">
      <c r="T831" s="76"/>
      <c r="W831" s="39"/>
    </row>
    <row r="832" spans="1:25" x14ac:dyDescent="0.2">
      <c r="A832" s="49">
        <v>14</v>
      </c>
      <c r="B832" s="37" t="s">
        <v>131</v>
      </c>
      <c r="C832" s="40" t="s">
        <v>958</v>
      </c>
      <c r="D832" s="55">
        <f ca="1">SUM(F832:I832)+K832</f>
        <v>23058636.33460116</v>
      </c>
      <c r="F832" s="49">
        <f ca="1">INDEX(INDIRECT($C832),1,F$12+1)*$T832</f>
        <v>21738681.704526655</v>
      </c>
      <c r="H832" s="49">
        <f ca="1">INDEX(INDIRECT($C832),1,H$12+1)*$T832</f>
        <v>1053478.7919076008</v>
      </c>
      <c r="I832" s="49">
        <f ca="1">(L832+M832+N832)</f>
        <v>266475.83816690219</v>
      </c>
      <c r="L832" s="49">
        <f ca="1">INDEX(INDIRECT($C832),1,L$12+1)*$T832</f>
        <v>1499.2324610588728</v>
      </c>
      <c r="M832" s="49"/>
      <c r="N832" s="49">
        <f ca="1">SUM(O832:Q832)</f>
        <v>264976.60570584331</v>
      </c>
      <c r="O832" s="49">
        <f ca="1">INDEX(INDIRECT($C832),1,O$12+1)*$T832</f>
        <v>138126.92866751735</v>
      </c>
      <c r="P832" s="49">
        <f ca="1">INDEX(INDIRECT($C832),1,P$12+1)*$T832</f>
        <v>126849.67703832594</v>
      </c>
      <c r="Q832" s="49">
        <f ca="1">INDEX(INDIRECT($C832),1,Q$12+1)*$T832</f>
        <v>1.5075456119891651E-12</v>
      </c>
      <c r="T832" s="242">
        <f>'CWIP and AFUDC'!F55+'CWIP and AFUDC'!F66</f>
        <v>23058636.334601156</v>
      </c>
      <c r="U832" s="39"/>
      <c r="V832" s="39"/>
      <c r="W832" s="278">
        <f>SUM(T815:T832)</f>
        <v>233249502.22749326</v>
      </c>
      <c r="X832" s="77">
        <f>'CWIP and AFUDC'!F82</f>
        <v>233249502.22749326</v>
      </c>
      <c r="Y832" s="277">
        <f>W832-X832</f>
        <v>0</v>
      </c>
    </row>
    <row r="833" spans="1:26" x14ac:dyDescent="0.2">
      <c r="T833" s="47"/>
      <c r="U833" s="39"/>
      <c r="W833" s="39"/>
    </row>
    <row r="834" spans="1:26" x14ac:dyDescent="0.2">
      <c r="A834" s="49">
        <v>15</v>
      </c>
      <c r="B834" s="37" t="s">
        <v>132</v>
      </c>
      <c r="C834" s="47"/>
      <c r="D834" s="55">
        <f ca="1">SUM(F834:I834)+K834</f>
        <v>233249502.22749329</v>
      </c>
      <c r="F834" s="49">
        <f ca="1">F818+F826+F830+F832</f>
        <v>217783949.3517569</v>
      </c>
      <c r="H834" s="49">
        <f ca="1">H818+H826+H830+H832</f>
        <v>12499879.896325186</v>
      </c>
      <c r="I834" s="49">
        <f ca="1">(L834+M834+N834)</f>
        <v>2965672.9794111778</v>
      </c>
      <c r="L834" s="49">
        <f ca="1">L818+L826+L830+L832</f>
        <v>2060.565244668649</v>
      </c>
      <c r="M834" s="49"/>
      <c r="N834" s="49">
        <f ca="1">SUM(O834:Q834)</f>
        <v>2963612.4141665092</v>
      </c>
      <c r="O834" s="49">
        <f ca="1">O818+O826+O830+O832</f>
        <v>1506799.5911952925</v>
      </c>
      <c r="P834" s="49">
        <f ca="1">P818+P826+P830+P832</f>
        <v>1456812.8229712166</v>
      </c>
      <c r="Q834" s="49">
        <f ca="1">Q818+Q826+Q830+Q832</f>
        <v>1.5075456119891651E-12</v>
      </c>
      <c r="T834" s="24"/>
      <c r="U834" s="24" t="str">
        <f ca="1">IF(ROUND(D834,0)=ROUND('CWIP and AFUDC'!F82,0),"ok","err")</f>
        <v>ok</v>
      </c>
      <c r="W834" s="39"/>
    </row>
    <row r="835" spans="1:26" x14ac:dyDescent="0.2">
      <c r="C835" s="47"/>
      <c r="W835" s="39"/>
    </row>
    <row r="836" spans="1:26" x14ac:dyDescent="0.2">
      <c r="B836" s="37" t="s">
        <v>133</v>
      </c>
      <c r="C836" s="47"/>
      <c r="W836" s="39"/>
    </row>
    <row r="837" spans="1:26" x14ac:dyDescent="0.2">
      <c r="B837" s="37" t="s">
        <v>134</v>
      </c>
      <c r="C837" s="47"/>
      <c r="W837" s="39"/>
    </row>
    <row r="838" spans="1:26" x14ac:dyDescent="0.2">
      <c r="A838" s="49">
        <v>16</v>
      </c>
      <c r="B838" s="37" t="s">
        <v>135</v>
      </c>
      <c r="C838" s="40" t="s">
        <v>630</v>
      </c>
      <c r="D838" s="55">
        <f ca="1">SUM(F838:I838)+K838</f>
        <v>62955456.000000007</v>
      </c>
      <c r="F838" s="49">
        <f ca="1">INDEX(INDIRECT($C838),1,F$12+1)*$T838</f>
        <v>59241660.740988947</v>
      </c>
      <c r="H838" s="49">
        <f ca="1">INDEX(INDIRECT($C838),1,H$12+1)*$T838</f>
        <v>2416789.5602463312</v>
      </c>
      <c r="I838" s="49">
        <f ca="1">(L838+M838+N838)</f>
        <v>1297005.6987647284</v>
      </c>
      <c r="L838" s="49">
        <f ca="1">INDEX(INDIRECT($C838),1,L$12+1)*$T838</f>
        <v>265.13329903306823</v>
      </c>
      <c r="M838" s="49"/>
      <c r="N838" s="49">
        <f ca="1">SUM(O838:Q838)</f>
        <v>1296740.5654656952</v>
      </c>
      <c r="O838" s="49">
        <f ca="1">INDEX(INDIRECT($C838),1,O$12+1)*$T838</f>
        <v>656679.3526504836</v>
      </c>
      <c r="P838" s="49">
        <f ca="1">INDEX(INDIRECT($C838),1,P$12+1)*$T838</f>
        <v>640061.2128152115</v>
      </c>
      <c r="Q838" s="49">
        <f ca="1">INDEX(INDIRECT($C838),1,Q$12+1)*$T838</f>
        <v>0</v>
      </c>
      <c r="T838" s="242">
        <f>'M&amp;S'!H22</f>
        <v>62955456</v>
      </c>
      <c r="U838" s="39"/>
      <c r="V838" s="39" t="s">
        <v>975</v>
      </c>
      <c r="W838" s="39"/>
      <c r="X838" s="242">
        <f>'M&amp;S'!H19</f>
        <v>68483713.423098311</v>
      </c>
      <c r="Y838" s="73" t="s">
        <v>2474</v>
      </c>
      <c r="Z838" s="39" t="s">
        <v>715</v>
      </c>
    </row>
    <row r="839" spans="1:26" x14ac:dyDescent="0.2">
      <c r="B839" s="37" t="s">
        <v>136</v>
      </c>
      <c r="C839" s="47"/>
      <c r="T839" s="47"/>
      <c r="W839" s="39"/>
    </row>
    <row r="840" spans="1:26" x14ac:dyDescent="0.2">
      <c r="A840" s="49">
        <v>17</v>
      </c>
      <c r="B840" s="37" t="s">
        <v>137</v>
      </c>
      <c r="C840" s="40" t="s">
        <v>963</v>
      </c>
      <c r="D840" s="55">
        <f t="shared" ref="D840:D846" ca="1" si="198">SUM(F840:I840)+K840</f>
        <v>31487351.844800003</v>
      </c>
      <c r="F840" s="49">
        <f ca="1">INDEX(INDIRECT($C840),1,F$12+1)*$T840</f>
        <v>29461036.358015776</v>
      </c>
      <c r="H840" s="49">
        <f ca="1">INDEX(INDIRECT($C840),1,H$12+1)*$T840</f>
        <v>1368252.4246790328</v>
      </c>
      <c r="I840" s="49">
        <f t="shared" ref="I840:I846" ca="1" si="199">(L840+M840+N840)</f>
        <v>658063.06210519304</v>
      </c>
      <c r="L840" s="49">
        <f ca="1">INDEX(INDIRECT($C840),1,L$12+1)*$T840</f>
        <v>94.074783090643962</v>
      </c>
      <c r="M840" s="49"/>
      <c r="N840" s="49">
        <f t="shared" ref="N840:N846" ca="1" si="200">SUM(O840:Q840)</f>
        <v>657968.98732210242</v>
      </c>
      <c r="O840" s="49">
        <f t="shared" ref="O840:Q844" ca="1" si="201">INDEX(INDIRECT($C840),1,O$12+1)*$T840</f>
        <v>333703.48192797723</v>
      </c>
      <c r="P840" s="49">
        <f t="shared" ca="1" si="201"/>
        <v>324265.50539412518</v>
      </c>
      <c r="Q840" s="49">
        <f t="shared" ca="1" si="201"/>
        <v>0</v>
      </c>
      <c r="T840" s="74">
        <f>'M&amp;S'!D$22*'M&amp;S'!D35</f>
        <v>31487351.844799999</v>
      </c>
      <c r="U840" s="39"/>
      <c r="V840" s="39" t="s">
        <v>975</v>
      </c>
      <c r="W840" s="39"/>
      <c r="X840" s="242">
        <f>'M&amp;S'!B35</f>
        <v>32194495.402561281</v>
      </c>
      <c r="Y840" s="73" t="str">
        <f>Y838</f>
        <v>04/30/20 balances</v>
      </c>
      <c r="Z840" s="39" t="s">
        <v>715</v>
      </c>
    </row>
    <row r="841" spans="1:26" x14ac:dyDescent="0.2">
      <c r="A841" s="49">
        <v>18</v>
      </c>
      <c r="B841" s="37" t="s">
        <v>138</v>
      </c>
      <c r="C841" s="40" t="s">
        <v>1369</v>
      </c>
      <c r="D841" s="55">
        <f t="shared" ca="1" si="198"/>
        <v>9701208.7550000008</v>
      </c>
      <c r="F841" s="49">
        <f ca="1">INDEX(INDIRECT($C841),1,F$12+1)*$T841</f>
        <v>8786071.3120326865</v>
      </c>
      <c r="H841" s="49">
        <f ca="1">INDEX(INDIRECT($C841),1,H$12+1)*$T841</f>
        <v>915109.31161262165</v>
      </c>
      <c r="I841" s="49">
        <f t="shared" ca="1" si="199"/>
        <v>28.131354692538558</v>
      </c>
      <c r="L841" s="49">
        <f ca="1">INDEX(INDIRECT($C841),1,L$12+1)*$T841</f>
        <v>28.131354692538558</v>
      </c>
      <c r="M841" s="49"/>
      <c r="N841" s="49">
        <f t="shared" ca="1" si="200"/>
        <v>0</v>
      </c>
      <c r="O841" s="49">
        <f t="shared" ca="1" si="201"/>
        <v>0</v>
      </c>
      <c r="P841" s="49">
        <f t="shared" ca="1" si="201"/>
        <v>0</v>
      </c>
      <c r="Q841" s="49">
        <f t="shared" ca="1" si="201"/>
        <v>0</v>
      </c>
      <c r="T841" s="74">
        <f>'M&amp;S'!D$22*'M&amp;S'!D36</f>
        <v>9701208.7550000008</v>
      </c>
      <c r="U841" s="39"/>
      <c r="V841" s="39" t="s">
        <v>975</v>
      </c>
      <c r="W841" s="39"/>
      <c r="X841" s="242">
        <f>'M&amp;S'!B36</f>
        <v>9918813.5182257369</v>
      </c>
      <c r="Y841" s="73" t="str">
        <f>Y838</f>
        <v>04/30/20 balances</v>
      </c>
      <c r="Z841" s="39" t="s">
        <v>715</v>
      </c>
    </row>
    <row r="842" spans="1:26" x14ac:dyDescent="0.2">
      <c r="A842" s="49">
        <v>19</v>
      </c>
      <c r="B842" s="37" t="s">
        <v>86</v>
      </c>
      <c r="C842" s="40" t="s">
        <v>954</v>
      </c>
      <c r="D842" s="55">
        <f t="shared" ca="1" si="198"/>
        <v>7016203.400200001</v>
      </c>
      <c r="F842" s="49">
        <f ca="1">INDEX(INDIRECT($C842),1,F$12+1)*$T842</f>
        <v>6657013.3374711201</v>
      </c>
      <c r="H842" s="49">
        <f ca="1">INDEX(INDIRECT($C842),1,H$12+1)*$T842</f>
        <v>344271.73500346928</v>
      </c>
      <c r="I842" s="49">
        <f t="shared" ca="1" si="199"/>
        <v>14918.327725411644</v>
      </c>
      <c r="L842" s="49">
        <f ca="1">INDEX(INDIRECT($C842),1,L$12+1)*$T842</f>
        <v>2238.8109112763505</v>
      </c>
      <c r="M842" s="49"/>
      <c r="N842" s="49">
        <f t="shared" ca="1" si="200"/>
        <v>12679.516814135293</v>
      </c>
      <c r="O842" s="49">
        <f t="shared" ca="1" si="201"/>
        <v>12586.618014286683</v>
      </c>
      <c r="P842" s="49">
        <f t="shared" ca="1" si="201"/>
        <v>92.898799848609784</v>
      </c>
      <c r="Q842" s="49">
        <f t="shared" ca="1" si="201"/>
        <v>0</v>
      </c>
      <c r="T842" s="74">
        <f>'M&amp;S'!D$22*'M&amp;S'!D37</f>
        <v>7016203.400200001</v>
      </c>
      <c r="U842" s="39"/>
      <c r="V842" s="39" t="s">
        <v>975</v>
      </c>
      <c r="W842" s="39"/>
      <c r="X842" s="242">
        <f>'M&amp;S'!B37</f>
        <v>7173912.4451532653</v>
      </c>
      <c r="Y842" s="73" t="str">
        <f>Y838</f>
        <v>04/30/20 balances</v>
      </c>
      <c r="Z842" s="39" t="s">
        <v>715</v>
      </c>
    </row>
    <row r="843" spans="1:26" x14ac:dyDescent="0.2">
      <c r="A843" s="49">
        <v>20</v>
      </c>
      <c r="B843" s="37" t="s">
        <v>144</v>
      </c>
      <c r="C843" s="40" t="s">
        <v>958</v>
      </c>
      <c r="D843" s="55">
        <f t="shared" ca="1" si="198"/>
        <v>0</v>
      </c>
      <c r="F843" s="49">
        <f ca="1">INDEX(INDIRECT($C843),1,F$12+1)*$T843</f>
        <v>0</v>
      </c>
      <c r="H843" s="49">
        <f ca="1">INDEX(INDIRECT($C843),1,H$12+1)*$T843</f>
        <v>0</v>
      </c>
      <c r="I843" s="49">
        <f t="shared" ca="1" si="199"/>
        <v>0</v>
      </c>
      <c r="L843" s="49">
        <f ca="1">INDEX(INDIRECT($C843),1,L$12+1)*$T843</f>
        <v>0</v>
      </c>
      <c r="M843" s="49"/>
      <c r="N843" s="49">
        <f t="shared" ca="1" si="200"/>
        <v>0</v>
      </c>
      <c r="O843" s="49">
        <f t="shared" ca="1" si="201"/>
        <v>0</v>
      </c>
      <c r="P843" s="49">
        <f t="shared" ca="1" si="201"/>
        <v>0</v>
      </c>
      <c r="Q843" s="49">
        <f t="shared" ca="1" si="201"/>
        <v>0</v>
      </c>
      <c r="T843" s="74">
        <f>X843</f>
        <v>0</v>
      </c>
      <c r="U843" s="39"/>
      <c r="V843" s="39" t="s">
        <v>975</v>
      </c>
      <c r="W843" s="39"/>
      <c r="X843" s="242">
        <v>0</v>
      </c>
      <c r="Y843" s="73" t="str">
        <f>Y838</f>
        <v>04/30/20 balances</v>
      </c>
      <c r="Z843" s="39" t="s">
        <v>715</v>
      </c>
    </row>
    <row r="844" spans="1:26" x14ac:dyDescent="0.2">
      <c r="A844" s="49">
        <v>21</v>
      </c>
      <c r="B844" s="37" t="s">
        <v>145</v>
      </c>
      <c r="C844" s="45" t="s">
        <v>592</v>
      </c>
      <c r="D844" s="55">
        <f t="shared" ca="1" si="198"/>
        <v>12000185.000000002</v>
      </c>
      <c r="F844" s="49">
        <f ca="1">INDEX(INDIRECT($C844),1,F$12+1)*$T844</f>
        <v>11178516.69915076</v>
      </c>
      <c r="H844" s="49">
        <f ca="1">INDEX(INDIRECT($C844),1,H$12+1)*$T844</f>
        <v>654128.03945547109</v>
      </c>
      <c r="I844" s="49">
        <f t="shared" ca="1" si="199"/>
        <v>167540.26139376988</v>
      </c>
      <c r="L844" s="49">
        <f ca="1">INDEX(INDIRECT($C844),1,L$12+1)*$T844</f>
        <v>587.75604371527402</v>
      </c>
      <c r="M844" s="49"/>
      <c r="N844" s="49">
        <f t="shared" ca="1" si="200"/>
        <v>166952.50535005459</v>
      </c>
      <c r="O844" s="49">
        <f t="shared" ca="1" si="201"/>
        <v>86206.111557265511</v>
      </c>
      <c r="P844" s="49">
        <f t="shared" ca="1" si="201"/>
        <v>80746.393792789066</v>
      </c>
      <c r="Q844" s="49">
        <f t="shared" ca="1" si="201"/>
        <v>0</v>
      </c>
      <c r="T844" s="242">
        <f>'M&amp;S'!F22</f>
        <v>12000185</v>
      </c>
      <c r="U844" s="39"/>
      <c r="V844" s="39" t="s">
        <v>975</v>
      </c>
      <c r="W844" s="39"/>
      <c r="X844" s="242">
        <f>'M&amp;S'!F19</f>
        <v>12000185.019999901</v>
      </c>
      <c r="Y844" s="73" t="str">
        <f>Y838</f>
        <v>04/30/20 balances</v>
      </c>
      <c r="Z844" s="39" t="s">
        <v>715</v>
      </c>
    </row>
    <row r="845" spans="1:26" x14ac:dyDescent="0.2">
      <c r="A845" s="49">
        <v>22</v>
      </c>
      <c r="B845" s="37" t="s">
        <v>146</v>
      </c>
      <c r="C845" s="47"/>
      <c r="D845" s="55">
        <f t="shared" ca="1" si="198"/>
        <v>60204949</v>
      </c>
      <c r="F845" s="49">
        <f ca="1">SUM(F840:F844)</f>
        <v>56082637.706670344</v>
      </c>
      <c r="H845" s="49">
        <f ca="1">SUM(H840:H844)</f>
        <v>3281761.510750595</v>
      </c>
      <c r="I845" s="49">
        <f t="shared" ca="1" si="199"/>
        <v>840549.78257906705</v>
      </c>
      <c r="L845" s="49">
        <f ca="1">SUM(L840:L844)</f>
        <v>2948.7730927748071</v>
      </c>
      <c r="M845" s="49"/>
      <c r="N845" s="49">
        <f t="shared" ca="1" si="200"/>
        <v>837601.00948629226</v>
      </c>
      <c r="O845" s="49">
        <f ca="1">SUM(O840:O844)</f>
        <v>432496.21149952943</v>
      </c>
      <c r="P845" s="49">
        <f ca="1">SUM(P840:P844)</f>
        <v>405104.79798676289</v>
      </c>
      <c r="Q845" s="49">
        <f ca="1">SUM(Q840:Q844)</f>
        <v>0</v>
      </c>
      <c r="W845" s="39"/>
      <c r="X845" s="149">
        <f>SUM(X840:X844)</f>
        <v>61287406.385940187</v>
      </c>
    </row>
    <row r="846" spans="1:26" x14ac:dyDescent="0.2">
      <c r="A846" s="49">
        <v>23</v>
      </c>
      <c r="B846" s="37" t="s">
        <v>147</v>
      </c>
      <c r="C846" s="47"/>
      <c r="D846" s="55">
        <f t="shared" ca="1" si="198"/>
        <v>123160405</v>
      </c>
      <c r="F846" s="49">
        <f ca="1">F838+F845</f>
        <v>115324298.44765928</v>
      </c>
      <c r="H846" s="49">
        <f ca="1">H838+H845</f>
        <v>5698551.0709969262</v>
      </c>
      <c r="I846" s="49">
        <f t="shared" ca="1" si="199"/>
        <v>2137555.4813437955</v>
      </c>
      <c r="L846" s="49">
        <f ca="1">L838+L845</f>
        <v>3213.9063918078755</v>
      </c>
      <c r="M846" s="49"/>
      <c r="N846" s="49">
        <f t="shared" ca="1" si="200"/>
        <v>2134341.5749519877</v>
      </c>
      <c r="O846" s="49">
        <f ca="1">O838+O845</f>
        <v>1089175.564150013</v>
      </c>
      <c r="P846" s="49">
        <f ca="1">P838+P845</f>
        <v>1045166.0108019745</v>
      </c>
      <c r="Q846" s="49">
        <f ca="1">Q838+Q845</f>
        <v>0</v>
      </c>
      <c r="W846" s="39"/>
    </row>
    <row r="847" spans="1:26" x14ac:dyDescent="0.2">
      <c r="C847" s="47"/>
      <c r="W847" s="39"/>
    </row>
    <row r="848" spans="1:26" x14ac:dyDescent="0.2">
      <c r="B848" s="37" t="s">
        <v>148</v>
      </c>
      <c r="C848" s="47"/>
      <c r="W848" s="39"/>
    </row>
    <row r="849" spans="1:26" x14ac:dyDescent="0.2">
      <c r="A849" s="49">
        <v>24</v>
      </c>
      <c r="B849" s="59" t="s">
        <v>598</v>
      </c>
      <c r="C849" s="45" t="s">
        <v>1201</v>
      </c>
      <c r="D849" s="55">
        <f ca="1">SUM(F849:I849)+K849</f>
        <v>15827640.36401503</v>
      </c>
      <c r="F849" s="49">
        <f ca="1">INDEX(INDIRECT($C849),1,F$12+1)*$T849</f>
        <v>15604608.223605685</v>
      </c>
      <c r="H849" s="49">
        <v>0</v>
      </c>
      <c r="I849" s="49">
        <f ca="1">(L849+M849+N849)</f>
        <v>223032.14040934504</v>
      </c>
      <c r="L849" s="49">
        <f ca="1">INDEX(INDIRECT($C849),1,L$12+1)*$T849</f>
        <v>1133.8842851194138</v>
      </c>
      <c r="M849" s="49"/>
      <c r="N849" s="49">
        <f ca="1">SUM(O849:Q849)</f>
        <v>221898.25612422562</v>
      </c>
      <c r="O849" s="49">
        <f t="shared" ref="O849:Q850" ca="1" si="202">INDEX(INDIRECT($C849),1,O$12+1)*$T849</f>
        <v>115468.19291125862</v>
      </c>
      <c r="P849" s="49">
        <f t="shared" ca="1" si="202"/>
        <v>106430.06321296701</v>
      </c>
      <c r="Q849" s="49">
        <f t="shared" ca="1" si="202"/>
        <v>4.1024475242281716E-13</v>
      </c>
      <c r="T849" s="242">
        <f>'M&amp;S'!J22</f>
        <v>16644517</v>
      </c>
      <c r="U849" s="39"/>
      <c r="V849" s="39" t="s">
        <v>975</v>
      </c>
      <c r="W849" s="39"/>
      <c r="X849" s="242">
        <f>'M&amp;S'!J19</f>
        <v>20842137.093974199</v>
      </c>
      <c r="Y849" s="73" t="str">
        <f>Y838</f>
        <v>04/30/20 balances</v>
      </c>
      <c r="Z849" s="39" t="s">
        <v>715</v>
      </c>
    </row>
    <row r="850" spans="1:26" x14ac:dyDescent="0.2">
      <c r="A850" s="49">
        <v>25</v>
      </c>
      <c r="B850" s="37" t="s">
        <v>149</v>
      </c>
      <c r="C850" s="45" t="s">
        <v>1267</v>
      </c>
      <c r="D850" s="55">
        <f ca="1">SUM(F850:I850)+K850</f>
        <v>0</v>
      </c>
      <c r="F850" s="49">
        <f ca="1">INDEX(INDIRECT($C850),1,F$12+1)*$T850</f>
        <v>0</v>
      </c>
      <c r="H850" s="49">
        <f ca="1">INDEX(INDIRECT($C850),1,H$12+1)*$T850</f>
        <v>0</v>
      </c>
      <c r="I850" s="49">
        <f ca="1">(L850+M850+N850)</f>
        <v>0</v>
      </c>
      <c r="L850" s="49">
        <f ca="1">INDEX(INDIRECT($C850),1,L$12+1)*$T850</f>
        <v>0</v>
      </c>
      <c r="M850" s="49"/>
      <c r="N850" s="49">
        <f ca="1">SUM(O850:Q850)</f>
        <v>0</v>
      </c>
      <c r="O850" s="49">
        <f t="shared" ca="1" si="202"/>
        <v>0</v>
      </c>
      <c r="P850" s="49">
        <f t="shared" ca="1" si="202"/>
        <v>0</v>
      </c>
      <c r="Q850" s="49">
        <f t="shared" ca="1" si="202"/>
        <v>0</v>
      </c>
      <c r="T850" s="242">
        <v>0</v>
      </c>
      <c r="U850" s="39" t="s">
        <v>1442</v>
      </c>
      <c r="V850" s="39"/>
      <c r="W850" s="39"/>
      <c r="X850" s="242">
        <f>'M&amp;S'!O19</f>
        <v>556665.39999999898</v>
      </c>
      <c r="Y850" s="73" t="str">
        <f>Y838</f>
        <v>04/30/20 balances</v>
      </c>
      <c r="Z850" s="39" t="s">
        <v>715</v>
      </c>
    </row>
    <row r="851" spans="1:26" x14ac:dyDescent="0.2">
      <c r="A851" s="49">
        <v>26</v>
      </c>
      <c r="B851" s="37" t="s">
        <v>150</v>
      </c>
      <c r="C851" s="47"/>
      <c r="D851" s="55">
        <f ca="1">SUM(F851:I851)+K851</f>
        <v>15827640.36401503</v>
      </c>
      <c r="F851" s="49">
        <f ca="1">F850+F849</f>
        <v>15604608.223605685</v>
      </c>
      <c r="H851" s="49">
        <f ca="1">H850+H849</f>
        <v>0</v>
      </c>
      <c r="I851" s="49">
        <f ca="1">(L851+M851+N851)</f>
        <v>223032.14040934504</v>
      </c>
      <c r="L851" s="49">
        <f ca="1">L850+L849</f>
        <v>1133.8842851194138</v>
      </c>
      <c r="M851" s="49"/>
      <c r="N851" s="49">
        <f ca="1">SUM(O851:Q851)</f>
        <v>221898.25612422562</v>
      </c>
      <c r="O851" s="49">
        <f ca="1">O850+O849</f>
        <v>115468.19291125862</v>
      </c>
      <c r="P851" s="49">
        <f ca="1">P850+P849</f>
        <v>106430.06321296701</v>
      </c>
      <c r="Q851" s="49">
        <f ca="1">Q850+Q849</f>
        <v>4.1024475242281716E-13</v>
      </c>
      <c r="V851" s="73" t="s">
        <v>1446</v>
      </c>
      <c r="W851" s="39"/>
      <c r="X851" s="39"/>
    </row>
    <row r="852" spans="1:26" x14ac:dyDescent="0.2">
      <c r="C852" s="47"/>
      <c r="W852" s="39"/>
    </row>
    <row r="853" spans="1:26" x14ac:dyDescent="0.2">
      <c r="A853" s="49">
        <v>27</v>
      </c>
      <c r="B853" s="37" t="s">
        <v>151</v>
      </c>
      <c r="D853" s="55">
        <f ca="1">SUM(F853:I853)+K853</f>
        <v>107245712.3979117</v>
      </c>
      <c r="F853" s="49">
        <f ca="1">'KY-CWC'!Q75</f>
        <v>98232982.688082933</v>
      </c>
      <c r="H853" s="49">
        <f ca="1">'VA-CWC'!Q73</f>
        <v>7223881.5541795744</v>
      </c>
      <c r="I853" s="49">
        <f ca="1">(L853+M853+N853)</f>
        <v>1788848.1556491852</v>
      </c>
      <c r="L853" s="49">
        <f ca="1">(1/8)*(+L1122-L1007)</f>
        <v>3132.7200044813271</v>
      </c>
      <c r="M853" s="49"/>
      <c r="N853" s="49">
        <f ca="1">SUM(O853:Q853)</f>
        <v>1785715.4356447039</v>
      </c>
      <c r="O853" s="49">
        <f ca="1">(1/8)*(+O1122-O1007)</f>
        <v>910962.66564261296</v>
      </c>
      <c r="P853" s="49">
        <f ca="1">(1/8)*(+P1122-P1007)</f>
        <v>874752.77000209084</v>
      </c>
      <c r="Q853" s="49">
        <f ca="1">(1/8)*(+Q1122-Q1007)</f>
        <v>7.1758817338101441E-13</v>
      </c>
      <c r="T853" s="274">
        <f ca="1">'KY-CWC'!Q75+'VA-CWC'!Q73</f>
        <v>105456864.24226251</v>
      </c>
      <c r="U853" s="39" t="s">
        <v>2629</v>
      </c>
      <c r="V853" s="73"/>
      <c r="W853" s="39"/>
    </row>
    <row r="854" spans="1:26" x14ac:dyDescent="0.2">
      <c r="C854" s="47"/>
      <c r="H854" s="49"/>
      <c r="T854" s="49"/>
      <c r="V854" s="359"/>
      <c r="W854" s="39"/>
    </row>
    <row r="855" spans="1:26" x14ac:dyDescent="0.2">
      <c r="A855" s="49">
        <v>28</v>
      </c>
      <c r="B855" s="37" t="s">
        <v>152</v>
      </c>
      <c r="C855" s="47"/>
      <c r="D855" s="55">
        <f ca="1">SUM(F855:I855)+K855</f>
        <v>246233757.76192671</v>
      </c>
      <c r="F855" s="49">
        <f ca="1">F853+F851+F846</f>
        <v>229161889.35934791</v>
      </c>
      <c r="H855" s="49">
        <f ca="1">H853+H851+H846</f>
        <v>12922432.625176501</v>
      </c>
      <c r="I855" s="49">
        <f ca="1">(L855+M855+N855)</f>
        <v>4149435.7774023255</v>
      </c>
      <c r="L855" s="49">
        <f ca="1">L853+L851+L846</f>
        <v>7480.5106814086166</v>
      </c>
      <c r="M855" s="49"/>
      <c r="N855" s="49">
        <f ca="1">SUM(O855:Q855)</f>
        <v>4141955.2667209171</v>
      </c>
      <c r="O855" s="49">
        <f ca="1">O853+O851+O846</f>
        <v>2115606.4227038845</v>
      </c>
      <c r="P855" s="49">
        <f ca="1">P853+P851+P846</f>
        <v>2026348.8440170323</v>
      </c>
      <c r="Q855" s="49">
        <f ca="1">Q853+Q851+Q846</f>
        <v>1.1278329258038315E-12</v>
      </c>
      <c r="T855" s="49"/>
      <c r="V855" s="359"/>
      <c r="W855" s="39"/>
    </row>
    <row r="856" spans="1:26" x14ac:dyDescent="0.2">
      <c r="C856" s="47"/>
      <c r="W856" s="39"/>
    </row>
    <row r="857" spans="1:26" x14ac:dyDescent="0.2">
      <c r="A857" s="49">
        <v>29</v>
      </c>
      <c r="B857" s="37" t="s">
        <v>153</v>
      </c>
      <c r="C857" s="40" t="s">
        <v>572</v>
      </c>
      <c r="D857" s="55">
        <f ca="1">SUM(F857:I857)+K857</f>
        <v>129522</v>
      </c>
      <c r="F857" s="49">
        <f ca="1">INDEX(INDIRECT($C857),1,F$12+1)*$T857</f>
        <v>121415.99914063678</v>
      </c>
      <c r="H857" s="49">
        <f ca="1">INDEX(INDIRECT($C857),1,H$12+1)*$T857</f>
        <v>5559.7880225348144</v>
      </c>
      <c r="I857" s="49">
        <f ca="1">(L857+M857+N857)</f>
        <v>2546.2128368284079</v>
      </c>
      <c r="L857" s="49">
        <f ca="1">INDEX(INDIRECT($C857),1,L$12+1)*$T857</f>
        <v>0.3897284430270167</v>
      </c>
      <c r="M857" s="49"/>
      <c r="N857" s="49">
        <f ca="1">SUM(O857:Q857)</f>
        <v>2545.8231083853811</v>
      </c>
      <c r="O857" s="49">
        <f ca="1">INDEX(INDIRECT($C857),1,O$12+1)*$T857</f>
        <v>1291.1703317485064</v>
      </c>
      <c r="P857" s="49">
        <f ca="1">INDEX(INDIRECT($C857),1,P$12+1)*$T857</f>
        <v>1254.6527766368747</v>
      </c>
      <c r="Q857" s="49">
        <f ca="1">INDEX(INDIRECT($C857),1,Q$12+1)*$T857</f>
        <v>0</v>
      </c>
      <c r="T857" s="242">
        <f>'M&amp;S'!L22</f>
        <v>129522</v>
      </c>
      <c r="U857" s="39"/>
      <c r="V857" s="39" t="s">
        <v>975</v>
      </c>
      <c r="W857" s="39"/>
      <c r="X857" s="242">
        <f>'M&amp;S'!L19</f>
        <v>129522.07999999999</v>
      </c>
      <c r="Y857" s="73" t="str">
        <f>Y838</f>
        <v>04/30/20 balances</v>
      </c>
      <c r="Z857" s="39" t="s">
        <v>715</v>
      </c>
    </row>
    <row r="858" spans="1:26" x14ac:dyDescent="0.2">
      <c r="C858" s="47"/>
      <c r="W858" s="39"/>
    </row>
    <row r="859" spans="1:26" x14ac:dyDescent="0.2">
      <c r="A859" s="49">
        <v>30</v>
      </c>
      <c r="B859" s="37" t="s">
        <v>1468</v>
      </c>
      <c r="C859" s="40" t="s">
        <v>572</v>
      </c>
      <c r="D859" s="55">
        <f ca="1">SUM(F859:I859)+K859</f>
        <v>101937692.82886787</v>
      </c>
      <c r="F859" s="49">
        <f>V859</f>
        <v>96343596</v>
      </c>
      <c r="H859" s="49">
        <f ca="1">INDEX(INDIRECT($C859),1,H$12+1)*$T859+V860</f>
        <v>3332590.8360824827</v>
      </c>
      <c r="I859" s="49">
        <f ca="1">(L859+M859+N859)</f>
        <v>2261505.9927853812</v>
      </c>
      <c r="L859" s="49">
        <f ca="1">INDEX(INDIRECT($C859),1,L$12+1)*$T859</f>
        <v>346.15064252144873</v>
      </c>
      <c r="M859" s="49"/>
      <c r="N859" s="49">
        <f ca="1">SUM(O859:Q859)</f>
        <v>2261159.8421428595</v>
      </c>
      <c r="O859" s="49">
        <f ca="1">INDEX(INDIRECT($C859),1,O$12+1)*$T859+W861</f>
        <v>1146797.0786735597</v>
      </c>
      <c r="P859" s="49">
        <f ca="1">INDEX(INDIRECT($C859),1,P$12+1)*$T859+X861</f>
        <v>1114362.7634692998</v>
      </c>
      <c r="Q859" s="49">
        <f ca="1">INDEX(INDIRECT($C859),1,Q$12+1)*$T859</f>
        <v>0</v>
      </c>
      <c r="T859" s="274">
        <f>(67265136+47774257)</f>
        <v>115039393</v>
      </c>
      <c r="U859" s="39" t="s">
        <v>2640</v>
      </c>
      <c r="V859" s="274">
        <v>96343596</v>
      </c>
      <c r="W859" s="39" t="s">
        <v>2641</v>
      </c>
      <c r="X859" s="39"/>
      <c r="Y859" s="73" t="s">
        <v>2639</v>
      </c>
      <c r="Z859" s="44"/>
    </row>
    <row r="860" spans="1:26" x14ac:dyDescent="0.2">
      <c r="U860" s="39" t="s">
        <v>2581</v>
      </c>
      <c r="V860" s="274">
        <v>-1605525</v>
      </c>
      <c r="W860" s="39"/>
      <c r="Z860" s="647"/>
    </row>
    <row r="861" spans="1:26" x14ac:dyDescent="0.2">
      <c r="A861" s="49">
        <v>31</v>
      </c>
      <c r="B861" s="37" t="s">
        <v>154</v>
      </c>
      <c r="C861" s="47"/>
      <c r="D861" s="55">
        <f ca="1">SUM(F861:I861)+K861</f>
        <v>581550474.81828797</v>
      </c>
      <c r="F861" s="49">
        <f ca="1">F859+F857+F855+F834</f>
        <v>543410850.71024549</v>
      </c>
      <c r="H861" s="49">
        <f ca="1">H859+H857+H855+H834</f>
        <v>28760463.145606704</v>
      </c>
      <c r="I861" s="49">
        <f ca="1">(L861+M861+N861)</f>
        <v>9379160.962435713</v>
      </c>
      <c r="L861" s="49">
        <f ca="1">L859+L857+L855+L834</f>
        <v>9887.6162970417427</v>
      </c>
      <c r="M861" s="49"/>
      <c r="N861" s="49">
        <f ca="1">SUM(O861:Q861)</f>
        <v>9369273.346138671</v>
      </c>
      <c r="O861" s="49">
        <f ca="1">O859+O857+O855+O834</f>
        <v>4770494.2629044857</v>
      </c>
      <c r="P861" s="49">
        <f ca="1">P859+P857+P855+P834</f>
        <v>4598779.0832341854</v>
      </c>
      <c r="Q861" s="49">
        <f ca="1">Q859+Q857+Q855+Q834</f>
        <v>2.6353785377929964E-12</v>
      </c>
      <c r="U861" s="39" t="s">
        <v>2582</v>
      </c>
      <c r="V861" s="274">
        <f>0*0.7505</f>
        <v>0</v>
      </c>
      <c r="W861" s="39">
        <f>O29/$N29*$V861</f>
        <v>0</v>
      </c>
      <c r="X861" s="39">
        <f>P29/$N29*$V861</f>
        <v>0</v>
      </c>
    </row>
    <row r="862" spans="1:26" x14ac:dyDescent="0.2">
      <c r="C862" s="47"/>
      <c r="W862" s="716" t="s">
        <v>1242</v>
      </c>
      <c r="X862" s="716" t="s">
        <v>915</v>
      </c>
    </row>
    <row r="863" spans="1:26" x14ac:dyDescent="0.2">
      <c r="C863" s="47"/>
      <c r="W863" s="39"/>
    </row>
    <row r="864" spans="1:26" x14ac:dyDescent="0.2">
      <c r="B864" s="53" t="s">
        <v>155</v>
      </c>
      <c r="C864" s="47"/>
      <c r="H864" s="503"/>
      <c r="W864" s="39"/>
    </row>
    <row r="865" spans="1:25" x14ac:dyDescent="0.2">
      <c r="C865" s="47"/>
      <c r="W865" s="39"/>
    </row>
    <row r="866" spans="1:25" x14ac:dyDescent="0.2">
      <c r="A866" s="47"/>
      <c r="B866" s="37" t="s">
        <v>156</v>
      </c>
      <c r="C866" s="47"/>
      <c r="W866" s="39"/>
    </row>
    <row r="867" spans="1:25" x14ac:dyDescent="0.2">
      <c r="A867" s="47"/>
      <c r="B867" s="37"/>
      <c r="C867" s="47"/>
      <c r="W867" s="39"/>
    </row>
    <row r="868" spans="1:25" x14ac:dyDescent="0.2">
      <c r="A868" s="47"/>
      <c r="B868" s="37" t="s">
        <v>104</v>
      </c>
      <c r="C868" s="47"/>
      <c r="W868" s="39"/>
    </row>
    <row r="869" spans="1:25" x14ac:dyDescent="0.2">
      <c r="A869" s="49">
        <v>1</v>
      </c>
      <c r="B869" s="37" t="s">
        <v>122</v>
      </c>
      <c r="C869" s="40" t="s">
        <v>961</v>
      </c>
      <c r="D869" s="55">
        <f ca="1">SUM(F869:I869)+K869</f>
        <v>908710311.99999988</v>
      </c>
      <c r="F869" s="49">
        <f ca="1">INDEX(INDIRECT($C869),1,F$12+1)*$T869</f>
        <v>851839613.81757367</v>
      </c>
      <c r="H869" s="49">
        <f ca="1">INDEX(INDIRECT($C869),1,H$12+1)*$T869</f>
        <v>39006784.242147848</v>
      </c>
      <c r="I869" s="49">
        <f ca="1">(L869+M869+N869)</f>
        <v>17863913.940278467</v>
      </c>
      <c r="L869" s="49">
        <f ca="1">INDEX(INDIRECT($C869),1,L$12+1)*$T869</f>
        <v>2734.2864923206434</v>
      </c>
      <c r="M869" s="49"/>
      <c r="N869" s="49">
        <f ca="1">SUM(O869:Q869)</f>
        <v>17861179.653786145</v>
      </c>
      <c r="O869" s="49">
        <f t="shared" ref="O869:Q871" ca="1" si="203">INDEX(INDIRECT($C869),1,O$12+1)*$T869</f>
        <v>9058691.1490582954</v>
      </c>
      <c r="P869" s="49">
        <f t="shared" ca="1" si="203"/>
        <v>8802488.5047278516</v>
      </c>
      <c r="Q869" s="49">
        <f t="shared" ca="1" si="203"/>
        <v>0</v>
      </c>
      <c r="T869" s="274">
        <v>908710312</v>
      </c>
      <c r="U869" s="79"/>
      <c r="V869" s="39" t="s">
        <v>423</v>
      </c>
      <c r="W869" s="39"/>
      <c r="X869" s="39"/>
      <c r="Y869" s="39"/>
    </row>
    <row r="870" spans="1:25" x14ac:dyDescent="0.2">
      <c r="A870" s="49">
        <v>2</v>
      </c>
      <c r="B870" s="37" t="s">
        <v>123</v>
      </c>
      <c r="C870" s="40" t="s">
        <v>574</v>
      </c>
      <c r="D870" s="55">
        <f ca="1">SUM(F870:I870)+K870</f>
        <v>17805</v>
      </c>
      <c r="F870" s="49">
        <f ca="1">INDEX(INDIRECT($C870),1,F$12+1)*$T870</f>
        <v>9350.4298972602737</v>
      </c>
      <c r="H870" s="49">
        <f ca="1">INDEX(INDIRECT($C870),1,H$12+1)*$T870</f>
        <v>5799.1454109589049</v>
      </c>
      <c r="I870" s="49">
        <f ca="1">(L870+M870+N870)</f>
        <v>2655.4246917808218</v>
      </c>
      <c r="L870" s="49">
        <f ca="1">INDEX(INDIRECT($C870),1,L$12+1)*$T870</f>
        <v>0</v>
      </c>
      <c r="M870" s="49"/>
      <c r="N870" s="49">
        <f ca="1">SUM(O870:Q870)</f>
        <v>2655.4246917808218</v>
      </c>
      <c r="O870" s="49">
        <f t="shared" ca="1" si="203"/>
        <v>1346.7571917808218</v>
      </c>
      <c r="P870" s="49">
        <f t="shared" ca="1" si="203"/>
        <v>1308.6675</v>
      </c>
      <c r="Q870" s="49">
        <f t="shared" ca="1" si="203"/>
        <v>0</v>
      </c>
      <c r="T870" s="274">
        <v>17805</v>
      </c>
      <c r="U870" s="79"/>
      <c r="V870" s="39" t="s">
        <v>423</v>
      </c>
      <c r="W870" s="39"/>
      <c r="X870" s="39"/>
      <c r="Y870" s="39"/>
    </row>
    <row r="871" spans="1:25" x14ac:dyDescent="0.2">
      <c r="A871" s="49">
        <v>3</v>
      </c>
      <c r="B871" s="37" t="s">
        <v>124</v>
      </c>
      <c r="C871" s="40" t="s">
        <v>580</v>
      </c>
      <c r="D871" s="55">
        <f ca="1">SUM(F871:I871)+K871</f>
        <v>1891531</v>
      </c>
      <c r="F871" s="49">
        <f ca="1">INDEX(INDIRECT($C871),1,F$12+1)*$T871</f>
        <v>1473166.9355831544</v>
      </c>
      <c r="H871" s="49">
        <f ca="1">INDEX(INDIRECT($C871),1,H$12+1)*$T871</f>
        <v>0</v>
      </c>
      <c r="I871" s="49">
        <f ca="1">(L871+M871+N871)</f>
        <v>418364.06441684556</v>
      </c>
      <c r="L871" s="49">
        <f ca="1">INDEX(INDIRECT($C871),1,L$12+1)*$T871</f>
        <v>0</v>
      </c>
      <c r="M871" s="49"/>
      <c r="N871" s="49">
        <f ca="1">SUM(O871:Q871)</f>
        <v>418364.06441684556</v>
      </c>
      <c r="O871" s="49">
        <f t="shared" ca="1" si="203"/>
        <v>212182.56133567187</v>
      </c>
      <c r="P871" s="49">
        <f t="shared" ca="1" si="203"/>
        <v>206181.50308117369</v>
      </c>
      <c r="Q871" s="49">
        <f t="shared" ca="1" si="203"/>
        <v>0</v>
      </c>
      <c r="T871" s="274">
        <v>1891531</v>
      </c>
      <c r="U871" s="79"/>
      <c r="V871" s="39" t="s">
        <v>423</v>
      </c>
      <c r="W871" s="39"/>
      <c r="X871" s="39"/>
      <c r="Y871" s="39"/>
    </row>
    <row r="872" spans="1:25" x14ac:dyDescent="0.2">
      <c r="A872" s="49">
        <v>4</v>
      </c>
      <c r="B872" s="37" t="s">
        <v>125</v>
      </c>
      <c r="D872" s="55">
        <f ca="1">SUM(F872:I872)+K872</f>
        <v>910619648</v>
      </c>
      <c r="F872" s="49">
        <f ca="1">SUM(F869:F871)</f>
        <v>853322131.18305409</v>
      </c>
      <c r="H872" s="49">
        <f ca="1">SUM(H869:H871)</f>
        <v>39012583.38755881</v>
      </c>
      <c r="I872" s="49">
        <f ca="1">(L872+M872+N872)</f>
        <v>18284933.429387096</v>
      </c>
      <c r="L872" s="49">
        <f ca="1">SUM(L869:L871)</f>
        <v>2734.2864923206434</v>
      </c>
      <c r="M872" s="49"/>
      <c r="N872" s="49">
        <f ca="1">SUM(O872:Q872)</f>
        <v>18282199.142894775</v>
      </c>
      <c r="O872" s="49">
        <f ca="1">SUM(O869:O871)</f>
        <v>9272220.4675857481</v>
      </c>
      <c r="P872" s="49">
        <f ca="1">SUM(P869:P871)</f>
        <v>9009978.6753090266</v>
      </c>
      <c r="Q872" s="49">
        <f ca="1">SUM(Q869:Q871)</f>
        <v>0</v>
      </c>
      <c r="W872" s="39"/>
    </row>
    <row r="873" spans="1:25" x14ac:dyDescent="0.2">
      <c r="W873" s="39"/>
    </row>
    <row r="874" spans="1:25" x14ac:dyDescent="0.2">
      <c r="B874" s="37" t="s">
        <v>115</v>
      </c>
      <c r="W874" s="39"/>
    </row>
    <row r="875" spans="1:25" x14ac:dyDescent="0.2">
      <c r="A875" s="49">
        <v>5</v>
      </c>
      <c r="B875" s="37" t="s">
        <v>81</v>
      </c>
      <c r="C875" s="40" t="s">
        <v>1393</v>
      </c>
      <c r="D875" s="55">
        <f t="shared" ref="D875:D880" ca="1" si="204">SUM(F875:I875)+K875</f>
        <v>166647024.99999997</v>
      </c>
      <c r="F875" s="49">
        <f ca="1">INDEX(INDIRECT($C875),1,F$12+1)*$T875</f>
        <v>159230881.97505644</v>
      </c>
      <c r="H875" s="49">
        <f ca="1">INDEX(INDIRECT($C875),1,H$12+1)*$T875</f>
        <v>7415633.2078071591</v>
      </c>
      <c r="I875" s="49">
        <f t="shared" ref="I875:I880" ca="1" si="205">(L875+M875+N875)</f>
        <v>509.81713637388793</v>
      </c>
      <c r="L875" s="49">
        <f ca="1">INDEX(INDIRECT($C875),1,L$12+1)*$T875</f>
        <v>509.81713637388793</v>
      </c>
      <c r="M875" s="49"/>
      <c r="N875" s="49">
        <f t="shared" ref="N875:N880" ca="1" si="206">SUM(O875:Q875)</f>
        <v>0</v>
      </c>
      <c r="O875" s="49">
        <f t="shared" ref="O875:Q879" ca="1" si="207">INDEX(INDIRECT($C875),1,O$12+1)*$T875</f>
        <v>0</v>
      </c>
      <c r="P875" s="49">
        <f t="shared" ca="1" si="207"/>
        <v>0</v>
      </c>
      <c r="Q875" s="49">
        <f t="shared" ca="1" si="207"/>
        <v>0</v>
      </c>
      <c r="T875" s="274">
        <v>166647025</v>
      </c>
      <c r="U875" s="79"/>
      <c r="V875" s="39" t="s">
        <v>423</v>
      </c>
      <c r="W875" s="39"/>
      <c r="X875" s="39"/>
      <c r="Y875" s="39"/>
    </row>
    <row r="876" spans="1:25" x14ac:dyDescent="0.2">
      <c r="A876" s="49">
        <v>6</v>
      </c>
      <c r="B876" s="37" t="s">
        <v>82</v>
      </c>
      <c r="C876" s="40" t="s">
        <v>1395</v>
      </c>
      <c r="D876" s="55">
        <f t="shared" ca="1" si="204"/>
        <v>0</v>
      </c>
      <c r="F876" s="49">
        <f ca="1">INDEX(INDIRECT($C876),1,F$12+1)*$T876</f>
        <v>0</v>
      </c>
      <c r="H876" s="49">
        <f ca="1">INDEX(INDIRECT($C876),1,H$12+1)*$T876</f>
        <v>0</v>
      </c>
      <c r="I876" s="49">
        <f t="shared" ca="1" si="205"/>
        <v>0</v>
      </c>
      <c r="L876" s="49">
        <f ca="1">INDEX(INDIRECT($C876),1,L$12+1)*$T876</f>
        <v>0</v>
      </c>
      <c r="M876" s="49"/>
      <c r="N876" s="49">
        <f t="shared" ca="1" si="206"/>
        <v>0</v>
      </c>
      <c r="O876" s="49">
        <f t="shared" ca="1" si="207"/>
        <v>0</v>
      </c>
      <c r="P876" s="49">
        <f t="shared" ca="1" si="207"/>
        <v>0</v>
      </c>
      <c r="Q876" s="49">
        <f t="shared" ca="1" si="207"/>
        <v>0</v>
      </c>
      <c r="T876" s="274">
        <v>0</v>
      </c>
      <c r="U876" s="79"/>
      <c r="V876" s="39" t="s">
        <v>423</v>
      </c>
      <c r="W876" s="39"/>
      <c r="X876" s="39"/>
      <c r="Y876" s="39"/>
    </row>
    <row r="877" spans="1:25" x14ac:dyDescent="0.2">
      <c r="A877" s="49">
        <v>7</v>
      </c>
      <c r="B877" s="37" t="s">
        <v>695</v>
      </c>
      <c r="C877" s="40" t="s">
        <v>950</v>
      </c>
      <c r="D877" s="55">
        <f t="shared" ca="1" si="204"/>
        <v>7408379</v>
      </c>
      <c r="F877" s="49">
        <f ca="1">INDEX(INDIRECT($C877),1,F$12+1)*$T877</f>
        <v>0</v>
      </c>
      <c r="H877" s="49">
        <f ca="1">INDEX(INDIRECT($C877),1,H$12+1)*$T877</f>
        <v>7408379</v>
      </c>
      <c r="I877" s="49">
        <f t="shared" ca="1" si="205"/>
        <v>0</v>
      </c>
      <c r="L877" s="49">
        <f ca="1">INDEX(INDIRECT($C877),1,L$12+1)*$T877</f>
        <v>0</v>
      </c>
      <c r="M877" s="49"/>
      <c r="N877" s="49">
        <f t="shared" ca="1" si="206"/>
        <v>0</v>
      </c>
      <c r="O877" s="49">
        <f t="shared" ca="1" si="207"/>
        <v>0</v>
      </c>
      <c r="P877" s="49">
        <f t="shared" ca="1" si="207"/>
        <v>0</v>
      </c>
      <c r="Q877" s="49">
        <f t="shared" ca="1" si="207"/>
        <v>0</v>
      </c>
      <c r="T877" s="274">
        <v>7408379</v>
      </c>
      <c r="U877" s="79"/>
      <c r="V877" s="39" t="s">
        <v>423</v>
      </c>
      <c r="W877" s="39"/>
      <c r="X877" s="39"/>
      <c r="Y877" s="39"/>
    </row>
    <row r="878" spans="1:25" x14ac:dyDescent="0.2">
      <c r="A878" s="49">
        <v>8</v>
      </c>
      <c r="B878" s="37" t="s">
        <v>75</v>
      </c>
      <c r="C878" s="40" t="s">
        <v>574</v>
      </c>
      <c r="D878" s="55">
        <f t="shared" ca="1" si="204"/>
        <v>3142</v>
      </c>
      <c r="F878" s="49">
        <f ca="1">INDEX(INDIRECT($C878),1,F$12+1)*$T878</f>
        <v>1650.0449726027396</v>
      </c>
      <c r="H878" s="49">
        <f ca="1">INDEX(INDIRECT($C878),1,H$12+1)*$T878</f>
        <v>1023.3594429223745</v>
      </c>
      <c r="I878" s="49">
        <f t="shared" ca="1" si="205"/>
        <v>468.59558447488581</v>
      </c>
      <c r="L878" s="49">
        <f ca="1">INDEX(INDIRECT($C878),1,L$12+1)*$T878</f>
        <v>0</v>
      </c>
      <c r="M878" s="49"/>
      <c r="N878" s="49">
        <f t="shared" ca="1" si="206"/>
        <v>468.59558447488581</v>
      </c>
      <c r="O878" s="49">
        <f t="shared" ca="1" si="207"/>
        <v>237.65858447488583</v>
      </c>
      <c r="P878" s="49">
        <f t="shared" ca="1" si="207"/>
        <v>230.93699999999998</v>
      </c>
      <c r="Q878" s="49">
        <f t="shared" ca="1" si="207"/>
        <v>0</v>
      </c>
      <c r="T878" s="274">
        <v>3142</v>
      </c>
      <c r="U878" s="79"/>
      <c r="V878" s="39" t="s">
        <v>423</v>
      </c>
      <c r="W878" s="39"/>
      <c r="X878" s="39"/>
      <c r="Y878" s="39"/>
    </row>
    <row r="879" spans="1:25" x14ac:dyDescent="0.2">
      <c r="A879" s="49">
        <v>9</v>
      </c>
      <c r="B879" s="37" t="s">
        <v>76</v>
      </c>
      <c r="C879" s="40" t="s">
        <v>580</v>
      </c>
      <c r="D879" s="55">
        <f t="shared" ca="1" si="204"/>
        <v>333800</v>
      </c>
      <c r="F879" s="49">
        <f ca="1">INDEX(INDIRECT($C879),1,F$12+1)*$T879</f>
        <v>259970.9563827698</v>
      </c>
      <c r="H879" s="49">
        <f ca="1">INDEX(INDIRECT($C879),1,H$12+1)*$T879</f>
        <v>0</v>
      </c>
      <c r="I879" s="49">
        <f t="shared" ca="1" si="205"/>
        <v>73829.0436172302</v>
      </c>
      <c r="L879" s="49">
        <f ca="1">INDEX(INDIRECT($C879),1,L$12+1)*$T879</f>
        <v>0</v>
      </c>
      <c r="M879" s="49"/>
      <c r="N879" s="49">
        <f t="shared" ca="1" si="206"/>
        <v>73829.0436172302</v>
      </c>
      <c r="O879" s="49">
        <f t="shared" ca="1" si="207"/>
        <v>37444.027601898815</v>
      </c>
      <c r="P879" s="49">
        <f t="shared" ca="1" si="207"/>
        <v>36385.016015331377</v>
      </c>
      <c r="Q879" s="49">
        <f t="shared" ca="1" si="207"/>
        <v>0</v>
      </c>
      <c r="T879" s="274">
        <v>333800</v>
      </c>
      <c r="U879" s="79"/>
      <c r="V879" s="39" t="s">
        <v>423</v>
      </c>
      <c r="W879" s="39"/>
      <c r="X879" s="39"/>
      <c r="Y879" s="39"/>
    </row>
    <row r="880" spans="1:25" x14ac:dyDescent="0.2">
      <c r="A880" s="49">
        <v>10</v>
      </c>
      <c r="B880" s="37" t="s">
        <v>116</v>
      </c>
      <c r="D880" s="55">
        <f t="shared" ca="1" si="204"/>
        <v>174392345.99999997</v>
      </c>
      <c r="F880" s="49">
        <f ca="1">SUM(F875:F879)</f>
        <v>159492502.97641182</v>
      </c>
      <c r="H880" s="49">
        <f ca="1">SUM(H875:H879)</f>
        <v>14825035.567250082</v>
      </c>
      <c r="I880" s="49">
        <f t="shared" ca="1" si="205"/>
        <v>74807.456338078977</v>
      </c>
      <c r="L880" s="49">
        <f ca="1">SUM(L875:L879)</f>
        <v>509.81713637388793</v>
      </c>
      <c r="M880" s="49"/>
      <c r="N880" s="49">
        <f t="shared" ca="1" si="206"/>
        <v>74297.639201705082</v>
      </c>
      <c r="O880" s="49">
        <f ca="1">SUM(O875:O879)</f>
        <v>37681.686186373699</v>
      </c>
      <c r="P880" s="49">
        <f ca="1">SUM(P875:P879)</f>
        <v>36615.953015331375</v>
      </c>
      <c r="Q880" s="49">
        <f ca="1">SUM(Q875:Q879)</f>
        <v>0</v>
      </c>
      <c r="W880" s="39"/>
    </row>
    <row r="881" spans="1:25" x14ac:dyDescent="0.2">
      <c r="W881" s="39"/>
    </row>
    <row r="882" spans="1:25" x14ac:dyDescent="0.2">
      <c r="A882" s="49">
        <v>11</v>
      </c>
      <c r="B882" s="37" t="s">
        <v>157</v>
      </c>
      <c r="C882" s="40" t="s">
        <v>624</v>
      </c>
      <c r="D882" s="55">
        <f ca="1">SUM(F882:I882)+K882</f>
        <v>12259352</v>
      </c>
      <c r="F882" s="49">
        <f ca="1">INDEX(INDIRECT($C882),1,F$12+1)*$T882</f>
        <v>0</v>
      </c>
      <c r="H882" s="49">
        <f ca="1">INDEX(INDIRECT($C882),1,H$12+1)*$T882</f>
        <v>12259352</v>
      </c>
      <c r="I882" s="49">
        <f ca="1">(L882+M882+N882)</f>
        <v>0</v>
      </c>
      <c r="L882" s="49">
        <f ca="1">INDEX(INDIRECT($C882),1,L$12+1)*$T882</f>
        <v>0</v>
      </c>
      <c r="M882" s="49"/>
      <c r="N882" s="49">
        <f ca="1">SUM(O882:Q882)</f>
        <v>0</v>
      </c>
      <c r="O882" s="49">
        <f t="shared" ref="O882:Q883" ca="1" si="208">INDEX(INDIRECT($C882),1,O$12+1)*$T882</f>
        <v>0</v>
      </c>
      <c r="P882" s="49">
        <f t="shared" ca="1" si="208"/>
        <v>0</v>
      </c>
      <c r="Q882" s="49">
        <f t="shared" ca="1" si="208"/>
        <v>0</v>
      </c>
      <c r="T882" s="274">
        <v>12259352</v>
      </c>
      <c r="U882" s="79"/>
      <c r="V882" s="39" t="s">
        <v>423</v>
      </c>
      <c r="W882" s="39"/>
      <c r="X882" s="39"/>
      <c r="Y882" s="39"/>
    </row>
    <row r="883" spans="1:25" x14ac:dyDescent="0.2">
      <c r="A883" s="49">
        <v>12</v>
      </c>
      <c r="B883" s="37" t="s">
        <v>158</v>
      </c>
      <c r="C883" s="40" t="s">
        <v>1084</v>
      </c>
      <c r="D883" s="55">
        <f ca="1">SUM(F883:I883)+K883</f>
        <v>275154577</v>
      </c>
      <c r="F883" s="49">
        <f ca="1">INDEX(INDIRECT($C883),1,F$12+1)*$T883</f>
        <v>274539335.96324813</v>
      </c>
      <c r="H883" s="49">
        <f ca="1">INDEX(INDIRECT($C883),1,H$12+1)*$T883</f>
        <v>0</v>
      </c>
      <c r="I883" s="49">
        <f ca="1">(L883+M883+N883)</f>
        <v>615241.03675185028</v>
      </c>
      <c r="L883" s="49">
        <f ca="1">INDEX(INDIRECT($C883),1,L$12+1)*$T883</f>
        <v>92329.942839287614</v>
      </c>
      <c r="M883" s="49"/>
      <c r="N883" s="49">
        <f ca="1">SUM(O883:Q883)</f>
        <v>522911.0939125627</v>
      </c>
      <c r="O883" s="49">
        <f t="shared" ca="1" si="208"/>
        <v>519079.89010849933</v>
      </c>
      <c r="P883" s="49">
        <f t="shared" ca="1" si="208"/>
        <v>3831.2038040633824</v>
      </c>
      <c r="Q883" s="49">
        <f t="shared" ca="1" si="208"/>
        <v>0</v>
      </c>
      <c r="T883" s="274">
        <v>275154577</v>
      </c>
      <c r="U883" s="79"/>
      <c r="V883" s="39" t="s">
        <v>423</v>
      </c>
      <c r="W883" s="39"/>
      <c r="X883" s="39"/>
      <c r="Y883" s="39"/>
    </row>
    <row r="884" spans="1:25" x14ac:dyDescent="0.2">
      <c r="A884" s="49">
        <v>13</v>
      </c>
      <c r="B884" s="37" t="s">
        <v>117</v>
      </c>
      <c r="D884" s="55">
        <f ca="1">SUM(F884:I884)+K884</f>
        <v>287413929</v>
      </c>
      <c r="F884" s="49">
        <f ca="1">SUM(F882:F883)</f>
        <v>274539335.96324813</v>
      </c>
      <c r="H884" s="49">
        <f ca="1">SUM(H882:H883)</f>
        <v>12259352</v>
      </c>
      <c r="I884" s="49">
        <f ca="1">(L884+M884+N884)</f>
        <v>615241.03675185028</v>
      </c>
      <c r="L884" s="49">
        <f ca="1">SUM(L882:L883)</f>
        <v>92329.942839287614</v>
      </c>
      <c r="M884" s="49"/>
      <c r="N884" s="49">
        <f ca="1">SUM(O884:Q884)</f>
        <v>522911.0939125627</v>
      </c>
      <c r="O884" s="49">
        <f ca="1">SUM(O882:O883)</f>
        <v>519079.89010849933</v>
      </c>
      <c r="P884" s="49">
        <f ca="1">SUM(P882:P883)</f>
        <v>3831.2038040633824</v>
      </c>
      <c r="Q884" s="49">
        <f ca="1">SUM(Q882:Q883)</f>
        <v>0</v>
      </c>
      <c r="W884" s="39"/>
    </row>
    <row r="885" spans="1:25" x14ac:dyDescent="0.2">
      <c r="W885" s="39"/>
    </row>
    <row r="886" spans="1:25" x14ac:dyDescent="0.2">
      <c r="A886" s="49">
        <v>14</v>
      </c>
      <c r="B886" s="37" t="s">
        <v>131</v>
      </c>
      <c r="C886" s="40" t="s">
        <v>958</v>
      </c>
      <c r="D886" s="55">
        <f ca="1">SUM(F886:I886)+K886</f>
        <v>32389554.000000004</v>
      </c>
      <c r="F886" s="49">
        <f ca="1">INDEX(INDIRECT($C886),1,F$12+1)*$T886</f>
        <v>30535465.963397659</v>
      </c>
      <c r="H886" s="49">
        <f ca="1">INDEX(INDIRECT($C886),1,H$12+1)*$T886</f>
        <v>1479779.9715130553</v>
      </c>
      <c r="I886" s="49">
        <f ca="1">(L886+M886+N886)</f>
        <v>374308.06508928916</v>
      </c>
      <c r="L886" s="49">
        <f ca="1">INDEX(INDIRECT($C886),1,L$12+1)*$T886</f>
        <v>2105.9125115370439</v>
      </c>
      <c r="M886" s="49"/>
      <c r="N886" s="49">
        <f ca="1">SUM(O886:Q886)</f>
        <v>372202.15257775213</v>
      </c>
      <c r="O886" s="49">
        <f ca="1">INDEX(INDIRECT($C886),1,O$12+1)*$T886</f>
        <v>194021.43084312993</v>
      </c>
      <c r="P886" s="49">
        <f ca="1">INDEX(INDIRECT($C886),1,P$12+1)*$T886</f>
        <v>178180.72173462223</v>
      </c>
      <c r="Q886" s="49">
        <f ca="1">INDEX(INDIRECT($C886),1,Q$12+1)*$T886</f>
        <v>2.1175896656869971E-12</v>
      </c>
      <c r="T886" s="274">
        <v>32389554</v>
      </c>
      <c r="U886" s="79"/>
      <c r="V886" s="39" t="s">
        <v>423</v>
      </c>
      <c r="W886" s="39"/>
      <c r="X886" s="39"/>
      <c r="Y886" s="39"/>
    </row>
    <row r="887" spans="1:25" x14ac:dyDescent="0.2">
      <c r="W887" s="39"/>
    </row>
    <row r="888" spans="1:25" x14ac:dyDescent="0.2">
      <c r="A888" s="49">
        <v>15</v>
      </c>
      <c r="B888" s="37" t="s">
        <v>159</v>
      </c>
      <c r="C888" s="47"/>
      <c r="D888" s="55">
        <f ca="1">SUM(F888:I888)+K888</f>
        <v>1404815477</v>
      </c>
      <c r="F888" s="49">
        <f ca="1">F872+F880+F884+F886</f>
        <v>1317889436.0861118</v>
      </c>
      <c r="H888" s="49">
        <f ca="1">H872+H880+H884+H886</f>
        <v>67576750.926321954</v>
      </c>
      <c r="I888" s="49">
        <f ca="1">(L888+M888+N888)</f>
        <v>19349289.987566315</v>
      </c>
      <c r="L888" s="49">
        <f ca="1">L872+L880+L884+L886</f>
        <v>97679.958979519186</v>
      </c>
      <c r="M888" s="49"/>
      <c r="N888" s="49">
        <f ca="1">SUM(O888:Q888)</f>
        <v>19251610.028586794</v>
      </c>
      <c r="O888" s="49">
        <f ca="1">O872+O880+O884+O886</f>
        <v>10023003.474723751</v>
      </c>
      <c r="P888" s="49">
        <f ca="1">P872+P880+P884+P886</f>
        <v>9228606.553863043</v>
      </c>
      <c r="Q888" s="49">
        <f ca="1">Q872+Q880+Q884+Q886</f>
        <v>2.1175896656869971E-12</v>
      </c>
      <c r="T888" s="47"/>
      <c r="W888" s="39"/>
    </row>
    <row r="889" spans="1:25" x14ac:dyDescent="0.2">
      <c r="A889" s="47"/>
      <c r="B889" s="47"/>
      <c r="C889" s="47"/>
      <c r="W889" s="39"/>
    </row>
    <row r="890" spans="1:25" x14ac:dyDescent="0.2">
      <c r="A890" s="47"/>
      <c r="B890" s="37" t="s">
        <v>160</v>
      </c>
      <c r="C890" s="47"/>
      <c r="W890" s="39"/>
    </row>
    <row r="891" spans="1:25" x14ac:dyDescent="0.2">
      <c r="A891" s="49">
        <v>16</v>
      </c>
      <c r="B891" s="37" t="s">
        <v>161</v>
      </c>
      <c r="C891" s="40" t="s">
        <v>963</v>
      </c>
      <c r="D891" s="55">
        <f t="shared" ref="D891:D897" ca="1" si="209">SUM(F891:I891)+K891</f>
        <v>89931576.000000015</v>
      </c>
      <c r="F891" s="49">
        <f t="shared" ref="F891:F896" ca="1" si="210">INDEX(INDIRECT($C891),1,F$12+1)*$T891</f>
        <v>84144180.918383867</v>
      </c>
      <c r="H891" s="49">
        <f t="shared" ref="H891:H896" ca="1" si="211">INDEX(INDIRECT($C891),1,H$12+1)*$T891</f>
        <v>3907889.6670546061</v>
      </c>
      <c r="I891" s="49">
        <f t="shared" ref="I891:I897" ca="1" si="212">(L891+M891+N891)</f>
        <v>1879505.4145615399</v>
      </c>
      <c r="L891" s="49">
        <f t="shared" ref="L891:L896" ca="1" si="213">INDEX(INDIRECT($C891),1,L$12+1)*$T891</f>
        <v>268.68863240390107</v>
      </c>
      <c r="M891" s="49"/>
      <c r="N891" s="49">
        <f t="shared" ref="N891:N897" ca="1" si="214">SUM(O891:Q891)</f>
        <v>1879236.7259291359</v>
      </c>
      <c r="O891" s="49">
        <f t="shared" ref="O891:Q896" ca="1" si="215">INDEX(INDIRECT($C891),1,O$12+1)*$T891</f>
        <v>953096.34784122417</v>
      </c>
      <c r="P891" s="49">
        <f t="shared" ca="1" si="215"/>
        <v>926140.37808791187</v>
      </c>
      <c r="Q891" s="49">
        <f t="shared" ca="1" si="215"/>
        <v>0</v>
      </c>
      <c r="T891" s="274">
        <v>89931576</v>
      </c>
      <c r="U891" s="79"/>
      <c r="V891" s="39" t="s">
        <v>423</v>
      </c>
      <c r="W891" s="39"/>
      <c r="X891" s="39"/>
      <c r="Y891" s="39"/>
    </row>
    <row r="892" spans="1:25" x14ac:dyDescent="0.2">
      <c r="A892" s="49">
        <v>17</v>
      </c>
      <c r="B892" s="37" t="s">
        <v>162</v>
      </c>
      <c r="C892" s="40" t="s">
        <v>1369</v>
      </c>
      <c r="D892" s="55">
        <f t="shared" ca="1" si="209"/>
        <v>0</v>
      </c>
      <c r="F892" s="49">
        <f t="shared" ca="1" si="210"/>
        <v>0</v>
      </c>
      <c r="H892" s="49">
        <f t="shared" ca="1" si="211"/>
        <v>0</v>
      </c>
      <c r="I892" s="49">
        <f t="shared" ca="1" si="212"/>
        <v>0</v>
      </c>
      <c r="L892" s="49">
        <f t="shared" ca="1" si="213"/>
        <v>0</v>
      </c>
      <c r="M892" s="49"/>
      <c r="N892" s="49">
        <f t="shared" ca="1" si="214"/>
        <v>0</v>
      </c>
      <c r="O892" s="49">
        <f t="shared" ca="1" si="215"/>
        <v>0</v>
      </c>
      <c r="P892" s="49">
        <f t="shared" ca="1" si="215"/>
        <v>0</v>
      </c>
      <c r="Q892" s="49">
        <f t="shared" ca="1" si="215"/>
        <v>0</v>
      </c>
      <c r="T892" s="274">
        <v>0</v>
      </c>
      <c r="U892" s="79"/>
      <c r="V892" s="39" t="s">
        <v>423</v>
      </c>
      <c r="W892" s="39"/>
      <c r="X892" s="39"/>
      <c r="Y892" s="39"/>
    </row>
    <row r="893" spans="1:25" x14ac:dyDescent="0.2">
      <c r="A893" s="49">
        <v>18</v>
      </c>
      <c r="B893" s="59" t="s">
        <v>62</v>
      </c>
      <c r="C893" s="40" t="s">
        <v>988</v>
      </c>
      <c r="D893" s="55">
        <f t="shared" ca="1" si="209"/>
        <v>0</v>
      </c>
      <c r="F893" s="49">
        <f t="shared" ca="1" si="210"/>
        <v>0</v>
      </c>
      <c r="H893" s="49">
        <f t="shared" ca="1" si="211"/>
        <v>0</v>
      </c>
      <c r="I893" s="49">
        <f t="shared" ca="1" si="212"/>
        <v>0</v>
      </c>
      <c r="L893" s="49">
        <f t="shared" ca="1" si="213"/>
        <v>0</v>
      </c>
      <c r="M893" s="49"/>
      <c r="N893" s="49">
        <f t="shared" ca="1" si="214"/>
        <v>0</v>
      </c>
      <c r="O893" s="49">
        <f t="shared" ca="1" si="215"/>
        <v>0</v>
      </c>
      <c r="P893" s="49">
        <f t="shared" ca="1" si="215"/>
        <v>0</v>
      </c>
      <c r="Q893" s="49">
        <f t="shared" ca="1" si="215"/>
        <v>0</v>
      </c>
      <c r="T893" s="274">
        <v>0</v>
      </c>
      <c r="U893" s="79"/>
      <c r="V893" s="39" t="s">
        <v>423</v>
      </c>
      <c r="W893" s="39"/>
      <c r="X893" s="39"/>
      <c r="Y893" s="39"/>
    </row>
    <row r="894" spans="1:25" x14ac:dyDescent="0.2">
      <c r="A894" s="49">
        <v>18</v>
      </c>
      <c r="B894" s="37" t="s">
        <v>164</v>
      </c>
      <c r="C894" s="40" t="s">
        <v>625</v>
      </c>
      <c r="D894" s="55">
        <f t="shared" ca="1" si="209"/>
        <v>0</v>
      </c>
      <c r="F894" s="49">
        <f t="shared" ca="1" si="210"/>
        <v>0</v>
      </c>
      <c r="H894" s="49">
        <f t="shared" ca="1" si="211"/>
        <v>0</v>
      </c>
      <c r="I894" s="49">
        <f t="shared" ca="1" si="212"/>
        <v>0</v>
      </c>
      <c r="L894" s="49">
        <f t="shared" ca="1" si="213"/>
        <v>0</v>
      </c>
      <c r="M894" s="49"/>
      <c r="N894" s="49">
        <f t="shared" ca="1" si="214"/>
        <v>0</v>
      </c>
      <c r="O894" s="49">
        <f t="shared" ca="1" si="215"/>
        <v>0</v>
      </c>
      <c r="P894" s="49">
        <f t="shared" ca="1" si="215"/>
        <v>0</v>
      </c>
      <c r="Q894" s="49">
        <f t="shared" ca="1" si="215"/>
        <v>0</v>
      </c>
      <c r="T894" s="274">
        <v>0</v>
      </c>
      <c r="U894" s="79"/>
      <c r="V894" s="39" t="s">
        <v>423</v>
      </c>
      <c r="W894" s="39"/>
      <c r="X894" s="39"/>
      <c r="Y894" s="39"/>
    </row>
    <row r="895" spans="1:25" x14ac:dyDescent="0.2">
      <c r="A895" s="49">
        <v>20</v>
      </c>
      <c r="B895" s="37" t="s">
        <v>165</v>
      </c>
      <c r="C895" s="40" t="s">
        <v>1084</v>
      </c>
      <c r="D895" s="55">
        <f t="shared" ca="1" si="209"/>
        <v>0</v>
      </c>
      <c r="F895" s="49">
        <f t="shared" ca="1" si="210"/>
        <v>0</v>
      </c>
      <c r="H895" s="49">
        <f t="shared" ca="1" si="211"/>
        <v>0</v>
      </c>
      <c r="I895" s="49">
        <f t="shared" ca="1" si="212"/>
        <v>0</v>
      </c>
      <c r="L895" s="49">
        <f t="shared" ca="1" si="213"/>
        <v>0</v>
      </c>
      <c r="M895" s="49"/>
      <c r="N895" s="49">
        <f t="shared" ca="1" si="214"/>
        <v>0</v>
      </c>
      <c r="O895" s="49">
        <f t="shared" ca="1" si="215"/>
        <v>0</v>
      </c>
      <c r="P895" s="49">
        <f t="shared" ca="1" si="215"/>
        <v>0</v>
      </c>
      <c r="Q895" s="49">
        <f t="shared" ca="1" si="215"/>
        <v>0</v>
      </c>
      <c r="T895" s="274">
        <v>0</v>
      </c>
      <c r="U895" s="79"/>
      <c r="V895" s="39" t="s">
        <v>423</v>
      </c>
      <c r="W895" s="39"/>
      <c r="X895" s="39"/>
      <c r="Y895" s="39"/>
    </row>
    <row r="896" spans="1:25" x14ac:dyDescent="0.2">
      <c r="A896" s="49">
        <v>21</v>
      </c>
      <c r="B896" s="37" t="s">
        <v>166</v>
      </c>
      <c r="C896" s="40" t="s">
        <v>958</v>
      </c>
      <c r="D896" s="55">
        <f t="shared" ca="1" si="209"/>
        <v>0</v>
      </c>
      <c r="F896" s="49">
        <f t="shared" ca="1" si="210"/>
        <v>0</v>
      </c>
      <c r="H896" s="49">
        <f t="shared" ca="1" si="211"/>
        <v>0</v>
      </c>
      <c r="I896" s="49">
        <f t="shared" ca="1" si="212"/>
        <v>0</v>
      </c>
      <c r="L896" s="49">
        <f t="shared" ca="1" si="213"/>
        <v>0</v>
      </c>
      <c r="M896" s="49"/>
      <c r="N896" s="49" t="s">
        <v>2400</v>
      </c>
      <c r="O896" s="49">
        <f t="shared" ca="1" si="215"/>
        <v>0</v>
      </c>
      <c r="P896" s="49">
        <f t="shared" ca="1" si="215"/>
        <v>0</v>
      </c>
      <c r="Q896" s="49">
        <f t="shared" ca="1" si="215"/>
        <v>0</v>
      </c>
      <c r="T896" s="274">
        <v>0</v>
      </c>
      <c r="U896" s="79"/>
      <c r="V896" s="39" t="s">
        <v>423</v>
      </c>
      <c r="W896" s="39"/>
      <c r="X896" s="39"/>
      <c r="Y896" s="39"/>
    </row>
    <row r="897" spans="1:25" x14ac:dyDescent="0.2">
      <c r="A897" s="49">
        <v>22</v>
      </c>
      <c r="B897" s="37" t="s">
        <v>167</v>
      </c>
      <c r="C897" s="47"/>
      <c r="D897" s="55">
        <f t="shared" ca="1" si="209"/>
        <v>89931576.000000015</v>
      </c>
      <c r="F897" s="49">
        <f ca="1">SUM(F891:F896)</f>
        <v>84144180.918383867</v>
      </c>
      <c r="H897" s="49">
        <f ca="1">SUM(H891:H896)</f>
        <v>3907889.6670546061</v>
      </c>
      <c r="I897" s="49">
        <f t="shared" ca="1" si="212"/>
        <v>1879505.4145615399</v>
      </c>
      <c r="L897" s="49">
        <f ca="1">SUM(L891:L896)</f>
        <v>268.68863240390107</v>
      </c>
      <c r="M897" s="49"/>
      <c r="N897" s="49">
        <f t="shared" ca="1" si="214"/>
        <v>1879236.7259291359</v>
      </c>
      <c r="O897" s="49">
        <f ca="1">SUM(O891:O896)</f>
        <v>953096.34784122417</v>
      </c>
      <c r="P897" s="49">
        <f ca="1">SUM(P891:P896)</f>
        <v>926140.37808791187</v>
      </c>
      <c r="Q897" s="49">
        <f ca="1">SUM(Q891:Q896)</f>
        <v>0</v>
      </c>
      <c r="T897" s="47"/>
      <c r="W897" s="39"/>
    </row>
    <row r="898" spans="1:25" x14ac:dyDescent="0.2">
      <c r="C898" s="47"/>
      <c r="W898" s="39"/>
    </row>
    <row r="899" spans="1:25" x14ac:dyDescent="0.2">
      <c r="A899" s="49">
        <v>23</v>
      </c>
      <c r="B899" s="37" t="s">
        <v>643</v>
      </c>
      <c r="C899" s="40" t="s">
        <v>644</v>
      </c>
      <c r="D899" s="55">
        <f ca="1">SUM(F899:I899)+K899</f>
        <v>980981.36999999965</v>
      </c>
      <c r="F899" s="49">
        <f ca="1">INDEX(INDIRECT($C899),1,F$12+1)*$T899</f>
        <v>951646.55364259344</v>
      </c>
      <c r="H899" s="49">
        <f ca="1">INDEX(INDIRECT($C899),1,H$12+1)*$T899</f>
        <v>29334.816357406231</v>
      </c>
      <c r="I899" s="49">
        <f t="shared" ref="I899:I906" ca="1" si="216">(L899+M899+N899)</f>
        <v>0</v>
      </c>
      <c r="L899" s="49">
        <f ca="1">INDEX(INDIRECT($C899),1,L$12+1)*$T899</f>
        <v>0</v>
      </c>
      <c r="M899" s="49"/>
      <c r="N899" s="49">
        <f t="shared" ref="N899:N906" ca="1" si="217">SUM(O899:Q899)</f>
        <v>0</v>
      </c>
      <c r="O899" s="49">
        <f t="shared" ref="O899:Q901" ca="1" si="218">INDEX(INDIRECT($C899),1,O$12+1)*$T899</f>
        <v>0</v>
      </c>
      <c r="P899" s="49">
        <f t="shared" ca="1" si="218"/>
        <v>0</v>
      </c>
      <c r="Q899" s="49">
        <f t="shared" ca="1" si="218"/>
        <v>0</v>
      </c>
      <c r="T899" s="274">
        <f>BS!P241*1000</f>
        <v>980981.36999999965</v>
      </c>
      <c r="U899" s="39"/>
      <c r="V899" s="39" t="s">
        <v>1425</v>
      </c>
      <c r="W899" s="39"/>
      <c r="X899" s="39"/>
      <c r="Y899" s="39"/>
    </row>
    <row r="900" spans="1:25" x14ac:dyDescent="0.2">
      <c r="A900" s="49">
        <v>24</v>
      </c>
      <c r="B900" s="59" t="s">
        <v>68</v>
      </c>
      <c r="C900" s="40" t="s">
        <v>646</v>
      </c>
      <c r="D900" s="55">
        <f>T900</f>
        <v>30898393.370000001</v>
      </c>
      <c r="F900" s="49">
        <v>0</v>
      </c>
      <c r="H900" s="49">
        <f ca="1">INDEX(INDIRECT($C900),1,H$12+1)*$T900</f>
        <v>1710542.4421739152</v>
      </c>
      <c r="I900" s="49">
        <f t="shared" ca="1" si="216"/>
        <v>1.0102626508301783E-2</v>
      </c>
      <c r="L900" s="49">
        <f ca="1">INDEX(INDIRECT($C900),1,L$12+1)*$T900</f>
        <v>0</v>
      </c>
      <c r="M900" s="49"/>
      <c r="N900" s="49">
        <f t="shared" ca="1" si="217"/>
        <v>1.0102626508301783E-2</v>
      </c>
      <c r="O900" s="49">
        <f t="shared" ca="1" si="218"/>
        <v>1.0102626508301783E-2</v>
      </c>
      <c r="P900" s="49">
        <f t="shared" ca="1" si="218"/>
        <v>0</v>
      </c>
      <c r="Q900" s="49">
        <f t="shared" ca="1" si="218"/>
        <v>0</v>
      </c>
      <c r="T900" s="274">
        <f>BS!P195*1000</f>
        <v>30898393.370000001</v>
      </c>
      <c r="U900" s="39"/>
      <c r="V900" s="39" t="s">
        <v>1424</v>
      </c>
      <c r="W900" s="39"/>
      <c r="X900" s="39"/>
      <c r="Y900" s="39"/>
    </row>
    <row r="901" spans="1:25" x14ac:dyDescent="0.2">
      <c r="A901" s="49">
        <v>25</v>
      </c>
      <c r="B901" s="37" t="s">
        <v>696</v>
      </c>
      <c r="C901" s="40" t="s">
        <v>687</v>
      </c>
      <c r="D901" s="55">
        <f ca="1">SUM(F901:I901)+K901</f>
        <v>-91173</v>
      </c>
      <c r="F901" s="49">
        <f ca="1">INDEX(INDIRECT($C901),1,F$12+1)*$T901</f>
        <v>0</v>
      </c>
      <c r="H901" s="49">
        <f ca="1">INDEX(INDIRECT($C901),1,H$12+1)*$T901</f>
        <v>-91173</v>
      </c>
      <c r="I901" s="49">
        <f t="shared" ca="1" si="216"/>
        <v>0</v>
      </c>
      <c r="L901" s="49">
        <f ca="1">INDEX(INDIRECT($C901),1,L$12+1)*$T901</f>
        <v>0</v>
      </c>
      <c r="M901" s="49"/>
      <c r="N901" s="49">
        <f t="shared" ca="1" si="217"/>
        <v>0</v>
      </c>
      <c r="O901" s="49">
        <f t="shared" ca="1" si="218"/>
        <v>0</v>
      </c>
      <c r="P901" s="49">
        <f t="shared" ca="1" si="218"/>
        <v>0</v>
      </c>
      <c r="Q901" s="49">
        <f t="shared" ca="1" si="218"/>
        <v>0</v>
      </c>
      <c r="T901" s="274">
        <f>-91173</f>
        <v>-91173</v>
      </c>
      <c r="U901" s="39"/>
      <c r="V901" s="39" t="s">
        <v>2670</v>
      </c>
      <c r="W901" s="39"/>
      <c r="X901" s="39"/>
      <c r="Y901" s="39"/>
    </row>
    <row r="902" spans="1:25" x14ac:dyDescent="0.2">
      <c r="A902" s="49">
        <v>26</v>
      </c>
      <c r="B902" s="59" t="s">
        <v>67</v>
      </c>
      <c r="C902" s="40" t="s">
        <v>677</v>
      </c>
      <c r="D902" s="55">
        <f>T902</f>
        <v>18730630.045384593</v>
      </c>
      <c r="F902" s="49">
        <v>0</v>
      </c>
      <c r="H902" s="49">
        <f ca="1">INDEX(INDIRECT($C902),1,H$12+1)*$T902</f>
        <v>886854.04044750531</v>
      </c>
      <c r="I902" s="49">
        <f t="shared" ca="1" si="216"/>
        <v>9.983713851556715E-13</v>
      </c>
      <c r="L902" s="49">
        <v>0</v>
      </c>
      <c r="M902" s="49"/>
      <c r="N902" s="49">
        <f t="shared" ca="1" si="217"/>
        <v>9.983713851556715E-13</v>
      </c>
      <c r="O902" s="49">
        <v>0</v>
      </c>
      <c r="P902" s="49">
        <v>0</v>
      </c>
      <c r="Q902" s="49">
        <f ca="1">INDEX(INDIRECT($C902),1,Q$12+1)*$T902</f>
        <v>9.983713851556715E-13</v>
      </c>
      <c r="T902" s="274">
        <f>BS!P266*1000</f>
        <v>18730630.045384593</v>
      </c>
      <c r="U902" s="39"/>
      <c r="V902" s="73" t="s">
        <v>2424</v>
      </c>
      <c r="W902" s="39"/>
      <c r="X902" s="39"/>
      <c r="Y902" s="39"/>
    </row>
    <row r="903" spans="1:25" x14ac:dyDescent="0.2">
      <c r="A903" s="49">
        <v>27</v>
      </c>
      <c r="B903" s="59" t="s">
        <v>1382</v>
      </c>
      <c r="C903" s="40" t="s">
        <v>677</v>
      </c>
      <c r="D903" s="55">
        <f>T903</f>
        <v>6921646.9999999981</v>
      </c>
      <c r="F903" s="49">
        <v>0</v>
      </c>
      <c r="H903" s="49">
        <v>0</v>
      </c>
      <c r="I903" s="49">
        <f t="shared" ca="1" si="216"/>
        <v>82431.071509685571</v>
      </c>
      <c r="L903" s="49">
        <v>0</v>
      </c>
      <c r="M903" s="49"/>
      <c r="N903" s="49">
        <f t="shared" ca="1" si="217"/>
        <v>82431.071509685571</v>
      </c>
      <c r="O903" s="49">
        <f t="shared" ref="O903:P905" ca="1" si="219">INDEX(INDIRECT($C903),1,O$12+1)*$T903</f>
        <v>42969.645203490792</v>
      </c>
      <c r="P903" s="49">
        <f t="shared" ca="1" si="219"/>
        <v>39461.426306194786</v>
      </c>
      <c r="Q903" s="49">
        <f ca="1">INDEX(INDIRECT($C903),1,Q$12+1)*$T903</f>
        <v>3.689344291251633E-13</v>
      </c>
      <c r="T903" s="274">
        <f>SUM(BS!C264:O264)/13*1000</f>
        <v>6921646.9999999981</v>
      </c>
      <c r="U903" s="39"/>
      <c r="V903" s="73" t="s">
        <v>1383</v>
      </c>
      <c r="W903" s="39"/>
      <c r="X903" s="39"/>
      <c r="Y903" s="39"/>
    </row>
    <row r="904" spans="1:25" x14ac:dyDescent="0.2">
      <c r="A904" s="49">
        <v>28</v>
      </c>
      <c r="B904" s="59" t="s">
        <v>1384</v>
      </c>
      <c r="C904" s="40" t="s">
        <v>677</v>
      </c>
      <c r="D904" s="55">
        <f>T904</f>
        <v>6465681.3499999996</v>
      </c>
      <c r="F904" s="49">
        <v>0</v>
      </c>
      <c r="H904" s="49">
        <v>0</v>
      </c>
      <c r="I904" s="49">
        <f t="shared" ca="1" si="216"/>
        <v>77000.89902312131</v>
      </c>
      <c r="L904" s="49">
        <v>0</v>
      </c>
      <c r="M904" s="49"/>
      <c r="N904" s="49">
        <f t="shared" ca="1" si="217"/>
        <v>77000.89902312131</v>
      </c>
      <c r="O904" s="49">
        <f t="shared" ca="1" si="219"/>
        <v>40139.006454435985</v>
      </c>
      <c r="P904" s="49">
        <f t="shared" ca="1" si="219"/>
        <v>36861.892568685318</v>
      </c>
      <c r="Q904" s="49">
        <f ca="1">INDEX(INDIRECT($C904),1,Q$12+1)*$T904</f>
        <v>3.4463075880169356E-13</v>
      </c>
      <c r="T904" s="274">
        <f>SUM(BS!C212:O212)/13*1000</f>
        <v>6465681.3499999996</v>
      </c>
      <c r="U904" s="39"/>
      <c r="V904" s="73" t="s">
        <v>1385</v>
      </c>
      <c r="W904" s="39"/>
      <c r="X904" s="39"/>
      <c r="Y904" s="39"/>
    </row>
    <row r="905" spans="1:25" x14ac:dyDescent="0.2">
      <c r="A905" s="49">
        <v>29</v>
      </c>
      <c r="B905" s="59" t="s">
        <v>1386</v>
      </c>
      <c r="C905" s="40" t="s">
        <v>677</v>
      </c>
      <c r="D905" s="55">
        <f>T905</f>
        <v>1944142.0800000003</v>
      </c>
      <c r="F905" s="49">
        <v>0</v>
      </c>
      <c r="H905" s="49">
        <v>0</v>
      </c>
      <c r="I905" s="49">
        <f t="shared" ca="1" si="216"/>
        <v>23153.118733369229</v>
      </c>
      <c r="L905" s="49">
        <v>0</v>
      </c>
      <c r="M905" s="49"/>
      <c r="N905" s="49">
        <f t="shared" ca="1" si="217"/>
        <v>23153.118733369229</v>
      </c>
      <c r="O905" s="49">
        <f t="shared" ca="1" si="219"/>
        <v>12069.251061600895</v>
      </c>
      <c r="P905" s="49">
        <f t="shared" ca="1" si="219"/>
        <v>11083.867671768334</v>
      </c>
      <c r="Q905" s="49">
        <f ca="1">INDEX(INDIRECT($C905),1,Q$12+1)*$T905</f>
        <v>1.0362576254221111E-13</v>
      </c>
      <c r="T905" s="274">
        <f>SUM(BS!C213:O213)/13*1000</f>
        <v>1944142.0800000003</v>
      </c>
      <c r="U905" s="39"/>
      <c r="V905" s="73" t="s">
        <v>1387</v>
      </c>
      <c r="W905" s="39"/>
      <c r="X905" s="39"/>
      <c r="Y905" s="39"/>
    </row>
    <row r="906" spans="1:25" x14ac:dyDescent="0.2">
      <c r="A906" s="49">
        <v>30</v>
      </c>
      <c r="B906" s="37" t="s">
        <v>168</v>
      </c>
      <c r="C906" s="47"/>
      <c r="D906" s="49">
        <f ca="1">D888+D897+D899+D900+D901+D902+D903+D904+D905</f>
        <v>1560597355.2153842</v>
      </c>
      <c r="F906" s="49">
        <f ca="1">F888+F897+F899+F900+F901+F902+F903+F904+F905</f>
        <v>1402985263.5581381</v>
      </c>
      <c r="H906" s="49">
        <f ca="1">H888+H897+H899+H900+H901+H902+H903+H904+H905</f>
        <v>74020198.892355382</v>
      </c>
      <c r="I906" s="49">
        <f t="shared" ca="1" si="216"/>
        <v>21411380.501496658</v>
      </c>
      <c r="L906" s="49">
        <f ca="1">L888+L897+L899+L900+L901+L902+L903+L904+L905</f>
        <v>97948.647611923094</v>
      </c>
      <c r="M906" s="49"/>
      <c r="N906" s="49">
        <f t="shared" ca="1" si="217"/>
        <v>21313431.853884734</v>
      </c>
      <c r="O906" s="49">
        <f ca="1">O888+O897+O899+O900+O901+O902+O903+O904+O905</f>
        <v>11071277.73538713</v>
      </c>
      <c r="P906" s="49">
        <f ca="1">P888+P897+P899+P900+P901+P902+P903+P904+P905</f>
        <v>10242154.118497605</v>
      </c>
      <c r="Q906" s="49">
        <f ca="1">Q888+Q897+Q899+Q900+Q901+Q902+Q903+Q904+Q905</f>
        <v>3.9331520013117364E-12</v>
      </c>
      <c r="T906" s="47"/>
      <c r="V906" s="73"/>
      <c r="W906" s="39"/>
    </row>
    <row r="907" spans="1:25" x14ac:dyDescent="0.2">
      <c r="C907" s="47"/>
      <c r="T907" s="383"/>
      <c r="W907" s="39"/>
    </row>
    <row r="908" spans="1:25" x14ac:dyDescent="0.2">
      <c r="A908" s="49">
        <v>31</v>
      </c>
      <c r="B908" s="37" t="s">
        <v>1032</v>
      </c>
      <c r="C908" s="47"/>
      <c r="D908" s="49">
        <f ca="1">D807+D861-D906</f>
        <v>5586582932.2571783</v>
      </c>
      <c r="F908" s="49">
        <f ca="1">F807+F861-F906</f>
        <v>5299519247.5164509</v>
      </c>
      <c r="H908" s="49">
        <f ca="1">H807+H861-H906</f>
        <v>267523170.52161622</v>
      </c>
      <c r="I908" s="49">
        <f ca="1">(L908+M908+N908)</f>
        <v>81721026.482505113</v>
      </c>
      <c r="L908" s="49">
        <f ca="1">L807+L861-L906</f>
        <v>433424.77757689013</v>
      </c>
      <c r="M908" s="49"/>
      <c r="N908" s="49">
        <f ca="1">SUM(O908:Q908)</f>
        <v>81287601.704928219</v>
      </c>
      <c r="O908" s="49">
        <f ca="1">O807+O861-O906</f>
        <v>42169762.772069015</v>
      </c>
      <c r="P908" s="49">
        <f ca="1">P807+P861-P906</f>
        <v>39117838.932859212</v>
      </c>
      <c r="Q908" s="49">
        <f ca="1">Q807+Q861-Q906</f>
        <v>8.478121058865866E-12</v>
      </c>
      <c r="T908" s="383"/>
      <c r="W908" s="39"/>
    </row>
    <row r="909" spans="1:25" x14ac:dyDescent="0.2">
      <c r="C909" s="47"/>
      <c r="T909" s="383"/>
      <c r="W909" s="39"/>
    </row>
    <row r="910" spans="1:25" x14ac:dyDescent="0.2">
      <c r="C910" s="47"/>
      <c r="F910" s="24"/>
      <c r="T910" s="383"/>
      <c r="W910" s="39"/>
    </row>
    <row r="911" spans="1:25" x14ac:dyDescent="0.2">
      <c r="B911" s="53" t="s">
        <v>1140</v>
      </c>
      <c r="C911" s="47"/>
      <c r="F911" s="24"/>
      <c r="T911" s="47"/>
      <c r="W911" s="39"/>
    </row>
    <row r="912" spans="1:25" x14ac:dyDescent="0.2">
      <c r="C912" s="47"/>
      <c r="F912" s="24"/>
      <c r="W912" s="39"/>
    </row>
    <row r="913" spans="1:25" x14ac:dyDescent="0.2">
      <c r="B913" s="37" t="s">
        <v>169</v>
      </c>
      <c r="W913" s="39"/>
    </row>
    <row r="914" spans="1:25" x14ac:dyDescent="0.2">
      <c r="A914" s="49">
        <v>1</v>
      </c>
      <c r="B914" s="195" t="s">
        <v>1252</v>
      </c>
      <c r="C914" s="47"/>
      <c r="D914" s="55">
        <f t="shared" ref="D914:D920" si="220">SUM(F914:I914)+K914</f>
        <v>665780256.86918175</v>
      </c>
      <c r="F914" s="49">
        <f>F254</f>
        <v>627615321.31252027</v>
      </c>
      <c r="H914" s="49">
        <f>H254</f>
        <v>38164935.556661539</v>
      </c>
      <c r="I914" s="49">
        <f t="shared" ref="I914:I920" si="221">(L914+M914+N914)</f>
        <v>0</v>
      </c>
      <c r="L914" s="49">
        <f>L254</f>
        <v>0</v>
      </c>
      <c r="M914" s="49"/>
      <c r="N914" s="49">
        <f t="shared" ref="N914:N920" si="222">SUM(O914:Q914)</f>
        <v>0</v>
      </c>
      <c r="O914" s="49">
        <f t="shared" ref="O914:Q915" si="223">O254</f>
        <v>0</v>
      </c>
      <c r="P914" s="49">
        <f t="shared" si="223"/>
        <v>0</v>
      </c>
      <c r="Q914" s="49">
        <f t="shared" si="223"/>
        <v>0</v>
      </c>
      <c r="W914" s="39"/>
    </row>
    <row r="915" spans="1:25" x14ac:dyDescent="0.2">
      <c r="A915" s="49">
        <v>2</v>
      </c>
      <c r="B915" s="195" t="s">
        <v>1366</v>
      </c>
      <c r="C915" s="47"/>
      <c r="D915" s="55">
        <f t="shared" si="220"/>
        <v>416945597.73430771</v>
      </c>
      <c r="F915" s="49">
        <f>F255</f>
        <v>399084022.75055635</v>
      </c>
      <c r="H915" s="49">
        <f>H255</f>
        <v>17861574.983751338</v>
      </c>
      <c r="I915" s="49">
        <f t="shared" si="221"/>
        <v>0</v>
      </c>
      <c r="L915" s="49">
        <f>L255</f>
        <v>0</v>
      </c>
      <c r="M915" s="49"/>
      <c r="N915" s="49">
        <f t="shared" si="222"/>
        <v>0</v>
      </c>
      <c r="O915" s="49">
        <f t="shared" si="223"/>
        <v>0</v>
      </c>
      <c r="P915" s="49">
        <f t="shared" si="223"/>
        <v>0</v>
      </c>
      <c r="Q915" s="49">
        <f t="shared" si="223"/>
        <v>0</v>
      </c>
      <c r="W915" s="39"/>
    </row>
    <row r="916" spans="1:25" x14ac:dyDescent="0.2">
      <c r="A916" s="49">
        <v>3</v>
      </c>
      <c r="B916" s="195" t="s">
        <v>1253</v>
      </c>
      <c r="C916" s="47"/>
      <c r="D916" s="55">
        <f t="shared" si="220"/>
        <v>432591682.68587506</v>
      </c>
      <c r="F916" s="49">
        <f>F257</f>
        <v>424467890.24351609</v>
      </c>
      <c r="H916" s="49">
        <f>H257</f>
        <v>8123792.442358966</v>
      </c>
      <c r="I916" s="49">
        <f t="shared" si="221"/>
        <v>0</v>
      </c>
      <c r="L916" s="49">
        <f>L257</f>
        <v>0</v>
      </c>
      <c r="M916" s="49"/>
      <c r="N916" s="49">
        <f t="shared" si="222"/>
        <v>0</v>
      </c>
      <c r="O916" s="49">
        <f>O257</f>
        <v>0</v>
      </c>
      <c r="P916" s="49">
        <f>P257</f>
        <v>0</v>
      </c>
      <c r="Q916" s="49">
        <f>Q257</f>
        <v>0</v>
      </c>
      <c r="W916" s="39"/>
    </row>
    <row r="917" spans="1:25" x14ac:dyDescent="0.2">
      <c r="A917" s="49">
        <v>4</v>
      </c>
      <c r="B917" s="195" t="s">
        <v>1254</v>
      </c>
      <c r="C917" s="47"/>
      <c r="D917" s="55">
        <f t="shared" si="220"/>
        <v>13596736.40943232</v>
      </c>
      <c r="F917" s="49">
        <f>F259</f>
        <v>13142540.284420729</v>
      </c>
      <c r="H917" s="49">
        <f>H259</f>
        <v>454196.12501159054</v>
      </c>
      <c r="I917" s="49">
        <f t="shared" si="221"/>
        <v>0</v>
      </c>
      <c r="L917" s="49">
        <f>L259</f>
        <v>0</v>
      </c>
      <c r="M917" s="49"/>
      <c r="N917" s="49">
        <f t="shared" si="222"/>
        <v>0</v>
      </c>
      <c r="O917" s="49">
        <f t="shared" ref="O917:Q918" si="224">O259</f>
        <v>0</v>
      </c>
      <c r="P917" s="49">
        <f t="shared" si="224"/>
        <v>0</v>
      </c>
      <c r="Q917" s="49">
        <f t="shared" si="224"/>
        <v>0</v>
      </c>
      <c r="W917" s="39"/>
    </row>
    <row r="918" spans="1:25" x14ac:dyDescent="0.2">
      <c r="A918" s="49">
        <v>5</v>
      </c>
      <c r="B918" s="195" t="s">
        <v>1255</v>
      </c>
      <c r="C918" s="47"/>
      <c r="D918" s="55">
        <f t="shared" si="220"/>
        <v>130933810.87643737</v>
      </c>
      <c r="F918" s="49">
        <f>F260</f>
        <v>124371106.8708469</v>
      </c>
      <c r="H918" s="49">
        <f>H260</f>
        <v>6562704.0055904742</v>
      </c>
      <c r="I918" s="49">
        <f t="shared" si="221"/>
        <v>0</v>
      </c>
      <c r="L918" s="49">
        <f>L260</f>
        <v>0</v>
      </c>
      <c r="M918" s="49"/>
      <c r="N918" s="49">
        <f t="shared" si="222"/>
        <v>0</v>
      </c>
      <c r="O918" s="49">
        <f t="shared" si="224"/>
        <v>0</v>
      </c>
      <c r="P918" s="49">
        <f t="shared" si="224"/>
        <v>0</v>
      </c>
      <c r="Q918" s="49">
        <f t="shared" si="224"/>
        <v>0</v>
      </c>
      <c r="W918" s="39"/>
    </row>
    <row r="919" spans="1:25" x14ac:dyDescent="0.2">
      <c r="A919" s="49">
        <v>6</v>
      </c>
      <c r="B919" s="195" t="s">
        <v>1256</v>
      </c>
      <c r="C919" s="47"/>
      <c r="D919" s="55">
        <f t="shared" si="220"/>
        <v>24857217.745995708</v>
      </c>
      <c r="F919" s="49">
        <f>F262</f>
        <v>0</v>
      </c>
      <c r="H919" s="49">
        <f>H262</f>
        <v>0</v>
      </c>
      <c r="I919" s="49">
        <f t="shared" si="221"/>
        <v>24857217.745995708</v>
      </c>
      <c r="L919" s="49">
        <f>L262</f>
        <v>0</v>
      </c>
      <c r="M919" s="49"/>
      <c r="N919" s="49">
        <f t="shared" si="222"/>
        <v>24857217.745995708</v>
      </c>
      <c r="O919" s="49">
        <f>O262</f>
        <v>12585764.562653359</v>
      </c>
      <c r="P919" s="49">
        <f>P262</f>
        <v>12271453.183342351</v>
      </c>
      <c r="Q919" s="49">
        <f>Q262</f>
        <v>0</v>
      </c>
      <c r="W919" s="39"/>
    </row>
    <row r="920" spans="1:25" x14ac:dyDescent="0.2">
      <c r="A920" s="49">
        <v>7</v>
      </c>
      <c r="B920" s="59" t="s">
        <v>1454</v>
      </c>
      <c r="C920" s="40"/>
      <c r="D920" s="55">
        <f t="shared" si="220"/>
        <v>2969.5068393167198</v>
      </c>
      <c r="F920" s="49">
        <v>0</v>
      </c>
      <c r="H920" s="49">
        <f>T920</f>
        <v>2969.5068393167198</v>
      </c>
      <c r="I920" s="49">
        <f t="shared" si="221"/>
        <v>0</v>
      </c>
      <c r="L920" s="49">
        <v>0</v>
      </c>
      <c r="M920" s="49"/>
      <c r="N920" s="49">
        <f t="shared" si="222"/>
        <v>0</v>
      </c>
      <c r="O920" s="49">
        <v>0</v>
      </c>
      <c r="P920" s="49">
        <v>0</v>
      </c>
      <c r="Q920" s="49">
        <v>0</v>
      </c>
      <c r="T920" s="274">
        <f>Revenues!B14*1000</f>
        <v>2969.5068393167198</v>
      </c>
      <c r="U920" s="39"/>
      <c r="V920" s="39"/>
      <c r="W920" s="73" t="s">
        <v>1453</v>
      </c>
      <c r="X920" s="39"/>
      <c r="Y920" s="39"/>
    </row>
    <row r="921" spans="1:25" x14ac:dyDescent="0.2">
      <c r="A921" s="23">
        <v>8</v>
      </c>
      <c r="B921" s="59" t="s">
        <v>1258</v>
      </c>
      <c r="C921" s="47"/>
      <c r="W921" s="39"/>
    </row>
    <row r="922" spans="1:25" x14ac:dyDescent="0.2">
      <c r="A922" s="49">
        <v>9</v>
      </c>
      <c r="B922" s="59" t="s">
        <v>1270</v>
      </c>
      <c r="C922" s="40" t="s">
        <v>572</v>
      </c>
      <c r="D922" s="55">
        <f ca="1">SUM(F922:I922)+K922</f>
        <v>0</v>
      </c>
      <c r="F922" s="49">
        <f ca="1">INDEX(INDIRECT($C922),1,F$12+1)*$T922</f>
        <v>0</v>
      </c>
      <c r="H922" s="49">
        <f ca="1">INDEX(INDIRECT($C922),1,H$12+1)*$T922</f>
        <v>0</v>
      </c>
      <c r="I922" s="49">
        <f ca="1">(L922+M922+N922)</f>
        <v>0</v>
      </c>
      <c r="L922" s="49">
        <f ca="1">INDEX(INDIRECT($C922),1,L$12+1)*$T922</f>
        <v>0</v>
      </c>
      <c r="M922" s="49"/>
      <c r="N922" s="49">
        <f ca="1">SUM(O922:Q922)</f>
        <v>0</v>
      </c>
      <c r="O922" s="49">
        <f t="shared" ref="O922:Q923" ca="1" si="225">INDEX(INDIRECT($C922),1,O$12+1)*$T922</f>
        <v>0</v>
      </c>
      <c r="P922" s="49">
        <f t="shared" ca="1" si="225"/>
        <v>0</v>
      </c>
      <c r="Q922" s="49">
        <f t="shared" ca="1" si="225"/>
        <v>0</v>
      </c>
      <c r="T922" s="274">
        <v>0</v>
      </c>
      <c r="U922" s="39"/>
      <c r="V922" s="39"/>
      <c r="W922" s="39"/>
      <c r="X922" s="39"/>
      <c r="Y922" s="39"/>
    </row>
    <row r="923" spans="1:25" x14ac:dyDescent="0.2">
      <c r="A923" s="49">
        <v>10</v>
      </c>
      <c r="B923" s="59" t="s">
        <v>1271</v>
      </c>
      <c r="C923" s="40" t="s">
        <v>630</v>
      </c>
      <c r="D923" s="55">
        <f ca="1">SUM(F923:I923)+K923</f>
        <v>10135947.354481341</v>
      </c>
      <c r="F923" s="49">
        <f ca="1">INDEX(INDIRECT($C923),1,F$12+1)*$T923</f>
        <v>9538019.3014995866</v>
      </c>
      <c r="H923" s="49">
        <f ca="1">INDEX(INDIRECT($C923),1,H$12+1)*$T923</f>
        <v>389107.68511496321</v>
      </c>
      <c r="I923" s="49">
        <f ca="1">(L923+M923+N923)</f>
        <v>208820.36786679088</v>
      </c>
      <c r="L923" s="49">
        <f ca="1">INDEX(INDIRECT($C923),1,L$12+1)*$T923</f>
        <v>42.686962046929459</v>
      </c>
      <c r="M923" s="49"/>
      <c r="N923" s="49">
        <f ca="1">SUM(O923:Q923)</f>
        <v>208777.68090474396</v>
      </c>
      <c r="O923" s="49">
        <f t="shared" ca="1" si="225"/>
        <v>105726.6164070067</v>
      </c>
      <c r="P923" s="49">
        <f t="shared" ca="1" si="225"/>
        <v>103051.06449773727</v>
      </c>
      <c r="Q923" s="49">
        <f t="shared" ca="1" si="225"/>
        <v>0</v>
      </c>
      <c r="T923" s="274">
        <f>(IS!N40+IS!N42)*1000</f>
        <v>10135947.354481339</v>
      </c>
      <c r="U923" s="39"/>
      <c r="V923" s="39"/>
      <c r="W923" s="39"/>
      <c r="X923" s="39"/>
      <c r="Y923" s="39"/>
    </row>
    <row r="924" spans="1:25" x14ac:dyDescent="0.2">
      <c r="A924" s="49">
        <v>11</v>
      </c>
      <c r="B924" s="59" t="s">
        <v>1259</v>
      </c>
      <c r="C924" s="47"/>
      <c r="D924" s="55">
        <f ca="1">SUM(F924:I924)+K924</f>
        <v>10135947.354481341</v>
      </c>
      <c r="F924" s="49">
        <f ca="1">SUM(F922:F923)</f>
        <v>9538019.3014995866</v>
      </c>
      <c r="H924" s="49">
        <f ca="1">SUM(H922:H923)</f>
        <v>389107.68511496321</v>
      </c>
      <c r="I924" s="49">
        <f ca="1">(L924+M924+N924)</f>
        <v>208820.36786679088</v>
      </c>
      <c r="L924" s="49">
        <f ca="1">SUM(L922:L923)</f>
        <v>42.686962046929459</v>
      </c>
      <c r="M924" s="49"/>
      <c r="N924" s="49">
        <f ca="1">SUM(O924:Q924)</f>
        <v>208777.68090474396</v>
      </c>
      <c r="O924" s="49">
        <f ca="1">SUM(O922:O923)</f>
        <v>105726.6164070067</v>
      </c>
      <c r="P924" s="49">
        <f ca="1">SUM(P922:P923)</f>
        <v>103051.06449773727</v>
      </c>
      <c r="Q924" s="49">
        <f ca="1">SUM(Q922:Q923)</f>
        <v>0</v>
      </c>
      <c r="T924" s="244"/>
      <c r="W924" s="39"/>
    </row>
    <row r="925" spans="1:25" x14ac:dyDescent="0.2">
      <c r="C925" s="47"/>
      <c r="T925" s="244"/>
      <c r="W925" s="39"/>
    </row>
    <row r="926" spans="1:25" x14ac:dyDescent="0.2">
      <c r="A926" s="49">
        <v>12</v>
      </c>
      <c r="B926" s="101" t="s">
        <v>1257</v>
      </c>
      <c r="C926" s="47"/>
      <c r="D926" s="55">
        <f>SUM(F926:I926)+K926</f>
        <v>0</v>
      </c>
      <c r="F926" s="49">
        <f>F264</f>
        <v>0</v>
      </c>
      <c r="H926" s="49">
        <f>H264</f>
        <v>0</v>
      </c>
      <c r="I926" s="49">
        <f>(L926+M926+N926)</f>
        <v>0</v>
      </c>
      <c r="L926" s="49">
        <f>L264</f>
        <v>0</v>
      </c>
      <c r="M926" s="49"/>
      <c r="N926" s="49">
        <f>SUM(O926:Q926)</f>
        <v>0</v>
      </c>
      <c r="O926" s="49">
        <f>O264</f>
        <v>0</v>
      </c>
      <c r="P926" s="49">
        <f>P264</f>
        <v>0</v>
      </c>
      <c r="Q926" s="49">
        <f>Q264</f>
        <v>0</v>
      </c>
      <c r="T926" s="274">
        <v>0</v>
      </c>
      <c r="W926" s="39"/>
    </row>
    <row r="927" spans="1:25" x14ac:dyDescent="0.2">
      <c r="W927" s="39"/>
    </row>
    <row r="928" spans="1:25" x14ac:dyDescent="0.2">
      <c r="A928" s="49">
        <v>13</v>
      </c>
      <c r="B928" s="59" t="s">
        <v>1269</v>
      </c>
      <c r="D928" s="55">
        <f ca="1">SUM(F928:I928)+K928</f>
        <v>1694844219.1825507</v>
      </c>
      <c r="F928" s="49">
        <f ca="1">SUM(F914:F920)+F924+F926</f>
        <v>1598218900.76336</v>
      </c>
      <c r="H928" s="49">
        <f ca="1">SUM(H914:H920)+H924+H926</f>
        <v>71559280.30532819</v>
      </c>
      <c r="I928" s="49">
        <f ca="1">(L928+M928+N928)</f>
        <v>25066038.1138625</v>
      </c>
      <c r="L928" s="49">
        <f ca="1">SUM(L914:L920)+L924+L926</f>
        <v>42.686962046929459</v>
      </c>
      <c r="M928" s="49"/>
      <c r="N928" s="49">
        <f ca="1">SUM(O928:Q928)</f>
        <v>25065995.426900454</v>
      </c>
      <c r="O928" s="49">
        <f ca="1">SUM(O914:O920)+O924+O926</f>
        <v>12691491.179060366</v>
      </c>
      <c r="P928" s="49">
        <f ca="1">SUM(P914:P920)+P924+P926</f>
        <v>12374504.247840088</v>
      </c>
      <c r="Q928" s="49">
        <f ca="1">SUM(Q914:Q920)+Q924+Q926</f>
        <v>0</v>
      </c>
      <c r="T928" s="244"/>
      <c r="W928" s="39"/>
    </row>
    <row r="929" spans="1:29" x14ac:dyDescent="0.2">
      <c r="T929" s="244"/>
      <c r="W929" s="39"/>
    </row>
    <row r="930" spans="1:29" x14ac:dyDescent="0.2">
      <c r="B930" s="37" t="s">
        <v>170</v>
      </c>
      <c r="C930" s="47"/>
      <c r="T930" s="244"/>
      <c r="W930" s="39"/>
    </row>
    <row r="931" spans="1:29" x14ac:dyDescent="0.2">
      <c r="A931" s="49">
        <v>14</v>
      </c>
      <c r="B931" s="59" t="s">
        <v>1268</v>
      </c>
      <c r="C931" s="45" t="s">
        <v>1272</v>
      </c>
      <c r="D931" s="55">
        <f t="shared" ref="D931:D941" ca="1" si="226">SUM(F931:I931)+K931</f>
        <v>3962819.9333333327</v>
      </c>
      <c r="F931" s="46">
        <f ca="1">INDEX(INDIRECT($C931),1,F$12+1)*$T931</f>
        <v>3803817.2532682326</v>
      </c>
      <c r="H931" s="49">
        <f t="shared" ref="H931:H942" ca="1" si="227">INDEX(INDIRECT($C931),1,H$12+1)*$T931</f>
        <v>158910.25599425804</v>
      </c>
      <c r="I931" s="49">
        <f t="shared" ref="I931:I944" ca="1" si="228">(L931+M931+N931)</f>
        <v>92.424070842210355</v>
      </c>
      <c r="L931" s="49">
        <f ca="1">INDEX(INDIRECT($C931),1,L$12+1)*$T931</f>
        <v>0</v>
      </c>
      <c r="M931" s="49"/>
      <c r="N931" s="49">
        <f t="shared" ref="N931:N944" ca="1" si="229">SUM(O931:Q931)</f>
        <v>92.424070842210355</v>
      </c>
      <c r="O931" s="49">
        <f ca="1">INDEX(INDIRECT($C931),1,O$12+1)*$T931</f>
        <v>5.7637833968665726</v>
      </c>
      <c r="P931" s="49">
        <f ca="1">INDEX(INDIRECT($C931),1,P$12+1)*$T931</f>
        <v>86.660287445343783</v>
      </c>
      <c r="Q931" s="49">
        <f ca="1">INDEX(INDIRECT($C931),1,Q$12+1)*$T931</f>
        <v>0</v>
      </c>
      <c r="T931" s="274">
        <f>MiscRev!N2+MiscRev!N3</f>
        <v>3962819.9333333336</v>
      </c>
      <c r="U931" s="39"/>
      <c r="V931" s="39"/>
      <c r="W931" s="39"/>
      <c r="X931" s="39"/>
      <c r="Y931" s="39"/>
    </row>
    <row r="932" spans="1:29" x14ac:dyDescent="0.2">
      <c r="A932" s="49">
        <v>15</v>
      </c>
      <c r="B932" s="59" t="s">
        <v>1260</v>
      </c>
      <c r="C932" s="45" t="s">
        <v>1274</v>
      </c>
      <c r="D932" s="55">
        <f t="shared" ca="1" si="226"/>
        <v>2253137.8000000003</v>
      </c>
      <c r="F932" s="46">
        <f ca="1">INDEX(INDIRECT($C932),1,F$12+1)*$T932</f>
        <v>2110069.1081305002</v>
      </c>
      <c r="H932" s="49">
        <f t="shared" ca="1" si="227"/>
        <v>143068.69186950012</v>
      </c>
      <c r="I932" s="49">
        <f t="shared" ca="1" si="228"/>
        <v>0</v>
      </c>
      <c r="L932" s="49">
        <f t="shared" ref="L932:L941" ca="1" si="230">INDEX(INDIRECT($C932),1,L$12+1)*$T932</f>
        <v>0</v>
      </c>
      <c r="M932" s="49"/>
      <c r="N932" s="49">
        <f t="shared" ca="1" si="229"/>
        <v>0</v>
      </c>
      <c r="O932" s="49">
        <f t="shared" ref="O932:Q933" ca="1" si="231">INDEX(INDIRECT($C932),1,O$12+1)*$T932</f>
        <v>0</v>
      </c>
      <c r="P932" s="49">
        <f t="shared" ca="1" si="231"/>
        <v>0</v>
      </c>
      <c r="Q932" s="49">
        <f t="shared" ca="1" si="231"/>
        <v>0</v>
      </c>
      <c r="T932" s="274">
        <f>MiscRev!N4+MiscRev!N6</f>
        <v>2253137.8000000003</v>
      </c>
      <c r="U932" s="39"/>
      <c r="V932" s="39"/>
      <c r="W932" s="39"/>
      <c r="X932" s="39"/>
      <c r="Y932" s="39"/>
    </row>
    <row r="933" spans="1:29" x14ac:dyDescent="0.2">
      <c r="A933" s="49">
        <v>16</v>
      </c>
      <c r="B933" s="59" t="s">
        <v>1261</v>
      </c>
      <c r="C933" s="45" t="s">
        <v>1276</v>
      </c>
      <c r="D933" s="55">
        <f t="shared" ca="1" si="226"/>
        <v>59718.7933333334</v>
      </c>
      <c r="F933" s="46">
        <f ca="1">INDEX(INDIRECT($C933),1,F$12+1)*$T933</f>
        <v>59264.561379314859</v>
      </c>
      <c r="H933" s="49">
        <f t="shared" ca="1" si="227"/>
        <v>454.23195401854167</v>
      </c>
      <c r="I933" s="49">
        <f t="shared" ca="1" si="228"/>
        <v>0</v>
      </c>
      <c r="L933" s="49">
        <f t="shared" ca="1" si="230"/>
        <v>0</v>
      </c>
      <c r="M933" s="49"/>
      <c r="N933" s="49">
        <f t="shared" ca="1" si="229"/>
        <v>0</v>
      </c>
      <c r="O933" s="49">
        <f t="shared" ca="1" si="231"/>
        <v>0</v>
      </c>
      <c r="P933" s="49">
        <f t="shared" ca="1" si="231"/>
        <v>0</v>
      </c>
      <c r="Q933" s="49">
        <f t="shared" ca="1" si="231"/>
        <v>0</v>
      </c>
      <c r="T933" s="274">
        <f>MiscRev!N5</f>
        <v>59718.7933333334</v>
      </c>
      <c r="Z933" s="39"/>
      <c r="AA933" s="89"/>
    </row>
    <row r="934" spans="1:29" x14ac:dyDescent="0.2">
      <c r="A934" s="49">
        <v>17</v>
      </c>
      <c r="B934" s="59" t="s">
        <v>1262</v>
      </c>
      <c r="C934" s="45" t="s">
        <v>1277</v>
      </c>
      <c r="D934" s="55">
        <f t="shared" ca="1" si="226"/>
        <v>3695780.1399999964</v>
      </c>
      <c r="F934" s="46">
        <f ca="1">INDEX(INDIRECT($C934),1,F$12+1)*$T934</f>
        <v>3139768.4099999964</v>
      </c>
      <c r="H934" s="49">
        <f t="shared" ca="1" si="227"/>
        <v>387734.87</v>
      </c>
      <c r="I934" s="49">
        <f t="shared" ca="1" si="228"/>
        <v>168276.86000000002</v>
      </c>
      <c r="L934" s="49">
        <f t="shared" ca="1" si="230"/>
        <v>57.5</v>
      </c>
      <c r="M934" s="49"/>
      <c r="N934" s="49">
        <f t="shared" ca="1" si="229"/>
        <v>168219.36000000002</v>
      </c>
      <c r="O934" s="49">
        <f ca="1">INDEX(INDIRECT($C934),1,O$12+1)*$T934</f>
        <v>168219.36000000002</v>
      </c>
      <c r="P934" s="49">
        <f ca="1">INDEX(INDIRECT($C934),1,P$12+1)*$T934</f>
        <v>0</v>
      </c>
      <c r="Q934" s="49">
        <f ca="1">INDEX(INDIRECT($C934),1,Q$12+1)*$T934</f>
        <v>0</v>
      </c>
      <c r="T934" s="274">
        <f>SUM(MiscRev!N7:N9)+MiscRev!N11</f>
        <v>3695780.1399999964</v>
      </c>
    </row>
    <row r="935" spans="1:29" x14ac:dyDescent="0.2">
      <c r="A935" s="49">
        <v>18</v>
      </c>
      <c r="B935" s="59" t="s">
        <v>2573</v>
      </c>
      <c r="C935" s="45" t="s">
        <v>1267</v>
      </c>
      <c r="D935" s="55">
        <f ca="1">SUM(F935:I935)+K935</f>
        <v>5720.6799999999994</v>
      </c>
      <c r="F935" s="46">
        <f t="shared" ref="F935:F942" ca="1" si="232">INDEX(INDIRECT($C935),1,F$12+1)*$T935</f>
        <v>5720.6799999999994</v>
      </c>
      <c r="H935" s="49">
        <f t="shared" ca="1" si="227"/>
        <v>0</v>
      </c>
      <c r="I935" s="49">
        <f t="shared" ca="1" si="228"/>
        <v>0</v>
      </c>
      <c r="L935" s="49">
        <f t="shared" ca="1" si="230"/>
        <v>0</v>
      </c>
      <c r="M935" s="49"/>
      <c r="N935" s="49">
        <f ca="1">SUM(O935:Q935)</f>
        <v>0</v>
      </c>
      <c r="O935" s="49">
        <f ca="1">INDEX(INDIRECT($C935),1,O$12+1)*$T935</f>
        <v>0</v>
      </c>
      <c r="P935" s="49">
        <f ca="1">INDEX(INDIRECT($C935),1,P$12+1)*$T935</f>
        <v>0</v>
      </c>
      <c r="Q935" s="49">
        <f t="shared" ref="Q935:Q942" ca="1" si="233">INDEX(INDIRECT($C935),1,Q$12+1)*$T935</f>
        <v>0</v>
      </c>
      <c r="T935" s="274">
        <f>MiscRev!N10</f>
        <v>5720.6799999999994</v>
      </c>
      <c r="V935" s="149" t="s">
        <v>935</v>
      </c>
      <c r="W935" s="149" t="s">
        <v>937</v>
      </c>
      <c r="X935" s="149" t="s">
        <v>1457</v>
      </c>
      <c r="Y935" s="149" t="s">
        <v>559</v>
      </c>
      <c r="Z935" s="149" t="s">
        <v>560</v>
      </c>
    </row>
    <row r="936" spans="1:29" x14ac:dyDescent="0.2">
      <c r="A936" s="49">
        <v>19</v>
      </c>
      <c r="B936" s="59" t="s">
        <v>2574</v>
      </c>
      <c r="C936" s="45" t="s">
        <v>1196</v>
      </c>
      <c r="D936" s="55">
        <f>SUM(F936:I936)+K936</f>
        <v>7379090.0399999991</v>
      </c>
      <c r="F936" s="46">
        <f>V936</f>
        <v>6877843.4400000004</v>
      </c>
      <c r="H936" s="49">
        <f>W936</f>
        <v>360291.24</v>
      </c>
      <c r="I936" s="49">
        <f>(L936+M936+N936)</f>
        <v>140955.35999999882</v>
      </c>
      <c r="L936" s="49">
        <v>0</v>
      </c>
      <c r="M936" s="49"/>
      <c r="N936" s="49">
        <f>SUM(O936:Q936)</f>
        <v>140955.35999999882</v>
      </c>
      <c r="O936" s="49">
        <f>Y936</f>
        <v>71368.847186842278</v>
      </c>
      <c r="P936" s="49">
        <f>Z936</f>
        <v>69586.512813156529</v>
      </c>
      <c r="Q936" s="49">
        <v>0</v>
      </c>
      <c r="T936" s="274">
        <f>SUM(MiscRev!N12:N14)</f>
        <v>7379090.0399999991</v>
      </c>
      <c r="U936" s="359" t="s">
        <v>2421</v>
      </c>
      <c r="V936" s="274">
        <f>MiscRev!N13</f>
        <v>6877843.4400000004</v>
      </c>
      <c r="W936" s="274">
        <f>MiscRev!N14</f>
        <v>360291.24</v>
      </c>
      <c r="X936" s="274">
        <f>MiscRev!$N$12</f>
        <v>140955.35999999879</v>
      </c>
      <c r="Y936" s="24">
        <f>$X936*($O$262/$N$262)</f>
        <v>71368.847186842278</v>
      </c>
      <c r="Z936" s="24">
        <f>$X936*($P$262/$N$262)</f>
        <v>69586.512813156529</v>
      </c>
      <c r="AA936" s="24" t="s">
        <v>1458</v>
      </c>
    </row>
    <row r="937" spans="1:29" x14ac:dyDescent="0.2">
      <c r="A937" s="49">
        <v>20</v>
      </c>
      <c r="B937" s="59" t="s">
        <v>1266</v>
      </c>
      <c r="C937" s="45" t="s">
        <v>1241</v>
      </c>
      <c r="D937" s="55">
        <f t="shared" ca="1" si="226"/>
        <v>21969461.876645327</v>
      </c>
      <c r="F937" s="46">
        <f ca="1">INDEX(INDIRECT($C937),1,F$12+1)*$T937+Y937</f>
        <v>21007438.006358631</v>
      </c>
      <c r="H937" s="49">
        <f t="shared" ca="1" si="227"/>
        <v>961956.43933719886</v>
      </c>
      <c r="I937" s="49">
        <f t="shared" ca="1" si="228"/>
        <v>67.430949497203031</v>
      </c>
      <c r="L937" s="49">
        <f t="shared" ca="1" si="230"/>
        <v>67.430949497203031</v>
      </c>
      <c r="M937" s="49"/>
      <c r="N937" s="49">
        <f t="shared" ca="1" si="229"/>
        <v>0</v>
      </c>
      <c r="O937" s="49">
        <v>0</v>
      </c>
      <c r="P937" s="49">
        <v>0</v>
      </c>
      <c r="Q937" s="49">
        <f t="shared" ca="1" si="233"/>
        <v>0</v>
      </c>
      <c r="T937" s="274">
        <f>MiscRev!N15</f>
        <v>21969461.876645327</v>
      </c>
      <c r="U937" s="39"/>
      <c r="V937" s="39"/>
      <c r="W937" s="73"/>
      <c r="X937" s="39"/>
      <c r="Y937" s="86"/>
      <c r="AA937" s="86"/>
      <c r="AB937" s="86"/>
      <c r="AC937" s="86"/>
    </row>
    <row r="938" spans="1:29" x14ac:dyDescent="0.2">
      <c r="A938" s="49">
        <v>21</v>
      </c>
      <c r="B938" s="59" t="s">
        <v>1371</v>
      </c>
      <c r="C938" s="45" t="s">
        <v>585</v>
      </c>
      <c r="D938" s="55">
        <f ca="1">SUM(F938:I938)+K938</f>
        <v>1500447.0144977879</v>
      </c>
      <c r="F938" s="46">
        <f t="shared" ca="1" si="232"/>
        <v>1406543.0847488027</v>
      </c>
      <c r="H938" s="49">
        <f t="shared" ca="1" si="227"/>
        <v>64407.338827789259</v>
      </c>
      <c r="I938" s="49">
        <f ca="1">(L938+M938+N938)</f>
        <v>29496.590921195835</v>
      </c>
      <c r="L938" s="49">
        <f t="shared" ca="1" si="230"/>
        <v>4.5148073594042586</v>
      </c>
      <c r="M938" s="49"/>
      <c r="N938" s="49">
        <f ca="1">SUM(O938:Q938)</f>
        <v>29492.076113836432</v>
      </c>
      <c r="O938" s="49">
        <f t="shared" ref="O938:P941" ca="1" si="234">INDEX(INDIRECT($C938),1,O$12+1)*$T938</f>
        <v>14957.556781706307</v>
      </c>
      <c r="P938" s="49">
        <f t="shared" ca="1" si="234"/>
        <v>14534.519332130127</v>
      </c>
      <c r="Q938" s="49">
        <f t="shared" ca="1" si="233"/>
        <v>0</v>
      </c>
      <c r="T938" s="274">
        <f>MiscRev!N16</f>
        <v>1500447.0144977877</v>
      </c>
      <c r="U938" s="39"/>
      <c r="V938" s="39"/>
      <c r="W938" s="73"/>
      <c r="X938" s="39"/>
      <c r="Y938" s="86"/>
      <c r="AA938" s="86"/>
      <c r="AB938" s="86"/>
      <c r="AC938" s="86"/>
    </row>
    <row r="939" spans="1:29" x14ac:dyDescent="0.2">
      <c r="A939" s="49">
        <v>22</v>
      </c>
      <c r="B939" s="59" t="s">
        <v>1264</v>
      </c>
      <c r="C939" s="45" t="s">
        <v>1267</v>
      </c>
      <c r="D939" s="55">
        <f t="shared" ca="1" si="226"/>
        <v>600</v>
      </c>
      <c r="F939" s="46">
        <f t="shared" ca="1" si="232"/>
        <v>600</v>
      </c>
      <c r="H939" s="49">
        <f t="shared" ca="1" si="227"/>
        <v>0</v>
      </c>
      <c r="I939" s="49">
        <f t="shared" ca="1" si="228"/>
        <v>0</v>
      </c>
      <c r="L939" s="49">
        <f t="shared" ca="1" si="230"/>
        <v>0</v>
      </c>
      <c r="M939" s="49"/>
      <c r="N939" s="49">
        <f t="shared" ca="1" si="229"/>
        <v>0</v>
      </c>
      <c r="O939" s="49">
        <f t="shared" ca="1" si="234"/>
        <v>0</v>
      </c>
      <c r="P939" s="49">
        <f t="shared" ca="1" si="234"/>
        <v>0</v>
      </c>
      <c r="Q939" s="49">
        <f t="shared" ca="1" si="233"/>
        <v>0</v>
      </c>
      <c r="T939" s="274">
        <f>MiscRev!N17</f>
        <v>600</v>
      </c>
      <c r="U939" s="39"/>
      <c r="V939" s="39"/>
      <c r="W939" s="39"/>
      <c r="X939" s="39"/>
      <c r="Y939" s="39"/>
    </row>
    <row r="940" spans="1:29" x14ac:dyDescent="0.2">
      <c r="A940" s="49">
        <v>23</v>
      </c>
      <c r="B940" s="59" t="s">
        <v>1263</v>
      </c>
      <c r="C940" s="45" t="s">
        <v>1281</v>
      </c>
      <c r="D940" s="55">
        <f t="shared" ca="1" si="226"/>
        <v>162426.66666666718</v>
      </c>
      <c r="F940" s="46">
        <f t="shared" ca="1" si="232"/>
        <v>162426.66666666718</v>
      </c>
      <c r="H940" s="49">
        <f t="shared" ca="1" si="227"/>
        <v>0</v>
      </c>
      <c r="I940" s="49">
        <f t="shared" ca="1" si="228"/>
        <v>0</v>
      </c>
      <c r="L940" s="49">
        <f t="shared" ca="1" si="230"/>
        <v>0</v>
      </c>
      <c r="M940" s="49"/>
      <c r="N940" s="49">
        <f t="shared" ca="1" si="229"/>
        <v>0</v>
      </c>
      <c r="O940" s="49">
        <f t="shared" ca="1" si="234"/>
        <v>0</v>
      </c>
      <c r="P940" s="49">
        <f t="shared" ca="1" si="234"/>
        <v>0</v>
      </c>
      <c r="Q940" s="49">
        <f t="shared" ca="1" si="233"/>
        <v>0</v>
      </c>
      <c r="T940" s="274">
        <f>MiscRev!N18</f>
        <v>162426.66666666718</v>
      </c>
      <c r="U940" s="39"/>
      <c r="V940" s="39"/>
      <c r="W940" s="39"/>
      <c r="X940" s="39"/>
      <c r="Y940" s="39"/>
    </row>
    <row r="941" spans="1:29" x14ac:dyDescent="0.2">
      <c r="A941" s="49">
        <v>24</v>
      </c>
      <c r="B941" s="59" t="s">
        <v>1265</v>
      </c>
      <c r="C941" s="45" t="s">
        <v>1284</v>
      </c>
      <c r="D941" s="55">
        <f t="shared" ca="1" si="226"/>
        <v>72900.206666669401</v>
      </c>
      <c r="F941" s="46">
        <f t="shared" ca="1" si="232"/>
        <v>72900.206666669401</v>
      </c>
      <c r="H941" s="49">
        <f t="shared" ca="1" si="227"/>
        <v>0</v>
      </c>
      <c r="I941" s="49">
        <f t="shared" ca="1" si="228"/>
        <v>0</v>
      </c>
      <c r="L941" s="49">
        <f t="shared" ca="1" si="230"/>
        <v>0</v>
      </c>
      <c r="M941" s="49"/>
      <c r="N941" s="49">
        <f t="shared" ca="1" si="229"/>
        <v>0</v>
      </c>
      <c r="O941" s="49">
        <f t="shared" ca="1" si="234"/>
        <v>0</v>
      </c>
      <c r="P941" s="49">
        <f t="shared" ca="1" si="234"/>
        <v>0</v>
      </c>
      <c r="Q941" s="49">
        <f t="shared" ca="1" si="233"/>
        <v>0</v>
      </c>
      <c r="T941" s="274">
        <f>MiscRev!N19</f>
        <v>72900.206666669401</v>
      </c>
      <c r="U941" s="39"/>
      <c r="V941" s="39"/>
      <c r="W941" s="39"/>
      <c r="X941" s="39"/>
      <c r="Y941" s="39"/>
    </row>
    <row r="942" spans="1:29" x14ac:dyDescent="0.2">
      <c r="A942" s="49">
        <v>25</v>
      </c>
      <c r="B942" s="59" t="s">
        <v>1288</v>
      </c>
      <c r="C942" s="45" t="s">
        <v>1287</v>
      </c>
      <c r="D942" s="55">
        <f ca="1">SUM(F942:I942)+K942</f>
        <v>32021.28999999995</v>
      </c>
      <c r="F942" s="46">
        <f t="shared" ca="1" si="232"/>
        <v>30678.048313890475</v>
      </c>
      <c r="H942" s="49">
        <f t="shared" ca="1" si="227"/>
        <v>1343.2416861094771</v>
      </c>
      <c r="I942" s="49">
        <f t="shared" ca="1" si="228"/>
        <v>0</v>
      </c>
      <c r="L942" s="49">
        <f ca="1">INDEX(INDIRECT($C942),1,L$12+1)*$T942</f>
        <v>0</v>
      </c>
      <c r="M942" s="49"/>
      <c r="N942" s="49">
        <f t="shared" ca="1" si="229"/>
        <v>0</v>
      </c>
      <c r="O942" s="49">
        <f ca="1">INDEX(INDIRECT($C942),1,O$12+1)*$T942</f>
        <v>0</v>
      </c>
      <c r="P942" s="49">
        <f ca="1">INDEX(INDIRECT($C942),1,P$12+1)*$T942</f>
        <v>0</v>
      </c>
      <c r="Q942" s="49">
        <f t="shared" ca="1" si="233"/>
        <v>0</v>
      </c>
      <c r="T942" s="274">
        <f>MiscRev!N23</f>
        <v>32021.28999999995</v>
      </c>
      <c r="U942" s="39"/>
      <c r="V942" s="149" t="s">
        <v>935</v>
      </c>
      <c r="W942" s="149" t="s">
        <v>937</v>
      </c>
      <c r="X942" s="149" t="s">
        <v>1457</v>
      </c>
      <c r="Y942" s="149" t="s">
        <v>559</v>
      </c>
      <c r="Z942" s="149" t="s">
        <v>560</v>
      </c>
      <c r="AA942" s="89"/>
    </row>
    <row r="943" spans="1:29" x14ac:dyDescent="0.2">
      <c r="A943" s="49">
        <v>26</v>
      </c>
      <c r="B943" s="59" t="s">
        <v>2575</v>
      </c>
      <c r="C943" s="45" t="s">
        <v>1196</v>
      </c>
      <c r="D943" s="55">
        <f>SUM(F943:I943)+K943</f>
        <v>182160.93665792039</v>
      </c>
      <c r="F943" s="46">
        <f>V943</f>
        <v>173339.37665792039</v>
      </c>
      <c r="H943" s="49">
        <f>W943</f>
        <v>8821.56</v>
      </c>
      <c r="I943" s="49">
        <f>(L943+M943+N943)</f>
        <v>0</v>
      </c>
      <c r="L943" s="49">
        <v>0</v>
      </c>
      <c r="M943" s="49"/>
      <c r="N943" s="49">
        <f>SUM(O943:Q943)</f>
        <v>0</v>
      </c>
      <c r="O943" s="49">
        <f>Y943</f>
        <v>0</v>
      </c>
      <c r="P943" s="49">
        <f>Z943</f>
        <v>0</v>
      </c>
      <c r="Q943" s="49">
        <v>0</v>
      </c>
      <c r="T943" s="274">
        <f>SUM(MiscRev!N20:N22)</f>
        <v>182160.93665792039</v>
      </c>
      <c r="U943" s="359" t="s">
        <v>2423</v>
      </c>
      <c r="V943" s="274">
        <f>MiscRev!N21</f>
        <v>173339.37665792039</v>
      </c>
      <c r="W943" s="274">
        <f>MiscRev!N22</f>
        <v>8821.56</v>
      </c>
      <c r="X943" s="274">
        <f>MiscRev!$N$20</f>
        <v>0</v>
      </c>
      <c r="Y943" s="24">
        <f>$X943*($O$262/$N$262)</f>
        <v>0</v>
      </c>
      <c r="Z943" s="24">
        <f>$X943*($P$262/$N$262)</f>
        <v>0</v>
      </c>
      <c r="AA943" s="24" t="s">
        <v>1458</v>
      </c>
    </row>
    <row r="944" spans="1:29" x14ac:dyDescent="0.2">
      <c r="A944" s="49">
        <v>27</v>
      </c>
      <c r="B944" s="37" t="s">
        <v>171</v>
      </c>
      <c r="C944" s="47"/>
      <c r="D944" s="55">
        <f ca="1">SUM(F944:I944)+K944</f>
        <v>41276285.377801038</v>
      </c>
      <c r="F944" s="49">
        <f ca="1">SUM(F931:F943)</f>
        <v>38850408.842190631</v>
      </c>
      <c r="H944" s="49">
        <f ca="1">SUM(H931:H943)</f>
        <v>2086987.8696688744</v>
      </c>
      <c r="I944" s="49">
        <f t="shared" ca="1" si="228"/>
        <v>338888.66594153404</v>
      </c>
      <c r="L944" s="49">
        <f ca="1">SUM(L931:L943)</f>
        <v>129.44575685660729</v>
      </c>
      <c r="M944" s="49"/>
      <c r="N944" s="49">
        <f t="shared" ca="1" si="229"/>
        <v>338759.22018467746</v>
      </c>
      <c r="O944" s="49">
        <f ca="1">SUM(O931:O943)</f>
        <v>254551.52775194545</v>
      </c>
      <c r="P944" s="49">
        <f ca="1">SUM(P931:P943)</f>
        <v>84207.692432732001</v>
      </c>
      <c r="Q944" s="49">
        <f ca="1">SUM(Q931:Q942)</f>
        <v>0</v>
      </c>
      <c r="T944" s="47"/>
      <c r="U944" s="39"/>
      <c r="W944" s="39"/>
    </row>
    <row r="945" spans="1:35" x14ac:dyDescent="0.2">
      <c r="C945" s="47"/>
      <c r="W945" s="77" t="s">
        <v>304</v>
      </c>
    </row>
    <row r="946" spans="1:35" x14ac:dyDescent="0.2">
      <c r="A946" s="49">
        <v>28</v>
      </c>
      <c r="B946" s="37" t="s">
        <v>172</v>
      </c>
      <c r="C946" s="47"/>
      <c r="D946" s="55">
        <f ca="1">SUM(F946:I946)+K946</f>
        <v>1736120504.5603518</v>
      </c>
      <c r="F946" s="49">
        <f ca="1">F944+F928</f>
        <v>1637069309.6055508</v>
      </c>
      <c r="H946" s="49">
        <f ca="1">H944+H928</f>
        <v>73646268.174997061</v>
      </c>
      <c r="I946" s="49">
        <f ca="1">(L946+M946+N946)</f>
        <v>25404926.779804032</v>
      </c>
      <c r="L946" s="49">
        <f ca="1">L944+L928</f>
        <v>172.13271890353676</v>
      </c>
      <c r="M946" s="49"/>
      <c r="N946" s="49">
        <f ca="1">SUM(O946:Q946)</f>
        <v>25404754.64708513</v>
      </c>
      <c r="O946" s="49">
        <f ca="1">O944+O928</f>
        <v>12946042.706812311</v>
      </c>
      <c r="P946" s="49">
        <f ca="1">P944+P928</f>
        <v>12458711.940272819</v>
      </c>
      <c r="Q946" s="49">
        <f ca="1">Q944+Q928</f>
        <v>0</v>
      </c>
      <c r="W946" s="281">
        <f>IS!N68*1000</f>
        <v>1736120504.5603502</v>
      </c>
      <c r="X946" s="280">
        <f ca="1">D946-W946</f>
        <v>0</v>
      </c>
    </row>
    <row r="947" spans="1:35" x14ac:dyDescent="0.2">
      <c r="C947" s="47"/>
      <c r="W947" s="39"/>
    </row>
    <row r="948" spans="1:35" x14ac:dyDescent="0.2">
      <c r="C948" s="47"/>
      <c r="W948" s="39"/>
    </row>
    <row r="949" spans="1:35" x14ac:dyDescent="0.2">
      <c r="B949" s="53" t="s">
        <v>173</v>
      </c>
      <c r="C949" s="47"/>
      <c r="W949" s="39"/>
    </row>
    <row r="950" spans="1:35" x14ac:dyDescent="0.2">
      <c r="C950" s="47"/>
      <c r="W950" s="39"/>
      <c r="AD950" s="334" t="s">
        <v>1593</v>
      </c>
      <c r="AE950" s="556" t="s">
        <v>1594</v>
      </c>
      <c r="AF950" s="334"/>
    </row>
    <row r="951" spans="1:35" x14ac:dyDescent="0.2">
      <c r="B951" s="37" t="s">
        <v>174</v>
      </c>
      <c r="C951" s="47"/>
      <c r="W951" s="39"/>
      <c r="X951" s="80"/>
      <c r="AD951" s="149" t="s">
        <v>935</v>
      </c>
      <c r="AE951" s="149" t="s">
        <v>937</v>
      </c>
      <c r="AF951" s="149" t="s">
        <v>553</v>
      </c>
      <c r="AG951" s="24" t="s">
        <v>553</v>
      </c>
      <c r="AH951" s="24" t="s">
        <v>553</v>
      </c>
    </row>
    <row r="952" spans="1:35" x14ac:dyDescent="0.2">
      <c r="A952" s="49">
        <v>1</v>
      </c>
      <c r="B952" s="37" t="s">
        <v>175</v>
      </c>
      <c r="C952" s="40" t="s">
        <v>999</v>
      </c>
      <c r="D952" s="55">
        <f t="shared" ref="D952:D966" ca="1" si="235">SUM(F952:I952)+K952</f>
        <v>9342388</v>
      </c>
      <c r="F952" s="49">
        <f ca="1">INDEX(INDIRECT($C952),1,F$12+1)*$T952+Y952</f>
        <v>8739190.3417711351</v>
      </c>
      <c r="H952" s="49">
        <f t="shared" ref="H952:H959" ca="1" si="236">INDEX(INDIRECT($C952),1,H$12+1)*$T952</f>
        <v>407342.7714028997</v>
      </c>
      <c r="I952" s="49">
        <f t="shared" ref="I952:I966" ca="1" si="237">(L952+M952+N952)</f>
        <v>195854.88682596516</v>
      </c>
      <c r="L952" s="49">
        <f t="shared" ref="L952:L959" ca="1" si="238">INDEX(INDIRECT($C952),1,L$12+1)*$T952</f>
        <v>27.897991285818815</v>
      </c>
      <c r="M952" s="49"/>
      <c r="N952" s="49">
        <f t="shared" ref="N952:N966" ca="1" si="239">SUM(O952:Q952)</f>
        <v>195826.98883467936</v>
      </c>
      <c r="O952" s="49">
        <f t="shared" ref="O952:Q959" ca="1" si="240">INDEX(INDIRECT($C952),1,O$12+1)*$T952</f>
        <v>99317.975905774802</v>
      </c>
      <c r="P952" s="49">
        <f t="shared" ca="1" si="240"/>
        <v>96509.012928904544</v>
      </c>
      <c r="Q952" s="49">
        <f t="shared" ca="1" si="240"/>
        <v>0</v>
      </c>
      <c r="T952" s="74">
        <f>W952-Y952</f>
        <v>9342388</v>
      </c>
      <c r="U952" s="81">
        <v>500</v>
      </c>
      <c r="V952" s="81"/>
      <c r="W952" s="81">
        <f>SUMIF('O&amp;M'!$B$3:$B$89,TOTALCO!U952,'O&amp;M'!$F$3:$F$89)</f>
        <v>9342388</v>
      </c>
      <c r="X952" s="282">
        <f ca="1">D952-T952</f>
        <v>0</v>
      </c>
      <c r="Y952" s="422"/>
      <c r="Z952" s="39"/>
      <c r="AC952" s="24">
        <f ca="1">X952-Y952</f>
        <v>0</v>
      </c>
      <c r="AG952" s="24" t="s">
        <v>559</v>
      </c>
      <c r="AH952" s="24" t="s">
        <v>560</v>
      </c>
    </row>
    <row r="953" spans="1:35" x14ac:dyDescent="0.2">
      <c r="A953" s="49">
        <v>2</v>
      </c>
      <c r="B953" s="37" t="s">
        <v>176</v>
      </c>
      <c r="C953" s="40" t="s">
        <v>630</v>
      </c>
      <c r="D953" s="55">
        <f t="shared" ca="1" si="235"/>
        <v>302423708.23587358</v>
      </c>
      <c r="F953" s="49">
        <f ca="1">INDEX(INDIRECT($C953),1,F$12+1)*$T953+AD953</f>
        <v>284611742.74677902</v>
      </c>
      <c r="H953" s="49">
        <f ca="1">INDEX(INDIRECT($C953),1,H$12+1)*$T953+AE953</f>
        <v>11576701.157290943</v>
      </c>
      <c r="I953" s="49">
        <f t="shared" ca="1" si="237"/>
        <v>6235264.3318035975</v>
      </c>
      <c r="L953" s="49">
        <f t="shared" ca="1" si="238"/>
        <v>1286.9586913488438</v>
      </c>
      <c r="M953" s="49"/>
      <c r="N953" s="49">
        <f t="shared" ca="1" si="239"/>
        <v>6233977.3731122483</v>
      </c>
      <c r="O953" s="49">
        <f ca="1">INDEX(INDIRECT($C953),1,O$12+1)*$T953+AG953</f>
        <v>3156939.0350974482</v>
      </c>
      <c r="P953" s="49">
        <f ca="1">INDEX(INDIRECT($C953),1,P$12+1)*$T953+AH953</f>
        <v>3077038.3380147996</v>
      </c>
      <c r="Q953" s="49">
        <f t="shared" ca="1" si="240"/>
        <v>0</v>
      </c>
      <c r="T953" s="74">
        <f>W953-AD953-AE953-AF953</f>
        <v>305586177.07587355</v>
      </c>
      <c r="U953" s="81">
        <v>501</v>
      </c>
      <c r="V953" s="81"/>
      <c r="W953" s="81">
        <f>SUMIF('O&amp;M'!$B$3:$B$89,TOTALCO!U953,'O&amp;M'!$F$3:$F$89)</f>
        <v>302423708.23587352</v>
      </c>
      <c r="X953" s="282">
        <f ca="1">D953-T953</f>
        <v>-3162468.8399999738</v>
      </c>
      <c r="Y953" s="422"/>
      <c r="Z953" s="39"/>
      <c r="AC953" s="24">
        <f ca="1">X953-Y953-AD953-AE953-AF953</f>
        <v>2.5633198674768209E-8</v>
      </c>
      <c r="AD953" s="24">
        <f>'Refined Coal-Coal Yard Services'!$AE5*1000</f>
        <v>-2947648.9199999995</v>
      </c>
      <c r="AE953" s="24">
        <f>'Refined Coal-Coal Yard Services'!$AE4*1000</f>
        <v>-154410.48000000001</v>
      </c>
      <c r="AF953" s="24">
        <f>'Refined Coal-Coal Yard Services'!$AE6*1000</f>
        <v>-60409.439999999937</v>
      </c>
      <c r="AG953" s="24">
        <f>$AF953*($O$262/$N$262)</f>
        <v>-30586.648794361205</v>
      </c>
      <c r="AH953" s="24">
        <f>$AF953*($P$262/$N$262)</f>
        <v>-29822.791205638736</v>
      </c>
      <c r="AI953" s="24" t="s">
        <v>1458</v>
      </c>
    </row>
    <row r="954" spans="1:35" x14ac:dyDescent="0.2">
      <c r="A954" s="49">
        <v>3</v>
      </c>
      <c r="B954" s="37" t="s">
        <v>1397</v>
      </c>
      <c r="C954" s="40" t="s">
        <v>999</v>
      </c>
      <c r="D954" s="55">
        <f t="shared" ca="1" si="235"/>
        <v>23034843.999999888</v>
      </c>
      <c r="F954" s="49">
        <f ca="1">INDEX(INDIRECT($C954),1,F$12+1)*$T954+Y954</f>
        <v>21547583.573814724</v>
      </c>
      <c r="H954" s="49">
        <f t="shared" ca="1" si="236"/>
        <v>1004355.3311844263</v>
      </c>
      <c r="I954" s="49">
        <f t="shared" ca="1" si="237"/>
        <v>482905.09500073653</v>
      </c>
      <c r="L954" s="49">
        <f t="shared" ca="1" si="238"/>
        <v>68.786040269596242</v>
      </c>
      <c r="M954" s="49"/>
      <c r="N954" s="49">
        <f t="shared" ca="1" si="239"/>
        <v>482836.30896046694</v>
      </c>
      <c r="O954" s="49">
        <f t="shared" ca="1" si="240"/>
        <v>244881.08194449538</v>
      </c>
      <c r="P954" s="49">
        <f t="shared" ca="1" si="240"/>
        <v>237955.22701597156</v>
      </c>
      <c r="Q954" s="49">
        <f t="shared" ca="1" si="240"/>
        <v>0</v>
      </c>
      <c r="T954" s="74">
        <f>W954-Y954</f>
        <v>23034843.999999888</v>
      </c>
      <c r="U954" s="81">
        <v>502</v>
      </c>
      <c r="V954" s="81"/>
      <c r="W954" s="81">
        <f>SUMIF('O&amp;M'!$B$3:$B$89,TOTALCO!U954,'O&amp;M'!$F$3:$F$89)+SUMIF('O&amp;M'!$B$3:$B$89,TOTALCO!V954,'O&amp;M'!$F$3:$F$89)</f>
        <v>23034843.999999888</v>
      </c>
      <c r="X954" s="282">
        <f ca="1">D954-T954</f>
        <v>0</v>
      </c>
      <c r="Y954" s="422"/>
      <c r="Z954" s="39"/>
      <c r="AC954" s="24">
        <f ca="1">X954-Y954</f>
        <v>0</v>
      </c>
      <c r="AD954" s="381"/>
    </row>
    <row r="955" spans="1:35" x14ac:dyDescent="0.2">
      <c r="A955" s="49">
        <v>4</v>
      </c>
      <c r="B955" s="37" t="s">
        <v>1398</v>
      </c>
      <c r="C955" s="40" t="s">
        <v>999</v>
      </c>
      <c r="D955" s="55">
        <f ca="1">SUM(F955:I955)+K955</f>
        <v>0</v>
      </c>
      <c r="F955" s="49">
        <f ca="1">INDEX(INDIRECT($C955),1,F$12+1)*$T955</f>
        <v>0</v>
      </c>
      <c r="H955" s="49">
        <f t="shared" ca="1" si="236"/>
        <v>0</v>
      </c>
      <c r="I955" s="49">
        <f ca="1">(L955+M955+N955)</f>
        <v>0</v>
      </c>
      <c r="L955" s="49">
        <f t="shared" ca="1" si="238"/>
        <v>0</v>
      </c>
      <c r="M955" s="49"/>
      <c r="N955" s="49">
        <f ca="1">SUM(O955:Q955)</f>
        <v>0</v>
      </c>
      <c r="O955" s="49">
        <f t="shared" ca="1" si="240"/>
        <v>0</v>
      </c>
      <c r="P955" s="49">
        <f t="shared" ca="1" si="240"/>
        <v>0</v>
      </c>
      <c r="Q955" s="49">
        <f t="shared" ca="1" si="240"/>
        <v>0</v>
      </c>
      <c r="T955" s="274">
        <v>0</v>
      </c>
      <c r="U955" s="81">
        <v>504</v>
      </c>
      <c r="V955" s="81"/>
      <c r="W955" s="81">
        <f>SUMIF('O&amp;M'!$B$3:$B$89,TOTALCO!U955,'O&amp;M'!$F$3:$F$89)+SUMIF('O&amp;M'!$B$3:$B$89,TOTALCO!V955,'O&amp;M'!$F$3:$F$89)</f>
        <v>0</v>
      </c>
      <c r="X955" s="282">
        <f ca="1">D955-W955</f>
        <v>0</v>
      </c>
      <c r="Y955" s="81"/>
      <c r="Z955" s="39"/>
      <c r="AC955" s="381"/>
      <c r="AD955" s="381"/>
    </row>
    <row r="956" spans="1:35" x14ac:dyDescent="0.2">
      <c r="A956" s="49">
        <v>5</v>
      </c>
      <c r="B956" s="37" t="s">
        <v>177</v>
      </c>
      <c r="C956" s="40" t="s">
        <v>999</v>
      </c>
      <c r="D956" s="55">
        <f t="shared" ca="1" si="235"/>
        <v>8766250</v>
      </c>
      <c r="F956" s="49">
        <f ca="1">INDEX(INDIRECT($C956),1,F$12+1)*$T956+Y956</f>
        <v>8200251.0850064466</v>
      </c>
      <c r="H956" s="49">
        <f t="shared" ca="1" si="236"/>
        <v>382222.25086462579</v>
      </c>
      <c r="I956" s="49">
        <f t="shared" ca="1" si="237"/>
        <v>183776.6641289269</v>
      </c>
      <c r="L956" s="49">
        <f t="shared" ca="1" si="238"/>
        <v>26.177543269377079</v>
      </c>
      <c r="M956" s="49"/>
      <c r="N956" s="49">
        <f t="shared" ca="1" si="239"/>
        <v>183750.48658565752</v>
      </c>
      <c r="O956" s="49">
        <f t="shared" ca="1" si="240"/>
        <v>93193.111470429008</v>
      </c>
      <c r="P956" s="49">
        <f t="shared" ca="1" si="240"/>
        <v>90557.375115228511</v>
      </c>
      <c r="Q956" s="49">
        <f t="shared" ca="1" si="240"/>
        <v>0</v>
      </c>
      <c r="T956" s="74">
        <f>W956-Y956</f>
        <v>8766250</v>
      </c>
      <c r="U956" s="81">
        <v>505</v>
      </c>
      <c r="V956" s="81"/>
      <c r="W956" s="81">
        <f>SUMIF('O&amp;M'!$B$3:$B$89,TOTALCO!U956,'O&amp;M'!$F$3:$F$89)+SUMIF('O&amp;M'!$B$3:$B$89,TOTALCO!V956,'O&amp;M'!$F$3:$F$89)</f>
        <v>8766250</v>
      </c>
      <c r="X956" s="282">
        <f ca="1">D956-T956</f>
        <v>0</v>
      </c>
      <c r="Y956" s="422"/>
      <c r="Z956" s="39"/>
      <c r="AC956" s="24">
        <f ca="1">X956-Y956</f>
        <v>0</v>
      </c>
      <c r="AD956" s="381"/>
    </row>
    <row r="957" spans="1:35" x14ac:dyDescent="0.2">
      <c r="A957" s="49">
        <v>6</v>
      </c>
      <c r="B957" s="37" t="s">
        <v>178</v>
      </c>
      <c r="C957" s="40" t="s">
        <v>999</v>
      </c>
      <c r="D957" s="55">
        <f t="shared" ca="1" si="235"/>
        <v>26177884.999999996</v>
      </c>
      <c r="F957" s="49">
        <f ca="1">INDEX(INDIRECT($C957),1,F$12+1)*$T957+Y957</f>
        <v>24487691.986245427</v>
      </c>
      <c r="H957" s="49">
        <f t="shared" ca="1" si="236"/>
        <v>1141396.8490033166</v>
      </c>
      <c r="I957" s="49">
        <f t="shared" ca="1" si="237"/>
        <v>548796.16475125332</v>
      </c>
      <c r="L957" s="49">
        <f t="shared" ca="1" si="238"/>
        <v>78.171705950466531</v>
      </c>
      <c r="M957" s="49"/>
      <c r="N957" s="49">
        <f t="shared" ca="1" si="239"/>
        <v>548717.99304530281</v>
      </c>
      <c r="O957" s="49">
        <f t="shared" ca="1" si="240"/>
        <v>278294.43089862505</v>
      </c>
      <c r="P957" s="49">
        <f t="shared" ca="1" si="240"/>
        <v>270423.56214667775</v>
      </c>
      <c r="Q957" s="49">
        <f t="shared" ca="1" si="240"/>
        <v>0</v>
      </c>
      <c r="T957" s="74">
        <f>W957-Y957</f>
        <v>26177885</v>
      </c>
      <c r="U957" s="81">
        <v>506</v>
      </c>
      <c r="V957" s="81"/>
      <c r="W957" s="81">
        <f>SUMIF('O&amp;M'!$B$3:$B$89,TOTALCO!U957,'O&amp;M'!$F$3:$F$89)+SUMIF('O&amp;M'!$B$3:$B$89,TOTALCO!V957,'O&amp;M'!$F$3:$F$89)</f>
        <v>26177885</v>
      </c>
      <c r="X957" s="282">
        <f ca="1">D957-T957</f>
        <v>0</v>
      </c>
      <c r="Y957" s="422"/>
      <c r="Z957" s="39"/>
      <c r="AC957" s="24">
        <f ca="1">X957-Y957</f>
        <v>0</v>
      </c>
      <c r="AD957" s="381"/>
    </row>
    <row r="958" spans="1:35" x14ac:dyDescent="0.2">
      <c r="A958" s="49">
        <v>7</v>
      </c>
      <c r="B958" s="37" t="s">
        <v>1399</v>
      </c>
      <c r="C958" s="40" t="s">
        <v>999</v>
      </c>
      <c r="D958" s="55">
        <f t="shared" ca="1" si="235"/>
        <v>0</v>
      </c>
      <c r="F958" s="49">
        <f ca="1">INDEX(INDIRECT($C958),1,F$12+1)*$T958</f>
        <v>0</v>
      </c>
      <c r="H958" s="49">
        <f t="shared" ca="1" si="236"/>
        <v>0</v>
      </c>
      <c r="I958" s="49">
        <f t="shared" ca="1" si="237"/>
        <v>0</v>
      </c>
      <c r="L958" s="49">
        <f t="shared" ca="1" si="238"/>
        <v>0</v>
      </c>
      <c r="M958" s="49"/>
      <c r="N958" s="49">
        <f t="shared" ca="1" si="239"/>
        <v>0</v>
      </c>
      <c r="O958" s="49">
        <f t="shared" ca="1" si="240"/>
        <v>0</v>
      </c>
      <c r="P958" s="49">
        <f t="shared" ca="1" si="240"/>
        <v>0</v>
      </c>
      <c r="Q958" s="49">
        <f t="shared" ca="1" si="240"/>
        <v>0</v>
      </c>
      <c r="T958" s="274">
        <v>0</v>
      </c>
      <c r="U958" s="81">
        <v>507</v>
      </c>
      <c r="V958" s="81"/>
      <c r="W958" s="81">
        <f>SUMIF('O&amp;M'!$B$3:$B$89,TOTALCO!U958,'O&amp;M'!$F$3:$F$89)+SUMIF('O&amp;M'!$B$3:$B$89,TOTALCO!V958,'O&amp;M'!$F$3:$F$89)</f>
        <v>0</v>
      </c>
      <c r="X958" s="282">
        <f ca="1">D958-W958</f>
        <v>0</v>
      </c>
      <c r="Y958" s="81"/>
      <c r="Z958" s="39"/>
      <c r="AC958" s="381"/>
      <c r="AD958" s="381"/>
    </row>
    <row r="959" spans="1:35" x14ac:dyDescent="0.2">
      <c r="A959" s="49">
        <v>8</v>
      </c>
      <c r="B959" s="37" t="s">
        <v>1400</v>
      </c>
      <c r="C959" s="40" t="s">
        <v>999</v>
      </c>
      <c r="D959" s="55">
        <f ca="1">SUM(F959:I959)+K959</f>
        <v>5000</v>
      </c>
      <c r="F959" s="49">
        <f ca="1">INDEX(INDIRECT($C959),1,F$12+1)*$T959</f>
        <v>4677.1715870562939</v>
      </c>
      <c r="H959" s="49">
        <f t="shared" ca="1" si="236"/>
        <v>218.00784307122532</v>
      </c>
      <c r="I959" s="49">
        <f ca="1">(L959+M959+N959)</f>
        <v>104.82056987248076</v>
      </c>
      <c r="L959" s="49">
        <f t="shared" ca="1" si="238"/>
        <v>1.4930867400186556E-2</v>
      </c>
      <c r="M959" s="49"/>
      <c r="N959" s="49">
        <f ca="1">SUM(O959:Q959)</f>
        <v>104.80563900508058</v>
      </c>
      <c r="O959" s="49">
        <f t="shared" ca="1" si="240"/>
        <v>53.154491071113085</v>
      </c>
      <c r="P959" s="49">
        <f t="shared" ca="1" si="240"/>
        <v>51.651147933967493</v>
      </c>
      <c r="Q959" s="49">
        <f t="shared" ca="1" si="240"/>
        <v>0</v>
      </c>
      <c r="T959" s="274">
        <v>5000</v>
      </c>
      <c r="U959" s="81">
        <v>509</v>
      </c>
      <c r="V959" s="81"/>
      <c r="W959" s="81">
        <f>SUMIF('O&amp;M'!$B$3:$B$89,TOTALCO!U959,'O&amp;M'!$F$3:$F$89)+SUMIF('O&amp;M'!$B$3:$B$89,TOTALCO!V959,'O&amp;M'!$F$3:$F$89)</f>
        <v>5000</v>
      </c>
      <c r="X959" s="282">
        <f ca="1">D959-W959</f>
        <v>0</v>
      </c>
      <c r="Y959" s="81"/>
      <c r="Z959" s="39"/>
      <c r="AC959" s="381"/>
      <c r="AD959" s="381"/>
      <c r="AG959" s="24" t="s">
        <v>553</v>
      </c>
      <c r="AH959" s="24" t="s">
        <v>553</v>
      </c>
    </row>
    <row r="960" spans="1:35" x14ac:dyDescent="0.2">
      <c r="A960" s="49">
        <v>9</v>
      </c>
      <c r="B960" s="37" t="s">
        <v>179</v>
      </c>
      <c r="C960" s="47"/>
      <c r="D960" s="55">
        <f t="shared" ca="1" si="235"/>
        <v>369750075.23587352</v>
      </c>
      <c r="F960" s="49">
        <f ca="1">SUM(F952:F959)</f>
        <v>347591136.90520388</v>
      </c>
      <c r="H960" s="49">
        <f ca="1">SUM(H952:H959)</f>
        <v>14512236.367589282</v>
      </c>
      <c r="I960" s="49">
        <f t="shared" ca="1" si="237"/>
        <v>7646701.9630803512</v>
      </c>
      <c r="L960" s="49">
        <f ca="1">SUM(L952:L959)</f>
        <v>1488.0069029915026</v>
      </c>
      <c r="M960" s="49"/>
      <c r="N960" s="49">
        <f t="shared" ca="1" si="239"/>
        <v>7645213.9561773594</v>
      </c>
      <c r="O960" s="49">
        <f ca="1">SUM(O952:O959)</f>
        <v>3872678.7898078435</v>
      </c>
      <c r="P960" s="49">
        <f ca="1">SUM(P952:P959)</f>
        <v>3772535.1663695159</v>
      </c>
      <c r="Q960" s="49">
        <f ca="1">SUM(Q952:Q958)</f>
        <v>0</v>
      </c>
      <c r="T960" s="47"/>
      <c r="U960" s="81"/>
      <c r="V960" s="81"/>
      <c r="W960" s="81"/>
      <c r="X960" s="282"/>
      <c r="Y960" s="81"/>
      <c r="Z960" s="39"/>
      <c r="AA960" s="149" t="s">
        <v>935</v>
      </c>
      <c r="AB960" s="500" t="s">
        <v>1520</v>
      </c>
      <c r="AC960" s="381"/>
      <c r="AD960" s="381"/>
      <c r="AE960" s="149" t="s">
        <v>937</v>
      </c>
      <c r="AG960" s="24" t="s">
        <v>559</v>
      </c>
      <c r="AH960" s="24" t="s">
        <v>560</v>
      </c>
    </row>
    <row r="961" spans="1:34" x14ac:dyDescent="0.2">
      <c r="A961" s="49">
        <v>10</v>
      </c>
      <c r="B961" s="37" t="s">
        <v>180</v>
      </c>
      <c r="C961" s="40" t="s">
        <v>999</v>
      </c>
      <c r="D961" s="55">
        <f t="shared" ca="1" si="235"/>
        <v>10248227</v>
      </c>
      <c r="F961" s="49">
        <f ca="1">INDEX(INDIRECT($C961),1,F$12+1)*$T961+Y961+AA961</f>
        <v>9552185.9570964426</v>
      </c>
      <c r="H961" s="49">
        <f ca="1">INDEX(INDIRECT($C961),1,H$12+1)*$T961+AE961</f>
        <v>469988.19337618008</v>
      </c>
      <c r="I961" s="49">
        <f t="shared" ca="1" si="237"/>
        <v>226052.84952737793</v>
      </c>
      <c r="L961" s="49">
        <f ca="1">INDEX(INDIRECT($C961),1,L$12+1)*$T961</f>
        <v>27.698517710777676</v>
      </c>
      <c r="M961" s="49"/>
      <c r="N961" s="49">
        <f t="shared" ca="1" si="239"/>
        <v>226025.15100966714</v>
      </c>
      <c r="O961" s="49">
        <f t="shared" ref="O961:P965" ca="1" si="241">INDEX(INDIRECT($C961),1,O$12+1)*$T961+AG961</f>
        <v>114633.63980451407</v>
      </c>
      <c r="P961" s="49">
        <f t="shared" ca="1" si="241"/>
        <v>111391.51120515306</v>
      </c>
      <c r="Q961" s="49">
        <f ca="1">INDEX(INDIRECT($C961),1,Q$12+1)*$T961</f>
        <v>0</v>
      </c>
      <c r="T961" s="74">
        <f>W961-Y961-AA961-AE961-AG961-AH961</f>
        <v>9275588.9421506729</v>
      </c>
      <c r="U961" s="81">
        <v>510</v>
      </c>
      <c r="V961" s="81"/>
      <c r="W961" s="81">
        <f>SUMIF('O&amp;M'!$B$3:$B$89,TOTALCO!U961,'O&amp;M'!$F$3:$F$89)+SUMIF('O&amp;M'!$B$3:$B$89,TOTALCO!V961,'O&amp;M'!$F$3:$F$89)</f>
        <v>10248227</v>
      </c>
      <c r="X961" s="282">
        <f ca="1">D961-T961</f>
        <v>972638.0578493271</v>
      </c>
      <c r="Y961" s="422"/>
      <c r="Z961" s="39"/>
      <c r="AA961" s="273">
        <f>'Outage Maint COS Support'!C3</f>
        <v>875481.74640830699</v>
      </c>
      <c r="AB961" s="500" t="s">
        <v>1507</v>
      </c>
      <c r="AC961" s="24">
        <f ca="1">X961-Y961-AA961-AE961-AG961-AH961</f>
        <v>3.9653968997299671E-10</v>
      </c>
      <c r="AD961" s="381"/>
      <c r="AE961" s="24">
        <f>'Outage Maint COS Support'!C16</f>
        <v>65557.965677464716</v>
      </c>
      <c r="AG961" s="24">
        <f>'Outage Maint COS Support'!C29</f>
        <v>16025.797883541432</v>
      </c>
      <c r="AH961" s="24">
        <f>'Outage Maint COS Support'!C42</f>
        <v>15572.547880013564</v>
      </c>
    </row>
    <row r="962" spans="1:34" x14ac:dyDescent="0.2">
      <c r="A962" s="49">
        <v>11</v>
      </c>
      <c r="B962" s="37" t="s">
        <v>181</v>
      </c>
      <c r="C962" s="40" t="s">
        <v>999</v>
      </c>
      <c r="D962" s="55">
        <f t="shared" ca="1" si="235"/>
        <v>7254445</v>
      </c>
      <c r="F962" s="49">
        <f ca="1">INDEX(INDIRECT($C962),1,F$12+1)*$T962+Y962+AA962</f>
        <v>6796823.8746169377</v>
      </c>
      <c r="H962" s="49">
        <f ca="1">INDEX(INDIRECT($C962),1,H$12+1)*$T962+AE962</f>
        <v>309034.11994899227</v>
      </c>
      <c r="I962" s="49">
        <f t="shared" ca="1" si="237"/>
        <v>148587.00543406958</v>
      </c>
      <c r="L962" s="49">
        <f ca="1">INDEX(INDIRECT($C962),1,L$12+1)*$T962</f>
        <v>21.16505260585631</v>
      </c>
      <c r="M962" s="49"/>
      <c r="N962" s="49">
        <f t="shared" ca="1" si="239"/>
        <v>148565.84038146373</v>
      </c>
      <c r="O962" s="49">
        <f t="shared" ca="1" si="241"/>
        <v>75348.442230728746</v>
      </c>
      <c r="P962" s="49">
        <f t="shared" ca="1" si="241"/>
        <v>73217.398150734982</v>
      </c>
      <c r="Q962" s="49">
        <f ca="1">INDEX(INDIRECT($C962),1,Q$12+1)*$T962</f>
        <v>0</v>
      </c>
      <c r="T962" s="74">
        <f>W962-Y962-AA962-AE962-AG962-AH962</f>
        <v>7087683.5345787946</v>
      </c>
      <c r="U962" s="81">
        <v>511</v>
      </c>
      <c r="V962" s="81"/>
      <c r="W962" s="81">
        <f>SUMIF('O&amp;M'!$B$3:$B$89,TOTALCO!U962,'O&amp;M'!$F$3:$F$89)+SUMIF('O&amp;M'!$B$3:$B$89,TOTALCO!V962,'O&amp;M'!$F$3:$F$89)</f>
        <v>7254445</v>
      </c>
      <c r="X962" s="282">
        <f ca="1">D962-T962</f>
        <v>166761.46542120539</v>
      </c>
      <c r="Y962" s="422"/>
      <c r="Z962" s="39"/>
      <c r="AA962" s="273">
        <f>'Outage Maint COS Support'!C4</f>
        <v>166761.4654212051</v>
      </c>
      <c r="AB962" s="500" t="s">
        <v>1508</v>
      </c>
      <c r="AC962" s="24">
        <f ca="1">X962-Y962-AA962-AE962-AG962-AH962</f>
        <v>2.9103830456733704E-10</v>
      </c>
      <c r="AD962" s="381"/>
      <c r="AE962" s="24">
        <f>'Outage Maint COS Support'!C17</f>
        <v>0</v>
      </c>
      <c r="AG962" s="24">
        <f>'Outage Maint COS Support'!C30</f>
        <v>0</v>
      </c>
      <c r="AH962" s="24">
        <f>'Outage Maint COS Support'!C43</f>
        <v>0</v>
      </c>
    </row>
    <row r="963" spans="1:34" x14ac:dyDescent="0.2">
      <c r="A963" s="49">
        <v>12</v>
      </c>
      <c r="B963" s="37" t="s">
        <v>182</v>
      </c>
      <c r="C963" s="40" t="s">
        <v>630</v>
      </c>
      <c r="D963" s="55">
        <f ca="1">SUM(F963:I963)+K963</f>
        <v>50079708.999999993</v>
      </c>
      <c r="F963" s="49">
        <f ca="1">INDEX(INDIRECT($C963),1,F$12+1)*$T963+Y963+AA963</f>
        <v>46616865.654066198</v>
      </c>
      <c r="H963" s="49">
        <f ca="1">INDEX(INDIRECT($C963),1,H$12+1)*$T963+AE963</f>
        <v>2253545.4302766044</v>
      </c>
      <c r="I963" s="49">
        <f t="shared" ca="1" si="237"/>
        <v>1209297.9156571913</v>
      </c>
      <c r="L963" s="49">
        <f ca="1">INDEX(INDIRECT($C963),1,L$12+1)*$T963</f>
        <v>146.80724969491325</v>
      </c>
      <c r="M963" s="49"/>
      <c r="N963" s="49">
        <f ca="1">SUM(O963:Q963)</f>
        <v>1209151.1084074965</v>
      </c>
      <c r="O963" s="49">
        <f t="shared" ca="1" si="241"/>
        <v>612323.38084564626</v>
      </c>
      <c r="P963" s="49">
        <f t="shared" ca="1" si="241"/>
        <v>596827.72756185022</v>
      </c>
      <c r="Q963" s="49">
        <f ca="1">INDEX(INDIRECT($C963),1,Q$12+1)*$T963</f>
        <v>0</v>
      </c>
      <c r="T963" s="74">
        <f>W963-Y963-AA963-AE963-AG963-AH963</f>
        <v>34859134.56497366</v>
      </c>
      <c r="U963" s="81">
        <v>512</v>
      </c>
      <c r="V963" s="81"/>
      <c r="W963" s="81">
        <f>SUMIF('O&amp;M'!$B$3:$B$89,TOTALCO!U963,'O&amp;M'!$F$3:$F$89)+SUMIF('O&amp;M'!$B$3:$B$89,TOTALCO!V963,'O&amp;M'!$F$3:$F$89)</f>
        <v>50079709</v>
      </c>
      <c r="X963" s="282">
        <f ca="1">D963-T963</f>
        <v>15220574.435026333</v>
      </c>
      <c r="Y963" s="422"/>
      <c r="Z963" s="39"/>
      <c r="AA963" s="273">
        <f>'Outage Maint COS Support'!C5</f>
        <v>13814100.733696936</v>
      </c>
      <c r="AB963" s="500" t="s">
        <v>1509</v>
      </c>
      <c r="AC963" s="24">
        <f ca="1">X963-Y963-AA963-AE963-AG963-AH963</f>
        <v>-2.2992026060819626E-9</v>
      </c>
      <c r="AD963" s="381"/>
      <c r="AE963" s="24">
        <f>'Outage Maint COS Support'!C18</f>
        <v>915342.23314861651</v>
      </c>
      <c r="AG963" s="24">
        <f>'Outage Maint COS Support'!C31</f>
        <v>248712.73651828247</v>
      </c>
      <c r="AH963" s="24">
        <f>'Outage Maint COS Support'!C44</f>
        <v>242418.73166250036</v>
      </c>
    </row>
    <row r="964" spans="1:34" x14ac:dyDescent="0.2">
      <c r="A964" s="49">
        <v>13</v>
      </c>
      <c r="B964" s="37" t="s">
        <v>183</v>
      </c>
      <c r="C964" s="40" t="s">
        <v>630</v>
      </c>
      <c r="D964" s="55">
        <f t="shared" ca="1" si="235"/>
        <v>10224294.000000002</v>
      </c>
      <c r="F964" s="49">
        <f ca="1">INDEX(INDIRECT($C964),1,F$12+1)*$T964+Y964+AA964</f>
        <v>9170674.2072980218</v>
      </c>
      <c r="H964" s="49">
        <f ca="1">INDEX(INDIRECT($C964),1,H$12+1)*$T964+AE964</f>
        <v>685691.47975179495</v>
      </c>
      <c r="I964" s="49">
        <f t="shared" ca="1" si="237"/>
        <v>367928.31295018457</v>
      </c>
      <c r="L964" s="49">
        <f ca="1">INDEX(INDIRECT($C964),1,L$12+1)*$T964</f>
        <v>17.108841158265435</v>
      </c>
      <c r="M964" s="49"/>
      <c r="N964" s="49">
        <f ca="1">SUM(O964:Q964)</f>
        <v>367911.20410902629</v>
      </c>
      <c r="O964" s="49">
        <f t="shared" ca="1" si="241"/>
        <v>186313.05118492246</v>
      </c>
      <c r="P964" s="49">
        <f t="shared" ca="1" si="241"/>
        <v>181598.15292410384</v>
      </c>
      <c r="Q964" s="49">
        <f ca="1">INDEX(INDIRECT($C964),1,Q$12+1)*$T964</f>
        <v>0</v>
      </c>
      <c r="T964" s="74">
        <f>W964-Y964-AA964-AE964-AG964-AH964</f>
        <v>4062465.5623352318</v>
      </c>
      <c r="U964" s="81">
        <v>513</v>
      </c>
      <c r="V964" s="81"/>
      <c r="W964" s="81">
        <f>SUMIF('O&amp;M'!$B$3:$B$89,TOTALCO!U964,'O&amp;M'!$F$3:$F$89)+SUMIF('O&amp;M'!$B$3:$B$89,TOTALCO!V964,'O&amp;M'!$F$3:$F$89)</f>
        <v>10224294</v>
      </c>
      <c r="X964" s="282">
        <f ca="1">D964-T964</f>
        <v>6161828.4376647696</v>
      </c>
      <c r="Y964" s="422"/>
      <c r="Z964" s="236" t="s">
        <v>2492</v>
      </c>
      <c r="AA964" s="273">
        <f>'Outage Maint COS Support'!C6</f>
        <v>5347856.9026975324</v>
      </c>
      <c r="AB964" s="500" t="s">
        <v>1510</v>
      </c>
      <c r="AC964" s="24">
        <f ca="1">X964-Y964-AA964-AE964-AG964-AH964</f>
        <v>8.149072527885437E-10</v>
      </c>
      <c r="AE964" s="24">
        <f>'Outage Maint COS Support'!C19</f>
        <v>529737.96938548086</v>
      </c>
      <c r="AG964" s="24">
        <f>'Outage Maint COS Support'!C32</f>
        <v>143938.05424042913</v>
      </c>
      <c r="AH964" s="24">
        <f>'Outage Maint COS Support'!C45</f>
        <v>140295.51134132635</v>
      </c>
    </row>
    <row r="965" spans="1:34" x14ac:dyDescent="0.2">
      <c r="A965" s="49">
        <v>14</v>
      </c>
      <c r="B965" s="37" t="s">
        <v>184</v>
      </c>
      <c r="C965" s="40" t="s">
        <v>999</v>
      </c>
      <c r="D965" s="55">
        <f t="shared" ca="1" si="235"/>
        <v>2670339.9999999902</v>
      </c>
      <c r="F965" s="49">
        <f ca="1">INDEX(INDIRECT($C965),1,F$12+1)*$T965+Y965+AA965</f>
        <v>2538463.7061900683</v>
      </c>
      <c r="H965" s="49">
        <f ca="1">INDEX(INDIRECT($C965),1,H$12+1)*$T965+AE965</f>
        <v>89056.802973354192</v>
      </c>
      <c r="I965" s="49">
        <f t="shared" ca="1" si="237"/>
        <v>42819.490836567718</v>
      </c>
      <c r="L965" s="49">
        <f ca="1">INDEX(INDIRECT($C965),1,L$12+1)*$T965</f>
        <v>6.0993003625345104</v>
      </c>
      <c r="M965" s="49"/>
      <c r="N965" s="49">
        <f t="shared" ca="1" si="239"/>
        <v>42813.391536205185</v>
      </c>
      <c r="O965" s="49">
        <f t="shared" ca="1" si="241"/>
        <v>21713.755669434624</v>
      </c>
      <c r="P965" s="49">
        <f t="shared" ca="1" si="241"/>
        <v>21099.635866770561</v>
      </c>
      <c r="Q965" s="49">
        <f ca="1">INDEX(INDIRECT($C965),1,Q$12+1)*$T965</f>
        <v>0</v>
      </c>
      <c r="T965" s="74">
        <f>W965-Y965-AA965-AE965-AG965-AH965</f>
        <v>2042513.7398441774</v>
      </c>
      <c r="U965" s="81">
        <v>514</v>
      </c>
      <c r="V965" s="81"/>
      <c r="W965" s="81">
        <f>SUMIF('O&amp;M'!$B$3:$B$89,TOTALCO!U965,'O&amp;M'!$F$3:$F$89)+SUMIF('O&amp;M'!$B$3:$B$89,TOTALCO!V965,'O&amp;M'!$F$3:$F$89)</f>
        <v>2670339.9999999902</v>
      </c>
      <c r="X965" s="282">
        <f ca="1">D965-T965</f>
        <v>627826.26015581284</v>
      </c>
      <c r="Y965" s="422">
        <f>'BR Reg Asset'!J2*12</f>
        <v>626880</v>
      </c>
      <c r="Z965" s="251" t="s">
        <v>2493</v>
      </c>
      <c r="AA965" s="273">
        <f>'Outage Maint COS Support'!C7</f>
        <v>946.26015581286288</v>
      </c>
      <c r="AB965" s="500" t="s">
        <v>1511</v>
      </c>
      <c r="AC965" s="24">
        <f ca="1">X965-Y965-AA965-AE965-AG965-AH965</f>
        <v>-2.5693225325085223E-11</v>
      </c>
      <c r="AE965" s="24">
        <f>'Outage Maint COS Support'!C20</f>
        <v>0</v>
      </c>
      <c r="AG965" s="24">
        <f>'Outage Maint COS Support'!C33</f>
        <v>0</v>
      </c>
      <c r="AH965" s="24">
        <f>'Outage Maint COS Support'!C46</f>
        <v>0</v>
      </c>
    </row>
    <row r="966" spans="1:34" x14ac:dyDescent="0.2">
      <c r="A966" s="49">
        <v>15</v>
      </c>
      <c r="B966" s="37" t="s">
        <v>185</v>
      </c>
      <c r="C966" s="47"/>
      <c r="D966" s="55">
        <f t="shared" ca="1" si="235"/>
        <v>80477014.99999997</v>
      </c>
      <c r="F966" s="49">
        <f ca="1">SUM(F961:F965)</f>
        <v>74675013.399267659</v>
      </c>
      <c r="H966" s="49">
        <f ca="1">SUM(H961:H965)</f>
        <v>3807316.026326926</v>
      </c>
      <c r="I966" s="49">
        <f t="shared" ca="1" si="237"/>
        <v>1994685.5744053912</v>
      </c>
      <c r="L966" s="49">
        <f ca="1">SUM(L961:L965)</f>
        <v>218.87896153234715</v>
      </c>
      <c r="M966" s="49"/>
      <c r="N966" s="49">
        <f t="shared" ca="1" si="239"/>
        <v>1994466.6954438589</v>
      </c>
      <c r="O966" s="49">
        <f ca="1">SUM(O961:O965)</f>
        <v>1010332.2697352462</v>
      </c>
      <c r="P966" s="49">
        <f ca="1">SUM(P961:P965)</f>
        <v>984134.42570861266</v>
      </c>
      <c r="Q966" s="49">
        <f ca="1">SUM(Q961:Q965)</f>
        <v>0</v>
      </c>
      <c r="T966" s="47"/>
      <c r="U966" s="81"/>
      <c r="V966" s="81"/>
      <c r="W966" s="81"/>
      <c r="X966" s="82"/>
      <c r="Y966" s="273"/>
      <c r="AA966" s="273"/>
    </row>
    <row r="967" spans="1:34" x14ac:dyDescent="0.2">
      <c r="C967" s="47"/>
      <c r="T967" s="75"/>
      <c r="U967" s="81"/>
      <c r="V967" s="81"/>
      <c r="W967" s="81"/>
      <c r="X967" s="82"/>
    </row>
    <row r="968" spans="1:34" x14ac:dyDescent="0.2">
      <c r="A968" s="49">
        <v>16</v>
      </c>
      <c r="B968" s="37" t="s">
        <v>186</v>
      </c>
      <c r="C968" s="47"/>
      <c r="D968" s="55">
        <f ca="1">SUM(F968:I968)+K968</f>
        <v>450227090.23587346</v>
      </c>
      <c r="F968" s="49">
        <f ca="1">F966+F960</f>
        <v>422266150.30447155</v>
      </c>
      <c r="H968" s="49">
        <f ca="1">H966+H960</f>
        <v>18319552.393916208</v>
      </c>
      <c r="I968" s="49">
        <f ca="1">(L968+M968+N968)</f>
        <v>9641387.5374857429</v>
      </c>
      <c r="L968" s="49">
        <f ca="1">L966+L960</f>
        <v>1706.8858645238497</v>
      </c>
      <c r="M968" s="49"/>
      <c r="N968" s="49">
        <f ca="1">SUM(O968:Q968)</f>
        <v>9639680.6516212188</v>
      </c>
      <c r="O968" s="49">
        <f ca="1">O966+O960</f>
        <v>4883011.0595430899</v>
      </c>
      <c r="P968" s="49">
        <f ca="1">P966+P960</f>
        <v>4756669.5920781288</v>
      </c>
      <c r="Q968" s="49">
        <f ca="1">Q966+Q960</f>
        <v>0</v>
      </c>
      <c r="T968" s="47"/>
      <c r="U968" s="81"/>
      <c r="V968" s="81"/>
      <c r="W968" s="81">
        <f>SUM(W952:W965)</f>
        <v>450227090.2358734</v>
      </c>
      <c r="X968" s="282">
        <f ca="1">D968-W968</f>
        <v>0</v>
      </c>
    </row>
    <row r="969" spans="1:34" x14ac:dyDescent="0.2">
      <c r="C969" s="47"/>
      <c r="T969" s="75"/>
      <c r="U969" s="81"/>
      <c r="V969" s="81"/>
      <c r="W969" s="81"/>
      <c r="X969" s="82"/>
    </row>
    <row r="970" spans="1:34" x14ac:dyDescent="0.2">
      <c r="B970" s="37" t="s">
        <v>187</v>
      </c>
      <c r="C970" s="47"/>
      <c r="T970" s="75"/>
      <c r="U970" s="81"/>
      <c r="V970" s="81"/>
      <c r="W970" s="81"/>
      <c r="X970" s="82"/>
    </row>
    <row r="971" spans="1:34" x14ac:dyDescent="0.2">
      <c r="A971" s="49">
        <v>17</v>
      </c>
      <c r="B971" s="37" t="s">
        <v>188</v>
      </c>
      <c r="C971" s="40" t="s">
        <v>1001</v>
      </c>
      <c r="D971" s="55">
        <f t="shared" ref="D971:D983" ca="1" si="242">SUM(F971:I971)+K971</f>
        <v>0</v>
      </c>
      <c r="F971" s="49">
        <f t="shared" ref="F971:F976" ca="1" si="243">INDEX(INDIRECT($C971),1,F$12+1)*$T971</f>
        <v>0</v>
      </c>
      <c r="H971" s="49">
        <f t="shared" ref="H971:H976" ca="1" si="244">INDEX(INDIRECT($C971),1,H$12+1)*$T971</f>
        <v>0</v>
      </c>
      <c r="I971" s="49">
        <f t="shared" ref="I971:I983" ca="1" si="245">(L971+M971+N971)</f>
        <v>0</v>
      </c>
      <c r="L971" s="49">
        <f t="shared" ref="L971:L976" ca="1" si="246">INDEX(INDIRECT($C971),1,L$12+1)*$T971</f>
        <v>0</v>
      </c>
      <c r="M971" s="49"/>
      <c r="N971" s="49">
        <f t="shared" ref="N971:N983" ca="1" si="247">SUM(O971:Q971)</f>
        <v>0</v>
      </c>
      <c r="O971" s="49">
        <f t="shared" ref="O971:Q976" ca="1" si="248">INDEX(INDIRECT($C971),1,O$12+1)*$T971</f>
        <v>0</v>
      </c>
      <c r="P971" s="49">
        <f t="shared" ca="1" si="248"/>
        <v>0</v>
      </c>
      <c r="Q971" s="49">
        <f t="shared" ca="1" si="248"/>
        <v>0</v>
      </c>
      <c r="T971" s="274">
        <v>0</v>
      </c>
      <c r="U971" s="81">
        <v>535</v>
      </c>
      <c r="V971" s="81"/>
      <c r="W971" s="81">
        <f>SUMIF('O&amp;M'!$B$3:$B$89,TOTALCO!U971,'O&amp;M'!$F$3:$F$89)+SUMIF('O&amp;M'!$B$3:$B$89,TOTALCO!V971,'O&amp;M'!$F$3:$F$89)</f>
        <v>0</v>
      </c>
      <c r="X971" s="282">
        <f t="shared" ref="X971:X976" ca="1" si="249">D971-T971</f>
        <v>0</v>
      </c>
      <c r="Y971" s="39"/>
    </row>
    <row r="972" spans="1:34" x14ac:dyDescent="0.2">
      <c r="A972" s="49">
        <v>18</v>
      </c>
      <c r="B972" s="37" t="s">
        <v>189</v>
      </c>
      <c r="C972" s="40" t="s">
        <v>1001</v>
      </c>
      <c r="D972" s="55">
        <f t="shared" ca="1" si="242"/>
        <v>0</v>
      </c>
      <c r="F972" s="49">
        <f t="shared" ca="1" si="243"/>
        <v>0</v>
      </c>
      <c r="H972" s="49">
        <f t="shared" ca="1" si="244"/>
        <v>0</v>
      </c>
      <c r="I972" s="49">
        <f t="shared" ca="1" si="245"/>
        <v>0</v>
      </c>
      <c r="L972" s="49">
        <f t="shared" ca="1" si="246"/>
        <v>0</v>
      </c>
      <c r="M972" s="49"/>
      <c r="N972" s="49">
        <f t="shared" ca="1" si="247"/>
        <v>0</v>
      </c>
      <c r="O972" s="49">
        <f t="shared" ca="1" si="248"/>
        <v>0</v>
      </c>
      <c r="P972" s="49">
        <f t="shared" ca="1" si="248"/>
        <v>0</v>
      </c>
      <c r="Q972" s="49">
        <f t="shared" ca="1" si="248"/>
        <v>0</v>
      </c>
      <c r="T972" s="274">
        <v>0</v>
      </c>
      <c r="U972" s="81">
        <v>536</v>
      </c>
      <c r="V972" s="81"/>
      <c r="W972" s="81">
        <f>SUMIF('O&amp;M'!$B$3:$B$89,TOTALCO!U972,'O&amp;M'!$F$3:$F$89)+SUMIF('O&amp;M'!$B$3:$B$89,TOTALCO!V972,'O&amp;M'!$F$3:$F$89)</f>
        <v>0</v>
      </c>
      <c r="X972" s="282">
        <f t="shared" ca="1" si="249"/>
        <v>0</v>
      </c>
      <c r="Y972" s="39"/>
    </row>
    <row r="973" spans="1:34" x14ac:dyDescent="0.2">
      <c r="A973" s="49">
        <v>19</v>
      </c>
      <c r="B973" s="37" t="s">
        <v>190</v>
      </c>
      <c r="C973" s="40" t="s">
        <v>1001</v>
      </c>
      <c r="D973" s="55">
        <f t="shared" ca="1" si="242"/>
        <v>0</v>
      </c>
      <c r="F973" s="49">
        <f t="shared" ca="1" si="243"/>
        <v>0</v>
      </c>
      <c r="H973" s="49">
        <f t="shared" ca="1" si="244"/>
        <v>0</v>
      </c>
      <c r="I973" s="49">
        <f t="shared" ca="1" si="245"/>
        <v>0</v>
      </c>
      <c r="L973" s="49">
        <f t="shared" ca="1" si="246"/>
        <v>0</v>
      </c>
      <c r="M973" s="49"/>
      <c r="N973" s="49">
        <f t="shared" ca="1" si="247"/>
        <v>0</v>
      </c>
      <c r="O973" s="49">
        <f t="shared" ca="1" si="248"/>
        <v>0</v>
      </c>
      <c r="P973" s="49">
        <f t="shared" ca="1" si="248"/>
        <v>0</v>
      </c>
      <c r="Q973" s="49">
        <f t="shared" ca="1" si="248"/>
        <v>0</v>
      </c>
      <c r="T973" s="274">
        <v>0</v>
      </c>
      <c r="U973" s="81">
        <v>537</v>
      </c>
      <c r="V973" s="81"/>
      <c r="W973" s="81">
        <f>SUMIF('O&amp;M'!$B$3:$B$89,TOTALCO!U973,'O&amp;M'!$F$3:$F$89)+SUMIF('O&amp;M'!$B$3:$B$89,TOTALCO!V973,'O&amp;M'!$F$3:$F$89)</f>
        <v>0</v>
      </c>
      <c r="X973" s="282">
        <f t="shared" ca="1" si="249"/>
        <v>0</v>
      </c>
      <c r="Y973" s="39"/>
    </row>
    <row r="974" spans="1:34" x14ac:dyDescent="0.2">
      <c r="A974" s="49">
        <v>20</v>
      </c>
      <c r="B974" s="37" t="s">
        <v>191</v>
      </c>
      <c r="C974" s="40" t="s">
        <v>1001</v>
      </c>
      <c r="D974" s="55">
        <f t="shared" ca="1" si="242"/>
        <v>0</v>
      </c>
      <c r="F974" s="49">
        <f t="shared" ca="1" si="243"/>
        <v>0</v>
      </c>
      <c r="H974" s="49">
        <f t="shared" ca="1" si="244"/>
        <v>0</v>
      </c>
      <c r="I974" s="49">
        <f t="shared" ca="1" si="245"/>
        <v>0</v>
      </c>
      <c r="L974" s="49">
        <f t="shared" ca="1" si="246"/>
        <v>0</v>
      </c>
      <c r="M974" s="49"/>
      <c r="N974" s="49">
        <f t="shared" ca="1" si="247"/>
        <v>0</v>
      </c>
      <c r="O974" s="49">
        <f t="shared" ca="1" si="248"/>
        <v>0</v>
      </c>
      <c r="P974" s="49">
        <f t="shared" ca="1" si="248"/>
        <v>0</v>
      </c>
      <c r="Q974" s="49">
        <f t="shared" ca="1" si="248"/>
        <v>0</v>
      </c>
      <c r="T974" s="274">
        <v>0</v>
      </c>
      <c r="U974" s="81">
        <v>538</v>
      </c>
      <c r="V974" s="81"/>
      <c r="W974" s="81">
        <f>SUMIF('O&amp;M'!$B$3:$B$89,TOTALCO!U974,'O&amp;M'!$F$3:$F$89)+SUMIF('O&amp;M'!$B$3:$B$89,TOTALCO!V974,'O&amp;M'!$F$3:$F$89)</f>
        <v>0</v>
      </c>
      <c r="X974" s="282">
        <f t="shared" ca="1" si="249"/>
        <v>0</v>
      </c>
      <c r="Y974" s="39"/>
    </row>
    <row r="975" spans="1:34" x14ac:dyDescent="0.2">
      <c r="A975" s="49">
        <v>21</v>
      </c>
      <c r="B975" s="37" t="s">
        <v>1401</v>
      </c>
      <c r="C975" s="40" t="s">
        <v>1001</v>
      </c>
      <c r="D975" s="55">
        <f t="shared" ca="1" si="242"/>
        <v>10111.9999999999</v>
      </c>
      <c r="F975" s="49">
        <f t="shared" ca="1" si="243"/>
        <v>9475.2207024578693</v>
      </c>
      <c r="H975" s="49">
        <f t="shared" ca="1" si="244"/>
        <v>433.0727932887433</v>
      </c>
      <c r="I975" s="49">
        <f t="shared" ca="1" si="245"/>
        <v>203.70650425328751</v>
      </c>
      <c r="L975" s="49">
        <f t="shared" ca="1" si="246"/>
        <v>3.0353096699797799E-2</v>
      </c>
      <c r="M975" s="49"/>
      <c r="N975" s="49">
        <f t="shared" ca="1" si="247"/>
        <v>203.67615115658771</v>
      </c>
      <c r="O975" s="49">
        <f t="shared" ca="1" si="248"/>
        <v>103.29885167273014</v>
      </c>
      <c r="P975" s="49">
        <f t="shared" ca="1" si="248"/>
        <v>100.37729948385757</v>
      </c>
      <c r="Q975" s="49">
        <f t="shared" ca="1" si="248"/>
        <v>0</v>
      </c>
      <c r="T975" s="274">
        <v>10111.9999999999</v>
      </c>
      <c r="U975" s="81">
        <v>539</v>
      </c>
      <c r="V975" s="81"/>
      <c r="W975" s="81">
        <f>SUMIF('O&amp;M'!$B$3:$B$89,TOTALCO!U975,'O&amp;M'!$F$3:$F$89)+SUMIF('O&amp;M'!$B$3:$B$89,TOTALCO!V975,'O&amp;M'!$F$3:$F$89)</f>
        <v>10111.9999999999</v>
      </c>
      <c r="X975" s="282">
        <f t="shared" ca="1" si="249"/>
        <v>0</v>
      </c>
      <c r="Y975" s="39"/>
    </row>
    <row r="976" spans="1:34" x14ac:dyDescent="0.2">
      <c r="A976" s="49">
        <v>22</v>
      </c>
      <c r="B976" s="37" t="s">
        <v>192</v>
      </c>
      <c r="C976" s="40" t="s">
        <v>1001</v>
      </c>
      <c r="D976" s="55">
        <f t="shared" ca="1" si="242"/>
        <v>0</v>
      </c>
      <c r="F976" s="49">
        <f t="shared" ca="1" si="243"/>
        <v>0</v>
      </c>
      <c r="H976" s="49">
        <f t="shared" ca="1" si="244"/>
        <v>0</v>
      </c>
      <c r="I976" s="49">
        <f t="shared" ca="1" si="245"/>
        <v>0</v>
      </c>
      <c r="L976" s="49">
        <f t="shared" ca="1" si="246"/>
        <v>0</v>
      </c>
      <c r="M976" s="49"/>
      <c r="N976" s="49">
        <f t="shared" ca="1" si="247"/>
        <v>0</v>
      </c>
      <c r="O976" s="49">
        <f t="shared" ca="1" si="248"/>
        <v>0</v>
      </c>
      <c r="P976" s="49">
        <f t="shared" ca="1" si="248"/>
        <v>0</v>
      </c>
      <c r="Q976" s="49">
        <f t="shared" ca="1" si="248"/>
        <v>0</v>
      </c>
      <c r="T976" s="274">
        <v>0</v>
      </c>
      <c r="U976" s="81">
        <v>540</v>
      </c>
      <c r="V976" s="81"/>
      <c r="W976" s="81">
        <f>SUMIF('O&amp;M'!$B$3:$B$89,TOTALCO!U976,'O&amp;M'!$F$3:$F$89)+SUMIF('O&amp;M'!$B$3:$B$89,TOTALCO!V976,'O&amp;M'!$F$3:$F$89)</f>
        <v>0</v>
      </c>
      <c r="X976" s="282">
        <f t="shared" ca="1" si="249"/>
        <v>0</v>
      </c>
      <c r="Y976" s="39"/>
    </row>
    <row r="977" spans="1:31" x14ac:dyDescent="0.2">
      <c r="A977" s="49">
        <v>23</v>
      </c>
      <c r="B977" s="37" t="s">
        <v>193</v>
      </c>
      <c r="C977" s="47"/>
      <c r="D977" s="55">
        <f t="shared" ca="1" si="242"/>
        <v>10111.9999999999</v>
      </c>
      <c r="F977" s="49">
        <f ca="1">SUM(F971:F976)</f>
        <v>9475.2207024578693</v>
      </c>
      <c r="H977" s="49">
        <f ca="1">SUM(H971:H976)</f>
        <v>433.0727932887433</v>
      </c>
      <c r="I977" s="49">
        <f t="shared" ca="1" si="245"/>
        <v>203.70650425328751</v>
      </c>
      <c r="L977" s="49">
        <f ca="1">SUM(L971:L976)</f>
        <v>3.0353096699797799E-2</v>
      </c>
      <c r="M977" s="49"/>
      <c r="N977" s="49">
        <f t="shared" ca="1" si="247"/>
        <v>203.67615115658771</v>
      </c>
      <c r="O977" s="49">
        <f ca="1">SUM(O971:O976)</f>
        <v>103.29885167273014</v>
      </c>
      <c r="P977" s="49">
        <f ca="1">SUM(P971:P976)</f>
        <v>100.37729948385757</v>
      </c>
      <c r="Q977" s="49">
        <f ca="1">SUM(Q971:Q976)</f>
        <v>0</v>
      </c>
      <c r="T977" s="47"/>
      <c r="U977" s="81"/>
      <c r="V977" s="81"/>
      <c r="W977" s="81"/>
      <c r="X977" s="82"/>
    </row>
    <row r="978" spans="1:31" x14ac:dyDescent="0.2">
      <c r="A978" s="49">
        <v>24</v>
      </c>
      <c r="B978" s="37" t="s">
        <v>194</v>
      </c>
      <c r="C978" s="40" t="s">
        <v>1001</v>
      </c>
      <c r="D978" s="55">
        <f t="shared" ca="1" si="242"/>
        <v>226739.99999999898</v>
      </c>
      <c r="F978" s="49">
        <f ca="1">INDEX(INDIRECT($C978),1,F$12+1)*$T978</f>
        <v>212461.5844615614</v>
      </c>
      <c r="H978" s="49">
        <f ca="1">INDEX(INDIRECT($C978),1,H$12+1)*$T978</f>
        <v>9710.7323131220528</v>
      </c>
      <c r="I978" s="49">
        <f t="shared" ca="1" si="245"/>
        <v>4567.6832253155326</v>
      </c>
      <c r="L978" s="49">
        <f ca="1">INDEX(INDIRECT($C978),1,L$12+1)*$T978</f>
        <v>0.68060335697312024</v>
      </c>
      <c r="M978" s="49"/>
      <c r="N978" s="49">
        <f t="shared" ca="1" si="247"/>
        <v>4567.0026219585598</v>
      </c>
      <c r="O978" s="49">
        <f t="shared" ref="O978:Q982" ca="1" si="250">INDEX(INDIRECT($C978),1,O$12+1)*$T978</f>
        <v>2316.2560945683308</v>
      </c>
      <c r="P978" s="49">
        <f t="shared" ca="1" si="250"/>
        <v>2250.7465273902285</v>
      </c>
      <c r="Q978" s="49">
        <f t="shared" ca="1" si="250"/>
        <v>0</v>
      </c>
      <c r="T978" s="274">
        <v>226739.99999999901</v>
      </c>
      <c r="U978" s="81">
        <v>541</v>
      </c>
      <c r="V978" s="81"/>
      <c r="W978" s="81">
        <f>SUMIF('O&amp;M'!$B$3:$B$89,TOTALCO!U978,'O&amp;M'!$F$3:$F$89)+SUMIF('O&amp;M'!$B$3:$B$89,TOTALCO!V978,'O&amp;M'!$F$3:$F$89)</f>
        <v>226739.99999999901</v>
      </c>
      <c r="X978" s="282">
        <f ca="1">D978-T978</f>
        <v>0</v>
      </c>
      <c r="Y978" s="39"/>
    </row>
    <row r="979" spans="1:31" x14ac:dyDescent="0.2">
      <c r="A979" s="49">
        <v>25</v>
      </c>
      <c r="B979" s="37" t="s">
        <v>195</v>
      </c>
      <c r="C979" s="40" t="s">
        <v>1001</v>
      </c>
      <c r="D979" s="55">
        <f t="shared" ca="1" si="242"/>
        <v>225182.99999999901</v>
      </c>
      <c r="F979" s="49">
        <f ca="1">INDEX(INDIRECT($C979),1,F$12+1)*$T979</f>
        <v>211002.6328561691</v>
      </c>
      <c r="H979" s="49">
        <f ca="1">INDEX(INDIRECT($C979),1,H$12+1)*$T979</f>
        <v>9644.0497242028887</v>
      </c>
      <c r="I979" s="49">
        <f t="shared" ca="1" si="245"/>
        <v>4536.3174196270065</v>
      </c>
      <c r="L979" s="49">
        <f ca="1">INDEX(INDIRECT($C979),1,L$12+1)*$T979</f>
        <v>0.67592972450065325</v>
      </c>
      <c r="M979" s="49"/>
      <c r="N979" s="49">
        <f t="shared" ca="1" si="247"/>
        <v>4535.6414899025058</v>
      </c>
      <c r="O979" s="49">
        <f t="shared" ca="1" si="250"/>
        <v>2300.350604847757</v>
      </c>
      <c r="P979" s="49">
        <f t="shared" ca="1" si="250"/>
        <v>2235.2908850547492</v>
      </c>
      <c r="Q979" s="49">
        <f t="shared" ca="1" si="250"/>
        <v>0</v>
      </c>
      <c r="T979" s="274">
        <v>225182.99999999901</v>
      </c>
      <c r="U979" s="81">
        <v>542</v>
      </c>
      <c r="V979" s="81"/>
      <c r="W979" s="81">
        <f>SUMIF('O&amp;M'!$B$3:$B$89,TOTALCO!U979,'O&amp;M'!$F$3:$F$89)+SUMIF('O&amp;M'!$B$3:$B$89,TOTALCO!V979,'O&amp;M'!$F$3:$F$89)</f>
        <v>225182.99999999901</v>
      </c>
      <c r="X979" s="282">
        <f ca="1">D979-T979</f>
        <v>0</v>
      </c>
      <c r="Y979" s="39"/>
    </row>
    <row r="980" spans="1:31" x14ac:dyDescent="0.2">
      <c r="A980" s="49">
        <v>26</v>
      </c>
      <c r="B980" s="37" t="s">
        <v>196</v>
      </c>
      <c r="C980" s="40" t="s">
        <v>1001</v>
      </c>
      <c r="D980" s="55">
        <f t="shared" ca="1" si="242"/>
        <v>33916</v>
      </c>
      <c r="F980" s="49">
        <f ca="1">INDEX(INDIRECT($C980),1,F$12+1)*$T980</f>
        <v>31780.220069676052</v>
      </c>
      <c r="H980" s="49">
        <f ca="1">INDEX(INDIRECT($C980),1,H$12+1)*$T980</f>
        <v>1452.541224009213</v>
      </c>
      <c r="I980" s="49">
        <f t="shared" ca="1" si="245"/>
        <v>683.23870631473176</v>
      </c>
      <c r="L980" s="49">
        <f ca="1">INDEX(INDIRECT($C980),1,L$12+1)*$T980</f>
        <v>0.10180534292626112</v>
      </c>
      <c r="M980" s="49"/>
      <c r="N980" s="49">
        <f t="shared" ca="1" si="247"/>
        <v>683.13690097180552</v>
      </c>
      <c r="O980" s="49">
        <f t="shared" ca="1" si="250"/>
        <v>346.46794435644284</v>
      </c>
      <c r="P980" s="49">
        <f t="shared" ca="1" si="250"/>
        <v>336.66895661536267</v>
      </c>
      <c r="Q980" s="49">
        <f t="shared" ca="1" si="250"/>
        <v>0</v>
      </c>
      <c r="T980" s="274">
        <v>33916</v>
      </c>
      <c r="U980" s="81">
        <v>543</v>
      </c>
      <c r="V980" s="81"/>
      <c r="W980" s="81">
        <f>SUMIF('O&amp;M'!$B$3:$B$89,TOTALCO!U980,'O&amp;M'!$F$3:$F$89)+SUMIF('O&amp;M'!$B$3:$B$89,TOTALCO!V980,'O&amp;M'!$F$3:$F$89)</f>
        <v>33916</v>
      </c>
      <c r="X980" s="282">
        <f ca="1">D980-T980</f>
        <v>0</v>
      </c>
      <c r="Y980" s="39"/>
    </row>
    <row r="981" spans="1:31" x14ac:dyDescent="0.2">
      <c r="A981" s="49">
        <v>27</v>
      </c>
      <c r="B981" s="37" t="s">
        <v>197</v>
      </c>
      <c r="C981" s="40" t="s">
        <v>630</v>
      </c>
      <c r="D981" s="55">
        <f t="shared" ca="1" si="242"/>
        <v>44124.000000000007</v>
      </c>
      <c r="F981" s="49">
        <f ca="1">INDEX(INDIRECT($C981),1,F$12+1)*$T981</f>
        <v>41521.088156924736</v>
      </c>
      <c r="H981" s="49">
        <f ca="1">INDEX(INDIRECT($C981),1,H$12+1)*$T981</f>
        <v>1693.8710213823108</v>
      </c>
      <c r="I981" s="49">
        <f t="shared" ca="1" si="245"/>
        <v>909.04082169295805</v>
      </c>
      <c r="L981" s="49">
        <f ca="1">INDEX(INDIRECT($C981),1,L$12+1)*$T981</f>
        <v>0.18582570010350019</v>
      </c>
      <c r="M981" s="49"/>
      <c r="N981" s="49">
        <f t="shared" ca="1" si="247"/>
        <v>908.85499599285458</v>
      </c>
      <c r="O981" s="49">
        <f t="shared" ca="1" si="250"/>
        <v>460.25112988380135</v>
      </c>
      <c r="P981" s="49">
        <f t="shared" ca="1" si="250"/>
        <v>448.60386610905329</v>
      </c>
      <c r="Q981" s="49">
        <f t="shared" ca="1" si="250"/>
        <v>0</v>
      </c>
      <c r="T981" s="274">
        <v>44124</v>
      </c>
      <c r="U981" s="81">
        <v>544</v>
      </c>
      <c r="V981" s="81"/>
      <c r="W981" s="81">
        <f>SUMIF('O&amp;M'!$B$3:$B$89,TOTALCO!U981,'O&amp;M'!$F$3:$F$89)+SUMIF('O&amp;M'!$B$3:$B$89,TOTALCO!V981,'O&amp;M'!$F$3:$F$89)</f>
        <v>44124</v>
      </c>
      <c r="X981" s="282">
        <f ca="1">D981-T981</f>
        <v>0</v>
      </c>
      <c r="Y981" s="39"/>
    </row>
    <row r="982" spans="1:31" x14ac:dyDescent="0.2">
      <c r="A982" s="49">
        <v>28</v>
      </c>
      <c r="B982" s="37" t="s">
        <v>198</v>
      </c>
      <c r="C982" s="40" t="s">
        <v>1001</v>
      </c>
      <c r="D982" s="55">
        <f t="shared" ca="1" si="242"/>
        <v>11143.9999999999</v>
      </c>
      <c r="F982" s="49">
        <f ca="1">INDEX(INDIRECT($C982),1,F$12+1)*$T982</f>
        <v>10442.232941870114</v>
      </c>
      <c r="H982" s="49">
        <f ca="1">INDEX(INDIRECT($C982),1,H$12+1)*$T982</f>
        <v>477.27088690761076</v>
      </c>
      <c r="I982" s="49">
        <f t="shared" ca="1" si="245"/>
        <v>224.49617122217546</v>
      </c>
      <c r="L982" s="49">
        <f ca="1">INDEX(INDIRECT($C982),1,L$12+1)*$T982</f>
        <v>3.3450841537039852E-2</v>
      </c>
      <c r="M982" s="49"/>
      <c r="N982" s="49">
        <f t="shared" ca="1" si="247"/>
        <v>224.46272038063842</v>
      </c>
      <c r="O982" s="49">
        <f t="shared" ca="1" si="250"/>
        <v>113.84121865515286</v>
      </c>
      <c r="P982" s="49">
        <f t="shared" ca="1" si="250"/>
        <v>110.62150172548554</v>
      </c>
      <c r="Q982" s="49">
        <f t="shared" ca="1" si="250"/>
        <v>0</v>
      </c>
      <c r="T982" s="274">
        <v>11143.9999999999</v>
      </c>
      <c r="U982" s="81">
        <v>545</v>
      </c>
      <c r="V982" s="81"/>
      <c r="W982" s="81">
        <f>SUMIF('O&amp;M'!$B$3:$B$89,TOTALCO!U982,'O&amp;M'!$F$3:$F$89)+SUMIF('O&amp;M'!$B$3:$B$89,TOTALCO!V982,'O&amp;M'!$F$3:$F$89)</f>
        <v>11143.9999999999</v>
      </c>
      <c r="X982" s="282">
        <f ca="1">D982-T982</f>
        <v>0</v>
      </c>
      <c r="Y982" s="39"/>
    </row>
    <row r="983" spans="1:31" x14ac:dyDescent="0.2">
      <c r="A983" s="49">
        <v>29</v>
      </c>
      <c r="B983" s="37" t="s">
        <v>199</v>
      </c>
      <c r="C983" s="47"/>
      <c r="D983" s="55">
        <f t="shared" ca="1" si="242"/>
        <v>541106.9999999979</v>
      </c>
      <c r="F983" s="49">
        <f ca="1">SUM(F978:F982)</f>
        <v>507207.75848620146</v>
      </c>
      <c r="H983" s="49">
        <f ca="1">SUM(H978:H982)</f>
        <v>22978.465169624076</v>
      </c>
      <c r="I983" s="49">
        <f t="shared" ca="1" si="245"/>
        <v>10920.776344172406</v>
      </c>
      <c r="L983" s="49">
        <f ca="1">SUM(L978:L982)</f>
        <v>1.6776149660405746</v>
      </c>
      <c r="M983" s="49"/>
      <c r="N983" s="49">
        <f t="shared" ca="1" si="247"/>
        <v>10919.098729206366</v>
      </c>
      <c r="O983" s="49">
        <f ca="1">SUM(O978:O982)</f>
        <v>5537.166992311486</v>
      </c>
      <c r="P983" s="49">
        <f ca="1">SUM(P978:P982)</f>
        <v>5381.9317368948787</v>
      </c>
      <c r="Q983" s="49">
        <f ca="1">SUM(Q978:Q982)</f>
        <v>0</v>
      </c>
      <c r="T983" s="47"/>
      <c r="U983" s="81"/>
      <c r="V983" s="81"/>
      <c r="W983" s="81"/>
      <c r="X983" s="82"/>
    </row>
    <row r="984" spans="1:31" x14ac:dyDescent="0.2">
      <c r="C984" s="47"/>
      <c r="T984" s="75"/>
      <c r="U984" s="81"/>
      <c r="V984" s="81"/>
      <c r="W984" s="81"/>
      <c r="X984" s="82"/>
    </row>
    <row r="985" spans="1:31" x14ac:dyDescent="0.2">
      <c r="A985" s="49">
        <v>30</v>
      </c>
      <c r="B985" s="37" t="s">
        <v>200</v>
      </c>
      <c r="C985" s="47"/>
      <c r="D985" s="55">
        <f ca="1">SUM(F985:I985)+K985</f>
        <v>551218.9999999979</v>
      </c>
      <c r="F985" s="49">
        <f ca="1">F983+F977</f>
        <v>516682.97918865934</v>
      </c>
      <c r="H985" s="49">
        <f ca="1">H983+H977</f>
        <v>23411.537962912818</v>
      </c>
      <c r="I985" s="49">
        <f ca="1">(L985+M985+N985)</f>
        <v>11124.482848425692</v>
      </c>
      <c r="L985" s="49">
        <f ca="1">L983+L977</f>
        <v>1.7079680627403724</v>
      </c>
      <c r="M985" s="49"/>
      <c r="N985" s="49">
        <f ca="1">SUM(O985:Q985)</f>
        <v>11122.774880362951</v>
      </c>
      <c r="O985" s="49">
        <f ca="1">O983+O977</f>
        <v>5640.465843984216</v>
      </c>
      <c r="P985" s="49">
        <f ca="1">P983+P977</f>
        <v>5482.309036378736</v>
      </c>
      <c r="Q985" s="49">
        <f ca="1">Q983+Q977</f>
        <v>0</v>
      </c>
      <c r="T985" s="47"/>
      <c r="U985" s="81"/>
      <c r="V985" s="81"/>
      <c r="W985" s="81">
        <f>SUM(W971:W983)</f>
        <v>551218.99999999779</v>
      </c>
      <c r="X985" s="282">
        <f ca="1">D985-W985</f>
        <v>0</v>
      </c>
    </row>
    <row r="986" spans="1:31" x14ac:dyDescent="0.2">
      <c r="C986" s="47"/>
      <c r="T986" s="75"/>
      <c r="U986" s="81"/>
      <c r="V986" s="81"/>
      <c r="W986" s="81"/>
      <c r="X986" s="82"/>
    </row>
    <row r="987" spans="1:31" x14ac:dyDescent="0.2">
      <c r="B987" s="37" t="s">
        <v>202</v>
      </c>
      <c r="C987" s="47"/>
      <c r="T987" s="75"/>
      <c r="U987" s="81"/>
      <c r="V987" s="81"/>
      <c r="W987" s="81"/>
      <c r="X987" s="82"/>
    </row>
    <row r="988" spans="1:31" x14ac:dyDescent="0.2">
      <c r="A988" s="49">
        <v>31</v>
      </c>
      <c r="B988" s="37" t="s">
        <v>203</v>
      </c>
      <c r="C988" s="40" t="s">
        <v>1003</v>
      </c>
      <c r="D988" s="55">
        <f t="shared" ref="D988:D998" ca="1" si="251">SUM(F988:I988)+K988</f>
        <v>1306825.0000000002</v>
      </c>
      <c r="F988" s="49">
        <f ca="1">INDEX(INDIRECT($C988),1,F$12+1)*$T988</f>
        <v>1224070.5677148106</v>
      </c>
      <c r="H988" s="49">
        <f ca="1">INDEX(INDIRECT($C988),1,H$12+1)*$T988</f>
        <v>55834.924534332677</v>
      </c>
      <c r="I988" s="49">
        <f t="shared" ref="I988:I998" ca="1" si="252">(L988+M988+N988)</f>
        <v>26919.507750856879</v>
      </c>
      <c r="L988" s="49">
        <f ca="1">INDEX(INDIRECT($C988),1,L$12+1)*$T988</f>
        <v>3.9138466411531185</v>
      </c>
      <c r="M988" s="49"/>
      <c r="N988" s="49">
        <f t="shared" ref="N988:N998" ca="1" si="253">SUM(O988:Q988)</f>
        <v>26915.593904215726</v>
      </c>
      <c r="O988" s="49">
        <f t="shared" ref="O988:Q992" ca="1" si="254">INDEX(INDIRECT($C988),1,O$12+1)*$T988</f>
        <v>13650.837010649648</v>
      </c>
      <c r="P988" s="49">
        <f t="shared" ca="1" si="254"/>
        <v>13264.756893566077</v>
      </c>
      <c r="Q988" s="49">
        <f t="shared" ca="1" si="254"/>
        <v>0</v>
      </c>
      <c r="T988" s="274">
        <v>1306825</v>
      </c>
      <c r="U988" s="81">
        <v>546</v>
      </c>
      <c r="V988" s="81"/>
      <c r="W988" s="81">
        <f>SUMIF('O&amp;M'!$B$3:$B$89,TOTALCO!U988,'O&amp;M'!$F$3:$F$89)+SUMIF('O&amp;M'!$B$3:$B$89,TOTALCO!V988,'O&amp;M'!$F$3:$F$89)</f>
        <v>1306825</v>
      </c>
      <c r="X988" s="282">
        <f ca="1">D988-T988</f>
        <v>0</v>
      </c>
      <c r="Y988" s="39"/>
    </row>
    <row r="989" spans="1:31" x14ac:dyDescent="0.2">
      <c r="A989" s="49">
        <v>32</v>
      </c>
      <c r="B989" s="37" t="s">
        <v>204</v>
      </c>
      <c r="C989" s="40" t="s">
        <v>630</v>
      </c>
      <c r="D989" s="55">
        <f t="shared" ca="1" si="251"/>
        <v>125544025.15006199</v>
      </c>
      <c r="F989" s="49">
        <f ca="1">INDEX(INDIRECT($C989),1,F$12+1)*$T989</f>
        <v>118138077.59565996</v>
      </c>
      <c r="H989" s="49">
        <f ca="1">INDEX(INDIRECT($C989),1,H$12+1)*$T989</f>
        <v>4819494.7445694413</v>
      </c>
      <c r="I989" s="49">
        <f t="shared" ca="1" si="252"/>
        <v>2586452.8098326023</v>
      </c>
      <c r="L989" s="49">
        <f ca="1">INDEX(INDIRECT($C989),1,L$12+1)*$T989</f>
        <v>528.72147510021091</v>
      </c>
      <c r="M989" s="49"/>
      <c r="N989" s="49">
        <f t="shared" ca="1" si="253"/>
        <v>2585924.0883575021</v>
      </c>
      <c r="O989" s="49">
        <f t="shared" ca="1" si="254"/>
        <v>1309531.7610705376</v>
      </c>
      <c r="P989" s="49">
        <f t="shared" ca="1" si="254"/>
        <v>1276392.3272869645</v>
      </c>
      <c r="Q989" s="49">
        <f t="shared" ca="1" si="254"/>
        <v>0</v>
      </c>
      <c r="T989" s="274">
        <v>125544025.15006199</v>
      </c>
      <c r="U989" s="81">
        <v>547</v>
      </c>
      <c r="V989" s="81"/>
      <c r="W989" s="81">
        <f>SUMIF('O&amp;M'!$B$3:$B$89,TOTALCO!U989,'O&amp;M'!$F$3:$F$89)+SUMIF('O&amp;M'!$B$3:$B$89,TOTALCO!V989,'O&amp;M'!$F$3:$F$89)</f>
        <v>125544025.15006199</v>
      </c>
      <c r="X989" s="282">
        <f ca="1">D989-T989</f>
        <v>0</v>
      </c>
      <c r="Y989" s="39"/>
      <c r="AD989" s="24" t="s">
        <v>553</v>
      </c>
      <c r="AE989" s="24" t="s">
        <v>553</v>
      </c>
    </row>
    <row r="990" spans="1:31" x14ac:dyDescent="0.2">
      <c r="A990" s="49">
        <v>33</v>
      </c>
      <c r="B990" s="37" t="s">
        <v>205</v>
      </c>
      <c r="C990" s="40" t="s">
        <v>1003</v>
      </c>
      <c r="D990" s="55">
        <f t="shared" ca="1" si="251"/>
        <v>631118.00000000012</v>
      </c>
      <c r="F990" s="49">
        <f ca="1">INDEX(INDIRECT($C990),1,F$12+1)*$T990</f>
        <v>591152.578619965</v>
      </c>
      <c r="H990" s="49">
        <f ca="1">INDEX(INDIRECT($C990),1,H$12+1)*$T990</f>
        <v>26964.915656081703</v>
      </c>
      <c r="I990" s="49">
        <f t="shared" ca="1" si="252"/>
        <v>13000.505723953314</v>
      </c>
      <c r="L990" s="49">
        <f ca="1">INDEX(INDIRECT($C990),1,L$12+1)*$T990</f>
        <v>1.8901529007107101</v>
      </c>
      <c r="M990" s="49"/>
      <c r="N990" s="49">
        <f t="shared" ca="1" si="253"/>
        <v>12998.615571052604</v>
      </c>
      <c r="O990" s="49">
        <f t="shared" ca="1" si="254"/>
        <v>6592.5345417230192</v>
      </c>
      <c r="P990" s="49">
        <f t="shared" ca="1" si="254"/>
        <v>6406.0810293295854</v>
      </c>
      <c r="Q990" s="49">
        <f t="shared" ca="1" si="254"/>
        <v>0</v>
      </c>
      <c r="T990" s="274">
        <v>631118</v>
      </c>
      <c r="U990" s="81">
        <v>548</v>
      </c>
      <c r="V990" s="81"/>
      <c r="W990" s="81">
        <f>SUMIF('O&amp;M'!$B$3:$B$89,TOTALCO!U990,'O&amp;M'!$F$3:$F$89)+SUMIF('O&amp;M'!$B$3:$B$89,TOTALCO!V990,'O&amp;M'!$F$3:$F$89)</f>
        <v>631118</v>
      </c>
      <c r="X990" s="282">
        <f ca="1">D990-T990</f>
        <v>0</v>
      </c>
      <c r="Y990" s="716" t="s">
        <v>935</v>
      </c>
      <c r="Z990" s="500" t="s">
        <v>1520</v>
      </c>
      <c r="AB990" s="149" t="s">
        <v>937</v>
      </c>
      <c r="AD990" s="24" t="s">
        <v>559</v>
      </c>
      <c r="AE990" s="24" t="s">
        <v>560</v>
      </c>
    </row>
    <row r="991" spans="1:31" x14ac:dyDescent="0.2">
      <c r="A991" s="49">
        <v>34</v>
      </c>
      <c r="B991" s="37" t="s">
        <v>1402</v>
      </c>
      <c r="C991" s="40" t="s">
        <v>1003</v>
      </c>
      <c r="D991" s="55">
        <f ca="1">SUM(F991:I991)+K991</f>
        <v>4610326</v>
      </c>
      <c r="F991" s="49">
        <f ca="1">INDEX(INDIRECT($C991),1,F$12+1)*$T991+Y991</f>
        <v>4321192.5429301104</v>
      </c>
      <c r="H991" s="49">
        <f ca="1">INDEX(INDIRECT($C991),1,H$12+1)*$T991+AB991</f>
        <v>195080.12211615677</v>
      </c>
      <c r="I991" s="49">
        <f ca="1">(L991+M991+N991)</f>
        <v>94053.334953732861</v>
      </c>
      <c r="L991" s="49">
        <f ca="1">INDEX(INDIRECT($C991),1,L$12+1)*$T991</f>
        <v>13.674482182394259</v>
      </c>
      <c r="M991" s="49"/>
      <c r="N991" s="49">
        <f ca="1">SUM(O991:Q991)</f>
        <v>94039.660471550465</v>
      </c>
      <c r="O991" s="49">
        <f ca="1">INDEX(INDIRECT($C991),1,O$12+1)*$T991+AD991</f>
        <v>47694.287638694899</v>
      </c>
      <c r="P991" s="49">
        <f ca="1">INDEX(INDIRECT($C991),1,P$12+1)*$T991+AE991</f>
        <v>46345.372832855566</v>
      </c>
      <c r="Q991" s="49">
        <f t="shared" ca="1" si="254"/>
        <v>0</v>
      </c>
      <c r="T991" s="74">
        <f>W991-Y991-AB991-AD991-AE991</f>
        <v>4565880.2749466896</v>
      </c>
      <c r="U991" s="81">
        <v>549</v>
      </c>
      <c r="V991" s="81"/>
      <c r="W991" s="81">
        <f>SUMIF('O&amp;M'!$B$3:$B$89,TOTALCO!U991,'O&amp;M'!$F$3:$F$89)+SUMIF('O&amp;M'!$B$3:$B$89,TOTALCO!V991,'O&amp;M'!$F$3:$F$89)</f>
        <v>4610326</v>
      </c>
      <c r="X991" s="282">
        <f ca="1">D991-T991</f>
        <v>44445.725053310394</v>
      </c>
      <c r="Y991" s="422">
        <f>'Outage Maint COS Support'!C8</f>
        <v>44445.725053310118</v>
      </c>
      <c r="Z991" s="500" t="s">
        <v>1512</v>
      </c>
      <c r="AA991" s="24">
        <f ca="1">X991-Y991-AB991-AD991-AE991</f>
        <v>2.7648638933897018E-10</v>
      </c>
      <c r="AB991" s="24">
        <f>'Outage Maint COS Support'!C21</f>
        <v>0</v>
      </c>
      <c r="AD991" s="24">
        <f>'Outage Maint COS Support'!C34</f>
        <v>0</v>
      </c>
      <c r="AE991" s="24">
        <f>'Outage Maint COS Support'!C47</f>
        <v>0</v>
      </c>
    </row>
    <row r="992" spans="1:31" x14ac:dyDescent="0.2">
      <c r="A992" s="49">
        <v>35</v>
      </c>
      <c r="B992" s="37" t="s">
        <v>1403</v>
      </c>
      <c r="C992" s="40" t="s">
        <v>1003</v>
      </c>
      <c r="D992" s="55">
        <f t="shared" ca="1" si="251"/>
        <v>10000</v>
      </c>
      <c r="F992" s="49">
        <f ca="1">INDEX(INDIRECT($C992),1,F$12+1)*$T992</f>
        <v>9366.7519959811798</v>
      </c>
      <c r="H992" s="49">
        <f ca="1">INDEX(INDIRECT($C992),1,H$12+1)*$T992</f>
        <v>427.25632379494328</v>
      </c>
      <c r="I992" s="49">
        <f t="shared" ca="1" si="252"/>
        <v>205.99168022387755</v>
      </c>
      <c r="L992" s="49">
        <f ca="1">INDEX(INDIRECT($C992),1,L$12+1)*$T992</f>
        <v>2.9949278909977374E-2</v>
      </c>
      <c r="M992" s="49"/>
      <c r="N992" s="49">
        <f t="shared" ca="1" si="253"/>
        <v>205.96173094496757</v>
      </c>
      <c r="O992" s="49">
        <f t="shared" ca="1" si="254"/>
        <v>104.45803386566409</v>
      </c>
      <c r="P992" s="49">
        <f t="shared" ca="1" si="254"/>
        <v>101.50369707930348</v>
      </c>
      <c r="Q992" s="49">
        <f t="shared" ca="1" si="254"/>
        <v>0</v>
      </c>
      <c r="T992" s="274">
        <v>10000</v>
      </c>
      <c r="U992" s="81">
        <v>550</v>
      </c>
      <c r="V992" s="81"/>
      <c r="W992" s="81">
        <f>SUMIF('O&amp;M'!$B$3:$B$89,TOTALCO!U992,'O&amp;M'!$F$3:$F$89)+SUMIF('O&amp;M'!$B$3:$B$89,TOTALCO!V992,'O&amp;M'!$F$3:$F$89)</f>
        <v>10000</v>
      </c>
      <c r="X992" s="282">
        <f ca="1">D992-T992</f>
        <v>0</v>
      </c>
      <c r="Y992" s="422"/>
    </row>
    <row r="993" spans="1:31" x14ac:dyDescent="0.2">
      <c r="A993" s="49">
        <v>36</v>
      </c>
      <c r="B993" s="37" t="s">
        <v>206</v>
      </c>
      <c r="C993" s="47"/>
      <c r="D993" s="55">
        <f t="shared" ca="1" si="251"/>
        <v>132102294.15006201</v>
      </c>
      <c r="F993" s="49">
        <f ca="1">SUM(F988:F992)</f>
        <v>124283860.03692083</v>
      </c>
      <c r="H993" s="49">
        <f ca="1">SUM(H988:H992)</f>
        <v>5097801.9631998073</v>
      </c>
      <c r="I993" s="49">
        <f t="shared" ca="1" si="252"/>
        <v>2720632.1499413699</v>
      </c>
      <c r="L993" s="49">
        <f ca="1">SUM(L988:L992)</f>
        <v>548.22990610337899</v>
      </c>
      <c r="M993" s="49"/>
      <c r="N993" s="49">
        <f t="shared" ca="1" si="253"/>
        <v>2720083.9200352663</v>
      </c>
      <c r="O993" s="49">
        <f ca="1">SUM(O988:O992)</f>
        <v>1377573.878295471</v>
      </c>
      <c r="P993" s="49">
        <f ca="1">SUM(P988:P992)</f>
        <v>1342510.0417397954</v>
      </c>
      <c r="Q993" s="49">
        <f ca="1">SUM(Q988:Q992)</f>
        <v>0</v>
      </c>
      <c r="T993" s="47"/>
      <c r="U993" s="81"/>
      <c r="V993" s="81"/>
      <c r="W993" s="81"/>
      <c r="X993" s="282"/>
      <c r="Y993" s="422"/>
    </row>
    <row r="994" spans="1:31" x14ac:dyDescent="0.2">
      <c r="A994" s="49">
        <v>37</v>
      </c>
      <c r="B994" s="59" t="s">
        <v>681</v>
      </c>
      <c r="C994" s="40" t="s">
        <v>1003</v>
      </c>
      <c r="D994" s="55">
        <f t="shared" ca="1" si="251"/>
        <v>451273</v>
      </c>
      <c r="F994" s="49">
        <f ca="1">INDEX(INDIRECT($C994),1,F$12+1)*$T994+Y994</f>
        <v>397057.98145704041</v>
      </c>
      <c r="H994" s="49">
        <f ca="1">INDEX(INDIRECT($C994),1,H$12+1)*$T994+AB994</f>
        <v>36566.665563520117</v>
      </c>
      <c r="I994" s="49">
        <f t="shared" ca="1" si="252"/>
        <v>17648.352979439507</v>
      </c>
      <c r="L994" s="49">
        <f ca="1">INDEX(INDIRECT($C994),1,L$12+1)*$T994</f>
        <v>1.1034477489238546</v>
      </c>
      <c r="M994" s="49"/>
      <c r="N994" s="49">
        <f t="shared" ca="1" si="253"/>
        <v>17647.249531690584</v>
      </c>
      <c r="O994" s="49">
        <f t="shared" ref="O994:P997" ca="1" si="255">INDEX(INDIRECT($C994),1,O$12+1)*$T994+AD994</f>
        <v>8950.1917698958878</v>
      </c>
      <c r="P994" s="49">
        <f t="shared" ca="1" si="255"/>
        <v>8697.0577617946965</v>
      </c>
      <c r="Q994" s="49">
        <f ca="1">INDEX(INDIRECT($C994),1,Q$12+1)*$T994</f>
        <v>0</v>
      </c>
      <c r="T994" s="74">
        <f>W994-Y994-AB994-AD994-AE994</f>
        <v>368438.83695518604</v>
      </c>
      <c r="U994" s="81">
        <v>551</v>
      </c>
      <c r="V994" s="81"/>
      <c r="W994" s="81">
        <f>SUMIF('O&amp;M'!$B$3:$B$89,TOTALCO!U994,'O&amp;M'!$F$3:$F$89)+SUMIF('O&amp;M'!$B$3:$B$89,TOTALCO!V994,'O&amp;M'!$F$3:$F$89)</f>
        <v>451273</v>
      </c>
      <c r="X994" s="282">
        <f ca="1">D994-T994</f>
        <v>82834.163044813962</v>
      </c>
      <c r="Y994" s="422">
        <f>'Outage Maint COS Support'!C9</f>
        <v>51950.460312343057</v>
      </c>
      <c r="Z994" s="500" t="s">
        <v>1513</v>
      </c>
      <c r="AA994" s="24">
        <f ca="1">X994-Y994-AB994-AD994-AE994</f>
        <v>1.2732925824820995E-11</v>
      </c>
      <c r="AB994" s="24">
        <f>'Outage Maint COS Support'!C22</f>
        <v>20824.883261444389</v>
      </c>
      <c r="AD994" s="24">
        <f>'Outage Maint COS Support'!C35</f>
        <v>5101.5521190868158</v>
      </c>
      <c r="AE994" s="24">
        <f>'Outage Maint COS Support'!C48</f>
        <v>4957.2673519396876</v>
      </c>
    </row>
    <row r="995" spans="1:31" x14ac:dyDescent="0.2">
      <c r="A995" s="49">
        <v>38</v>
      </c>
      <c r="B995" s="37" t="s">
        <v>207</v>
      </c>
      <c r="C995" s="40" t="s">
        <v>1003</v>
      </c>
      <c r="D995" s="55">
        <f t="shared" ca="1" si="251"/>
        <v>756752.00000000012</v>
      </c>
      <c r="F995" s="49">
        <f ca="1">INDEX(INDIRECT($C995),1,F$12+1)*$T995+Y995</f>
        <v>703350.82093671313</v>
      </c>
      <c r="H995" s="49">
        <f ca="1">INDEX(INDIRECT($C995),1,H$12+1)*$T995+AB995</f>
        <v>36030.10401627313</v>
      </c>
      <c r="I995" s="49">
        <f t="shared" ca="1" si="252"/>
        <v>17371.075047013783</v>
      </c>
      <c r="L995" s="49">
        <f ca="1">INDEX(INDIRECT($C995),1,L$12+1)*$T995</f>
        <v>2.5255931258181907</v>
      </c>
      <c r="M995" s="49"/>
      <c r="N995" s="49">
        <f t="shared" ca="1" si="253"/>
        <v>17368.549453887965</v>
      </c>
      <c r="O995" s="49">
        <f t="shared" ca="1" si="255"/>
        <v>8808.8428793427775</v>
      </c>
      <c r="P995" s="49">
        <f t="shared" ca="1" si="255"/>
        <v>8559.7065745451873</v>
      </c>
      <c r="Q995" s="49">
        <f ca="1">INDEX(INDIRECT($C995),1,Q$12+1)*$T995</f>
        <v>0</v>
      </c>
      <c r="T995" s="74">
        <f>W995-Y995-AB995-AD995-AE995</f>
        <v>843290.12842336204</v>
      </c>
      <c r="U995" s="81">
        <v>552</v>
      </c>
      <c r="V995" s="81"/>
      <c r="W995" s="81">
        <f>SUMIF('O&amp;M'!$B$3:$B$89,TOTALCO!U995,'O&amp;M'!$F$3:$F$89)+SUMIF('O&amp;M'!$B$3:$B$89,TOTALCO!V995,'O&amp;M'!$F$3:$F$89)</f>
        <v>756752</v>
      </c>
      <c r="X995" s="282">
        <f ca="1">D995-T995</f>
        <v>-86538.128423361923</v>
      </c>
      <c r="Y995" s="422">
        <f>'Outage Maint COS Support'!C10</f>
        <v>-86538.128423362068</v>
      </c>
      <c r="Z995" s="500" t="s">
        <v>1514</v>
      </c>
      <c r="AA995" s="24">
        <f ca="1">X995-Y995-AB995-AD995-AE995</f>
        <v>1.4551915228366852E-10</v>
      </c>
      <c r="AB995" s="24">
        <f>'Outage Maint COS Support'!C23</f>
        <v>0</v>
      </c>
      <c r="AD995" s="24">
        <f>'Outage Maint COS Support'!C36</f>
        <v>0</v>
      </c>
      <c r="AE995" s="24">
        <f>'Outage Maint COS Support'!C49</f>
        <v>0</v>
      </c>
    </row>
    <row r="996" spans="1:31" x14ac:dyDescent="0.2">
      <c r="A996" s="49">
        <v>39</v>
      </c>
      <c r="B996" s="37" t="s">
        <v>208</v>
      </c>
      <c r="C996" s="40" t="s">
        <v>1003</v>
      </c>
      <c r="D996" s="55">
        <f t="shared" ca="1" si="251"/>
        <v>5849513.9999999991</v>
      </c>
      <c r="F996" s="49">
        <f ca="1">INDEX(INDIRECT($C996),1,F$12+1)*$T996+Y996</f>
        <v>5367859.6583237741</v>
      </c>
      <c r="H996" s="49">
        <f ca="1">INDEX(INDIRECT($C996),1,H$12+1)*$T996+AB996</f>
        <v>324881.55363874929</v>
      </c>
      <c r="I996" s="49">
        <f t="shared" ca="1" si="252"/>
        <v>156772.78803747642</v>
      </c>
      <c r="L996" s="49">
        <f ca="1">INDEX(INDIRECT($C996),1,L$12+1)*$T996</f>
        <v>11.878921557193035</v>
      </c>
      <c r="M996" s="49"/>
      <c r="N996" s="49">
        <f t="shared" ca="1" si="253"/>
        <v>156760.90911591923</v>
      </c>
      <c r="O996" s="49">
        <f t="shared" ca="1" si="255"/>
        <v>79504.752062985528</v>
      </c>
      <c r="P996" s="49">
        <f t="shared" ca="1" si="255"/>
        <v>77256.157052933704</v>
      </c>
      <c r="Q996" s="49">
        <f ca="1">INDEX(INDIRECT($C996),1,Q$12+1)*$T996</f>
        <v>0</v>
      </c>
      <c r="T996" s="74">
        <f>W996-Y996-AB996-AD996-AE996</f>
        <v>3966346.4328804463</v>
      </c>
      <c r="U996" s="81">
        <v>553</v>
      </c>
      <c r="V996" s="81"/>
      <c r="W996" s="81">
        <f>SUMIF('O&amp;M'!$B$3:$B$89,TOTALCO!U996,'O&amp;M'!$F$3:$F$89)+SUMIF('O&amp;M'!$B$3:$B$89,TOTALCO!V996,'O&amp;M'!$F$3:$F$89)</f>
        <v>5849514</v>
      </c>
      <c r="X996" s="282">
        <f ca="1">D996-T996</f>
        <v>1883167.5671195528</v>
      </c>
      <c r="Y996" s="422">
        <f>'Outage Maint COS Support'!C11</f>
        <v>1652681.3216301992</v>
      </c>
      <c r="Z996" s="500" t="s">
        <v>1515</v>
      </c>
      <c r="AA996" s="24">
        <f ca="1">X996-Y996-AB996-AD996-AE996</f>
        <v>-9.3132257461547852E-10</v>
      </c>
      <c r="AB996" s="24">
        <f>'Outage Maint COS Support'!C24</f>
        <v>155416.89405778068</v>
      </c>
      <c r="AD996" s="24">
        <f>'Outage Maint COS Support'!C37</f>
        <v>38073.077062107375</v>
      </c>
      <c r="AE996" s="24">
        <f>'Outage Maint COS Support'!C50</f>
        <v>36996.274369466424</v>
      </c>
    </row>
    <row r="997" spans="1:31" x14ac:dyDescent="0.2">
      <c r="A997" s="49">
        <v>40</v>
      </c>
      <c r="B997" s="37" t="s">
        <v>209</v>
      </c>
      <c r="C997" s="40" t="s">
        <v>1003</v>
      </c>
      <c r="D997" s="55">
        <f t="shared" ca="1" si="251"/>
        <v>6111967.0000000009</v>
      </c>
      <c r="F997" s="49">
        <f ca="1">INDEX(INDIRECT($C997),1,F$12+1)*$T997+Y997</f>
        <v>5523369.2117370889</v>
      </c>
      <c r="H997" s="49">
        <f ca="1">INDEX(INDIRECT($C997),1,H$12+1)*$T997+AB997</f>
        <v>397015.2678414426</v>
      </c>
      <c r="I997" s="49">
        <f t="shared" ca="1" si="252"/>
        <v>191582.52042146918</v>
      </c>
      <c r="L997" s="49">
        <f ca="1">INDEX(INDIRECT($C997),1,L$12+1)*$T997</f>
        <v>14.410902521367349</v>
      </c>
      <c r="M997" s="49"/>
      <c r="N997" s="49">
        <f t="shared" ca="1" si="253"/>
        <v>191568.10951894781</v>
      </c>
      <c r="O997" s="49">
        <f t="shared" ca="1" si="255"/>
        <v>97157.991340917302</v>
      </c>
      <c r="P997" s="49">
        <f t="shared" ca="1" si="255"/>
        <v>94410.118178030505</v>
      </c>
      <c r="Q997" s="49">
        <f ca="1">INDEX(INDIRECT($C997),1,Q$12+1)*$T997</f>
        <v>0</v>
      </c>
      <c r="T997" s="74">
        <f>W997-Y997-AB997-AD997-AE997</f>
        <v>4811769.4468318122</v>
      </c>
      <c r="U997" s="81">
        <v>554</v>
      </c>
      <c r="V997" s="81"/>
      <c r="W997" s="81">
        <f>SUMIF('O&amp;M'!$B$3:$B$89,TOTALCO!U997,'O&amp;M'!$F$3:$F$89)+SUMIF('O&amp;M'!$B$3:$B$89,TOTALCO!V997,'O&amp;M'!$F$3:$F$89)</f>
        <v>6111967</v>
      </c>
      <c r="X997" s="282">
        <f ca="1">D997-T997</f>
        <v>1300197.5531681888</v>
      </c>
      <c r="Y997" s="422">
        <f>'Outage Maint COS Support'!C12</f>
        <v>1016304.1047057747</v>
      </c>
      <c r="Z997" s="500" t="s">
        <v>1516</v>
      </c>
      <c r="AA997" s="24">
        <f ca="1">X997-Y997-AB997-AD997-AE997</f>
        <v>1.4333636499941349E-9</v>
      </c>
      <c r="AB997" s="24">
        <f>'Outage Maint COS Support'!C25</f>
        <v>191429.37536122376</v>
      </c>
      <c r="AD997" s="24">
        <f>'Outage Maint COS Support'!C38</f>
        <v>46895.193757824774</v>
      </c>
      <c r="AE997" s="24">
        <f>'Outage Maint COS Support'!C51</f>
        <v>45568.879343364119</v>
      </c>
    </row>
    <row r="998" spans="1:31" x14ac:dyDescent="0.2">
      <c r="A998" s="49">
        <v>41</v>
      </c>
      <c r="B998" s="37" t="s">
        <v>210</v>
      </c>
      <c r="C998" s="47"/>
      <c r="D998" s="55">
        <f t="shared" ca="1" si="251"/>
        <v>13169506</v>
      </c>
      <c r="F998" s="49">
        <f ca="1">SUM(F994:F997)</f>
        <v>11991637.672454616</v>
      </c>
      <c r="H998" s="49">
        <f ca="1">SUM(H994:H997)</f>
        <v>794493.5910599851</v>
      </c>
      <c r="I998" s="49">
        <f t="shared" ca="1" si="252"/>
        <v>383374.73648539884</v>
      </c>
      <c r="L998" s="49">
        <f ca="1">SUM(L994:L997)</f>
        <v>29.918864953302432</v>
      </c>
      <c r="M998" s="49"/>
      <c r="N998" s="49">
        <f t="shared" ca="1" si="253"/>
        <v>383344.81762044557</v>
      </c>
      <c r="O998" s="49">
        <f ca="1">SUM(O994:O997)</f>
        <v>194421.77805314149</v>
      </c>
      <c r="P998" s="49">
        <f ca="1">SUM(P994:P997)</f>
        <v>188923.03956730408</v>
      </c>
      <c r="Q998" s="49">
        <f ca="1">SUM(Q994:Q997)</f>
        <v>0</v>
      </c>
      <c r="T998" s="47"/>
      <c r="U998" s="81"/>
      <c r="V998" s="81"/>
      <c r="W998" s="81"/>
      <c r="X998" s="82"/>
      <c r="Y998" s="422"/>
    </row>
    <row r="999" spans="1:31" x14ac:dyDescent="0.2">
      <c r="C999" s="47"/>
      <c r="T999" s="75"/>
      <c r="U999" s="81"/>
      <c r="V999" s="81"/>
      <c r="W999" s="81"/>
      <c r="X999" s="82"/>
    </row>
    <row r="1000" spans="1:31" x14ac:dyDescent="0.2">
      <c r="A1000" s="49">
        <v>42</v>
      </c>
      <c r="B1000" s="37" t="s">
        <v>211</v>
      </c>
      <c r="C1000" s="47"/>
      <c r="D1000" s="55">
        <f ca="1">SUM(F1000:I1000)+K1000</f>
        <v>145271800.15006199</v>
      </c>
      <c r="F1000" s="49">
        <f ca="1">F998+F993</f>
        <v>136275497.70937544</v>
      </c>
      <c r="H1000" s="49">
        <f ca="1">H998+H993</f>
        <v>5892295.554259792</v>
      </c>
      <c r="I1000" s="49">
        <f ca="1">(L1000+M1000+N1000)</f>
        <v>3104006.8864267687</v>
      </c>
      <c r="L1000" s="49">
        <f ca="1">L998+L993</f>
        <v>578.14877105668143</v>
      </c>
      <c r="M1000" s="49"/>
      <c r="N1000" s="49">
        <f ca="1">SUM(O1000:Q1000)</f>
        <v>3103428.7376557118</v>
      </c>
      <c r="O1000" s="49">
        <f ca="1">O998+O993</f>
        <v>1571995.6563486124</v>
      </c>
      <c r="P1000" s="49">
        <f ca="1">P998+P993</f>
        <v>1531433.0813070994</v>
      </c>
      <c r="Q1000" s="49">
        <f ca="1">Q998+Q993</f>
        <v>0</v>
      </c>
      <c r="T1000" s="47"/>
      <c r="U1000" s="81"/>
      <c r="V1000" s="81"/>
      <c r="W1000" s="81">
        <f>SUM(W988:W997)</f>
        <v>145271800.15006199</v>
      </c>
      <c r="X1000" s="282">
        <f ca="1">D1000-W1000</f>
        <v>0</v>
      </c>
    </row>
    <row r="1001" spans="1:31" x14ac:dyDescent="0.2">
      <c r="C1001" s="47"/>
      <c r="T1001" s="75"/>
      <c r="U1001" s="81"/>
      <c r="V1001" s="81"/>
      <c r="W1001" s="81"/>
      <c r="X1001" s="82"/>
    </row>
    <row r="1002" spans="1:31" x14ac:dyDescent="0.2">
      <c r="B1002" s="53" t="s">
        <v>201</v>
      </c>
      <c r="T1002" s="75"/>
      <c r="U1002" s="81"/>
      <c r="V1002" s="81"/>
      <c r="W1002" s="81"/>
      <c r="X1002" s="82"/>
    </row>
    <row r="1003" spans="1:31" x14ac:dyDescent="0.2">
      <c r="T1003" s="75"/>
      <c r="U1003" s="81"/>
      <c r="V1003" s="81"/>
      <c r="W1003" s="81"/>
      <c r="X1003" s="82"/>
    </row>
    <row r="1004" spans="1:31" x14ac:dyDescent="0.2">
      <c r="B1004" s="37" t="s">
        <v>212</v>
      </c>
      <c r="C1004" s="47"/>
      <c r="T1004" s="75"/>
      <c r="U1004" s="81">
        <v>555</v>
      </c>
      <c r="V1004" s="81"/>
      <c r="W1004" s="81">
        <f>SUMIF('O&amp;M'!$B$3:$B$89,TOTALCO!U1004,'O&amp;M'!$F$3:$F$89)+SUMIF('O&amp;M'!$B$3:$B$89,TOTALCO!V1004,'O&amp;M'!$F$3:$F$89)</f>
        <v>58036196.183791012</v>
      </c>
      <c r="X1004" s="282">
        <f ca="1">D1007-T1007</f>
        <v>0</v>
      </c>
    </row>
    <row r="1005" spans="1:31" x14ac:dyDescent="0.2">
      <c r="A1005" s="49">
        <v>43</v>
      </c>
      <c r="B1005" s="37" t="s">
        <v>213</v>
      </c>
      <c r="C1005" s="40" t="s">
        <v>572</v>
      </c>
      <c r="D1005" s="55">
        <f ca="1">SUM(F1005:I1005)+K1005</f>
        <v>12110282.927543651</v>
      </c>
      <c r="F1005" s="49">
        <f ca="1">INDEX(INDIRECT($C1005),1,F$12+1)*$T1005</f>
        <v>11352373.353743056</v>
      </c>
      <c r="H1005" s="49">
        <f ca="1">INDEX(INDIRECT($C1005),1,H$12+1)*$T1005</f>
        <v>519839.14678637625</v>
      </c>
      <c r="I1005" s="49">
        <f ca="1">(L1005+M1005+N1005)</f>
        <v>238070.42701421806</v>
      </c>
      <c r="L1005" s="49">
        <f ca="1">INDEX(INDIRECT($C1005),1,L$12+1)*$T1005</f>
        <v>36.439536989609856</v>
      </c>
      <c r="M1005" s="49"/>
      <c r="N1005" s="49">
        <f ca="1">SUM(O1005:Q1005)</f>
        <v>238033.98747722845</v>
      </c>
      <c r="O1005" s="49">
        <f ca="1">INDEX(INDIRECT($C1005),1,O$12+1)*$T1005</f>
        <v>120724.18604657747</v>
      </c>
      <c r="P1005" s="57">
        <f ca="1">(INDEX(INDIRECT($C1005),1,P$12+1)*$T1005)</f>
        <v>117309.801430651</v>
      </c>
      <c r="Q1005" s="49">
        <f ca="1">INDEX(INDIRECT($C1005),1,Q$12+1)*$T1005</f>
        <v>0</v>
      </c>
      <c r="T1005" s="274">
        <v>12110282.927543649</v>
      </c>
      <c r="U1005" s="81"/>
      <c r="V1005" s="81"/>
      <c r="W1005" s="81">
        <f>'O&amp;M'!J35*1000</f>
        <v>12110282.927543649</v>
      </c>
      <c r="X1005" s="82"/>
      <c r="Y1005" s="39"/>
    </row>
    <row r="1006" spans="1:31" x14ac:dyDescent="0.2">
      <c r="A1006" s="49">
        <v>44</v>
      </c>
      <c r="B1006" s="37" t="s">
        <v>214</v>
      </c>
      <c r="C1006" s="40" t="s">
        <v>630</v>
      </c>
      <c r="D1006" s="55">
        <f ca="1">SUM(F1006:I1006)+K1006</f>
        <v>45925913.256247364</v>
      </c>
      <c r="F1006" s="49">
        <f ca="1">INDEX(INDIRECT($C1006),1,F$12+1)*$T1006</f>
        <v>43216705.035806477</v>
      </c>
      <c r="H1006" s="49">
        <f ca="1">INDEX(INDIRECT($C1006),1,H$12+1)*$T1006</f>
        <v>1763044.456424511</v>
      </c>
      <c r="I1006" s="49">
        <f ca="1">(L1006+M1006+N1006)</f>
        <v>946163.76401637716</v>
      </c>
      <c r="L1006" s="49">
        <f ca="1">INDEX(INDIRECT($C1006),1,L$12+1)*$T1006</f>
        <v>193.41435463092165</v>
      </c>
      <c r="M1006" s="49"/>
      <c r="N1006" s="49">
        <f ca="1">SUM(O1006:Q1006)</f>
        <v>945970.34966174618</v>
      </c>
      <c r="O1006" s="49">
        <f ca="1">INDEX(INDIRECT($C1006),1,O$12+1)*$T1006</f>
        <v>479046.62920708233</v>
      </c>
      <c r="P1006" s="57">
        <f ca="1">(INDEX(INDIRECT($C1006),1,P$12+1)*$T1006)</f>
        <v>466923.72045466385</v>
      </c>
      <c r="Q1006" s="49">
        <f ca="1">INDEX(INDIRECT($C1006),1,Q$12+1)*$T1006</f>
        <v>0</v>
      </c>
      <c r="T1006" s="74">
        <f>W1004-T1005</f>
        <v>45925913.256247364</v>
      </c>
      <c r="U1006" s="81"/>
      <c r="V1006" s="81"/>
      <c r="W1006" s="81"/>
      <c r="X1006" s="82"/>
      <c r="Y1006" s="39"/>
    </row>
    <row r="1007" spans="1:31" x14ac:dyDescent="0.2">
      <c r="A1007" s="49">
        <v>45</v>
      </c>
      <c r="B1007" s="37" t="s">
        <v>215</v>
      </c>
      <c r="C1007" s="47"/>
      <c r="D1007" s="55">
        <f ca="1">SUM(F1007:I1007)+K1007</f>
        <v>58036196.183791012</v>
      </c>
      <c r="F1007" s="49">
        <f ca="1">F1006+F1005</f>
        <v>54569078.389549531</v>
      </c>
      <c r="H1007" s="49">
        <f ca="1">H1006+H1005</f>
        <v>2282883.6032108874</v>
      </c>
      <c r="I1007" s="49">
        <f ca="1">(L1007+M1007+N1007)</f>
        <v>1184234.1910305952</v>
      </c>
      <c r="L1007" s="49">
        <f ca="1">L1006+L1005</f>
        <v>229.8538916205315</v>
      </c>
      <c r="M1007" s="49"/>
      <c r="N1007" s="49">
        <f ca="1">SUM(O1007:Q1007)</f>
        <v>1184004.3371389746</v>
      </c>
      <c r="O1007" s="49">
        <f ca="1">O1006+O1005</f>
        <v>599770.81525365985</v>
      </c>
      <c r="P1007" s="49">
        <f ca="1">P1006+P1005</f>
        <v>584233.52188531484</v>
      </c>
      <c r="Q1007" s="49">
        <f ca="1">Q1006+Q1005+Q1025</f>
        <v>0</v>
      </c>
      <c r="T1007" s="83">
        <f>SUM(T1005:T1006)</f>
        <v>58036196.183791012</v>
      </c>
      <c r="U1007" s="81"/>
      <c r="V1007" s="81"/>
      <c r="W1007" s="81"/>
      <c r="X1007" s="82"/>
    </row>
    <row r="1008" spans="1:31" x14ac:dyDescent="0.2">
      <c r="C1008" s="47"/>
      <c r="T1008" s="75"/>
      <c r="U1008" s="81"/>
      <c r="V1008" s="81"/>
      <c r="W1008" s="81"/>
      <c r="X1008" s="82"/>
    </row>
    <row r="1009" spans="1:27" x14ac:dyDescent="0.2">
      <c r="A1009" s="49">
        <v>46</v>
      </c>
      <c r="B1009" s="37" t="s">
        <v>216</v>
      </c>
      <c r="C1009" s="40" t="s">
        <v>572</v>
      </c>
      <c r="D1009" s="55">
        <f ca="1">SUM(F1009:I1009)+K1009</f>
        <v>1832258</v>
      </c>
      <c r="F1009" s="49">
        <f ca="1">INDEX(INDIRECT($C1009),1,F$12+1)*$T1009</f>
        <v>1717588.0217524811</v>
      </c>
      <c r="H1009" s="49">
        <f ca="1">INDEX(INDIRECT($C1009),1,H$12+1)*$T1009</f>
        <v>78650.469283933184</v>
      </c>
      <c r="I1009" s="49">
        <f ca="1">(L1009+M1009+N1009)</f>
        <v>36019.508963585686</v>
      </c>
      <c r="L1009" s="49">
        <f ca="1">INDEX(INDIRECT($C1009),1,L$12+1)*$T1009</f>
        <v>5.5132182761522799</v>
      </c>
      <c r="M1009" s="49"/>
      <c r="N1009" s="49">
        <f ca="1">SUM(O1009:Q1009)</f>
        <v>36013.995745309534</v>
      </c>
      <c r="O1009" s="49">
        <f t="shared" ref="O1009:Q1010" ca="1" si="256">INDEX(INDIRECT($C1009),1,O$12+1)*$T1009</f>
        <v>18265.292148892502</v>
      </c>
      <c r="P1009" s="49">
        <f t="shared" ca="1" si="256"/>
        <v>17748.703596417032</v>
      </c>
      <c r="Q1009" s="49">
        <f t="shared" ca="1" si="256"/>
        <v>0</v>
      </c>
      <c r="T1009" s="274">
        <v>1832258</v>
      </c>
      <c r="U1009" s="81">
        <v>556</v>
      </c>
      <c r="V1009" s="81"/>
      <c r="W1009" s="81">
        <f>SUMIF('O&amp;M'!$B$3:$B$89,TOTALCO!U1009,'O&amp;M'!$F$3:$F$89)+SUMIF('O&amp;M'!$B$3:$B$89,TOTALCO!V1009,'O&amp;M'!$F$3:$F$89)</f>
        <v>1832258</v>
      </c>
      <c r="X1009" s="282">
        <f ca="1">D1009-T1009</f>
        <v>0</v>
      </c>
      <c r="Y1009" s="39"/>
    </row>
    <row r="1010" spans="1:27" x14ac:dyDescent="0.2">
      <c r="A1010" s="49">
        <v>47</v>
      </c>
      <c r="B1010" s="37" t="s">
        <v>217</v>
      </c>
      <c r="C1010" s="40" t="s">
        <v>963</v>
      </c>
      <c r="D1010" s="55">
        <f ca="1">SUM(F1010:I1010)+K1010</f>
        <v>179236.99999999994</v>
      </c>
      <c r="F1010" s="49">
        <f ca="1">INDEX(INDIRECT($C1010),1,F$12+1)*$T1010</f>
        <v>167702.50479395982</v>
      </c>
      <c r="H1010" s="49">
        <f ca="1">INDEX(INDIRECT($C1010),1,H$12+1)*$T1010</f>
        <v>7788.5705044673759</v>
      </c>
      <c r="I1010" s="49">
        <f ca="1">(L1010+M1010+N1010)</f>
        <v>3745.9247015727442</v>
      </c>
      <c r="L1010" s="49">
        <f ca="1">INDEX(INDIRECT($C1010),1,L$12+1)*$T1010</f>
        <v>0.53550651004023309</v>
      </c>
      <c r="M1010" s="49"/>
      <c r="N1010" s="49">
        <f ca="1">SUM(O1010:Q1010)</f>
        <v>3745.3891950627039</v>
      </c>
      <c r="O1010" s="49">
        <f t="shared" ca="1" si="256"/>
        <v>1899.5567263050903</v>
      </c>
      <c r="P1010" s="49">
        <f t="shared" ca="1" si="256"/>
        <v>1845.8324687576139</v>
      </c>
      <c r="Q1010" s="49">
        <f t="shared" ca="1" si="256"/>
        <v>0</v>
      </c>
      <c r="T1010" s="274">
        <v>179236.99999999991</v>
      </c>
      <c r="U1010" s="81">
        <v>557</v>
      </c>
      <c r="V1010" s="81"/>
      <c r="W1010" s="81">
        <f>SUMIF('O&amp;M'!$B$3:$B$89,TOTALCO!U1010,'O&amp;M'!$F$3:$F$89)+SUMIF('O&amp;M'!$B$3:$B$89,TOTALCO!V1010,'O&amp;M'!$F$3:$F$89)</f>
        <v>179236.99999999991</v>
      </c>
      <c r="X1010" s="282">
        <f ca="1">D1010-T1010</f>
        <v>0</v>
      </c>
      <c r="Y1010" s="39"/>
    </row>
    <row r="1011" spans="1:27" x14ac:dyDescent="0.2">
      <c r="C1011" s="47"/>
      <c r="T1011" s="75"/>
      <c r="U1011" s="81"/>
      <c r="V1011" s="81"/>
      <c r="W1011" s="81"/>
      <c r="X1011" s="82"/>
    </row>
    <row r="1012" spans="1:27" x14ac:dyDescent="0.2">
      <c r="A1012" s="49">
        <v>48</v>
      </c>
      <c r="B1012" s="37" t="s">
        <v>218</v>
      </c>
      <c r="C1012" s="47"/>
      <c r="D1012" s="55">
        <f ca="1">SUM(F1012:I1012)+K1012</f>
        <v>656097800.56972659</v>
      </c>
      <c r="F1012" s="49">
        <f ca="1">F968+F985+F1000+F1007+F1009+F1010</f>
        <v>615512699.90913165</v>
      </c>
      <c r="H1012" s="49">
        <f ca="1">H968+H985+H1000+H1007+H1009+H1010</f>
        <v>26604582.129138205</v>
      </c>
      <c r="I1012" s="49">
        <f ca="1">(L1012+M1012+N1012)</f>
        <v>13980518.53145669</v>
      </c>
      <c r="L1012" s="49">
        <f ca="1">L968+L985+L1000+L1007+L1009+L1010</f>
        <v>2522.6452200499957</v>
      </c>
      <c r="M1012" s="49"/>
      <c r="N1012" s="49">
        <f ca="1">SUM(O1012:Q1012)</f>
        <v>13977995.88623664</v>
      </c>
      <c r="O1012" s="49">
        <f ca="1">O968+O985+O1000+O1007+O1009+O1010</f>
        <v>7080582.8458645437</v>
      </c>
      <c r="P1012" s="49">
        <f ca="1">P968+P985+P1000+P1007+P1009+P1010</f>
        <v>6897413.040372096</v>
      </c>
      <c r="Q1012" s="49">
        <f ca="1">Q968+Q985+Q1000+Q1007+Q1009+Q1010</f>
        <v>0</v>
      </c>
      <c r="T1012" s="47"/>
      <c r="U1012" s="81"/>
      <c r="V1012" s="81"/>
      <c r="W1012" s="81">
        <f>W1000+W985+W968+W1004+W1009+W1010</f>
        <v>656097800.56972647</v>
      </c>
      <c r="X1012" s="282">
        <f ca="1">D1012-W1012</f>
        <v>0</v>
      </c>
    </row>
    <row r="1013" spans="1:27" x14ac:dyDescent="0.2">
      <c r="C1013" s="47"/>
      <c r="T1013" s="75"/>
      <c r="U1013" s="81"/>
      <c r="V1013" s="81"/>
      <c r="W1013" s="81"/>
      <c r="X1013" s="82"/>
    </row>
    <row r="1014" spans="1:27" x14ac:dyDescent="0.2">
      <c r="B1014" s="53" t="s">
        <v>201</v>
      </c>
      <c r="T1014" s="75"/>
      <c r="U1014" s="81"/>
      <c r="V1014" s="81"/>
      <c r="W1014" s="81"/>
      <c r="X1014" s="82"/>
    </row>
    <row r="1015" spans="1:27" x14ac:dyDescent="0.2">
      <c r="T1015" s="75"/>
      <c r="U1015" s="81"/>
      <c r="V1015" s="81"/>
      <c r="W1015" s="81"/>
      <c r="X1015" s="82"/>
    </row>
    <row r="1016" spans="1:27" x14ac:dyDescent="0.2">
      <c r="B1016" s="37" t="s">
        <v>219</v>
      </c>
      <c r="T1016" s="75"/>
      <c r="U1016" s="81"/>
      <c r="V1016" s="81"/>
      <c r="W1016" s="81"/>
      <c r="X1016" s="82"/>
    </row>
    <row r="1017" spans="1:27" x14ac:dyDescent="0.2">
      <c r="A1017" s="49">
        <v>1</v>
      </c>
      <c r="B1017" s="37" t="s">
        <v>220</v>
      </c>
      <c r="C1017" s="40" t="s">
        <v>1058</v>
      </c>
      <c r="D1017" s="55">
        <f t="shared" ref="D1017:D1033" ca="1" si="257">SUM(F1017:I1017)+K1017</f>
        <v>1937096.9999999998</v>
      </c>
      <c r="F1017" s="49">
        <f t="shared" ref="F1017:F1024" ca="1" si="258">INDEX(INDIRECT($C1017),1,F$12+1)*$T1017</f>
        <v>1754366.16303641</v>
      </c>
      <c r="H1017" s="49">
        <f t="shared" ref="H1017:H1024" ca="1" si="259">INDEX(INDIRECT($C1017),1,H$12+1)*$T1017</f>
        <v>182725.21981173204</v>
      </c>
      <c r="I1017" s="49">
        <f t="shared" ref="I1017:I1033" ca="1" si="260">(L1017+M1017+N1017)</f>
        <v>5.6171518577792261</v>
      </c>
      <c r="L1017" s="49">
        <f t="shared" ref="L1017:L1024" ca="1" si="261">INDEX(INDIRECT($C1017),1,L$12+1)*$T1017</f>
        <v>5.6171518577792261</v>
      </c>
      <c r="M1017" s="49"/>
      <c r="N1017" s="49">
        <f t="shared" ref="N1017:N1032" ca="1" si="262">SUM(O1017:Q1017)</f>
        <v>0</v>
      </c>
      <c r="O1017" s="49">
        <f t="shared" ref="O1017:Q1024" ca="1" si="263">INDEX(INDIRECT($C1017),1,O$12+1)*$T1017</f>
        <v>0</v>
      </c>
      <c r="P1017" s="49">
        <f t="shared" ca="1" si="263"/>
        <v>0</v>
      </c>
      <c r="Q1017" s="49">
        <f t="shared" ca="1" si="263"/>
        <v>0</v>
      </c>
      <c r="T1017" s="274">
        <v>1937097</v>
      </c>
      <c r="U1017" s="81">
        <v>560</v>
      </c>
      <c r="V1017" s="81"/>
      <c r="W1017" s="81">
        <f>SUMIF('O&amp;M'!$B$3:$B$89,TOTALCO!U1017,'O&amp;M'!$F$3:$F$89)+SUMIF('O&amp;M'!$B$3:$B$89,TOTALCO!V1017,'O&amp;M'!$F$3:$F$89)</f>
        <v>1937097</v>
      </c>
      <c r="X1017" s="282">
        <f t="shared" ref="X1017:X1025" ca="1" si="264">D1017-T1017</f>
        <v>0</v>
      </c>
      <c r="Y1017" s="39"/>
    </row>
    <row r="1018" spans="1:27" x14ac:dyDescent="0.2">
      <c r="A1018" s="49">
        <v>2</v>
      </c>
      <c r="B1018" s="37" t="s">
        <v>221</v>
      </c>
      <c r="C1018" s="40" t="s">
        <v>1369</v>
      </c>
      <c r="D1018" s="55">
        <f t="shared" ca="1" si="257"/>
        <v>3722480</v>
      </c>
      <c r="F1018" s="49">
        <f t="shared" ca="1" si="258"/>
        <v>3371329.8583291266</v>
      </c>
      <c r="H1018" s="49">
        <f t="shared" ca="1" si="259"/>
        <v>351139.3473041238</v>
      </c>
      <c r="I1018" s="49">
        <f t="shared" ca="1" si="260"/>
        <v>10.794366749597991</v>
      </c>
      <c r="L1018" s="49">
        <f t="shared" ca="1" si="261"/>
        <v>10.794366749597991</v>
      </c>
      <c r="M1018" s="49"/>
      <c r="N1018" s="49">
        <f t="shared" ca="1" si="262"/>
        <v>0</v>
      </c>
      <c r="O1018" s="49">
        <f t="shared" ca="1" si="263"/>
        <v>0</v>
      </c>
      <c r="P1018" s="49">
        <f t="shared" ca="1" si="263"/>
        <v>0</v>
      </c>
      <c r="Q1018" s="49">
        <f t="shared" ca="1" si="263"/>
        <v>0</v>
      </c>
      <c r="T1018" s="274">
        <v>3722480</v>
      </c>
      <c r="U1018" s="81">
        <v>561</v>
      </c>
      <c r="V1018" s="81"/>
      <c r="W1018" s="81">
        <f>SUMIF('O&amp;M'!$B$3:$B$89,TOTALCO!U1018,'O&amp;M'!$F$3:$F$89)+SUMIF('O&amp;M'!$B$3:$B$89,TOTALCO!V1018,'O&amp;M'!$F$3:$F$89)</f>
        <v>3722480</v>
      </c>
      <c r="X1018" s="282">
        <f t="shared" ca="1" si="264"/>
        <v>0</v>
      </c>
      <c r="Y1018" s="39"/>
    </row>
    <row r="1019" spans="1:27" x14ac:dyDescent="0.2">
      <c r="A1019" s="49">
        <v>3</v>
      </c>
      <c r="B1019" s="37" t="s">
        <v>222</v>
      </c>
      <c r="C1019" s="40" t="s">
        <v>1369</v>
      </c>
      <c r="D1019" s="55">
        <f t="shared" ca="1" si="257"/>
        <v>1324865</v>
      </c>
      <c r="F1019" s="49">
        <f t="shared" ca="1" si="258"/>
        <v>1199887.422566466</v>
      </c>
      <c r="H1019" s="49">
        <f t="shared" ca="1" si="259"/>
        <v>124973.73561874827</v>
      </c>
      <c r="I1019" s="49">
        <f t="shared" ca="1" si="260"/>
        <v>3.8418147857627556</v>
      </c>
      <c r="L1019" s="49">
        <f t="shared" ca="1" si="261"/>
        <v>3.8418147857627556</v>
      </c>
      <c r="M1019" s="49"/>
      <c r="N1019" s="49">
        <f t="shared" ca="1" si="262"/>
        <v>0</v>
      </c>
      <c r="O1019" s="49">
        <f t="shared" ca="1" si="263"/>
        <v>0</v>
      </c>
      <c r="P1019" s="49">
        <f t="shared" ca="1" si="263"/>
        <v>0</v>
      </c>
      <c r="Q1019" s="49">
        <f t="shared" ca="1" si="263"/>
        <v>0</v>
      </c>
      <c r="T1019" s="274">
        <v>1324865</v>
      </c>
      <c r="U1019" s="81">
        <v>562</v>
      </c>
      <c r="V1019" s="81"/>
      <c r="W1019" s="81">
        <f>SUMIF('O&amp;M'!$B$3:$B$89,TOTALCO!U1019,'O&amp;M'!$F$3:$F$89)+SUMIF('O&amp;M'!$B$3:$B$89,TOTALCO!V1019,'O&amp;M'!$F$3:$F$89)</f>
        <v>1324865</v>
      </c>
      <c r="X1019" s="282">
        <f t="shared" ca="1" si="264"/>
        <v>0</v>
      </c>
      <c r="Y1019" s="39"/>
    </row>
    <row r="1020" spans="1:27" x14ac:dyDescent="0.2">
      <c r="A1020" s="49">
        <v>4</v>
      </c>
      <c r="B1020" s="37" t="s">
        <v>223</v>
      </c>
      <c r="C1020" s="40" t="s">
        <v>1369</v>
      </c>
      <c r="D1020" s="55">
        <f t="shared" ca="1" si="257"/>
        <v>975028</v>
      </c>
      <c r="F1020" s="49">
        <f t="shared" ca="1" si="258"/>
        <v>883051.35530800209</v>
      </c>
      <c r="H1020" s="49">
        <f t="shared" ca="1" si="259"/>
        <v>91973.817326955483</v>
      </c>
      <c r="I1020" s="49">
        <f t="shared" ca="1" si="260"/>
        <v>2.8273650424252192</v>
      </c>
      <c r="L1020" s="49">
        <f t="shared" ca="1" si="261"/>
        <v>2.8273650424252192</v>
      </c>
      <c r="M1020" s="49"/>
      <c r="N1020" s="49">
        <f t="shared" ca="1" si="262"/>
        <v>0</v>
      </c>
      <c r="O1020" s="49">
        <f t="shared" ca="1" si="263"/>
        <v>0</v>
      </c>
      <c r="P1020" s="49">
        <f t="shared" ca="1" si="263"/>
        <v>0</v>
      </c>
      <c r="Q1020" s="49">
        <f t="shared" ca="1" si="263"/>
        <v>0</v>
      </c>
      <c r="T1020" s="274">
        <v>975028</v>
      </c>
      <c r="U1020" s="81">
        <v>563</v>
      </c>
      <c r="V1020" s="81"/>
      <c r="W1020" s="81">
        <f>SUMIF('O&amp;M'!$B$3:$B$89,TOTALCO!U1020,'O&amp;M'!$F$3:$F$89)+SUMIF('O&amp;M'!$B$3:$B$89,TOTALCO!V1020,'O&amp;M'!$F$3:$F$89)</f>
        <v>975028</v>
      </c>
      <c r="X1020" s="282">
        <f t="shared" ca="1" si="264"/>
        <v>0</v>
      </c>
      <c r="Y1020" s="39"/>
    </row>
    <row r="1021" spans="1:27" x14ac:dyDescent="0.2">
      <c r="A1021" s="49">
        <v>5</v>
      </c>
      <c r="B1021" s="37" t="s">
        <v>224</v>
      </c>
      <c r="C1021" s="40" t="s">
        <v>1369</v>
      </c>
      <c r="D1021" s="55">
        <f t="shared" ca="1" si="257"/>
        <v>0</v>
      </c>
      <c r="F1021" s="49">
        <f t="shared" ca="1" si="258"/>
        <v>0</v>
      </c>
      <c r="H1021" s="49">
        <f t="shared" ca="1" si="259"/>
        <v>0</v>
      </c>
      <c r="I1021" s="49">
        <f t="shared" ca="1" si="260"/>
        <v>0</v>
      </c>
      <c r="L1021" s="49">
        <f t="shared" ca="1" si="261"/>
        <v>0</v>
      </c>
      <c r="M1021" s="49"/>
      <c r="N1021" s="49">
        <f t="shared" ca="1" si="262"/>
        <v>0</v>
      </c>
      <c r="O1021" s="49">
        <f t="shared" ca="1" si="263"/>
        <v>0</v>
      </c>
      <c r="P1021" s="49">
        <f t="shared" ca="1" si="263"/>
        <v>0</v>
      </c>
      <c r="Q1021" s="49">
        <f t="shared" ca="1" si="263"/>
        <v>0</v>
      </c>
      <c r="T1021" s="274">
        <v>0</v>
      </c>
      <c r="U1021" s="81">
        <v>564</v>
      </c>
      <c r="V1021" s="81"/>
      <c r="W1021" s="81">
        <f>SUMIF('O&amp;M'!$B$3:$B$89,TOTALCO!U1021,'O&amp;M'!$F$3:$F$89)+SUMIF('O&amp;M'!$B$3:$B$89,TOTALCO!V1021,'O&amp;M'!$F$3:$F$89)</f>
        <v>0</v>
      </c>
      <c r="X1021" s="282">
        <f t="shared" ca="1" si="264"/>
        <v>0</v>
      </c>
      <c r="Y1021" s="39"/>
    </row>
    <row r="1022" spans="1:27" x14ac:dyDescent="0.2">
      <c r="A1022" s="49">
        <v>6</v>
      </c>
      <c r="B1022" s="37" t="s">
        <v>225</v>
      </c>
      <c r="C1022" s="40" t="s">
        <v>1369</v>
      </c>
      <c r="D1022" s="55">
        <f t="shared" ca="1" si="257"/>
        <v>4099659.0000000005</v>
      </c>
      <c r="F1022" s="49">
        <f t="shared" ca="1" si="258"/>
        <v>3712928.6915356778</v>
      </c>
      <c r="H1022" s="49">
        <f t="shared" ca="1" si="259"/>
        <v>386718.42036209116</v>
      </c>
      <c r="I1022" s="49">
        <f t="shared" ca="1" si="260"/>
        <v>11.888102231386105</v>
      </c>
      <c r="L1022" s="49">
        <f t="shared" ca="1" si="261"/>
        <v>11.888102231386105</v>
      </c>
      <c r="M1022" s="49"/>
      <c r="N1022" s="49">
        <f t="shared" ca="1" si="262"/>
        <v>0</v>
      </c>
      <c r="O1022" s="49">
        <f t="shared" ca="1" si="263"/>
        <v>0</v>
      </c>
      <c r="P1022" s="49">
        <f t="shared" ca="1" si="263"/>
        <v>0</v>
      </c>
      <c r="Q1022" s="49">
        <f t="shared" ca="1" si="263"/>
        <v>0</v>
      </c>
      <c r="T1022" s="274">
        <v>4099659</v>
      </c>
      <c r="U1022" s="81">
        <v>565</v>
      </c>
      <c r="V1022" s="81"/>
      <c r="W1022" s="81">
        <f>SUMIF('O&amp;M'!$B$3:$B$89,TOTALCO!U1022,'O&amp;M'!$F$3:$F$89)+SUMIF('O&amp;M'!$B$3:$B$89,TOTALCO!V1022,'O&amp;M'!$F$3:$F$89)</f>
        <v>4099659</v>
      </c>
      <c r="X1022" s="282">
        <f t="shared" ca="1" si="264"/>
        <v>0</v>
      </c>
      <c r="Y1022" s="39"/>
    </row>
    <row r="1023" spans="1:27" x14ac:dyDescent="0.2">
      <c r="A1023" s="49">
        <v>7</v>
      </c>
      <c r="B1023" s="37" t="s">
        <v>226</v>
      </c>
      <c r="C1023" s="40" t="s">
        <v>1369</v>
      </c>
      <c r="D1023" s="55">
        <f t="shared" ca="1" si="257"/>
        <v>23279803.999999888</v>
      </c>
      <c r="F1023" s="49">
        <f ca="1">INDEX(INDIRECT($C1023),1,F$12+1)*$T1023+$Y1023</f>
        <v>21083766.285178017</v>
      </c>
      <c r="H1023" s="49">
        <f t="shared" ca="1" si="259"/>
        <v>2195970.2085512592</v>
      </c>
      <c r="I1023" s="49">
        <f t="shared" ca="1" si="260"/>
        <v>67.506270613880289</v>
      </c>
      <c r="L1023" s="49">
        <f t="shared" ca="1" si="261"/>
        <v>67.506270613880289</v>
      </c>
      <c r="M1023" s="49"/>
      <c r="N1023" s="49">
        <f t="shared" ca="1" si="262"/>
        <v>0</v>
      </c>
      <c r="O1023" s="49">
        <f t="shared" ca="1" si="263"/>
        <v>0</v>
      </c>
      <c r="P1023" s="49">
        <f t="shared" ca="1" si="263"/>
        <v>0</v>
      </c>
      <c r="Q1023" s="49">
        <f t="shared" ca="1" si="263"/>
        <v>0</v>
      </c>
      <c r="T1023" s="274">
        <v>23279803.999999888</v>
      </c>
      <c r="U1023" s="81">
        <v>566</v>
      </c>
      <c r="V1023" s="81"/>
      <c r="W1023" s="81">
        <f>SUMIF('O&amp;M'!$B$3:$B$89,TOTALCO!U1023,'O&amp;M'!$F$3:$F$89)+SUMIF('O&amp;M'!$B$3:$B$89,TOTALCO!V1023,'O&amp;M'!$F$3:$F$89)</f>
        <v>23279803.999999888</v>
      </c>
      <c r="X1023" s="282">
        <f t="shared" ca="1" si="264"/>
        <v>0</v>
      </c>
      <c r="Y1023" s="86"/>
    </row>
    <row r="1024" spans="1:27" x14ac:dyDescent="0.2">
      <c r="A1024" s="49">
        <v>8</v>
      </c>
      <c r="B1024" s="37" t="s">
        <v>227</v>
      </c>
      <c r="C1024" s="40" t="s">
        <v>1369</v>
      </c>
      <c r="D1024" s="55">
        <f t="shared" ca="1" si="257"/>
        <v>124236.00000000001</v>
      </c>
      <c r="F1024" s="49">
        <f t="shared" ca="1" si="258"/>
        <v>112516.53098992538</v>
      </c>
      <c r="H1024" s="49">
        <f t="shared" ca="1" si="259"/>
        <v>11719.108753216975</v>
      </c>
      <c r="I1024" s="49">
        <f t="shared" ca="1" si="260"/>
        <v>0.3602568576602308</v>
      </c>
      <c r="L1024" s="49">
        <f t="shared" ca="1" si="261"/>
        <v>0.3602568576602308</v>
      </c>
      <c r="M1024" s="49"/>
      <c r="N1024" s="49">
        <f t="shared" ca="1" si="262"/>
        <v>0</v>
      </c>
      <c r="O1024" s="49">
        <f t="shared" ca="1" si="263"/>
        <v>0</v>
      </c>
      <c r="P1024" s="49">
        <f t="shared" ca="1" si="263"/>
        <v>0</v>
      </c>
      <c r="Q1024" s="49">
        <f t="shared" ca="1" si="263"/>
        <v>0</v>
      </c>
      <c r="T1024" s="274">
        <v>124236</v>
      </c>
      <c r="U1024" s="81">
        <v>567</v>
      </c>
      <c r="V1024" s="81"/>
      <c r="W1024" s="81">
        <f>SUMIF('O&amp;M'!$B$3:$B$89,TOTALCO!U1024,'O&amp;M'!$F$3:$F$89)+SUMIF('O&amp;M'!$B$3:$B$89,TOTALCO!V1024,'O&amp;M'!$F$3:$F$89)</f>
        <v>124236</v>
      </c>
      <c r="X1024" s="282">
        <f t="shared" ca="1" si="264"/>
        <v>0</v>
      </c>
      <c r="Y1024" s="39"/>
      <c r="AA1024" s="39"/>
    </row>
    <row r="1025" spans="1:27" x14ac:dyDescent="0.2">
      <c r="A1025" s="46">
        <v>9</v>
      </c>
      <c r="B1025" s="59" t="s">
        <v>413</v>
      </c>
      <c r="C1025" s="40" t="s">
        <v>1369</v>
      </c>
      <c r="D1025" s="84">
        <f ca="1">SUM(F1025:I1025)+K1025</f>
        <v>0</v>
      </c>
      <c r="E1025" s="24"/>
      <c r="F1025" s="46">
        <f ca="1">INDEX(INDIRECT($C1025),1,F$12+1)*$T1025</f>
        <v>0</v>
      </c>
      <c r="G1025" s="24"/>
      <c r="H1025" s="46">
        <f ca="1">INDEX(INDIRECT($C1025),1,H$12+1)*$T1025</f>
        <v>0</v>
      </c>
      <c r="I1025" s="46">
        <f ca="1">(L1025+M1025+N1025)</f>
        <v>0</v>
      </c>
      <c r="J1025" s="24"/>
      <c r="K1025" s="24"/>
      <c r="L1025" s="46">
        <f ca="1">INDEX(INDIRECT($C1025),1,L$12+1)*$T1025</f>
        <v>0</v>
      </c>
      <c r="M1025" s="46"/>
      <c r="N1025" s="46">
        <f ca="1">SUM(O1025:Q1025)</f>
        <v>0</v>
      </c>
      <c r="O1025" s="46">
        <f ca="1">INDEX(INDIRECT($C1025),1,O$12+1)*$T1025</f>
        <v>0</v>
      </c>
      <c r="P1025" s="46">
        <f ca="1">(INDEX(INDIRECT($C1025),1,P$12+1)*$T1025)</f>
        <v>0</v>
      </c>
      <c r="Q1025" s="46">
        <f ca="1">INDEX(INDIRECT($C1025),1,Q$12+1)*$T1025</f>
        <v>0</v>
      </c>
      <c r="R1025" s="24"/>
      <c r="S1025" s="24"/>
      <c r="T1025" s="274">
        <v>0</v>
      </c>
      <c r="U1025" s="85">
        <v>575.70000000000005</v>
      </c>
      <c r="V1025" s="81"/>
      <c r="W1025" s="81">
        <f>SUMIF('O&amp;M'!$B$3:$B$89,TOTALCO!U1025,'O&amp;M'!$F$3:$F$89)+SUMIF('O&amp;M'!$B$3:$B$89,TOTALCO!V1025,'O&amp;M'!$F$3:$F$89)</f>
        <v>0</v>
      </c>
      <c r="X1025" s="282">
        <f t="shared" ca="1" si="264"/>
        <v>0</v>
      </c>
      <c r="Y1025" s="86"/>
      <c r="AA1025" s="86"/>
    </row>
    <row r="1026" spans="1:27" x14ac:dyDescent="0.2">
      <c r="A1026" s="49">
        <v>10</v>
      </c>
      <c r="B1026" s="37" t="s">
        <v>228</v>
      </c>
      <c r="D1026" s="55">
        <f t="shared" ca="1" si="257"/>
        <v>35463168.999999888</v>
      </c>
      <c r="F1026" s="49">
        <f ca="1">SUM(F1017:F1025)</f>
        <v>32117846.306943625</v>
      </c>
      <c r="H1026" s="49">
        <f ca="1">SUM(H1017:H1025)</f>
        <v>3345219.8577281269</v>
      </c>
      <c r="I1026" s="49">
        <f t="shared" ca="1" si="260"/>
        <v>102.83532813849183</v>
      </c>
      <c r="L1026" s="49">
        <f ca="1">SUM(L1017:L1025)</f>
        <v>102.83532813849183</v>
      </c>
      <c r="M1026" s="49"/>
      <c r="N1026" s="49">
        <f t="shared" ca="1" si="262"/>
        <v>0</v>
      </c>
      <c r="O1026" s="49">
        <f ca="1">SUM(O1017:O1025)</f>
        <v>0</v>
      </c>
      <c r="P1026" s="49">
        <f ca="1">SUM(P1017:P1025)</f>
        <v>0</v>
      </c>
      <c r="Q1026" s="49">
        <f ca="1">SUM(Q1017:Q1025)</f>
        <v>0</v>
      </c>
      <c r="T1026" s="47"/>
      <c r="U1026" s="81"/>
      <c r="V1026" s="81"/>
      <c r="W1026" s="81"/>
      <c r="X1026" s="282"/>
      <c r="Y1026" s="89"/>
      <c r="Z1026" s="86"/>
    </row>
    <row r="1027" spans="1:27" x14ac:dyDescent="0.2">
      <c r="A1027" s="49">
        <v>11</v>
      </c>
      <c r="B1027" s="37" t="s">
        <v>229</v>
      </c>
      <c r="C1027" s="40" t="s">
        <v>1369</v>
      </c>
      <c r="D1027" s="55">
        <f t="shared" ca="1" si="257"/>
        <v>0</v>
      </c>
      <c r="F1027" s="49">
        <f t="shared" ref="F1027:F1032" ca="1" si="265">INDEX(INDIRECT($C1027),1,F$12+1)*$T1027</f>
        <v>0</v>
      </c>
      <c r="H1027" s="49">
        <f t="shared" ref="H1027:H1032" ca="1" si="266">INDEX(INDIRECT($C1027),1,H$12+1)*$T1027</f>
        <v>0</v>
      </c>
      <c r="I1027" s="49">
        <f t="shared" ca="1" si="260"/>
        <v>0</v>
      </c>
      <c r="L1027" s="49">
        <f t="shared" ref="L1027:L1032" ca="1" si="267">INDEX(INDIRECT($C1027),1,L$12+1)*$T1027</f>
        <v>0</v>
      </c>
      <c r="M1027" s="49"/>
      <c r="N1027" s="49">
        <f t="shared" ca="1" si="262"/>
        <v>0</v>
      </c>
      <c r="O1027" s="49">
        <f t="shared" ref="O1027:Q1032" ca="1" si="268">INDEX(INDIRECT($C1027),1,O$12+1)*$T1027</f>
        <v>0</v>
      </c>
      <c r="P1027" s="49">
        <f t="shared" ca="1" si="268"/>
        <v>0</v>
      </c>
      <c r="Q1027" s="49">
        <f t="shared" ca="1" si="268"/>
        <v>0</v>
      </c>
      <c r="T1027" s="274">
        <v>0</v>
      </c>
      <c r="U1027" s="81">
        <v>568</v>
      </c>
      <c r="V1027" s="81"/>
      <c r="W1027" s="81">
        <f>SUMIF('O&amp;M'!$B$3:$B$89,TOTALCO!U1027,'O&amp;M'!$F$3:$F$89)+SUMIF('O&amp;M'!$B$3:$B$89,TOTALCO!V1027,'O&amp;M'!$F$3:$F$89)</f>
        <v>0</v>
      </c>
      <c r="X1027" s="282">
        <f t="shared" ref="X1027:X1032" ca="1" si="269">D1027-T1027</f>
        <v>0</v>
      </c>
      <c r="Y1027" s="89"/>
      <c r="Z1027" s="616"/>
    </row>
    <row r="1028" spans="1:27" x14ac:dyDescent="0.2">
      <c r="A1028" s="49">
        <v>12</v>
      </c>
      <c r="B1028" s="37" t="s">
        <v>230</v>
      </c>
      <c r="C1028" s="40" t="s">
        <v>1369</v>
      </c>
      <c r="D1028" s="55">
        <f t="shared" ca="1" si="257"/>
        <v>0</v>
      </c>
      <c r="F1028" s="49">
        <f t="shared" ca="1" si="265"/>
        <v>0</v>
      </c>
      <c r="H1028" s="49">
        <f t="shared" ca="1" si="266"/>
        <v>0</v>
      </c>
      <c r="I1028" s="49">
        <f t="shared" ca="1" si="260"/>
        <v>0</v>
      </c>
      <c r="L1028" s="49">
        <f t="shared" ca="1" si="267"/>
        <v>0</v>
      </c>
      <c r="M1028" s="49"/>
      <c r="N1028" s="49">
        <f t="shared" ca="1" si="262"/>
        <v>0</v>
      </c>
      <c r="O1028" s="49">
        <f t="shared" ca="1" si="268"/>
        <v>0</v>
      </c>
      <c r="P1028" s="49">
        <f t="shared" ca="1" si="268"/>
        <v>0</v>
      </c>
      <c r="Q1028" s="49">
        <f t="shared" ca="1" si="268"/>
        <v>0</v>
      </c>
      <c r="T1028" s="274">
        <v>0</v>
      </c>
      <c r="U1028" s="81">
        <v>569</v>
      </c>
      <c r="V1028" s="81"/>
      <c r="W1028" s="81">
        <f>SUMIF('O&amp;M'!$B$3:$B$89,TOTALCO!U1028,'O&amp;M'!$F$3:$F$89)+SUMIF('O&amp;M'!$B$3:$B$89,TOTALCO!V1028,'O&amp;M'!$F$3:$F$89)</f>
        <v>0</v>
      </c>
      <c r="X1028" s="282">
        <f t="shared" ca="1" si="269"/>
        <v>0</v>
      </c>
      <c r="Y1028" s="89"/>
      <c r="Z1028" s="616"/>
    </row>
    <row r="1029" spans="1:27" x14ac:dyDescent="0.2">
      <c r="A1029" s="49">
        <v>13</v>
      </c>
      <c r="B1029" s="37" t="s">
        <v>231</v>
      </c>
      <c r="C1029" s="40" t="s">
        <v>1369</v>
      </c>
      <c r="D1029" s="55">
        <f t="shared" ca="1" si="257"/>
        <v>1958193.0000000002</v>
      </c>
      <c r="F1029" s="49">
        <f t="shared" ca="1" si="265"/>
        <v>1773472.128600043</v>
      </c>
      <c r="H1029" s="49">
        <f t="shared" ca="1" si="266"/>
        <v>184715.19307437626</v>
      </c>
      <c r="I1029" s="49">
        <f t="shared" ca="1" si="260"/>
        <v>5.6783255809287194</v>
      </c>
      <c r="L1029" s="49">
        <f t="shared" ca="1" si="267"/>
        <v>5.6783255809287194</v>
      </c>
      <c r="M1029" s="49"/>
      <c r="N1029" s="49">
        <f t="shared" ca="1" si="262"/>
        <v>0</v>
      </c>
      <c r="O1029" s="49">
        <f t="shared" ca="1" si="268"/>
        <v>0</v>
      </c>
      <c r="P1029" s="49">
        <f t="shared" ca="1" si="268"/>
        <v>0</v>
      </c>
      <c r="Q1029" s="49">
        <f t="shared" ca="1" si="268"/>
        <v>0</v>
      </c>
      <c r="T1029" s="274">
        <v>1958193</v>
      </c>
      <c r="U1029" s="81">
        <v>570</v>
      </c>
      <c r="V1029" s="81"/>
      <c r="W1029" s="81">
        <f>SUMIF('O&amp;M'!$B$3:$B$89,TOTALCO!U1029,'O&amp;M'!$F$3:$F$89)+SUMIF('O&amp;M'!$B$3:$B$89,TOTALCO!V1029,'O&amp;M'!$F$3:$F$89)</f>
        <v>1958193</v>
      </c>
      <c r="X1029" s="282">
        <f t="shared" ca="1" si="269"/>
        <v>0</v>
      </c>
      <c r="Y1029" s="308" t="s">
        <v>2482</v>
      </c>
      <c r="Z1029" s="236"/>
      <c r="AA1029" s="236"/>
    </row>
    <row r="1030" spans="1:27" x14ac:dyDescent="0.2">
      <c r="A1030" s="49">
        <v>14</v>
      </c>
      <c r="B1030" s="59" t="s">
        <v>232</v>
      </c>
      <c r="C1030" s="40" t="s">
        <v>1369</v>
      </c>
      <c r="D1030" s="55">
        <f t="shared" ca="1" si="257"/>
        <v>13624020</v>
      </c>
      <c r="F1030" s="49">
        <f ca="1">INDEX(INDIRECT($C1030),1,F$12+1)*$T1030+$Y1030+$Y1032</f>
        <v>12343781.628258208</v>
      </c>
      <c r="H1030" s="49">
        <f t="shared" ca="1" si="266"/>
        <v>1280199.0171727024</v>
      </c>
      <c r="I1030" s="49">
        <f t="shared" ca="1" si="260"/>
        <v>39.354569090396993</v>
      </c>
      <c r="L1030" s="49">
        <f t="shared" ca="1" si="267"/>
        <v>39.354569090396993</v>
      </c>
      <c r="M1030" s="49"/>
      <c r="N1030" s="49">
        <f t="shared" ca="1" si="262"/>
        <v>0</v>
      </c>
      <c r="O1030" s="49">
        <f t="shared" ca="1" si="268"/>
        <v>0</v>
      </c>
      <c r="P1030" s="49">
        <f t="shared" ca="1" si="268"/>
        <v>0</v>
      </c>
      <c r="Q1030" s="49">
        <f t="shared" ca="1" si="268"/>
        <v>0</v>
      </c>
      <c r="T1030" s="74">
        <f>W1030-Y1030-Y1032</f>
        <v>13571578.560000001</v>
      </c>
      <c r="U1030" s="81">
        <v>571</v>
      </c>
      <c r="V1030" s="81"/>
      <c r="W1030" s="81">
        <f>SUMIF('O&amp;M'!$B$3:$B$89,TOTALCO!U1030,'O&amp;M'!$F$3:$F$89)+SUMIF('O&amp;M'!$B$3:$B$89,TOTALCO!V1030,'O&amp;M'!$F$3:$F$89)</f>
        <v>13624020</v>
      </c>
      <c r="X1030" s="282">
        <f t="shared" ca="1" si="269"/>
        <v>52441.439999999478</v>
      </c>
      <c r="Y1030" s="279">
        <f>3672.67*12</f>
        <v>44072.04</v>
      </c>
    </row>
    <row r="1031" spans="1:27" x14ac:dyDescent="0.2">
      <c r="A1031" s="49">
        <v>15</v>
      </c>
      <c r="B1031" s="37" t="s">
        <v>233</v>
      </c>
      <c r="C1031" s="40" t="s">
        <v>1369</v>
      </c>
      <c r="D1031" s="55">
        <f t="shared" ca="1" si="257"/>
        <v>0</v>
      </c>
      <c r="F1031" s="49">
        <f t="shared" ca="1" si="265"/>
        <v>0</v>
      </c>
      <c r="H1031" s="49">
        <f t="shared" ca="1" si="266"/>
        <v>0</v>
      </c>
      <c r="I1031" s="49">
        <f t="shared" ca="1" si="260"/>
        <v>0</v>
      </c>
      <c r="L1031" s="49">
        <f t="shared" ca="1" si="267"/>
        <v>0</v>
      </c>
      <c r="M1031" s="49"/>
      <c r="N1031" s="49">
        <f t="shared" ca="1" si="262"/>
        <v>0</v>
      </c>
      <c r="O1031" s="49">
        <f t="shared" ca="1" si="268"/>
        <v>0</v>
      </c>
      <c r="P1031" s="49">
        <f t="shared" ca="1" si="268"/>
        <v>0</v>
      </c>
      <c r="Q1031" s="49">
        <f t="shared" ca="1" si="268"/>
        <v>0</v>
      </c>
      <c r="T1031" s="274">
        <v>0</v>
      </c>
      <c r="U1031" s="81">
        <v>572</v>
      </c>
      <c r="V1031" s="81"/>
      <c r="W1031" s="81">
        <f>SUMIF('O&amp;M'!$B$3:$B$89,TOTALCO!U1031,'O&amp;M'!$F$3:$F$89)+SUMIF('O&amp;M'!$B$3:$B$89,TOTALCO!V1031,'O&amp;M'!$F$3:$F$89)</f>
        <v>0</v>
      </c>
      <c r="X1031" s="282">
        <f t="shared" ca="1" si="269"/>
        <v>0</v>
      </c>
      <c r="Y1031" s="308" t="s">
        <v>2635</v>
      </c>
      <c r="Z1031" s="236"/>
      <c r="AA1031" s="236"/>
    </row>
    <row r="1032" spans="1:27" x14ac:dyDescent="0.2">
      <c r="A1032" s="49">
        <v>16</v>
      </c>
      <c r="B1032" s="37" t="s">
        <v>234</v>
      </c>
      <c r="C1032" s="40" t="s">
        <v>1369</v>
      </c>
      <c r="D1032" s="55">
        <f t="shared" ca="1" si="257"/>
        <v>325694.00000000006</v>
      </c>
      <c r="F1032" s="49">
        <f t="shared" ca="1" si="265"/>
        <v>294970.53224695544</v>
      </c>
      <c r="H1032" s="49">
        <f t="shared" ca="1" si="266"/>
        <v>30722.523312648907</v>
      </c>
      <c r="I1032" s="49">
        <f t="shared" ca="1" si="260"/>
        <v>0.94444039568877958</v>
      </c>
      <c r="L1032" s="49">
        <f t="shared" ca="1" si="267"/>
        <v>0.94444039568877958</v>
      </c>
      <c r="M1032" s="49"/>
      <c r="N1032" s="49">
        <f t="shared" ca="1" si="262"/>
        <v>0</v>
      </c>
      <c r="O1032" s="49">
        <f t="shared" ca="1" si="268"/>
        <v>0</v>
      </c>
      <c r="P1032" s="49">
        <f t="shared" ca="1" si="268"/>
        <v>0</v>
      </c>
      <c r="Q1032" s="49">
        <f t="shared" ca="1" si="268"/>
        <v>0</v>
      </c>
      <c r="T1032" s="274">
        <v>325694</v>
      </c>
      <c r="U1032" s="81">
        <v>573</v>
      </c>
      <c r="V1032" s="81"/>
      <c r="W1032" s="81">
        <f>SUMIF('O&amp;M'!$B$3:$B$89,TOTALCO!U1032,'O&amp;M'!$F$3:$F$89)+SUMIF('O&amp;M'!$B$3:$B$89,TOTALCO!V1032,'O&amp;M'!$F$3:$F$89)</f>
        <v>325694</v>
      </c>
      <c r="X1032" s="282">
        <f t="shared" ca="1" si="269"/>
        <v>0</v>
      </c>
      <c r="Y1032" s="279">
        <f>697.45*12</f>
        <v>8369.4000000000015</v>
      </c>
    </row>
    <row r="1033" spans="1:27" x14ac:dyDescent="0.2">
      <c r="A1033" s="49">
        <v>17</v>
      </c>
      <c r="B1033" s="37" t="s">
        <v>235</v>
      </c>
      <c r="D1033" s="55">
        <f t="shared" ca="1" si="257"/>
        <v>15907907</v>
      </c>
      <c r="F1033" s="49">
        <f ca="1">SUM(F1027:F1032)</f>
        <v>14412224.289105205</v>
      </c>
      <c r="H1033" s="49">
        <f ca="1">SUM(H1027:H1032)</f>
        <v>1495636.7335597277</v>
      </c>
      <c r="I1033" s="49">
        <f t="shared" ca="1" si="260"/>
        <v>45.977335067014494</v>
      </c>
      <c r="L1033" s="49">
        <f ca="1">SUM(L1027:L1032)</f>
        <v>45.977335067014494</v>
      </c>
      <c r="M1033" s="49"/>
      <c r="N1033" s="49">
        <f ca="1">SUM(N1027:N1032)</f>
        <v>0</v>
      </c>
      <c r="O1033" s="49">
        <f ca="1">SUM(O1027:O1032)</f>
        <v>0</v>
      </c>
      <c r="P1033" s="49">
        <f ca="1">SUM(P1027:P1032)</f>
        <v>0</v>
      </c>
      <c r="Q1033" s="49">
        <f ca="1">SUM(Q1027:Q1032)</f>
        <v>0</v>
      </c>
      <c r="T1033" s="47"/>
      <c r="U1033" s="81"/>
      <c r="V1033" s="81"/>
      <c r="W1033" s="81"/>
      <c r="X1033" s="82"/>
    </row>
    <row r="1034" spans="1:27" x14ac:dyDescent="0.2">
      <c r="T1034" s="75"/>
      <c r="U1034" s="81"/>
      <c r="V1034" s="81"/>
      <c r="W1034" s="81"/>
      <c r="X1034" s="82"/>
    </row>
    <row r="1035" spans="1:27" x14ac:dyDescent="0.2">
      <c r="A1035" s="49">
        <v>18</v>
      </c>
      <c r="B1035" s="37" t="s">
        <v>236</v>
      </c>
      <c r="D1035" s="55">
        <f ca="1">SUM(F1035:I1035)+K1035</f>
        <v>51371075.999999888</v>
      </c>
      <c r="F1035" s="49">
        <f ca="1">F1033+F1026</f>
        <v>46530070.596048832</v>
      </c>
      <c r="H1035" s="49">
        <f ca="1">H1033+H1026</f>
        <v>4840856.5912878551</v>
      </c>
      <c r="I1035" s="49">
        <f ca="1">(L1035+M1035+N1035)</f>
        <v>148.81266320550634</v>
      </c>
      <c r="L1035" s="49">
        <f ca="1">L1033+L1026</f>
        <v>148.81266320550634</v>
      </c>
      <c r="M1035" s="49"/>
      <c r="N1035" s="49">
        <f ca="1">SUM(O1035:Q1035)</f>
        <v>0</v>
      </c>
      <c r="O1035" s="49">
        <f ca="1">O1033+O1026</f>
        <v>0</v>
      </c>
      <c r="P1035" s="49">
        <f ca="1">P1033+P1026</f>
        <v>0</v>
      </c>
      <c r="Q1035" s="49">
        <f ca="1">Q1033+Q1026</f>
        <v>0</v>
      </c>
      <c r="T1035" s="47"/>
      <c r="U1035" s="81"/>
      <c r="V1035" s="81"/>
      <c r="W1035" s="81">
        <f>SUM(W1017:W1032)</f>
        <v>51371075.999999888</v>
      </c>
      <c r="X1035" s="282">
        <f ca="1">D1035-W1035</f>
        <v>0</v>
      </c>
    </row>
    <row r="1036" spans="1:27" x14ac:dyDescent="0.2">
      <c r="C1036" s="47"/>
      <c r="T1036" s="75"/>
      <c r="U1036" s="81"/>
      <c r="V1036" s="81"/>
      <c r="W1036" s="81"/>
      <c r="X1036" s="82"/>
    </row>
    <row r="1037" spans="1:27" x14ac:dyDescent="0.2">
      <c r="B1037" s="37" t="s">
        <v>237</v>
      </c>
      <c r="C1037" s="47"/>
      <c r="T1037" s="75"/>
      <c r="U1037" s="81"/>
      <c r="V1037" s="81"/>
      <c r="W1037" s="81"/>
      <c r="X1037" s="82"/>
    </row>
    <row r="1038" spans="1:27" x14ac:dyDescent="0.2">
      <c r="A1038" s="49">
        <v>19</v>
      </c>
      <c r="B1038" s="37" t="s">
        <v>238</v>
      </c>
      <c r="C1038" s="40" t="s">
        <v>954</v>
      </c>
      <c r="D1038" s="55">
        <f t="shared" ref="D1038:D1058" ca="1" si="270">SUM(F1038:I1038)+K1038</f>
        <v>1982552.9999999998</v>
      </c>
      <c r="F1038" s="49">
        <f t="shared" ref="F1038:F1047" ca="1" si="271">INDEX(INDIRECT($C1038),1,F$12+1)*$T1038</f>
        <v>1881057.462340269</v>
      </c>
      <c r="H1038" s="49">
        <f t="shared" ref="H1038:H1047" ca="1" si="272">INDEX(INDIRECT($C1038),1,H$12+1)*$T1038</f>
        <v>97280.098953071531</v>
      </c>
      <c r="I1038" s="49">
        <f t="shared" ref="I1038:I1058" ca="1" si="273">(L1038+M1038+N1038)</f>
        <v>4215.4387066593508</v>
      </c>
      <c r="L1038" s="49">
        <f t="shared" ref="L1038:L1047" ca="1" si="274">INDEX(INDIRECT($C1038),1,L$12+1)*$T1038</f>
        <v>632.61582303288685</v>
      </c>
      <c r="M1038" s="49"/>
      <c r="N1038" s="49">
        <f t="shared" ref="N1038:N1058" ca="1" si="275">SUM(O1038:Q1038)</f>
        <v>3582.8228836264639</v>
      </c>
      <c r="O1038" s="49">
        <f t="shared" ref="O1038:Q1047" ca="1" si="276">INDEX(INDIRECT($C1038),1,O$12+1)*$T1038</f>
        <v>3556.5726762378054</v>
      </c>
      <c r="P1038" s="49">
        <f t="shared" ca="1" si="276"/>
        <v>26.250207388658488</v>
      </c>
      <c r="Q1038" s="49">
        <f t="shared" ca="1" si="276"/>
        <v>0</v>
      </c>
      <c r="T1038" s="274">
        <v>1982553</v>
      </c>
      <c r="U1038" s="81">
        <v>580</v>
      </c>
      <c r="V1038" s="81"/>
      <c r="W1038" s="81">
        <f>SUMIF('O&amp;M'!$B$3:$B$89,TOTALCO!U1038,'O&amp;M'!$F$3:$F$89)+SUMIF('O&amp;M'!$B$3:$B$89,TOTALCO!V1038,'O&amp;M'!$F$3:$F$89)</f>
        <v>1982553</v>
      </c>
      <c r="X1038" s="282">
        <f t="shared" ref="X1038:X1047" ca="1" si="277">D1038-T1038</f>
        <v>0</v>
      </c>
      <c r="Y1038" s="39"/>
    </row>
    <row r="1039" spans="1:27" x14ac:dyDescent="0.2">
      <c r="A1039" s="49">
        <v>20</v>
      </c>
      <c r="B1039" s="59" t="s">
        <v>942</v>
      </c>
      <c r="C1039" s="45" t="s">
        <v>1203</v>
      </c>
      <c r="D1039" s="55">
        <f t="shared" ca="1" si="270"/>
        <v>373694</v>
      </c>
      <c r="F1039" s="49">
        <f t="shared" ca="1" si="271"/>
        <v>356108.08935182594</v>
      </c>
      <c r="H1039" s="49">
        <f t="shared" ca="1" si="272"/>
        <v>12264.600406201082</v>
      </c>
      <c r="I1039" s="49">
        <f ca="1">(L1039+M1039+N1039)</f>
        <v>5321.3102419729858</v>
      </c>
      <c r="L1039" s="49">
        <f t="shared" ca="1" si="274"/>
        <v>696.69622970418629</v>
      </c>
      <c r="M1039" s="49"/>
      <c r="N1039" s="49">
        <f ca="1">SUM(O1039:Q1039)</f>
        <v>4624.6140122687993</v>
      </c>
      <c r="O1039" s="49">
        <f t="shared" ca="1" si="276"/>
        <v>4624.6140122687993</v>
      </c>
      <c r="P1039" s="49">
        <f t="shared" ca="1" si="276"/>
        <v>0</v>
      </c>
      <c r="Q1039" s="49">
        <f t="shared" ca="1" si="276"/>
        <v>0</v>
      </c>
      <c r="T1039" s="274">
        <v>373694</v>
      </c>
      <c r="U1039" s="81">
        <v>581</v>
      </c>
      <c r="V1039" s="81"/>
      <c r="W1039" s="81">
        <f>SUMIF('O&amp;M'!$B$3:$B$89,TOTALCO!U1039,'O&amp;M'!$F$3:$F$89)+SUMIF('O&amp;M'!$B$3:$B$89,TOTALCO!V1039,'O&amp;M'!$F$3:$F$89)</f>
        <v>373694</v>
      </c>
      <c r="X1039" s="282">
        <f t="shared" ca="1" si="277"/>
        <v>0</v>
      </c>
      <c r="Y1039" s="39"/>
    </row>
    <row r="1040" spans="1:27" x14ac:dyDescent="0.2">
      <c r="A1040" s="49">
        <v>21</v>
      </c>
      <c r="B1040" s="37" t="s">
        <v>239</v>
      </c>
      <c r="C1040" s="45" t="s">
        <v>1203</v>
      </c>
      <c r="D1040" s="55">
        <f t="shared" ca="1" si="270"/>
        <v>2160725</v>
      </c>
      <c r="F1040" s="49">
        <f t="shared" ca="1" si="271"/>
        <v>2059042.0273398131</v>
      </c>
      <c r="H1040" s="49">
        <f t="shared" ca="1" si="272"/>
        <v>70914.782449514401</v>
      </c>
      <c r="I1040" s="49">
        <f t="shared" ca="1" si="273"/>
        <v>30768.190210672579</v>
      </c>
      <c r="L1040" s="49">
        <f t="shared" ca="1" si="274"/>
        <v>4028.3466176271977</v>
      </c>
      <c r="M1040" s="49"/>
      <c r="N1040" s="49">
        <f t="shared" ca="1" si="275"/>
        <v>26739.843593045382</v>
      </c>
      <c r="O1040" s="49">
        <f t="shared" ca="1" si="276"/>
        <v>26739.843593045382</v>
      </c>
      <c r="P1040" s="49">
        <f t="shared" ca="1" si="276"/>
        <v>0</v>
      </c>
      <c r="Q1040" s="49">
        <f t="shared" ca="1" si="276"/>
        <v>0</v>
      </c>
      <c r="T1040" s="274">
        <v>2160725</v>
      </c>
      <c r="U1040" s="81">
        <v>582</v>
      </c>
      <c r="V1040" s="81"/>
      <c r="W1040" s="81">
        <f>SUMIF('O&amp;M'!$B$3:$B$89,TOTALCO!U1040,'O&amp;M'!$F$3:$F$89)+SUMIF('O&amp;M'!$B$3:$B$89,TOTALCO!V1040,'O&amp;M'!$F$3:$F$89)</f>
        <v>2160725</v>
      </c>
      <c r="X1040" s="282">
        <f t="shared" ca="1" si="277"/>
        <v>0</v>
      </c>
      <c r="Y1040" s="39"/>
    </row>
    <row r="1041" spans="1:27" x14ac:dyDescent="0.2">
      <c r="A1041" s="49">
        <v>22</v>
      </c>
      <c r="B1041" s="37" t="s">
        <v>240</v>
      </c>
      <c r="C1041" s="45" t="s">
        <v>1202</v>
      </c>
      <c r="D1041" s="55">
        <f t="shared" ca="1" si="270"/>
        <v>5940957</v>
      </c>
      <c r="F1041" s="49">
        <f t="shared" ca="1" si="271"/>
        <v>5524061.9161656247</v>
      </c>
      <c r="H1041" s="49">
        <f t="shared" ca="1" si="272"/>
        <v>416239.08494648512</v>
      </c>
      <c r="I1041" s="49">
        <f t="shared" ca="1" si="273"/>
        <v>655.99888788993178</v>
      </c>
      <c r="L1041" s="49">
        <f t="shared" ca="1" si="274"/>
        <v>655.99888788993178</v>
      </c>
      <c r="M1041" s="49"/>
      <c r="N1041" s="49">
        <f t="shared" ca="1" si="275"/>
        <v>0</v>
      </c>
      <c r="O1041" s="49">
        <f t="shared" ca="1" si="276"/>
        <v>0</v>
      </c>
      <c r="P1041" s="49">
        <f t="shared" ca="1" si="276"/>
        <v>0</v>
      </c>
      <c r="Q1041" s="49">
        <f t="shared" ca="1" si="276"/>
        <v>0</v>
      </c>
      <c r="T1041" s="274">
        <v>5940957</v>
      </c>
      <c r="U1041" s="81">
        <v>583</v>
      </c>
      <c r="V1041" s="81"/>
      <c r="W1041" s="81">
        <f>SUMIF('O&amp;M'!$B$3:$B$89,TOTALCO!U1041,'O&amp;M'!$F$3:$F$89)+SUMIF('O&amp;M'!$B$3:$B$89,TOTALCO!V1041,'O&amp;M'!$F$3:$F$89)</f>
        <v>5940957</v>
      </c>
      <c r="X1041" s="282">
        <f t="shared" ca="1" si="277"/>
        <v>0</v>
      </c>
      <c r="Y1041" s="39"/>
    </row>
    <row r="1042" spans="1:27" x14ac:dyDescent="0.2">
      <c r="A1042" s="49">
        <v>23</v>
      </c>
      <c r="B1042" s="37" t="s">
        <v>241</v>
      </c>
      <c r="C1042" s="45" t="s">
        <v>1204</v>
      </c>
      <c r="D1042" s="55">
        <f t="shared" ca="1" si="270"/>
        <v>318.99999999999994</v>
      </c>
      <c r="F1042" s="49">
        <f t="shared" ca="1" si="271"/>
        <v>311.70848076109758</v>
      </c>
      <c r="H1042" s="49">
        <f t="shared" ca="1" si="272"/>
        <v>7.2915192389023762</v>
      </c>
      <c r="I1042" s="49">
        <f t="shared" ca="1" si="273"/>
        <v>0</v>
      </c>
      <c r="L1042" s="49">
        <f t="shared" ca="1" si="274"/>
        <v>0</v>
      </c>
      <c r="M1042" s="49"/>
      <c r="N1042" s="49">
        <f t="shared" ca="1" si="275"/>
        <v>0</v>
      </c>
      <c r="O1042" s="49">
        <f t="shared" ca="1" si="276"/>
        <v>0</v>
      </c>
      <c r="P1042" s="49">
        <f t="shared" ca="1" si="276"/>
        <v>0</v>
      </c>
      <c r="Q1042" s="49">
        <f t="shared" ca="1" si="276"/>
        <v>0</v>
      </c>
      <c r="T1042" s="274">
        <v>319</v>
      </c>
      <c r="U1042" s="81">
        <v>584</v>
      </c>
      <c r="V1042" s="81"/>
      <c r="W1042" s="81">
        <f>SUMIF('O&amp;M'!$B$3:$B$89,TOTALCO!U1042,'O&amp;M'!$F$3:$F$89)+SUMIF('O&amp;M'!$B$3:$B$89,TOTALCO!V1042,'O&amp;M'!$F$3:$F$89)</f>
        <v>319</v>
      </c>
      <c r="X1042" s="282">
        <f t="shared" ca="1" si="277"/>
        <v>0</v>
      </c>
      <c r="Y1042" s="39"/>
    </row>
    <row r="1043" spans="1:27" x14ac:dyDescent="0.2">
      <c r="A1043" s="49">
        <v>24</v>
      </c>
      <c r="B1043" s="37" t="s">
        <v>242</v>
      </c>
      <c r="C1043" s="45" t="s">
        <v>1205</v>
      </c>
      <c r="D1043" s="55">
        <f t="shared" ca="1" si="270"/>
        <v>0</v>
      </c>
      <c r="F1043" s="49">
        <f t="shared" ca="1" si="271"/>
        <v>0</v>
      </c>
      <c r="H1043" s="49">
        <f t="shared" ca="1" si="272"/>
        <v>0</v>
      </c>
      <c r="I1043" s="49">
        <f t="shared" ca="1" si="273"/>
        <v>0</v>
      </c>
      <c r="L1043" s="49">
        <f t="shared" ca="1" si="274"/>
        <v>0</v>
      </c>
      <c r="M1043" s="49"/>
      <c r="N1043" s="49">
        <f t="shared" ca="1" si="275"/>
        <v>0</v>
      </c>
      <c r="O1043" s="49">
        <f t="shared" ca="1" si="276"/>
        <v>0</v>
      </c>
      <c r="P1043" s="49">
        <f t="shared" ca="1" si="276"/>
        <v>0</v>
      </c>
      <c r="Q1043" s="49">
        <f t="shared" ca="1" si="276"/>
        <v>0</v>
      </c>
      <c r="T1043" s="274">
        <v>0</v>
      </c>
      <c r="U1043" s="81">
        <v>585</v>
      </c>
      <c r="V1043" s="81"/>
      <c r="W1043" s="81">
        <f>SUMIF('O&amp;M'!$B$3:$B$89,TOTALCO!U1043,'O&amp;M'!$F$3:$F$89)+SUMIF('O&amp;M'!$B$3:$B$89,TOTALCO!V1043,'O&amp;M'!$F$3:$F$89)</f>
        <v>0</v>
      </c>
      <c r="X1043" s="282">
        <f t="shared" ca="1" si="277"/>
        <v>0</v>
      </c>
      <c r="Y1043" s="39"/>
    </row>
    <row r="1044" spans="1:27" x14ac:dyDescent="0.2">
      <c r="A1044" s="49">
        <v>25</v>
      </c>
      <c r="B1044" s="37" t="s">
        <v>243</v>
      </c>
      <c r="C1044" s="45" t="s">
        <v>1206</v>
      </c>
      <c r="D1044" s="55">
        <f t="shared" ca="1" si="270"/>
        <v>9043626.0000000019</v>
      </c>
      <c r="F1044" s="49">
        <f t="shared" ca="1" si="271"/>
        <v>8623628.8065359704</v>
      </c>
      <c r="H1044" s="49">
        <f t="shared" ca="1" si="272"/>
        <v>414356.36217141163</v>
      </c>
      <c r="I1044" s="49">
        <f t="shared" ca="1" si="273"/>
        <v>5640.8312926191438</v>
      </c>
      <c r="L1044" s="49">
        <f t="shared" ca="1" si="274"/>
        <v>459.87804760302942</v>
      </c>
      <c r="M1044" s="49"/>
      <c r="N1044" s="49">
        <f t="shared" ca="1" si="275"/>
        <v>5180.9532450161141</v>
      </c>
      <c r="O1044" s="49">
        <f t="shared" ca="1" si="276"/>
        <v>2240.2464610647171</v>
      </c>
      <c r="P1044" s="49">
        <f t="shared" ca="1" si="276"/>
        <v>2940.706783951397</v>
      </c>
      <c r="Q1044" s="49">
        <f t="shared" ca="1" si="276"/>
        <v>0</v>
      </c>
      <c r="T1044" s="274">
        <v>9043626</v>
      </c>
      <c r="U1044" s="81">
        <v>586</v>
      </c>
      <c r="V1044" s="81"/>
      <c r="W1044" s="81">
        <f>SUMIF('O&amp;M'!$B$3:$B$89,TOTALCO!U1044,'O&amp;M'!$F$3:$F$89)+SUMIF('O&amp;M'!$B$3:$B$89,TOTALCO!V1044,'O&amp;M'!$F$3:$F$89)</f>
        <v>9043626</v>
      </c>
      <c r="X1044" s="282">
        <f t="shared" ca="1" si="277"/>
        <v>0</v>
      </c>
      <c r="Y1044" s="39"/>
    </row>
    <row r="1045" spans="1:27" x14ac:dyDescent="0.2">
      <c r="A1045" s="49">
        <v>26</v>
      </c>
      <c r="B1045" s="37" t="s">
        <v>244</v>
      </c>
      <c r="C1045" s="45" t="s">
        <v>1205</v>
      </c>
      <c r="D1045" s="55">
        <f t="shared" ca="1" si="270"/>
        <v>0</v>
      </c>
      <c r="F1045" s="49">
        <f t="shared" ca="1" si="271"/>
        <v>0</v>
      </c>
      <c r="H1045" s="49">
        <f t="shared" ca="1" si="272"/>
        <v>0</v>
      </c>
      <c r="I1045" s="49">
        <f t="shared" ca="1" si="273"/>
        <v>0</v>
      </c>
      <c r="L1045" s="49">
        <f t="shared" ca="1" si="274"/>
        <v>0</v>
      </c>
      <c r="M1045" s="49"/>
      <c r="N1045" s="49">
        <f t="shared" ca="1" si="275"/>
        <v>0</v>
      </c>
      <c r="O1045" s="49">
        <f t="shared" ca="1" si="276"/>
        <v>0</v>
      </c>
      <c r="P1045" s="49">
        <f t="shared" ca="1" si="276"/>
        <v>0</v>
      </c>
      <c r="Q1045" s="49">
        <f t="shared" ca="1" si="276"/>
        <v>0</v>
      </c>
      <c r="T1045" s="274">
        <v>0</v>
      </c>
      <c r="U1045" s="81">
        <v>587</v>
      </c>
      <c r="V1045" s="81"/>
      <c r="W1045" s="81">
        <f>SUMIF('O&amp;M'!$B$3:$B$89,TOTALCO!U1045,'O&amp;M'!$F$3:$F$89)+SUMIF('O&amp;M'!$B$3:$B$89,TOTALCO!V1045,'O&amp;M'!$F$3:$F$89)</f>
        <v>0</v>
      </c>
      <c r="X1045" s="282">
        <f t="shared" ca="1" si="277"/>
        <v>0</v>
      </c>
      <c r="Y1045" s="39"/>
    </row>
    <row r="1046" spans="1:27" x14ac:dyDescent="0.2">
      <c r="A1046" s="49">
        <v>27</v>
      </c>
      <c r="B1046" s="37" t="s">
        <v>245</v>
      </c>
      <c r="C1046" s="40" t="s">
        <v>954</v>
      </c>
      <c r="D1046" s="55">
        <f t="shared" ca="1" si="270"/>
        <v>7980328.9999999991</v>
      </c>
      <c r="F1046" s="49">
        <f t="shared" ca="1" si="271"/>
        <v>7571781.1414779108</v>
      </c>
      <c r="H1046" s="49">
        <f t="shared" ca="1" si="272"/>
        <v>391579.5415295664</v>
      </c>
      <c r="I1046" s="49">
        <f t="shared" ca="1" si="273"/>
        <v>16968.316992522323</v>
      </c>
      <c r="L1046" s="49">
        <f t="shared" ca="1" si="274"/>
        <v>2546.455201151351</v>
      </c>
      <c r="M1046" s="49"/>
      <c r="N1046" s="49">
        <f t="shared" ca="1" si="275"/>
        <v>14421.861791370973</v>
      </c>
      <c r="O1046" s="49">
        <f t="shared" ca="1" si="276"/>
        <v>14316.197382258215</v>
      </c>
      <c r="P1046" s="49">
        <f t="shared" ca="1" si="276"/>
        <v>105.66440911275795</v>
      </c>
      <c r="Q1046" s="49">
        <f t="shared" ca="1" si="276"/>
        <v>0</v>
      </c>
      <c r="T1046" s="274">
        <v>7980329</v>
      </c>
      <c r="U1046" s="81">
        <v>588</v>
      </c>
      <c r="V1046" s="81"/>
      <c r="W1046" s="81">
        <f>SUMIF('O&amp;M'!$B$3:$B$89,TOTALCO!U1046,'O&amp;M'!$F$3:$F$89)+SUMIF('O&amp;M'!$B$3:$B$89,TOTALCO!V1046,'O&amp;M'!$F$3:$F$89)</f>
        <v>7980329</v>
      </c>
      <c r="X1046" s="282">
        <f t="shared" ca="1" si="277"/>
        <v>0</v>
      </c>
      <c r="Y1046" s="39"/>
    </row>
    <row r="1047" spans="1:27" x14ac:dyDescent="0.2">
      <c r="A1047" s="49">
        <v>28</v>
      </c>
      <c r="B1047" s="37" t="s">
        <v>246</v>
      </c>
      <c r="C1047" s="40" t="s">
        <v>954</v>
      </c>
      <c r="D1047" s="55">
        <f t="shared" ca="1" si="270"/>
        <v>0</v>
      </c>
      <c r="F1047" s="49">
        <f t="shared" ca="1" si="271"/>
        <v>0</v>
      </c>
      <c r="H1047" s="49">
        <f t="shared" ca="1" si="272"/>
        <v>0</v>
      </c>
      <c r="I1047" s="49">
        <f t="shared" ca="1" si="273"/>
        <v>0</v>
      </c>
      <c r="L1047" s="49">
        <f t="shared" ca="1" si="274"/>
        <v>0</v>
      </c>
      <c r="M1047" s="49"/>
      <c r="N1047" s="49">
        <f t="shared" ca="1" si="275"/>
        <v>0</v>
      </c>
      <c r="O1047" s="49">
        <f t="shared" ca="1" si="276"/>
        <v>0</v>
      </c>
      <c r="P1047" s="49">
        <f t="shared" ca="1" si="276"/>
        <v>0</v>
      </c>
      <c r="Q1047" s="49">
        <f t="shared" ca="1" si="276"/>
        <v>0</v>
      </c>
      <c r="T1047" s="274">
        <v>0</v>
      </c>
      <c r="U1047" s="81">
        <v>589</v>
      </c>
      <c r="V1047" s="81"/>
      <c r="W1047" s="81">
        <f>SUMIF('O&amp;M'!$B$3:$B$89,TOTALCO!U1047,'O&amp;M'!$F$3:$F$89)+SUMIF('O&amp;M'!$B$3:$B$89,TOTALCO!V1047,'O&amp;M'!$F$3:$F$89)</f>
        <v>0</v>
      </c>
      <c r="X1047" s="282">
        <f t="shared" ca="1" si="277"/>
        <v>0</v>
      </c>
      <c r="Y1047" s="39"/>
    </row>
    <row r="1048" spans="1:27" x14ac:dyDescent="0.2">
      <c r="A1048" s="49">
        <v>29</v>
      </c>
      <c r="B1048" s="37" t="s">
        <v>247</v>
      </c>
      <c r="C1048" s="47"/>
      <c r="D1048" s="55">
        <f t="shared" ca="1" si="270"/>
        <v>27482203</v>
      </c>
      <c r="F1048" s="49">
        <f ca="1">SUM(F1038:F1047)</f>
        <v>26015991.151692174</v>
      </c>
      <c r="H1048" s="49">
        <f ca="1">SUM(H1038:H1047)</f>
        <v>1402641.7619754891</v>
      </c>
      <c r="I1048" s="49">
        <f t="shared" ca="1" si="273"/>
        <v>63570.086332336316</v>
      </c>
      <c r="L1048" s="49">
        <f ca="1">SUM(L1038:L1047)</f>
        <v>9019.9908070085839</v>
      </c>
      <c r="M1048" s="49"/>
      <c r="N1048" s="49">
        <f t="shared" ca="1" si="275"/>
        <v>54550.095525327728</v>
      </c>
      <c r="O1048" s="49">
        <f ca="1">SUM(O1038:O1047)</f>
        <v>51477.474124874912</v>
      </c>
      <c r="P1048" s="49">
        <f ca="1">SUM(P1038:P1047)</f>
        <v>3072.6214004528133</v>
      </c>
      <c r="Q1048" s="49">
        <f ca="1">SUM(Q1038:Q1047)</f>
        <v>0</v>
      </c>
      <c r="T1048" s="47"/>
      <c r="U1048" s="81"/>
      <c r="V1048" s="81"/>
      <c r="W1048" s="81"/>
      <c r="X1048" s="282"/>
    </row>
    <row r="1049" spans="1:27" x14ac:dyDescent="0.2">
      <c r="A1049" s="49">
        <v>30</v>
      </c>
      <c r="B1049" s="37" t="s">
        <v>248</v>
      </c>
      <c r="C1049" s="40" t="s">
        <v>954</v>
      </c>
      <c r="D1049" s="55">
        <f t="shared" ca="1" si="270"/>
        <v>77819.999999999985</v>
      </c>
      <c r="F1049" s="49">
        <f t="shared" ref="F1049:F1057" ca="1" si="278">INDEX(INDIRECT($C1049),1,F$12+1)*$T1049</f>
        <v>73836.054682684262</v>
      </c>
      <c r="H1049" s="49">
        <f t="shared" ref="H1049:H1057" ca="1" si="279">INDEX(INDIRECT($C1049),1,H$12+1)*$T1049</f>
        <v>3818.4791531565747</v>
      </c>
      <c r="I1049" s="49">
        <f t="shared" ca="1" si="273"/>
        <v>165.46616415915776</v>
      </c>
      <c r="L1049" s="49">
        <f t="shared" ref="L1049:L1057" ca="1" si="280">INDEX(INDIRECT($C1049),1,L$12+1)*$T1049</f>
        <v>24.831701018040505</v>
      </c>
      <c r="M1049" s="49"/>
      <c r="N1049" s="49">
        <f t="shared" ca="1" si="275"/>
        <v>140.63446314111727</v>
      </c>
      <c r="O1049" s="49">
        <f t="shared" ref="O1049:Q1057" ca="1" si="281">INDEX(INDIRECT($C1049),1,O$12+1)*$T1049</f>
        <v>139.60407901570653</v>
      </c>
      <c r="P1049" s="49">
        <f t="shared" ca="1" si="281"/>
        <v>1.0303841254107222</v>
      </c>
      <c r="Q1049" s="49">
        <f t="shared" ca="1" si="281"/>
        <v>0</v>
      </c>
      <c r="T1049" s="274">
        <v>77820</v>
      </c>
      <c r="U1049" s="81">
        <v>590</v>
      </c>
      <c r="V1049" s="81"/>
      <c r="W1049" s="81">
        <f>SUMIF('O&amp;M'!$B$3:$B$89,TOTALCO!U1049,'O&amp;M'!$F$3:$F$89)+SUMIF('O&amp;M'!$B$3:$B$89,TOTALCO!V1049,'O&amp;M'!$F$3:$F$89)</f>
        <v>77820</v>
      </c>
      <c r="X1049" s="282">
        <f t="shared" ref="X1049:X1057" ca="1" si="282">D1049-T1049</f>
        <v>0</v>
      </c>
      <c r="Y1049" s="39"/>
    </row>
    <row r="1050" spans="1:27" x14ac:dyDescent="0.2">
      <c r="A1050" s="49">
        <v>31</v>
      </c>
      <c r="B1050" s="37" t="s">
        <v>249</v>
      </c>
      <c r="C1050" s="45" t="s">
        <v>1203</v>
      </c>
      <c r="D1050" s="55">
        <f t="shared" ca="1" si="270"/>
        <v>0</v>
      </c>
      <c r="F1050" s="49">
        <f t="shared" ca="1" si="278"/>
        <v>0</v>
      </c>
      <c r="H1050" s="49">
        <f t="shared" ca="1" si="279"/>
        <v>0</v>
      </c>
      <c r="I1050" s="49">
        <f t="shared" ca="1" si="273"/>
        <v>0</v>
      </c>
      <c r="L1050" s="49">
        <f t="shared" ca="1" si="280"/>
        <v>0</v>
      </c>
      <c r="M1050" s="49"/>
      <c r="N1050" s="49">
        <f t="shared" ca="1" si="275"/>
        <v>0</v>
      </c>
      <c r="O1050" s="49">
        <f t="shared" ca="1" si="281"/>
        <v>0</v>
      </c>
      <c r="P1050" s="49">
        <f t="shared" ca="1" si="281"/>
        <v>0</v>
      </c>
      <c r="Q1050" s="49">
        <f t="shared" ca="1" si="281"/>
        <v>0</v>
      </c>
      <c r="T1050" s="274">
        <v>0</v>
      </c>
      <c r="U1050" s="81">
        <v>591</v>
      </c>
      <c r="V1050" s="81"/>
      <c r="W1050" s="81">
        <f>SUMIF('O&amp;M'!$B$3:$B$89,TOTALCO!U1050,'O&amp;M'!$F$3:$F$89)+SUMIF('O&amp;M'!$B$3:$B$89,TOTALCO!V1050,'O&amp;M'!$F$3:$F$89)</f>
        <v>0</v>
      </c>
      <c r="X1050" s="282">
        <f t="shared" ca="1" si="282"/>
        <v>0</v>
      </c>
      <c r="Y1050" s="39"/>
    </row>
    <row r="1051" spans="1:27" x14ac:dyDescent="0.2">
      <c r="A1051" s="49">
        <v>32</v>
      </c>
      <c r="B1051" s="37" t="s">
        <v>250</v>
      </c>
      <c r="C1051" s="45" t="s">
        <v>1203</v>
      </c>
      <c r="D1051" s="55">
        <f t="shared" ca="1" si="270"/>
        <v>1261918</v>
      </c>
      <c r="F1051" s="49">
        <f t="shared" ca="1" si="278"/>
        <v>1202532.5745092977</v>
      </c>
      <c r="H1051" s="49">
        <f t="shared" ca="1" si="279"/>
        <v>41416.024917158044</v>
      </c>
      <c r="I1051" s="49">
        <f t="shared" ca="1" si="273"/>
        <v>17969.400573544306</v>
      </c>
      <c r="L1051" s="49">
        <f t="shared" ca="1" si="280"/>
        <v>2352.6562181781014</v>
      </c>
      <c r="M1051" s="49"/>
      <c r="N1051" s="49">
        <f t="shared" ca="1" si="275"/>
        <v>15616.744355366205</v>
      </c>
      <c r="O1051" s="49">
        <f t="shared" ca="1" si="281"/>
        <v>15616.744355366205</v>
      </c>
      <c r="P1051" s="49">
        <f t="shared" ca="1" si="281"/>
        <v>0</v>
      </c>
      <c r="Q1051" s="49">
        <f t="shared" ca="1" si="281"/>
        <v>0</v>
      </c>
      <c r="T1051" s="274">
        <v>1261918</v>
      </c>
      <c r="U1051" s="81">
        <v>592</v>
      </c>
      <c r="V1051" s="81"/>
      <c r="W1051" s="81">
        <f>SUMIF('O&amp;M'!$B$3:$B$89,TOTALCO!U1051,'O&amp;M'!$F$3:$F$89)+SUMIF('O&amp;M'!$B$3:$B$89,TOTALCO!V1051,'O&amp;M'!$F$3:$F$89)</f>
        <v>1261918</v>
      </c>
      <c r="X1051" s="282">
        <f t="shared" ca="1" si="282"/>
        <v>0</v>
      </c>
      <c r="Y1051" s="308" t="s">
        <v>2483</v>
      </c>
      <c r="Z1051" s="236"/>
      <c r="AA1051" s="236"/>
    </row>
    <row r="1052" spans="1:27" x14ac:dyDescent="0.2">
      <c r="A1052" s="49">
        <v>33</v>
      </c>
      <c r="B1052" s="37" t="s">
        <v>251</v>
      </c>
      <c r="C1052" s="45" t="s">
        <v>1202</v>
      </c>
      <c r="D1052" s="55">
        <f t="shared" ca="1" si="270"/>
        <v>32497874</v>
      </c>
      <c r="F1052" s="49">
        <f ca="1">INDEX(INDIRECT($C1052),1,F$12+1)*$T1052+$Y1052+$Y1054+$Y1056</f>
        <v>30520616.680119868</v>
      </c>
      <c r="H1052" s="49">
        <f ca="1">INDEX(INDIRECT($C1052),1,H$12+1)*$T1052</f>
        <v>1974146.036842243</v>
      </c>
      <c r="I1052" s="49">
        <f t="shared" ca="1" si="273"/>
        <v>3111.2830378899366</v>
      </c>
      <c r="L1052" s="49">
        <f t="shared" ca="1" si="280"/>
        <v>3111.2830378899366</v>
      </c>
      <c r="M1052" s="49"/>
      <c r="N1052" s="49">
        <f t="shared" ca="1" si="275"/>
        <v>0</v>
      </c>
      <c r="O1052" s="49">
        <f t="shared" ca="1" si="281"/>
        <v>0</v>
      </c>
      <c r="P1052" s="49">
        <f t="shared" ca="1" si="281"/>
        <v>0</v>
      </c>
      <c r="Q1052" s="49">
        <f t="shared" ca="1" si="281"/>
        <v>0</v>
      </c>
      <c r="T1052" s="74">
        <f>W1052-Y1052-Y1054-Y1056</f>
        <v>28176875.119999997</v>
      </c>
      <c r="U1052" s="81">
        <v>593</v>
      </c>
      <c r="V1052" s="81"/>
      <c r="W1052" s="81">
        <f>SUMIF('O&amp;M'!$B$3:$B$89,TOTALCO!U1052,'O&amp;M'!$F$3:$F$89)+SUMIF('O&amp;M'!$B$3:$B$89,TOTALCO!V1052,'O&amp;M'!$F$3:$F$89)</f>
        <v>32497874</v>
      </c>
      <c r="X1052" s="282">
        <f t="shared" ca="1" si="282"/>
        <v>4320998.8800000027</v>
      </c>
      <c r="Y1052" s="279">
        <f>10555.37*12</f>
        <v>126664.44</v>
      </c>
    </row>
    <row r="1053" spans="1:27" x14ac:dyDescent="0.2">
      <c r="A1053" s="49">
        <v>34</v>
      </c>
      <c r="B1053" s="37" t="s">
        <v>252</v>
      </c>
      <c r="C1053" s="45" t="s">
        <v>1204</v>
      </c>
      <c r="D1053" s="55">
        <f t="shared" ca="1" si="270"/>
        <v>676994</v>
      </c>
      <c r="F1053" s="49">
        <f t="shared" ca="1" si="278"/>
        <v>661519.65901059099</v>
      </c>
      <c r="H1053" s="49">
        <f t="shared" ca="1" si="279"/>
        <v>15474.340989409015</v>
      </c>
      <c r="I1053" s="49">
        <f t="shared" ca="1" si="273"/>
        <v>0</v>
      </c>
      <c r="L1053" s="49">
        <f t="shared" ca="1" si="280"/>
        <v>0</v>
      </c>
      <c r="M1053" s="49"/>
      <c r="N1053" s="49">
        <f t="shared" ca="1" si="275"/>
        <v>0</v>
      </c>
      <c r="O1053" s="49">
        <f t="shared" ca="1" si="281"/>
        <v>0</v>
      </c>
      <c r="P1053" s="49">
        <f t="shared" ca="1" si="281"/>
        <v>0</v>
      </c>
      <c r="Q1053" s="49">
        <f t="shared" ca="1" si="281"/>
        <v>0</v>
      </c>
      <c r="T1053" s="274">
        <v>676994</v>
      </c>
      <c r="U1053" s="81">
        <v>594</v>
      </c>
      <c r="V1053" s="81"/>
      <c r="W1053" s="81">
        <f>SUMIF('O&amp;M'!$B$3:$B$89,TOTALCO!U1053,'O&amp;M'!$F$3:$F$89)+SUMIF('O&amp;M'!$B$3:$B$89,TOTALCO!V1053,'O&amp;M'!$F$3:$F$89)</f>
        <v>676994</v>
      </c>
      <c r="X1053" s="282">
        <f t="shared" ca="1" si="282"/>
        <v>0</v>
      </c>
      <c r="Y1053" s="308" t="s">
        <v>2482</v>
      </c>
      <c r="Z1053" s="236"/>
      <c r="AA1053" s="236"/>
    </row>
    <row r="1054" spans="1:27" x14ac:dyDescent="0.2">
      <c r="A1054" s="49">
        <v>35</v>
      </c>
      <c r="B1054" s="37" t="s">
        <v>253</v>
      </c>
      <c r="C1054" s="45" t="s">
        <v>1208</v>
      </c>
      <c r="D1054" s="55">
        <f t="shared" ca="1" si="270"/>
        <v>112703.00000000001</v>
      </c>
      <c r="F1054" s="49">
        <f t="shared" ca="1" si="278"/>
        <v>108845.99817529762</v>
      </c>
      <c r="H1054" s="49">
        <f t="shared" ca="1" si="279"/>
        <v>3855.9258185727995</v>
      </c>
      <c r="I1054" s="49">
        <f t="shared" ca="1" si="273"/>
        <v>1.0760061295968077</v>
      </c>
      <c r="L1054" s="49">
        <f t="shared" ca="1" si="280"/>
        <v>1.0760061295968077</v>
      </c>
      <c r="M1054" s="49"/>
      <c r="N1054" s="49">
        <f t="shared" ca="1" si="275"/>
        <v>0</v>
      </c>
      <c r="O1054" s="49">
        <f t="shared" ca="1" si="281"/>
        <v>0</v>
      </c>
      <c r="P1054" s="49">
        <f t="shared" ca="1" si="281"/>
        <v>0</v>
      </c>
      <c r="Q1054" s="49">
        <f t="shared" ca="1" si="281"/>
        <v>0</v>
      </c>
      <c r="T1054" s="274">
        <v>112703</v>
      </c>
      <c r="U1054" s="81">
        <v>595</v>
      </c>
      <c r="V1054" s="81"/>
      <c r="W1054" s="81">
        <f>SUMIF('O&amp;M'!$B$3:$B$89,TOTALCO!U1054,'O&amp;M'!$F$3:$F$89)+SUMIF('O&amp;M'!$B$3:$B$89,TOTALCO!V1054,'O&amp;M'!$F$3:$F$89)</f>
        <v>112703</v>
      </c>
      <c r="X1054" s="282">
        <f t="shared" ca="1" si="282"/>
        <v>0</v>
      </c>
      <c r="Y1054" s="279">
        <f>271504.08*12</f>
        <v>3258048.96</v>
      </c>
    </row>
    <row r="1055" spans="1:27" x14ac:dyDescent="0.2">
      <c r="A1055" s="49">
        <v>36</v>
      </c>
      <c r="B1055" s="37" t="s">
        <v>254</v>
      </c>
      <c r="C1055" s="45" t="s">
        <v>1205</v>
      </c>
      <c r="D1055" s="55">
        <f t="shared" ca="1" si="270"/>
        <v>0</v>
      </c>
      <c r="F1055" s="49">
        <f t="shared" ca="1" si="278"/>
        <v>0</v>
      </c>
      <c r="H1055" s="49">
        <f t="shared" ca="1" si="279"/>
        <v>0</v>
      </c>
      <c r="I1055" s="49">
        <f t="shared" ca="1" si="273"/>
        <v>0</v>
      </c>
      <c r="L1055" s="49">
        <f t="shared" ca="1" si="280"/>
        <v>0</v>
      </c>
      <c r="M1055" s="49"/>
      <c r="N1055" s="49">
        <f t="shared" ca="1" si="275"/>
        <v>0</v>
      </c>
      <c r="O1055" s="49">
        <f t="shared" ca="1" si="281"/>
        <v>0</v>
      </c>
      <c r="P1055" s="49">
        <f t="shared" ca="1" si="281"/>
        <v>0</v>
      </c>
      <c r="Q1055" s="49">
        <f t="shared" ca="1" si="281"/>
        <v>0</v>
      </c>
      <c r="T1055" s="274">
        <v>0</v>
      </c>
      <c r="U1055" s="81">
        <v>596</v>
      </c>
      <c r="V1055" s="81"/>
      <c r="W1055" s="81">
        <f>SUMIF('O&amp;M'!$B$3:$B$89,TOTALCO!U1055,'O&amp;M'!$F$3:$F$89)+SUMIF('O&amp;M'!$B$3:$B$89,TOTALCO!V1055,'O&amp;M'!$F$3:$F$89)</f>
        <v>0</v>
      </c>
      <c r="X1055" s="282">
        <f t="shared" ca="1" si="282"/>
        <v>0</v>
      </c>
      <c r="Y1055" s="308" t="s">
        <v>2635</v>
      </c>
      <c r="Z1055" s="236"/>
      <c r="AA1055" s="236"/>
    </row>
    <row r="1056" spans="1:27" x14ac:dyDescent="0.2">
      <c r="A1056" s="49">
        <v>37</v>
      </c>
      <c r="B1056" s="37" t="s">
        <v>255</v>
      </c>
      <c r="C1056" s="45" t="s">
        <v>1206</v>
      </c>
      <c r="D1056" s="55">
        <f t="shared" ca="1" si="270"/>
        <v>0</v>
      </c>
      <c r="F1056" s="49">
        <f t="shared" ca="1" si="278"/>
        <v>0</v>
      </c>
      <c r="H1056" s="49">
        <f t="shared" ca="1" si="279"/>
        <v>0</v>
      </c>
      <c r="I1056" s="49">
        <f t="shared" ca="1" si="273"/>
        <v>0</v>
      </c>
      <c r="L1056" s="49">
        <f t="shared" ca="1" si="280"/>
        <v>0</v>
      </c>
      <c r="M1056" s="49"/>
      <c r="N1056" s="49">
        <f t="shared" ca="1" si="275"/>
        <v>0</v>
      </c>
      <c r="O1056" s="49">
        <f t="shared" ca="1" si="281"/>
        <v>0</v>
      </c>
      <c r="P1056" s="49">
        <f t="shared" ca="1" si="281"/>
        <v>0</v>
      </c>
      <c r="Q1056" s="49">
        <f t="shared" ca="1" si="281"/>
        <v>0</v>
      </c>
      <c r="T1056" s="274">
        <v>0</v>
      </c>
      <c r="U1056" s="81">
        <v>597</v>
      </c>
      <c r="V1056" s="81"/>
      <c r="W1056" s="81">
        <f>SUMIF('O&amp;M'!$B$3:$B$89,TOTALCO!U1056,'O&amp;M'!$F$3:$F$89)+SUMIF('O&amp;M'!$B$3:$B$89,TOTALCO!V1056,'O&amp;M'!$F$3:$F$89)</f>
        <v>0</v>
      </c>
      <c r="X1056" s="282">
        <f t="shared" ca="1" si="282"/>
        <v>0</v>
      </c>
      <c r="Y1056" s="279">
        <f>78023.79*12</f>
        <v>936285.48</v>
      </c>
    </row>
    <row r="1057" spans="1:25" x14ac:dyDescent="0.2">
      <c r="A1057" s="49">
        <v>38</v>
      </c>
      <c r="B1057" s="37" t="s">
        <v>256</v>
      </c>
      <c r="C1057" s="40" t="s">
        <v>954</v>
      </c>
      <c r="D1057" s="55">
        <f t="shared" ca="1" si="270"/>
        <v>352608</v>
      </c>
      <c r="F1057" s="49">
        <f t="shared" ca="1" si="278"/>
        <v>334556.45810269768</v>
      </c>
      <c r="H1057" s="49">
        <f t="shared" ca="1" si="279"/>
        <v>17301.80284292256</v>
      </c>
      <c r="I1057" s="49">
        <f t="shared" ca="1" si="273"/>
        <v>749.73905437975191</v>
      </c>
      <c r="L1057" s="49">
        <f t="shared" ca="1" si="280"/>
        <v>112.51421784334651</v>
      </c>
      <c r="M1057" s="49"/>
      <c r="N1057" s="49">
        <f t="shared" ca="1" si="275"/>
        <v>637.22483653640541</v>
      </c>
      <c r="O1057" s="49">
        <f t="shared" ca="1" si="281"/>
        <v>632.55609218157599</v>
      </c>
      <c r="P1057" s="49">
        <f t="shared" ca="1" si="281"/>
        <v>4.6687443548294008</v>
      </c>
      <c r="Q1057" s="49">
        <f t="shared" ca="1" si="281"/>
        <v>0</v>
      </c>
      <c r="T1057" s="274">
        <v>352608</v>
      </c>
      <c r="U1057" s="81">
        <v>598</v>
      </c>
      <c r="V1057" s="81"/>
      <c r="W1057" s="81">
        <f>SUMIF('O&amp;M'!$B$3:$B$89,TOTALCO!U1057,'O&amp;M'!$F$3:$F$89)+SUMIF('O&amp;M'!$B$3:$B$89,TOTALCO!V1057,'O&amp;M'!$F$3:$F$89)</f>
        <v>352608</v>
      </c>
      <c r="X1057" s="282">
        <f t="shared" ca="1" si="282"/>
        <v>0</v>
      </c>
      <c r="Y1057" s="39"/>
    </row>
    <row r="1058" spans="1:25" x14ac:dyDescent="0.2">
      <c r="A1058" s="49">
        <v>39</v>
      </c>
      <c r="B1058" s="37" t="s">
        <v>257</v>
      </c>
      <c r="C1058" s="47"/>
      <c r="D1058" s="55">
        <f t="shared" ca="1" si="270"/>
        <v>34979917.000000007</v>
      </c>
      <c r="F1058" s="49">
        <f ca="1">SUM(F1049:F1057)</f>
        <v>32901907.424600437</v>
      </c>
      <c r="H1058" s="49">
        <f ca="1">SUM(H1049:H1057)</f>
        <v>2056012.6105634619</v>
      </c>
      <c r="I1058" s="49">
        <f t="shared" ca="1" si="273"/>
        <v>21996.96483610275</v>
      </c>
      <c r="L1058" s="49">
        <f ca="1">SUM(L1049:L1057)</f>
        <v>5602.3611810590219</v>
      </c>
      <c r="M1058" s="49"/>
      <c r="N1058" s="49">
        <f t="shared" ca="1" si="275"/>
        <v>16394.603655043727</v>
      </c>
      <c r="O1058" s="49">
        <f ca="1">SUM(O1049:O1057)</f>
        <v>16388.904526563489</v>
      </c>
      <c r="P1058" s="49">
        <f ca="1">SUM(P1049:P1057)</f>
        <v>5.6991284802401232</v>
      </c>
      <c r="Q1058" s="49">
        <f ca="1">SUM(Q1049:Q1057)</f>
        <v>0</v>
      </c>
      <c r="T1058" s="47"/>
      <c r="U1058" s="81"/>
      <c r="V1058" s="81"/>
      <c r="W1058" s="81"/>
      <c r="X1058" s="82"/>
    </row>
    <row r="1059" spans="1:25" x14ac:dyDescent="0.2">
      <c r="C1059" s="47"/>
      <c r="T1059" s="75"/>
      <c r="U1059" s="81"/>
      <c r="V1059" s="81"/>
      <c r="W1059" s="81"/>
      <c r="X1059" s="82"/>
    </row>
    <row r="1060" spans="1:25" x14ac:dyDescent="0.2">
      <c r="A1060" s="49">
        <v>40</v>
      </c>
      <c r="B1060" s="37" t="s">
        <v>258</v>
      </c>
      <c r="C1060" s="47"/>
      <c r="D1060" s="55">
        <f ca="1">SUM(F1060:I1060)+K1060</f>
        <v>62462120.000000007</v>
      </c>
      <c r="F1060" s="49">
        <f ca="1">F1058+F1048</f>
        <v>58917898.576292612</v>
      </c>
      <c r="H1060" s="49">
        <f ca="1">H1058+H1048</f>
        <v>3458654.3725389512</v>
      </c>
      <c r="I1060" s="49">
        <f ca="1">(L1060+M1060+N1060)</f>
        <v>85567.051168439051</v>
      </c>
      <c r="L1060" s="49">
        <f ca="1">L1058+L1048</f>
        <v>14622.351988067607</v>
      </c>
      <c r="M1060" s="49"/>
      <c r="N1060" s="49">
        <f ca="1">SUM(O1060:Q1060)</f>
        <v>70944.699180371448</v>
      </c>
      <c r="O1060" s="49">
        <f ca="1">O1058+O1048</f>
        <v>67866.378651438397</v>
      </c>
      <c r="P1060" s="49">
        <f ca="1">P1058+P1048</f>
        <v>3078.3205289330535</v>
      </c>
      <c r="Q1060" s="49">
        <f ca="1">Q1058+Q1048</f>
        <v>0</v>
      </c>
      <c r="T1060" s="47"/>
      <c r="U1060" s="81"/>
      <c r="V1060" s="81"/>
      <c r="W1060" s="81"/>
      <c r="X1060" s="82"/>
    </row>
    <row r="1061" spans="1:25" x14ac:dyDescent="0.2">
      <c r="C1061" s="47"/>
      <c r="T1061" s="75"/>
      <c r="U1061" s="81"/>
      <c r="V1061" s="81"/>
      <c r="W1061" s="81"/>
      <c r="X1061" s="82"/>
    </row>
    <row r="1062" spans="1:25" x14ac:dyDescent="0.2">
      <c r="T1062" s="75"/>
      <c r="U1062" s="81"/>
      <c r="V1062" s="81"/>
      <c r="W1062" s="81"/>
      <c r="X1062" s="82"/>
    </row>
    <row r="1063" spans="1:25" x14ac:dyDescent="0.2">
      <c r="B1063" s="53" t="s">
        <v>201</v>
      </c>
      <c r="T1063" s="75"/>
      <c r="U1063" s="81"/>
      <c r="V1063" s="81"/>
      <c r="W1063" s="81"/>
      <c r="X1063" s="82"/>
    </row>
    <row r="1064" spans="1:25" x14ac:dyDescent="0.2">
      <c r="T1064" s="75"/>
      <c r="U1064" s="81"/>
      <c r="V1064" s="81"/>
      <c r="W1064" s="81"/>
      <c r="X1064" s="82"/>
    </row>
    <row r="1065" spans="1:25" x14ac:dyDescent="0.2">
      <c r="B1065" s="37" t="s">
        <v>259</v>
      </c>
      <c r="T1065" s="75"/>
      <c r="U1065" s="81"/>
      <c r="V1065" s="81"/>
      <c r="W1065" s="81"/>
      <c r="X1065" s="82"/>
    </row>
    <row r="1066" spans="1:25" x14ac:dyDescent="0.2">
      <c r="A1066" s="49">
        <v>1</v>
      </c>
      <c r="B1066" s="37" t="s">
        <v>260</v>
      </c>
      <c r="C1066" s="40" t="s">
        <v>1071</v>
      </c>
      <c r="D1066" s="55">
        <f t="shared" ref="D1066:D1071" ca="1" si="283">SUM(F1066:I1066)+K1066</f>
        <v>4201987.9999999898</v>
      </c>
      <c r="F1066" s="49">
        <f ca="1">INDEX(INDIRECT($C1066),1,F$12+1)*$T1066</f>
        <v>3992022.870045648</v>
      </c>
      <c r="H1066" s="49">
        <f ca="1">INDEX(INDIRECT($C1066),1,H$12+1)*$T1066</f>
        <v>208763.62067979472</v>
      </c>
      <c r="I1066" s="49">
        <f t="shared" ref="I1066:I1071" ca="1" si="284">(L1066+M1066+N1066)</f>
        <v>1201.5092745468774</v>
      </c>
      <c r="L1066" s="49">
        <f ca="1">INDEX(INDIRECT($C1066),1,L$12+1)*$T1066</f>
        <v>27.684545496471824</v>
      </c>
      <c r="M1066" s="49"/>
      <c r="N1066" s="49">
        <f t="shared" ref="N1066:N1071" ca="1" si="285">SUM(O1066:Q1066)</f>
        <v>1173.8247290504055</v>
      </c>
      <c r="O1066" s="49">
        <f t="shared" ref="O1066:Q1070" ca="1" si="286">INDEX(INDIRECT($C1066),1,O$12+1)*$T1066</f>
        <v>470.63727344002098</v>
      </c>
      <c r="P1066" s="49">
        <f t="shared" ca="1" si="286"/>
        <v>703.1874556103844</v>
      </c>
      <c r="Q1066" s="49">
        <f t="shared" ca="1" si="286"/>
        <v>0</v>
      </c>
      <c r="T1066" s="274">
        <v>4201987.9999999898</v>
      </c>
      <c r="U1066" s="81">
        <v>901</v>
      </c>
      <c r="V1066" s="81"/>
      <c r="W1066" s="81">
        <f>SUMIF('O&amp;M'!$B$3:$B$89,TOTALCO!U1066,'O&amp;M'!$F$3:$F$89)+SUMIF('O&amp;M'!$B$3:$B$89,TOTALCO!V1066,'O&amp;M'!$F$3:$F$89)</f>
        <v>4201987.9999999898</v>
      </c>
      <c r="X1066" s="282">
        <f>W1066-T1066</f>
        <v>0</v>
      </c>
      <c r="Y1066" s="39"/>
    </row>
    <row r="1067" spans="1:25" x14ac:dyDescent="0.2">
      <c r="A1067" s="49">
        <v>2</v>
      </c>
      <c r="B1067" s="37" t="s">
        <v>261</v>
      </c>
      <c r="C1067" s="40" t="s">
        <v>648</v>
      </c>
      <c r="D1067" s="55">
        <f t="shared" ca="1" si="283"/>
        <v>9154025</v>
      </c>
      <c r="F1067" s="49">
        <f ca="1">INDEX(INDIRECT($C1067),1,F$12+1)*$T1067</f>
        <v>8696616.2571072802</v>
      </c>
      <c r="H1067" s="49">
        <f ca="1">INDEX(INDIRECT($C1067),1,H$12+1)*$T1067</f>
        <v>454791.25661314657</v>
      </c>
      <c r="I1067" s="49">
        <f t="shared" ca="1" si="284"/>
        <v>2617.4862795738595</v>
      </c>
      <c r="L1067" s="49">
        <f ca="1">INDEX(INDIRECT($C1067),1,L$12+1)*$T1067</f>
        <v>60.310743768982938</v>
      </c>
      <c r="M1067" s="49"/>
      <c r="N1067" s="49">
        <f t="shared" ca="1" si="285"/>
        <v>2557.1755358048767</v>
      </c>
      <c r="O1067" s="49">
        <f t="shared" ca="1" si="286"/>
        <v>1025.2826440727099</v>
      </c>
      <c r="P1067" s="49">
        <f t="shared" ca="1" si="286"/>
        <v>1531.8928917321668</v>
      </c>
      <c r="Q1067" s="49">
        <f t="shared" ca="1" si="286"/>
        <v>0</v>
      </c>
      <c r="T1067" s="274">
        <v>9154025</v>
      </c>
      <c r="U1067" s="81">
        <v>902</v>
      </c>
      <c r="V1067" s="81"/>
      <c r="W1067" s="81">
        <f>SUMIF('O&amp;M'!$B$3:$B$89,TOTALCO!U1067,'O&amp;M'!$F$3:$F$89)+SUMIF('O&amp;M'!$B$3:$B$89,TOTALCO!V1067,'O&amp;M'!$F$3:$F$89)</f>
        <v>9154025</v>
      </c>
      <c r="X1067" s="282">
        <f>W1067-T1067</f>
        <v>0</v>
      </c>
      <c r="Y1067" s="39"/>
    </row>
    <row r="1068" spans="1:25" x14ac:dyDescent="0.2">
      <c r="A1068" s="49">
        <v>3</v>
      </c>
      <c r="B1068" s="37" t="s">
        <v>262</v>
      </c>
      <c r="C1068" s="40" t="s">
        <v>650</v>
      </c>
      <c r="D1068" s="55">
        <f t="shared" ca="1" si="283"/>
        <v>21135404</v>
      </c>
      <c r="F1068" s="49">
        <f ca="1">INDEX(INDIRECT($C1068),1,F$12+1)*$T1068</f>
        <v>20079309.159296617</v>
      </c>
      <c r="H1068" s="49">
        <f ca="1">INDEX(INDIRECT($C1068),1,H$12+1)*$T1068</f>
        <v>1050051.4193686957</v>
      </c>
      <c r="I1068" s="49">
        <f t="shared" ca="1" si="284"/>
        <v>6043.4213346861598</v>
      </c>
      <c r="L1068" s="49">
        <f ca="1">INDEX(INDIRECT($C1068),1,L$12+1)*$T1068</f>
        <v>139.24933950889769</v>
      </c>
      <c r="M1068" s="49"/>
      <c r="N1068" s="49">
        <f t="shared" ca="1" si="285"/>
        <v>5904.171995177262</v>
      </c>
      <c r="O1068" s="49">
        <f t="shared" ca="1" si="286"/>
        <v>2367.2387716512608</v>
      </c>
      <c r="P1068" s="49">
        <f t="shared" ca="1" si="286"/>
        <v>3536.9332235260013</v>
      </c>
      <c r="Q1068" s="49">
        <f t="shared" ca="1" si="286"/>
        <v>0</v>
      </c>
      <c r="T1068" s="274">
        <v>21135404</v>
      </c>
      <c r="U1068" s="81">
        <v>903</v>
      </c>
      <c r="V1068" s="81"/>
      <c r="W1068" s="81">
        <f>SUMIF('O&amp;M'!$B$3:$B$89,TOTALCO!U1068,'O&amp;M'!$F$3:$F$89)+SUMIF('O&amp;M'!$B$3:$B$89,TOTALCO!V1068,'O&amp;M'!$F$3:$F$89)</f>
        <v>21135404</v>
      </c>
      <c r="X1068" s="282">
        <f>W1068-T1068</f>
        <v>0</v>
      </c>
      <c r="Y1068" s="39"/>
    </row>
    <row r="1069" spans="1:25" x14ac:dyDescent="0.2">
      <c r="A1069" s="49">
        <v>4</v>
      </c>
      <c r="B1069" s="37" t="s">
        <v>263</v>
      </c>
      <c r="C1069" s="40" t="s">
        <v>652</v>
      </c>
      <c r="D1069" s="55">
        <f t="shared" ca="1" si="283"/>
        <v>5155113.129999999</v>
      </c>
      <c r="F1069" s="49">
        <f ca="1">INDEX(INDIRECT($C1069),1,F$12+1)*$T1069</f>
        <v>4897522.1996428007</v>
      </c>
      <c r="H1069" s="49">
        <f ca="1">INDEX(INDIRECT($C1069),1,H$12+1)*$T1069</f>
        <v>256116.88611027732</v>
      </c>
      <c r="I1069" s="49">
        <f t="shared" ca="1" si="284"/>
        <v>1474.0442469215513</v>
      </c>
      <c r="L1069" s="49">
        <f ca="1">INDEX(INDIRECT($C1069),1,L$12+1)*$T1069</f>
        <v>33.964153154874452</v>
      </c>
      <c r="M1069" s="49"/>
      <c r="N1069" s="49">
        <f t="shared" ca="1" si="285"/>
        <v>1440.080093766677</v>
      </c>
      <c r="O1069" s="49">
        <f t="shared" ca="1" si="286"/>
        <v>577.3906036328658</v>
      </c>
      <c r="P1069" s="49">
        <f t="shared" ca="1" si="286"/>
        <v>862.6894901338112</v>
      </c>
      <c r="Q1069" s="49">
        <f t="shared" ca="1" si="286"/>
        <v>0</v>
      </c>
      <c r="T1069" s="274">
        <v>5155113.13</v>
      </c>
      <c r="U1069" s="81">
        <v>904</v>
      </c>
      <c r="V1069" s="81"/>
      <c r="W1069" s="81">
        <f>SUMIF('O&amp;M'!$B$3:$B$89,TOTALCO!U1069,'O&amp;M'!$F$3:$F$89)+SUMIF('O&amp;M'!$B$3:$B$89,TOTALCO!V1069,'O&amp;M'!$F$3:$F$89)</f>
        <v>5155113.13</v>
      </c>
      <c r="X1069" s="282">
        <f>W1069-T1069</f>
        <v>0</v>
      </c>
      <c r="Y1069" s="39"/>
    </row>
    <row r="1070" spans="1:25" x14ac:dyDescent="0.2">
      <c r="A1070" s="49">
        <v>5</v>
      </c>
      <c r="B1070" s="37" t="s">
        <v>264</v>
      </c>
      <c r="C1070" s="45" t="s">
        <v>1222</v>
      </c>
      <c r="D1070" s="55">
        <f t="shared" ca="1" si="283"/>
        <v>0</v>
      </c>
      <c r="F1070" s="49">
        <f ca="1">INDEX(INDIRECT($C1070),1,F$12+1)*$T1070</f>
        <v>0</v>
      </c>
      <c r="H1070" s="49">
        <f ca="1">INDEX(INDIRECT($C1070),1,H$12+1)*$T1070</f>
        <v>0</v>
      </c>
      <c r="I1070" s="49">
        <f t="shared" ca="1" si="284"/>
        <v>0</v>
      </c>
      <c r="L1070" s="49">
        <f ca="1">INDEX(INDIRECT($C1070),1,L$12+1)*$T1070</f>
        <v>0</v>
      </c>
      <c r="M1070" s="49"/>
      <c r="N1070" s="49">
        <f t="shared" ca="1" si="285"/>
        <v>0</v>
      </c>
      <c r="O1070" s="49">
        <f t="shared" ca="1" si="286"/>
        <v>0</v>
      </c>
      <c r="P1070" s="49">
        <f t="shared" ca="1" si="286"/>
        <v>0</v>
      </c>
      <c r="Q1070" s="49">
        <f t="shared" ca="1" si="286"/>
        <v>0</v>
      </c>
      <c r="T1070" s="274">
        <v>0</v>
      </c>
      <c r="U1070" s="81">
        <v>905</v>
      </c>
      <c r="V1070" s="81"/>
      <c r="W1070" s="81">
        <f>SUMIF('O&amp;M'!$B$3:$B$89,TOTALCO!U1070,'O&amp;M'!$F$3:$F$89)+SUMIF('O&amp;M'!$B$3:$B$89,TOTALCO!V1070,'O&amp;M'!$F$3:$F$89)</f>
        <v>0</v>
      </c>
      <c r="X1070" s="282">
        <f>W1070-T1070</f>
        <v>0</v>
      </c>
      <c r="Y1070" s="39"/>
    </row>
    <row r="1071" spans="1:25" x14ac:dyDescent="0.2">
      <c r="A1071" s="49">
        <v>6</v>
      </c>
      <c r="B1071" s="37" t="s">
        <v>265</v>
      </c>
      <c r="D1071" s="55">
        <f t="shared" ca="1" si="283"/>
        <v>39646530.129999988</v>
      </c>
      <c r="F1071" s="49">
        <f ca="1">SUM(F1066:F1070)</f>
        <v>37665470.486092344</v>
      </c>
      <c r="H1071" s="49">
        <f ca="1">SUM(H1066:H1070)</f>
        <v>1969723.1827719144</v>
      </c>
      <c r="I1071" s="49">
        <f t="shared" ca="1" si="284"/>
        <v>11336.461135728447</v>
      </c>
      <c r="L1071" s="49">
        <f ca="1">SUM(L1066:L1070)</f>
        <v>261.20878192922692</v>
      </c>
      <c r="M1071" s="49"/>
      <c r="N1071" s="49">
        <f t="shared" ca="1" si="285"/>
        <v>11075.25235379922</v>
      </c>
      <c r="O1071" s="49">
        <f ca="1">SUM(O1066:O1070)</f>
        <v>4440.5492927968571</v>
      </c>
      <c r="P1071" s="49">
        <f ca="1">SUM(P1066:P1070)</f>
        <v>6634.703061002363</v>
      </c>
      <c r="Q1071" s="49">
        <f ca="1">SUM(Q1066:Q1070)</f>
        <v>0</v>
      </c>
      <c r="T1071" s="47"/>
      <c r="U1071" s="81"/>
      <c r="V1071" s="81"/>
      <c r="W1071" s="81"/>
      <c r="X1071" s="282"/>
    </row>
    <row r="1072" spans="1:25" x14ac:dyDescent="0.2">
      <c r="T1072" s="75"/>
      <c r="U1072" s="81"/>
      <c r="V1072" s="81"/>
      <c r="W1072" s="81"/>
      <c r="X1072" s="282"/>
    </row>
    <row r="1073" spans="1:25" x14ac:dyDescent="0.2">
      <c r="B1073" s="37" t="s">
        <v>266</v>
      </c>
      <c r="T1073" s="75"/>
      <c r="U1073" s="81"/>
      <c r="V1073" s="81"/>
      <c r="W1073" s="81"/>
      <c r="X1073" s="282"/>
    </row>
    <row r="1074" spans="1:25" x14ac:dyDescent="0.2">
      <c r="A1074" s="49">
        <v>7</v>
      </c>
      <c r="B1074" s="37" t="s">
        <v>267</v>
      </c>
      <c r="C1074" s="40" t="s">
        <v>1077</v>
      </c>
      <c r="D1074" s="55">
        <f ca="1">SUM(F1074:I1074)+K1074</f>
        <v>656372.99999999988</v>
      </c>
      <c r="F1074" s="49">
        <f ca="1">INDEX(INDIRECT($C1074),1,F$12+1)*$T1074</f>
        <v>648022.61544354004</v>
      </c>
      <c r="H1074" s="49">
        <f ca="1">INDEX(INDIRECT($C1074),1,H$12+1)*$T1074</f>
        <v>8349.4938804423928</v>
      </c>
      <c r="I1074" s="49">
        <f ca="1">(L1074+M1074+N1074)</f>
        <v>0.89067601754176917</v>
      </c>
      <c r="L1074" s="49">
        <f ca="1">INDEX(INDIRECT($C1074),1,L$12+1)*$T1074</f>
        <v>0.89067601754176917</v>
      </c>
      <c r="M1074" s="49"/>
      <c r="N1074" s="49">
        <f ca="1">SUM(O1074:Q1074)</f>
        <v>0</v>
      </c>
      <c r="O1074" s="49">
        <f t="shared" ref="O1074:Q1077" ca="1" si="287">INDEX(INDIRECT($C1074),1,O$12+1)*$T1074</f>
        <v>0</v>
      </c>
      <c r="P1074" s="49">
        <f t="shared" ca="1" si="287"/>
        <v>0</v>
      </c>
      <c r="Q1074" s="49">
        <f t="shared" ca="1" si="287"/>
        <v>0</v>
      </c>
      <c r="T1074" s="274">
        <v>656373</v>
      </c>
      <c r="U1074" s="81">
        <v>907</v>
      </c>
      <c r="V1074" s="81"/>
      <c r="W1074" s="81">
        <f>SUMIF('O&amp;M'!$B$3:$B$89,TOTALCO!U1074,'O&amp;M'!$F$3:$F$89)+SUMIF('O&amp;M'!$B$3:$B$89,TOTALCO!V1074,'O&amp;M'!$F$3:$F$89)</f>
        <v>656373</v>
      </c>
      <c r="X1074" s="282">
        <f ca="1">D1074-T1074</f>
        <v>0</v>
      </c>
      <c r="Y1074" s="39"/>
    </row>
    <row r="1075" spans="1:25" x14ac:dyDescent="0.2">
      <c r="A1075" s="49">
        <v>8</v>
      </c>
      <c r="B1075" s="37" t="s">
        <v>268</v>
      </c>
      <c r="C1075" s="40" t="s">
        <v>662</v>
      </c>
      <c r="D1075" s="55">
        <f ca="1">SUM(F1075:I1075)+K1075</f>
        <v>8346211.9999999991</v>
      </c>
      <c r="F1075" s="49">
        <f ca="1">INDEX(INDIRECT($C1075),1,F$12+1)*$T1075</f>
        <v>8346211.9999999991</v>
      </c>
      <c r="H1075" s="49">
        <f ca="1">INDEX(INDIRECT($C1075),1,H$12+1)*$T1075</f>
        <v>0</v>
      </c>
      <c r="I1075" s="49">
        <f ca="1">(L1075+M1075+N1075)</f>
        <v>0</v>
      </c>
      <c r="L1075" s="49">
        <f ca="1">INDEX(INDIRECT($C1075),1,L$12+1)*$T1075</f>
        <v>0</v>
      </c>
      <c r="M1075" s="49"/>
      <c r="N1075" s="49">
        <f ca="1">SUM(O1075:Q1075)</f>
        <v>0</v>
      </c>
      <c r="O1075" s="49">
        <f t="shared" ca="1" si="287"/>
        <v>0</v>
      </c>
      <c r="P1075" s="49">
        <f t="shared" ca="1" si="287"/>
        <v>0</v>
      </c>
      <c r="Q1075" s="49">
        <f t="shared" ca="1" si="287"/>
        <v>0</v>
      </c>
      <c r="T1075" s="274">
        <v>8346211.9999999991</v>
      </c>
      <c r="U1075" s="81">
        <v>908</v>
      </c>
      <c r="V1075" s="81"/>
      <c r="W1075" s="81">
        <f>SUMIF('O&amp;M'!$B$3:$B$89,TOTALCO!U1075,'O&amp;M'!$F$3:$F$89)+SUMIF('O&amp;M'!$B$3:$B$89,TOTALCO!V1075,'O&amp;M'!$F$3:$F$89)</f>
        <v>8346211.9999999991</v>
      </c>
      <c r="X1075" s="282">
        <f ca="1">D1075-T1075</f>
        <v>0</v>
      </c>
      <c r="Y1075" s="39"/>
    </row>
    <row r="1076" spans="1:25" x14ac:dyDescent="0.2">
      <c r="A1076" s="49">
        <v>9</v>
      </c>
      <c r="B1076" s="37" t="s">
        <v>269</v>
      </c>
      <c r="C1076" s="40" t="s">
        <v>664</v>
      </c>
      <c r="D1076" s="55">
        <f ca="1">SUM(F1076:I1076)+K1076</f>
        <v>1859152</v>
      </c>
      <c r="F1076" s="49">
        <f ca="1">INDEX(INDIRECT($C1076),1,F$12+1)*$T1076</f>
        <v>1764188.3321898093</v>
      </c>
      <c r="H1076" s="49">
        <f ca="1">INDEX(INDIRECT($C1076),1,H$12+1)*$T1076</f>
        <v>94953.538712436683</v>
      </c>
      <c r="I1076" s="49">
        <f ca="1">(L1076+M1076+N1076)</f>
        <v>10.129097754055758</v>
      </c>
      <c r="L1076" s="49">
        <f ca="1">INDEX(INDIRECT($C1076),1,L$12+1)*$T1076</f>
        <v>10.129097754055758</v>
      </c>
      <c r="M1076" s="49"/>
      <c r="N1076" s="49">
        <f ca="1">SUM(O1076:Q1076)</f>
        <v>0</v>
      </c>
      <c r="O1076" s="49">
        <f t="shared" ca="1" si="287"/>
        <v>0</v>
      </c>
      <c r="P1076" s="49">
        <f t="shared" ca="1" si="287"/>
        <v>0</v>
      </c>
      <c r="Q1076" s="49">
        <f t="shared" ca="1" si="287"/>
        <v>0</v>
      </c>
      <c r="T1076" s="274">
        <v>1859152</v>
      </c>
      <c r="U1076" s="81">
        <v>909</v>
      </c>
      <c r="V1076" s="81"/>
      <c r="W1076" s="81">
        <f>SUMIF('O&amp;M'!$B$3:$B$89,TOTALCO!U1076,'O&amp;M'!$F$3:$F$89)+SUMIF('O&amp;M'!$B$3:$B$89,TOTALCO!V1076,'O&amp;M'!$F$3:$F$89)</f>
        <v>1859152</v>
      </c>
      <c r="X1076" s="282">
        <f ca="1">D1076-T1076</f>
        <v>0</v>
      </c>
      <c r="Y1076" s="39"/>
    </row>
    <row r="1077" spans="1:25" x14ac:dyDescent="0.2">
      <c r="A1077" s="49">
        <v>10</v>
      </c>
      <c r="B1077" s="37" t="s">
        <v>270</v>
      </c>
      <c r="C1077" s="45" t="s">
        <v>1223</v>
      </c>
      <c r="D1077" s="55">
        <f ca="1">SUM(F1077:I1077)+K1077</f>
        <v>1520197.99999999</v>
      </c>
      <c r="F1077" s="49">
        <f ca="1">INDEX(INDIRECT($C1077),1,F$12+1)*$T1077</f>
        <v>1506052.1471055988</v>
      </c>
      <c r="H1077" s="49">
        <f ca="1">INDEX(INDIRECT($C1077),1,H$12+1)*$T1077</f>
        <v>14144.344057063316</v>
      </c>
      <c r="I1077" s="49">
        <f ca="1">(L1077+M1077+N1077)</f>
        <v>1.50883732785229</v>
      </c>
      <c r="L1077" s="49">
        <f ca="1">INDEX(INDIRECT($C1077),1,L$12+1)*$T1077</f>
        <v>1.50883732785229</v>
      </c>
      <c r="M1077" s="49"/>
      <c r="N1077" s="49">
        <f ca="1">SUM(O1077:Q1077)</f>
        <v>0</v>
      </c>
      <c r="O1077" s="49">
        <f t="shared" ca="1" si="287"/>
        <v>0</v>
      </c>
      <c r="P1077" s="49">
        <f t="shared" ca="1" si="287"/>
        <v>0</v>
      </c>
      <c r="Q1077" s="49">
        <f t="shared" ca="1" si="287"/>
        <v>0</v>
      </c>
      <c r="T1077" s="274">
        <v>1520197.99999999</v>
      </c>
      <c r="U1077" s="81">
        <v>910</v>
      </c>
      <c r="V1077" s="81"/>
      <c r="W1077" s="81">
        <f>SUMIF('O&amp;M'!$B$3:$B$89,TOTALCO!U1077,'O&amp;M'!$F$3:$F$89)+SUMIF('O&amp;M'!$B$3:$B$89,TOTALCO!V1077,'O&amp;M'!$F$3:$F$89)</f>
        <v>1520197.99999999</v>
      </c>
      <c r="X1077" s="282">
        <f ca="1">D1077-T1077</f>
        <v>0</v>
      </c>
      <c r="Y1077" s="39"/>
    </row>
    <row r="1078" spans="1:25" x14ac:dyDescent="0.2">
      <c r="A1078" s="49">
        <v>11</v>
      </c>
      <c r="B1078" s="37" t="s">
        <v>271</v>
      </c>
      <c r="D1078" s="55">
        <f ca="1">SUM(F1078:I1078)+K1078</f>
        <v>12381934.999999989</v>
      </c>
      <c r="F1078" s="49">
        <f ca="1">SUM(F1074:F1077)</f>
        <v>12264475.094738947</v>
      </c>
      <c r="H1078" s="49">
        <f ca="1">SUM(H1074:H1077)</f>
        <v>117447.37664994238</v>
      </c>
      <c r="I1078" s="49">
        <f ca="1">(L1078+M1078+N1078)</f>
        <v>12.528611099449819</v>
      </c>
      <c r="L1078" s="49">
        <f ca="1">SUM(L1074:L1077)</f>
        <v>12.528611099449819</v>
      </c>
      <c r="M1078" s="49"/>
      <c r="N1078" s="49">
        <f ca="1">SUM(O1078:Q1078)</f>
        <v>0</v>
      </c>
      <c r="O1078" s="49">
        <f ca="1">SUM(O1074:O1077)</f>
        <v>0</v>
      </c>
      <c r="P1078" s="49">
        <f ca="1">SUM(P1074:P1077)</f>
        <v>0</v>
      </c>
      <c r="Q1078" s="49">
        <f ca="1">SUM(Q1074:Q1077)</f>
        <v>0</v>
      </c>
      <c r="T1078" s="47"/>
      <c r="U1078" s="81"/>
      <c r="V1078" s="81"/>
      <c r="W1078" s="81"/>
      <c r="X1078" s="282"/>
    </row>
    <row r="1079" spans="1:25" x14ac:dyDescent="0.2">
      <c r="T1079" s="75"/>
      <c r="U1079" s="81"/>
      <c r="V1079" s="81"/>
      <c r="W1079" s="81"/>
      <c r="X1079" s="282"/>
    </row>
    <row r="1080" spans="1:25" x14ac:dyDescent="0.2">
      <c r="B1080" s="37" t="s">
        <v>272</v>
      </c>
      <c r="T1080" s="75"/>
      <c r="U1080" s="81"/>
      <c r="V1080" s="81"/>
      <c r="W1080" s="81"/>
      <c r="X1080" s="282"/>
    </row>
    <row r="1081" spans="1:25" x14ac:dyDescent="0.2">
      <c r="A1081" s="49">
        <v>12</v>
      </c>
      <c r="B1081" s="37" t="s">
        <v>273</v>
      </c>
      <c r="C1081" s="40" t="s">
        <v>1077</v>
      </c>
      <c r="D1081" s="55">
        <f ca="1">SUM(F1081:I1081)+K1081</f>
        <v>0</v>
      </c>
      <c r="F1081" s="49">
        <f ca="1">INDEX(INDIRECT($C1081),1,F$12+1)*$T1081</f>
        <v>0</v>
      </c>
      <c r="H1081" s="49">
        <f ca="1">INDEX(INDIRECT($C1081),1,H$12+1)*$T1081</f>
        <v>0</v>
      </c>
      <c r="I1081" s="49">
        <f ca="1">(L1081+M1081+N1081)</f>
        <v>0</v>
      </c>
      <c r="L1081" s="49">
        <f ca="1">INDEX(INDIRECT($C1081),1,L$12+1)*$T1081</f>
        <v>0</v>
      </c>
      <c r="M1081" s="49"/>
      <c r="N1081" s="49">
        <f ca="1">SUM(O1081:Q1081)</f>
        <v>0</v>
      </c>
      <c r="O1081" s="49">
        <f t="shared" ref="O1081:Q1084" ca="1" si="288">INDEX(INDIRECT($C1081),1,O$12+1)*$T1081</f>
        <v>0</v>
      </c>
      <c r="P1081" s="49">
        <f t="shared" ca="1" si="288"/>
        <v>0</v>
      </c>
      <c r="Q1081" s="49">
        <f t="shared" ca="1" si="288"/>
        <v>0</v>
      </c>
      <c r="T1081" s="274">
        <v>0</v>
      </c>
      <c r="U1081" s="81">
        <v>911</v>
      </c>
      <c r="V1081" s="81"/>
      <c r="W1081" s="81">
        <f>SUMIF('O&amp;M'!$B$3:$B$89,TOTALCO!U1081,'O&amp;M'!$F$3:$F$89)+SUMIF('O&amp;M'!$B$3:$B$89,TOTALCO!V1081,'O&amp;M'!$F$3:$F$89)</f>
        <v>0</v>
      </c>
      <c r="X1081" s="282">
        <f ca="1">D1081-T1081</f>
        <v>0</v>
      </c>
      <c r="Y1081" s="39"/>
    </row>
    <row r="1082" spans="1:25" x14ac:dyDescent="0.2">
      <c r="A1082" s="49">
        <v>13</v>
      </c>
      <c r="B1082" s="37" t="s">
        <v>274</v>
      </c>
      <c r="C1082" s="40" t="s">
        <v>666</v>
      </c>
      <c r="D1082" s="55">
        <f ca="1">SUM(F1082:I1082)+K1082</f>
        <v>0</v>
      </c>
      <c r="F1082" s="49">
        <f ca="1">INDEX(INDIRECT($C1082),1,F$12+1)*$T1082</f>
        <v>0</v>
      </c>
      <c r="H1082" s="49">
        <f ca="1">INDEX(INDIRECT($C1082),1,H$12+1)*$T1082</f>
        <v>0</v>
      </c>
      <c r="I1082" s="49">
        <f ca="1">(L1082+M1082+N1082)</f>
        <v>0</v>
      </c>
      <c r="L1082" s="49">
        <f ca="1">INDEX(INDIRECT($C1082),1,L$12+1)*$T1082</f>
        <v>0</v>
      </c>
      <c r="M1082" s="49"/>
      <c r="N1082" s="49">
        <f ca="1">SUM(O1082:Q1082)</f>
        <v>0</v>
      </c>
      <c r="O1082" s="49">
        <f t="shared" ca="1" si="288"/>
        <v>0</v>
      </c>
      <c r="P1082" s="49">
        <f t="shared" ca="1" si="288"/>
        <v>0</v>
      </c>
      <c r="Q1082" s="49">
        <f t="shared" ca="1" si="288"/>
        <v>0</v>
      </c>
      <c r="T1082" s="274">
        <v>0</v>
      </c>
      <c r="U1082" s="81">
        <v>912</v>
      </c>
      <c r="V1082" s="81"/>
      <c r="W1082" s="81">
        <f>SUMIF('O&amp;M'!$B$3:$B$89,TOTALCO!U1082,'O&amp;M'!$F$3:$F$89)+SUMIF('O&amp;M'!$B$3:$B$89,TOTALCO!V1082,'O&amp;M'!$F$3:$F$89)</f>
        <v>0</v>
      </c>
      <c r="X1082" s="282">
        <f ca="1">D1082-T1082</f>
        <v>0</v>
      </c>
      <c r="Y1082" s="39"/>
    </row>
    <row r="1083" spans="1:25" x14ac:dyDescent="0.2">
      <c r="A1083" s="49">
        <v>14</v>
      </c>
      <c r="B1083" s="37" t="s">
        <v>275</v>
      </c>
      <c r="C1083" s="40" t="s">
        <v>668</v>
      </c>
      <c r="D1083" s="55">
        <f ca="1">SUM(F1083:I1083)+K1083</f>
        <v>1044482.0000000001</v>
      </c>
      <c r="F1083" s="49">
        <f ca="1">INDEX(INDIRECT($C1083),1,F$12+1)*$T1083</f>
        <v>991130.87987548974</v>
      </c>
      <c r="H1083" s="49">
        <f ca="1">INDEX(INDIRECT($C1083),1,H$12+1)*$T1083</f>
        <v>53345.429540695593</v>
      </c>
      <c r="I1083" s="49">
        <f ca="1">(L1083+M1083+N1083)</f>
        <v>5.6905838147454677</v>
      </c>
      <c r="L1083" s="49">
        <f ca="1">INDEX(INDIRECT($C1083),1,L$12+1)*$T1083</f>
        <v>5.6905838147454677</v>
      </c>
      <c r="M1083" s="49"/>
      <c r="N1083" s="49">
        <f ca="1">SUM(O1083:Q1083)</f>
        <v>0</v>
      </c>
      <c r="O1083" s="49">
        <f t="shared" ca="1" si="288"/>
        <v>0</v>
      </c>
      <c r="P1083" s="49">
        <f t="shared" ca="1" si="288"/>
        <v>0</v>
      </c>
      <c r="Q1083" s="49">
        <f t="shared" ca="1" si="288"/>
        <v>0</v>
      </c>
      <c r="T1083" s="274">
        <v>1044482</v>
      </c>
      <c r="U1083" s="81">
        <v>913</v>
      </c>
      <c r="V1083" s="81"/>
      <c r="W1083" s="81">
        <f>SUMIF('O&amp;M'!$B$3:$B$89,TOTALCO!U1083,'O&amp;M'!$F$3:$F$89)+SUMIF('O&amp;M'!$B$3:$B$89,TOTALCO!V1083,'O&amp;M'!$F$3:$F$89)</f>
        <v>1044482</v>
      </c>
      <c r="X1083" s="282">
        <f ca="1">D1083-T1083</f>
        <v>0</v>
      </c>
      <c r="Y1083" s="39"/>
    </row>
    <row r="1084" spans="1:25" x14ac:dyDescent="0.2">
      <c r="A1084" s="49">
        <v>15</v>
      </c>
      <c r="B1084" s="37" t="s">
        <v>276</v>
      </c>
      <c r="C1084" s="45" t="s">
        <v>1224</v>
      </c>
      <c r="D1084" s="55">
        <f ca="1">SUM(F1084:I1084)+K1084</f>
        <v>0</v>
      </c>
      <c r="F1084" s="49">
        <f ca="1">INDEX(INDIRECT($C1084),1,F$12+1)*$T1084</f>
        <v>0</v>
      </c>
      <c r="H1084" s="49">
        <f ca="1">INDEX(INDIRECT($C1084),1,H$12+1)*$T1084</f>
        <v>0</v>
      </c>
      <c r="I1084" s="49">
        <f ca="1">(L1084+M1084+N1084)</f>
        <v>0</v>
      </c>
      <c r="L1084" s="49">
        <f ca="1">INDEX(INDIRECT($C1084),1,L$12+1)*$T1084</f>
        <v>0</v>
      </c>
      <c r="M1084" s="49"/>
      <c r="N1084" s="49">
        <f ca="1">SUM(O1084:Q1084)</f>
        <v>0</v>
      </c>
      <c r="O1084" s="49">
        <f t="shared" ca="1" si="288"/>
        <v>0</v>
      </c>
      <c r="P1084" s="49">
        <f t="shared" ca="1" si="288"/>
        <v>0</v>
      </c>
      <c r="Q1084" s="49">
        <f t="shared" ca="1" si="288"/>
        <v>0</v>
      </c>
      <c r="T1084" s="274">
        <v>0</v>
      </c>
      <c r="U1084" s="81">
        <v>916</v>
      </c>
      <c r="V1084" s="81"/>
      <c r="W1084" s="81">
        <f>SUMIF('O&amp;M'!$B$3:$B$89,TOTALCO!U1084,'O&amp;M'!$F$3:$F$89)+SUMIF('O&amp;M'!$B$3:$B$89,TOTALCO!V1084,'O&amp;M'!$F$3:$F$89)</f>
        <v>0</v>
      </c>
      <c r="X1084" s="282">
        <f ca="1">D1084-T1084</f>
        <v>0</v>
      </c>
      <c r="Y1084" s="39"/>
    </row>
    <row r="1085" spans="1:25" x14ac:dyDescent="0.2">
      <c r="A1085" s="49">
        <v>16</v>
      </c>
      <c r="B1085" s="37" t="s">
        <v>277</v>
      </c>
      <c r="D1085" s="55">
        <f ca="1">SUM(F1085:I1085)+K1085</f>
        <v>1044482.0000000001</v>
      </c>
      <c r="F1085" s="49">
        <f ca="1">SUM(F1081:F1084)</f>
        <v>991130.87987548974</v>
      </c>
      <c r="H1085" s="49">
        <f ca="1">SUM(H1081:H1084)</f>
        <v>53345.429540695593</v>
      </c>
      <c r="I1085" s="49">
        <f ca="1">(L1085+M1085+N1085)</f>
        <v>5.6905838147454677</v>
      </c>
      <c r="L1085" s="49">
        <f ca="1">SUM(L1081:L1084)</f>
        <v>5.6905838147454677</v>
      </c>
      <c r="M1085" s="49"/>
      <c r="N1085" s="49">
        <f ca="1">SUM(O1085:Q1085)</f>
        <v>0</v>
      </c>
      <c r="O1085" s="49">
        <f ca="1">SUM(O1081:O1084)</f>
        <v>0</v>
      </c>
      <c r="P1085" s="49">
        <f ca="1">SUM(P1081:P1084)</f>
        <v>0</v>
      </c>
      <c r="Q1085" s="49">
        <f ca="1">SUM(Q1081:Q1084)</f>
        <v>0</v>
      </c>
      <c r="T1085" s="47"/>
      <c r="U1085" s="81"/>
      <c r="V1085" s="81"/>
      <c r="W1085" s="81"/>
      <c r="X1085" s="282"/>
    </row>
    <row r="1086" spans="1:25" x14ac:dyDescent="0.2">
      <c r="C1086" s="47"/>
      <c r="T1086" s="75"/>
      <c r="U1086" s="81"/>
      <c r="V1086" s="81"/>
      <c r="W1086" s="81"/>
      <c r="X1086" s="282"/>
    </row>
    <row r="1087" spans="1:25" x14ac:dyDescent="0.2">
      <c r="B1087" s="37" t="s">
        <v>278</v>
      </c>
      <c r="C1087" s="47"/>
      <c r="T1087" s="75"/>
      <c r="U1087" s="81"/>
      <c r="V1087" s="81"/>
      <c r="W1087" s="81"/>
      <c r="X1087" s="282"/>
    </row>
    <row r="1088" spans="1:25" x14ac:dyDescent="0.2">
      <c r="C1088" s="47"/>
      <c r="T1088" s="75"/>
      <c r="U1088" s="81"/>
      <c r="V1088" s="81"/>
      <c r="W1088" s="81"/>
      <c r="X1088" s="282"/>
    </row>
    <row r="1089" spans="1:32" x14ac:dyDescent="0.2">
      <c r="B1089" s="37" t="s">
        <v>279</v>
      </c>
      <c r="C1089" s="47"/>
      <c r="T1089" s="75"/>
      <c r="U1089" s="81"/>
      <c r="V1089" s="81"/>
      <c r="W1089" s="81"/>
      <c r="X1089" s="282"/>
    </row>
    <row r="1090" spans="1:32" x14ac:dyDescent="0.2">
      <c r="A1090" s="49">
        <v>17</v>
      </c>
      <c r="B1090" s="37" t="s">
        <v>280</v>
      </c>
      <c r="C1090" s="40" t="s">
        <v>991</v>
      </c>
      <c r="D1090" s="55">
        <f ca="1">SUM(F1090:I1090)+K1090</f>
        <v>6197669.9999999991</v>
      </c>
      <c r="F1090" s="49">
        <f ca="1">INDEX(INDIRECT($C1090),1,F$12+1)*$T1090</f>
        <v>5794662.0943426983</v>
      </c>
      <c r="H1090" s="49">
        <f ca="1">INDEX(INDIRECT($C1090),1,H$12+1)*$T1090</f>
        <v>312832.84873409127</v>
      </c>
      <c r="I1090" s="49">
        <f ca="1">(L1090+M1090+N1090)</f>
        <v>90175.056923210082</v>
      </c>
      <c r="L1090" s="49">
        <f ca="1">INDEX(INDIRECT($C1090),1,L$12+1)*$T1090</f>
        <v>425.92249209822216</v>
      </c>
      <c r="M1090" s="49"/>
      <c r="N1090" s="49">
        <f ca="1">SUM(O1090:Q1090)</f>
        <v>89749.134431111859</v>
      </c>
      <c r="O1090" s="49">
        <f ca="1">INDEX(INDIRECT($C1090),1,O$12+1)*$T1090</f>
        <v>46647.821212931638</v>
      </c>
      <c r="P1090" s="49">
        <f ca="1">INDEX(INDIRECT($C1090),1,P$12+1)*$T1090</f>
        <v>43101.313218180228</v>
      </c>
      <c r="Q1090" s="49">
        <f ca="1">INDEX(INDIRECT($C1090),1,Q$12+1)*$T1090</f>
        <v>9.2448120964526314E-15</v>
      </c>
      <c r="T1090" s="274">
        <v>6197670</v>
      </c>
      <c r="U1090" s="81">
        <v>924</v>
      </c>
      <c r="V1090" s="81"/>
      <c r="W1090" s="81">
        <f>SUMIF('O&amp;M'!$B$3:$B$89,TOTALCO!U1090,'O&amp;M'!$F$3:$F$89)+SUMIF('O&amp;M'!$B$3:$B$89,TOTALCO!V1090,'O&amp;M'!$F$3:$F$89)</f>
        <v>6197670</v>
      </c>
      <c r="X1090" s="282">
        <f ca="1">D1090-T1090</f>
        <v>0</v>
      </c>
      <c r="Y1090" s="39"/>
    </row>
    <row r="1091" spans="1:32" x14ac:dyDescent="0.2">
      <c r="A1091" s="49">
        <v>18</v>
      </c>
      <c r="B1091" s="37" t="s">
        <v>281</v>
      </c>
      <c r="C1091" s="47"/>
      <c r="D1091" s="55">
        <f ca="1">SUM(F1091:I1091)+K1091</f>
        <v>6197669.9999999991</v>
      </c>
      <c r="F1091" s="49">
        <f ca="1">F1090</f>
        <v>5794662.0943426983</v>
      </c>
      <c r="H1091" s="49">
        <f ca="1">H1090</f>
        <v>312832.84873409127</v>
      </c>
      <c r="I1091" s="49">
        <f ca="1">(L1091+M1091+N1091)</f>
        <v>90175.056923210082</v>
      </c>
      <c r="L1091" s="49">
        <f ca="1">L1090</f>
        <v>425.92249209822216</v>
      </c>
      <c r="M1091" s="49"/>
      <c r="N1091" s="49">
        <f ca="1">SUM(O1091:Q1091)</f>
        <v>89749.134431111859</v>
      </c>
      <c r="O1091" s="49">
        <f ca="1">O1090</f>
        <v>46647.821212931638</v>
      </c>
      <c r="P1091" s="49">
        <f ca="1">P1090</f>
        <v>43101.313218180228</v>
      </c>
      <c r="Q1091" s="49">
        <f ca="1">Q1090</f>
        <v>9.2448120964526314E-15</v>
      </c>
      <c r="T1091" s="47"/>
      <c r="U1091" s="81"/>
      <c r="V1091" s="81"/>
      <c r="W1091" s="81"/>
      <c r="X1091" s="282"/>
    </row>
    <row r="1092" spans="1:32" x14ac:dyDescent="0.2">
      <c r="C1092" s="47"/>
      <c r="T1092" s="75"/>
      <c r="U1092" s="81"/>
      <c r="V1092" s="81"/>
      <c r="W1092" s="81"/>
      <c r="X1092" s="282"/>
    </row>
    <row r="1093" spans="1:32" x14ac:dyDescent="0.2">
      <c r="B1093" s="37" t="s">
        <v>282</v>
      </c>
      <c r="C1093" s="47"/>
      <c r="T1093" s="75"/>
      <c r="U1093" s="81"/>
      <c r="V1093" s="81"/>
      <c r="W1093" s="81"/>
      <c r="X1093" s="282"/>
    </row>
    <row r="1094" spans="1:32" x14ac:dyDescent="0.2">
      <c r="A1094" s="49">
        <v>19</v>
      </c>
      <c r="B1094" s="37" t="s">
        <v>283</v>
      </c>
      <c r="C1094" s="40" t="s">
        <v>677</v>
      </c>
      <c r="D1094" s="55">
        <f t="shared" ref="D1094:D1108" ca="1" si="289">SUM(F1094:I1094)+K1094</f>
        <v>37810561</v>
      </c>
      <c r="F1094" s="49">
        <f t="shared" ref="F1094:F1099" ca="1" si="290">INDEX(INDIRECT($C1094),1,F$12+1)*$T1094</f>
        <v>35567474.142870426</v>
      </c>
      <c r="H1094" s="49">
        <f t="shared" ref="H1094:H1107" ca="1" si="291">INDEX(INDIRECT($C1094),1,H$12+1)*$T1094</f>
        <v>1790246.7089033977</v>
      </c>
      <c r="I1094" s="49">
        <f t="shared" ref="I1094:I1108" ca="1" si="292">(L1094+M1094+N1094)</f>
        <v>452840.14822617621</v>
      </c>
      <c r="L1094" s="49">
        <f t="shared" ref="L1094:L1107" ca="1" si="293">INDEX(INDIRECT($C1094),1,L$12+1)*$T1094</f>
        <v>2547.7456213728874</v>
      </c>
      <c r="M1094" s="49"/>
      <c r="N1094" s="49">
        <f t="shared" ref="N1094:N1108" ca="1" si="294">SUM(O1094:Q1094)</f>
        <v>450292.40260480333</v>
      </c>
      <c r="O1094" s="49">
        <f t="shared" ref="O1094:Q1107" ca="1" si="295">INDEX(INDIRECT($C1094),1,O$12+1)*$T1094</f>
        <v>234728.29387499052</v>
      </c>
      <c r="P1094" s="49">
        <f t="shared" ca="1" si="295"/>
        <v>215564.10872981284</v>
      </c>
      <c r="Q1094" s="49">
        <f t="shared" ca="1" si="295"/>
        <v>2.0153610459240653E-12</v>
      </c>
      <c r="T1094" s="274">
        <v>37810561</v>
      </c>
      <c r="U1094" s="81">
        <v>920</v>
      </c>
      <c r="V1094" s="81"/>
      <c r="W1094" s="81">
        <f>SUMIF('O&amp;M'!$B$3:$B$89,TOTALCO!U1094,'O&amp;M'!$F$3:$F$89)+SUMIF('O&amp;M'!$B$3:$B$89,TOTALCO!V1094,'O&amp;M'!$F$3:$F$89)</f>
        <v>37810561</v>
      </c>
      <c r="X1094" s="282">
        <f t="shared" ref="X1094:X1103" ca="1" si="296">D1094-T1094</f>
        <v>0</v>
      </c>
      <c r="Y1094" s="39"/>
    </row>
    <row r="1095" spans="1:32" x14ac:dyDescent="0.2">
      <c r="A1095" s="49">
        <v>20</v>
      </c>
      <c r="B1095" s="37" t="s">
        <v>284</v>
      </c>
      <c r="C1095" s="40" t="s">
        <v>677</v>
      </c>
      <c r="D1095" s="55">
        <f t="shared" ca="1" si="289"/>
        <v>10355241</v>
      </c>
      <c r="F1095" s="49">
        <f t="shared" ca="1" si="290"/>
        <v>9740923.0852377899</v>
      </c>
      <c r="H1095" s="49">
        <f t="shared" ca="1" si="291"/>
        <v>490297.83292957564</v>
      </c>
      <c r="I1095" s="49">
        <f t="shared" ca="1" si="292"/>
        <v>124020.08183263343</v>
      </c>
      <c r="L1095" s="49">
        <f t="shared" ca="1" si="293"/>
        <v>697.75531540013378</v>
      </c>
      <c r="M1095" s="49"/>
      <c r="N1095" s="49">
        <f t="shared" ca="1" si="294"/>
        <v>123322.32651723329</v>
      </c>
      <c r="O1095" s="49">
        <f t="shared" ca="1" si="295"/>
        <v>64285.426830729935</v>
      </c>
      <c r="P1095" s="49">
        <f t="shared" ca="1" si="295"/>
        <v>59036.899686503355</v>
      </c>
      <c r="Q1095" s="49">
        <f t="shared" ca="1" si="295"/>
        <v>5.5195026946454888E-13</v>
      </c>
      <c r="T1095" s="274">
        <v>10355241</v>
      </c>
      <c r="U1095" s="81">
        <v>921</v>
      </c>
      <c r="V1095" s="81"/>
      <c r="W1095" s="81">
        <f>SUMIF('O&amp;M'!$B$3:$B$89,TOTALCO!U1095,'O&amp;M'!$F$3:$F$89)+SUMIF('O&amp;M'!$B$3:$B$89,TOTALCO!V1095,'O&amp;M'!$F$3:$F$89)</f>
        <v>10355241</v>
      </c>
      <c r="X1095" s="282">
        <f t="shared" ca="1" si="296"/>
        <v>0</v>
      </c>
      <c r="Y1095" s="39"/>
    </row>
    <row r="1096" spans="1:32" x14ac:dyDescent="0.2">
      <c r="A1096" s="49">
        <v>21</v>
      </c>
      <c r="B1096" s="37" t="s">
        <v>285</v>
      </c>
      <c r="C1096" s="40" t="s">
        <v>677</v>
      </c>
      <c r="D1096" s="55">
        <f t="shared" ca="1" si="289"/>
        <v>-6153656.9999999991</v>
      </c>
      <c r="F1096" s="49">
        <f t="shared" ca="1" si="290"/>
        <v>-5788595.3141926024</v>
      </c>
      <c r="H1096" s="49">
        <f t="shared" ca="1" si="291"/>
        <v>-291362.09303983499</v>
      </c>
      <c r="I1096" s="49">
        <f t="shared" ca="1" si="292"/>
        <v>-73699.592767561597</v>
      </c>
      <c r="L1096" s="49">
        <f t="shared" ca="1" si="293"/>
        <v>-414.64480458728497</v>
      </c>
      <c r="M1096" s="49"/>
      <c r="N1096" s="49">
        <f t="shared" ca="1" si="294"/>
        <v>-73284.947962974315</v>
      </c>
      <c r="O1096" s="49">
        <f t="shared" ca="1" si="295"/>
        <v>-38201.956556579324</v>
      </c>
      <c r="P1096" s="49">
        <f t="shared" ca="1" si="295"/>
        <v>-35082.991406394998</v>
      </c>
      <c r="Q1096" s="49">
        <f t="shared" ca="1" si="295"/>
        <v>-3.279993811194165E-13</v>
      </c>
      <c r="T1096" s="274">
        <v>-6153657</v>
      </c>
      <c r="U1096" s="81">
        <v>922</v>
      </c>
      <c r="V1096" s="81"/>
      <c r="W1096" s="81">
        <f>SUMIF('O&amp;M'!$B$3:$B$89,TOTALCO!U1096,'O&amp;M'!$F$3:$F$89)+SUMIF('O&amp;M'!$B$3:$B$89,TOTALCO!V1096,'O&amp;M'!$F$3:$F$89)</f>
        <v>-6153657</v>
      </c>
      <c r="X1096" s="282">
        <f t="shared" ca="1" si="296"/>
        <v>0</v>
      </c>
      <c r="Y1096" s="39"/>
    </row>
    <row r="1097" spans="1:32" x14ac:dyDescent="0.2">
      <c r="A1097" s="49">
        <v>22</v>
      </c>
      <c r="B1097" s="37" t="s">
        <v>286</v>
      </c>
      <c r="C1097" s="40" t="s">
        <v>677</v>
      </c>
      <c r="D1097" s="55">
        <f t="shared" ca="1" si="289"/>
        <v>22071002.999999996</v>
      </c>
      <c r="F1097" s="49">
        <f t="shared" ca="1" si="290"/>
        <v>20761655.149991442</v>
      </c>
      <c r="H1097" s="49">
        <f t="shared" ca="1" si="291"/>
        <v>1045013.3359022897</v>
      </c>
      <c r="I1097" s="49">
        <f t="shared" ca="1" si="292"/>
        <v>264334.51410626731</v>
      </c>
      <c r="L1097" s="49">
        <f t="shared" ca="1" si="293"/>
        <v>1487.1850553224497</v>
      </c>
      <c r="M1097" s="49"/>
      <c r="N1097" s="49">
        <f t="shared" ca="1" si="294"/>
        <v>262847.32905094489</v>
      </c>
      <c r="O1097" s="49">
        <f t="shared" ca="1" si="295"/>
        <v>137016.97994641756</v>
      </c>
      <c r="P1097" s="49">
        <f t="shared" ca="1" si="295"/>
        <v>125830.34910452731</v>
      </c>
      <c r="Q1097" s="49">
        <f t="shared" ca="1" si="295"/>
        <v>1.1764184004218605E-12</v>
      </c>
      <c r="T1097" s="274">
        <v>22071003</v>
      </c>
      <c r="U1097" s="81">
        <v>923</v>
      </c>
      <c r="V1097" s="81"/>
      <c r="W1097" s="81">
        <f>SUMIF('O&amp;M'!$B$3:$B$89,TOTALCO!U1097,'O&amp;M'!$F$3:$F$89)+SUMIF('O&amp;M'!$B$3:$B$89,TOTALCO!V1097,'O&amp;M'!$F$3:$F$89)</f>
        <v>22071003</v>
      </c>
      <c r="X1097" s="282">
        <f t="shared" ca="1" si="296"/>
        <v>0</v>
      </c>
      <c r="Y1097" s="73"/>
    </row>
    <row r="1098" spans="1:32" x14ac:dyDescent="0.2">
      <c r="A1098" s="49">
        <v>23</v>
      </c>
      <c r="B1098" s="37" t="s">
        <v>287</v>
      </c>
      <c r="C1098" s="40" t="s">
        <v>677</v>
      </c>
      <c r="D1098" s="55">
        <f t="shared" ca="1" si="289"/>
        <v>5008424.9999999991</v>
      </c>
      <c r="F1098" s="49">
        <f t="shared" ca="1" si="290"/>
        <v>4711303.4552437821</v>
      </c>
      <c r="H1098" s="49">
        <f t="shared" ca="1" si="291"/>
        <v>237137.8825360327</v>
      </c>
      <c r="I1098" s="49">
        <f t="shared" ca="1" si="292"/>
        <v>59983.66222018464</v>
      </c>
      <c r="L1098" s="49">
        <f t="shared" ca="1" si="293"/>
        <v>337.47695157774842</v>
      </c>
      <c r="M1098" s="49"/>
      <c r="N1098" s="49">
        <f t="shared" ca="1" si="294"/>
        <v>59646.185268606889</v>
      </c>
      <c r="O1098" s="49">
        <f t="shared" ca="1" si="295"/>
        <v>31092.346269362399</v>
      </c>
      <c r="P1098" s="49">
        <f t="shared" ca="1" si="295"/>
        <v>28553.838999244494</v>
      </c>
      <c r="Q1098" s="49">
        <f t="shared" ca="1" si="295"/>
        <v>2.6695675439547793E-13</v>
      </c>
      <c r="T1098" s="274">
        <v>5008425</v>
      </c>
      <c r="U1098" s="81">
        <v>925</v>
      </c>
      <c r="V1098" s="81"/>
      <c r="W1098" s="81">
        <f>SUMIF('O&amp;M'!$B$3:$B$89,TOTALCO!U1098,'O&amp;M'!$F$3:$F$89)+SUMIF('O&amp;M'!$B$3:$B$89,TOTALCO!V1098,'O&amp;M'!$F$3:$F$89)</f>
        <v>5008425</v>
      </c>
      <c r="X1098" s="282">
        <f ca="1">D1098-T1098</f>
        <v>0</v>
      </c>
      <c r="Y1098" s="422"/>
      <c r="Z1098" s="39"/>
    </row>
    <row r="1099" spans="1:32" x14ac:dyDescent="0.2">
      <c r="A1099" s="49">
        <v>24</v>
      </c>
      <c r="B1099" s="37" t="s">
        <v>288</v>
      </c>
      <c r="C1099" s="40" t="s">
        <v>677</v>
      </c>
      <c r="D1099" s="84">
        <f t="shared" ca="1" si="289"/>
        <v>30445135</v>
      </c>
      <c r="F1099" s="49">
        <f t="shared" ca="1" si="290"/>
        <v>28638997.233833671</v>
      </c>
      <c r="H1099" s="49">
        <f ca="1">INDEX(INDIRECT($C1099),1,H$12+1)*$T1099</f>
        <v>1441510.0250924509</v>
      </c>
      <c r="I1099" s="49">
        <f t="shared" ca="1" si="292"/>
        <v>364627.74107387476</v>
      </c>
      <c r="L1099" s="49">
        <f ca="1">INDEX(INDIRECT($C1099),1,L$12+1)*$T1099</f>
        <v>2051.4495774965212</v>
      </c>
      <c r="M1099" s="49"/>
      <c r="N1099" s="49">
        <f t="shared" ca="1" si="294"/>
        <v>362576.29149637825</v>
      </c>
      <c r="O1099" s="49">
        <f ca="1">INDEX(INDIRECT($C1099),1,O$12+1)*$T1099</f>
        <v>189003.66475238916</v>
      </c>
      <c r="P1099" s="49">
        <f ca="1">INDEX(INDIRECT($C1099),1,P$12+1)*$T1099</f>
        <v>173572.62674398909</v>
      </c>
      <c r="Q1099" s="49">
        <f t="shared" ca="1" si="295"/>
        <v>1.6227725136609151E-12</v>
      </c>
      <c r="T1099" s="74">
        <f>W1099-AD1100</f>
        <v>30445135</v>
      </c>
      <c r="U1099" s="81">
        <v>926</v>
      </c>
      <c r="V1099" s="81"/>
      <c r="W1099" s="81">
        <f>SUMIF('O&amp;M'!$B$3:$B$89,TOTALCO!U1099,'O&amp;M'!$F$3:$F$89)+SUMIF('O&amp;M'!$B$3:$B$89,TOTALCO!V1099,'O&amp;M'!$F$3:$F$89)</f>
        <v>30537144</v>
      </c>
      <c r="X1099" s="282">
        <f t="shared" ca="1" si="296"/>
        <v>0</v>
      </c>
      <c r="Y1099" s="138"/>
      <c r="Z1099" s="86" t="s">
        <v>935</v>
      </c>
      <c r="AA1099" s="86" t="s">
        <v>937</v>
      </c>
      <c r="AB1099" s="87" t="s">
        <v>939</v>
      </c>
      <c r="AC1099" s="87" t="s">
        <v>553</v>
      </c>
      <c r="AD1099" s="30" t="s">
        <v>682</v>
      </c>
      <c r="AE1099" s="24" t="s">
        <v>1242</v>
      </c>
      <c r="AF1099" s="24" t="s">
        <v>915</v>
      </c>
    </row>
    <row r="1100" spans="1:32" x14ac:dyDescent="0.2">
      <c r="A1100" s="49">
        <v>25</v>
      </c>
      <c r="B1100" s="37" t="s">
        <v>1419</v>
      </c>
      <c r="C1100" s="40" t="s">
        <v>1196</v>
      </c>
      <c r="D1100" s="55">
        <f t="shared" si="289"/>
        <v>0</v>
      </c>
      <c r="F1100" s="49">
        <f>Z1100</f>
        <v>0</v>
      </c>
      <c r="H1100" s="49">
        <v>0</v>
      </c>
      <c r="I1100" s="49">
        <f t="shared" si="292"/>
        <v>0</v>
      </c>
      <c r="L1100" s="49">
        <v>0</v>
      </c>
      <c r="M1100" s="49"/>
      <c r="N1100" s="49">
        <f t="shared" si="294"/>
        <v>0</v>
      </c>
      <c r="O1100" s="49">
        <v>0</v>
      </c>
      <c r="P1100" s="49">
        <v>0</v>
      </c>
      <c r="Q1100" s="49">
        <v>0</v>
      </c>
      <c r="T1100" s="74">
        <f>Z1100</f>
        <v>0</v>
      </c>
      <c r="U1100" s="81"/>
      <c r="V1100" s="81"/>
      <c r="W1100" s="81"/>
      <c r="X1100" s="74">
        <f t="shared" si="296"/>
        <v>0</v>
      </c>
      <c r="Y1100" s="279" t="s">
        <v>1445</v>
      </c>
      <c r="Z1100" s="278"/>
      <c r="AA1100" s="695">
        <v>61680.519244159201</v>
      </c>
      <c r="AB1100" s="695">
        <v>44.864616502723003</v>
      </c>
      <c r="AC1100" s="695">
        <v>30283.616139337999</v>
      </c>
      <c r="AD1100" s="30">
        <f>SUM(Z1100:AC1100)</f>
        <v>92008.999999999927</v>
      </c>
      <c r="AE1100" s="30">
        <f ca="1">AC1100*AE1101</f>
        <v>15786.234694682606</v>
      </c>
      <c r="AF1100" s="30">
        <f ca="1">AC1100*AF1101</f>
        <v>14497.381444655392</v>
      </c>
    </row>
    <row r="1101" spans="1:32" x14ac:dyDescent="0.2">
      <c r="A1101" s="49">
        <v>26</v>
      </c>
      <c r="B1101" s="37" t="s">
        <v>1420</v>
      </c>
      <c r="C1101" s="40" t="s">
        <v>1196</v>
      </c>
      <c r="D1101" s="55">
        <f t="shared" si="289"/>
        <v>61680.519244159201</v>
      </c>
      <c r="F1101" s="49">
        <v>0</v>
      </c>
      <c r="H1101" s="49">
        <f>AA1100</f>
        <v>61680.519244159201</v>
      </c>
      <c r="I1101" s="49">
        <f t="shared" si="292"/>
        <v>0</v>
      </c>
      <c r="L1101" s="49">
        <v>0</v>
      </c>
      <c r="M1101" s="49"/>
      <c r="N1101" s="49">
        <f t="shared" si="294"/>
        <v>0</v>
      </c>
      <c r="O1101" s="49">
        <v>0</v>
      </c>
      <c r="P1101" s="49">
        <v>0</v>
      </c>
      <c r="Q1101" s="49">
        <v>0</v>
      </c>
      <c r="T1101" s="74">
        <f>AA1100</f>
        <v>61680.519244159201</v>
      </c>
      <c r="U1101" s="81"/>
      <c r="V1101" s="81"/>
      <c r="W1101" s="81"/>
      <c r="X1101" s="24">
        <f t="shared" si="296"/>
        <v>0</v>
      </c>
      <c r="Y1101" s="138" t="s">
        <v>1364</v>
      </c>
      <c r="Z1101" s="262">
        <f ca="1">Z1102/Y1102</f>
        <v>0.94067565257416896</v>
      </c>
      <c r="AA1101" s="262">
        <f ca="1">AA1102/Y1102</f>
        <v>4.7347795471836499E-2</v>
      </c>
      <c r="AB1101" s="262">
        <f ca="1">AB1102/Y1102</f>
        <v>6.738185189510643E-5</v>
      </c>
      <c r="AC1101" s="262">
        <f ca="1">AC1102/$Y1102</f>
        <v>1.1909170102099343E-2</v>
      </c>
      <c r="AE1101" s="262">
        <f ca="1">AE1102/$AC1102</f>
        <v>0.52127971184314759</v>
      </c>
      <c r="AF1101" s="262">
        <f ca="1">AF1102/$AC1102</f>
        <v>0.47872028815685236</v>
      </c>
    </row>
    <row r="1102" spans="1:32" x14ac:dyDescent="0.2">
      <c r="A1102" s="49">
        <v>27</v>
      </c>
      <c r="B1102" s="37" t="s">
        <v>1421</v>
      </c>
      <c r="C1102" s="40" t="s">
        <v>1196</v>
      </c>
      <c r="D1102" s="55">
        <f t="shared" si="289"/>
        <v>0</v>
      </c>
      <c r="F1102" s="49">
        <v>0</v>
      </c>
      <c r="H1102" s="49">
        <v>0</v>
      </c>
      <c r="I1102" s="49">
        <f t="shared" si="292"/>
        <v>0</v>
      </c>
      <c r="L1102" s="49">
        <v>0</v>
      </c>
      <c r="M1102" s="49"/>
      <c r="N1102" s="49">
        <f t="shared" si="294"/>
        <v>0</v>
      </c>
      <c r="O1102" s="49">
        <v>0</v>
      </c>
      <c r="P1102" s="49">
        <v>0</v>
      </c>
      <c r="Q1102" s="49">
        <v>0</v>
      </c>
      <c r="T1102" s="74"/>
      <c r="U1102" s="81"/>
      <c r="V1102" s="81"/>
      <c r="W1102" s="81"/>
      <c r="X1102" s="24">
        <f t="shared" si="296"/>
        <v>0</v>
      </c>
      <c r="Y1102" s="278">
        <f ca="1">SUM(Z1102:AC1102)</f>
        <v>178867174.00000003</v>
      </c>
      <c r="Z1102" s="278">
        <f ca="1">F1441</f>
        <v>168255995.62654746</v>
      </c>
      <c r="AA1102" s="278">
        <f ca="1">H1441</f>
        <v>8468966.3711773921</v>
      </c>
      <c r="AB1102" s="278">
        <f ca="1">L1441</f>
        <v>12052.401427364233</v>
      </c>
      <c r="AC1102" s="24">
        <f ca="1">AE1102+AF1102</f>
        <v>2130159.6008478012</v>
      </c>
      <c r="AE1102" s="278">
        <f ca="1">O1441</f>
        <v>1110408.9829098561</v>
      </c>
      <c r="AF1102" s="278">
        <f ca="1">P1441</f>
        <v>1019750.6179379449</v>
      </c>
    </row>
    <row r="1103" spans="1:32" x14ac:dyDescent="0.2">
      <c r="A1103" s="49">
        <v>27</v>
      </c>
      <c r="B1103" s="37" t="s">
        <v>1422</v>
      </c>
      <c r="C1103" s="40" t="s">
        <v>1196</v>
      </c>
      <c r="D1103" s="55">
        <f t="shared" ca="1" si="289"/>
        <v>30328.480755840719</v>
      </c>
      <c r="F1103" s="49">
        <v>0</v>
      </c>
      <c r="H1103" s="49">
        <v>0</v>
      </c>
      <c r="I1103" s="49">
        <f t="shared" ca="1" si="292"/>
        <v>30328.480755840719</v>
      </c>
      <c r="L1103" s="49">
        <f>AB1100</f>
        <v>44.864616502723003</v>
      </c>
      <c r="M1103" s="49"/>
      <c r="N1103" s="49">
        <f t="shared" ca="1" si="294"/>
        <v>30283.616139337995</v>
      </c>
      <c r="O1103" s="49">
        <f ca="1">AE1100</f>
        <v>15786.234694682606</v>
      </c>
      <c r="P1103" s="49">
        <f ca="1">AF1100</f>
        <v>14497.381444655392</v>
      </c>
      <c r="Q1103" s="49">
        <v>0</v>
      </c>
      <c r="T1103" s="74">
        <f>AB1100+AC1100</f>
        <v>30328.480755840723</v>
      </c>
      <c r="U1103" s="39"/>
      <c r="V1103" s="39"/>
      <c r="W1103" s="74"/>
      <c r="X1103" s="24">
        <f t="shared" ca="1" si="296"/>
        <v>0</v>
      </c>
    </row>
    <row r="1104" spans="1:32" x14ac:dyDescent="0.2">
      <c r="A1104" s="49">
        <v>28</v>
      </c>
      <c r="B1104" s="37" t="s">
        <v>1416</v>
      </c>
      <c r="C1104" s="40" t="s">
        <v>1380</v>
      </c>
      <c r="D1104" s="55">
        <f ca="1">SUM(F1104:I1104)+K1104</f>
        <v>3317</v>
      </c>
      <c r="F1104" s="49">
        <f ca="1">(INDEX(INDIRECT($C1104),1,F$12+1)*$T1104)</f>
        <v>3157.8282534116129</v>
      </c>
      <c r="H1104" s="49">
        <f t="shared" ca="1" si="291"/>
        <v>158.94554713791837</v>
      </c>
      <c r="I1104" s="49">
        <f ca="1">(L1104+M1104+N1104)</f>
        <v>0.22619945046870119</v>
      </c>
      <c r="L1104" s="49">
        <f t="shared" ca="1" si="293"/>
        <v>0.22619945046870119</v>
      </c>
      <c r="M1104" s="49"/>
      <c r="N1104" s="49">
        <f ca="1">SUM(O1104:Q1104)</f>
        <v>0</v>
      </c>
      <c r="O1104" s="49">
        <f t="shared" ca="1" si="295"/>
        <v>0</v>
      </c>
      <c r="P1104" s="49">
        <f t="shared" ca="1" si="295"/>
        <v>0</v>
      </c>
      <c r="Q1104" s="49">
        <f t="shared" ca="1" si="295"/>
        <v>0</v>
      </c>
      <c r="T1104" s="274">
        <v>3317</v>
      </c>
      <c r="U1104" s="90">
        <v>930.1</v>
      </c>
      <c r="V1104" s="90"/>
      <c r="W1104" s="81">
        <f>SUMIF('O&amp;M'!$B$3:$B$89,TOTALCO!U1104,'O&amp;M'!$F$3:$F$89)+SUMIF('O&amp;M'!$B$3:$B$89,TOTALCO!V1104,'O&amp;M'!$F$3:$F$89)</f>
        <v>3317</v>
      </c>
      <c r="X1104" s="282"/>
      <c r="Y1104" s="86"/>
      <c r="Z1104" s="86"/>
      <c r="AA1104" s="283"/>
      <c r="AB1104" s="87"/>
      <c r="AC1104" s="87"/>
      <c r="AD1104" s="30"/>
    </row>
    <row r="1105" spans="1:34" x14ac:dyDescent="0.2">
      <c r="A1105" s="49">
        <v>29</v>
      </c>
      <c r="B1105" s="37" t="s">
        <v>1417</v>
      </c>
      <c r="C1105" s="40" t="s">
        <v>677</v>
      </c>
      <c r="D1105" s="55">
        <f ca="1">SUM(F1105:I1105)+K1105</f>
        <v>3706329.9999999898</v>
      </c>
      <c r="F1105" s="49">
        <f ca="1">(INDEX(INDIRECT($C1105),1,F$12+1)*$T1105)+Z1106</f>
        <v>3492531.5799284866</v>
      </c>
      <c r="H1105" s="49">
        <f t="shared" ca="1" si="291"/>
        <v>170636.24472908454</v>
      </c>
      <c r="I1105" s="49">
        <f t="shared" ca="1" si="292"/>
        <v>43162.175342418857</v>
      </c>
      <c r="L1105" s="49">
        <f t="shared" ca="1" si="293"/>
        <v>242.83677953098038</v>
      </c>
      <c r="M1105" s="49"/>
      <c r="N1105" s="49">
        <f t="shared" ca="1" si="294"/>
        <v>42919.338562887875</v>
      </c>
      <c r="O1105" s="49">
        <f t="shared" ca="1" si="295"/>
        <v>22372.980438560684</v>
      </c>
      <c r="P1105" s="49">
        <f t="shared" ca="1" si="295"/>
        <v>20546.358124327187</v>
      </c>
      <c r="Q1105" s="49">
        <f t="shared" ca="1" si="295"/>
        <v>1.9209287688645555E-13</v>
      </c>
      <c r="T1105" s="74">
        <f>W1105-Z1106</f>
        <v>3603889.9599999902</v>
      </c>
      <c r="U1105" s="90">
        <v>930.2</v>
      </c>
      <c r="V1105" s="90"/>
      <c r="W1105" s="81">
        <f>SUMIF('O&amp;M'!$B$3:$B$89,TOTALCO!U1105,'O&amp;M'!$F$3:$F$89)+SUMIF('O&amp;M'!$B$3:$B$89,TOTALCO!V1105,'O&amp;M'!$F$3:$F$89)</f>
        <v>3706329.9999999902</v>
      </c>
      <c r="X1105" s="282">
        <f ca="1">D1105-T1105</f>
        <v>102440.03999999957</v>
      </c>
      <c r="Y1105" s="39" t="s">
        <v>2405</v>
      </c>
      <c r="AA1105" s="278"/>
      <c r="AB1105" s="30"/>
      <c r="AC1105" s="30"/>
      <c r="AD1105" s="30"/>
      <c r="AG1105" s="597"/>
    </row>
    <row r="1106" spans="1:34" x14ac:dyDescent="0.2">
      <c r="A1106" s="49">
        <v>30</v>
      </c>
      <c r="B1106" s="37" t="s">
        <v>290</v>
      </c>
      <c r="C1106" s="40" t="s">
        <v>677</v>
      </c>
      <c r="D1106" s="55">
        <f t="shared" ca="1" si="289"/>
        <v>2989606.9999999995</v>
      </c>
      <c r="F1106" s="49">
        <f ca="1">INDEX(INDIRECT($C1106),1,F$12+1)*$T1106</f>
        <v>2812250.5156653035</v>
      </c>
      <c r="H1106" s="49">
        <f t="shared" ca="1" si="291"/>
        <v>141551.30077717069</v>
      </c>
      <c r="I1106" s="49">
        <f t="shared" ca="1" si="292"/>
        <v>35805.183557525481</v>
      </c>
      <c r="L1106" s="49">
        <f t="shared" ca="1" si="293"/>
        <v>201.44525609857345</v>
      </c>
      <c r="M1106" s="49"/>
      <c r="N1106" s="49">
        <f t="shared" ca="1" si="294"/>
        <v>35603.738301426907</v>
      </c>
      <c r="O1106" s="49">
        <f t="shared" ca="1" si="295"/>
        <v>18559.506442306658</v>
      </c>
      <c r="P1106" s="49">
        <f t="shared" ca="1" si="295"/>
        <v>17044.231859120249</v>
      </c>
      <c r="Q1106" s="49">
        <f t="shared" ca="1" si="295"/>
        <v>1.5935065048153892E-13</v>
      </c>
      <c r="T1106" s="274">
        <v>2989607</v>
      </c>
      <c r="U1106" s="81">
        <v>931</v>
      </c>
      <c r="V1106" s="81"/>
      <c r="W1106" s="81">
        <f>SUMIF('O&amp;M'!$B$3:$B$89,TOTALCO!U1106,'O&amp;M'!$F$3:$F$89)+SUMIF('O&amp;M'!$B$3:$B$89,TOTALCO!V1106,'O&amp;M'!$F$3:$F$89)</f>
        <v>2989607</v>
      </c>
      <c r="X1106" s="282">
        <f ca="1">D1106-T1106</f>
        <v>0</v>
      </c>
      <c r="Y1106" s="24" t="s">
        <v>1405</v>
      </c>
      <c r="Z1106" s="284">
        <f>8536.67*12</f>
        <v>102440.04000000001</v>
      </c>
      <c r="AA1106" s="24" t="s">
        <v>2406</v>
      </c>
      <c r="AG1106" s="597"/>
    </row>
    <row r="1107" spans="1:34" x14ac:dyDescent="0.2">
      <c r="A1107" s="49">
        <v>31</v>
      </c>
      <c r="B1107" s="37" t="s">
        <v>291</v>
      </c>
      <c r="C1107" s="40" t="s">
        <v>677</v>
      </c>
      <c r="D1107" s="55">
        <f t="shared" ca="1" si="289"/>
        <v>1398785.9999999898</v>
      </c>
      <c r="F1107" s="49">
        <f ca="1">INDEX(INDIRECT($C1107),1,F$12+1)*$T1107</f>
        <v>1315803.933361602</v>
      </c>
      <c r="H1107" s="49">
        <f t="shared" ca="1" si="291"/>
        <v>66229.43343686781</v>
      </c>
      <c r="I1107" s="49">
        <f t="shared" ca="1" si="292"/>
        <v>16752.633201519959</v>
      </c>
      <c r="L1107" s="49">
        <f t="shared" ca="1" si="293"/>
        <v>94.252791084947674</v>
      </c>
      <c r="M1107" s="49"/>
      <c r="N1107" s="49">
        <f t="shared" ca="1" si="294"/>
        <v>16658.380410435009</v>
      </c>
      <c r="O1107" s="49">
        <f t="shared" ca="1" si="295"/>
        <v>8683.6757401250979</v>
      </c>
      <c r="P1107" s="49">
        <f t="shared" ca="1" si="295"/>
        <v>7974.7046703099122</v>
      </c>
      <c r="Q1107" s="49">
        <f t="shared" ca="1" si="295"/>
        <v>7.4557444836217039E-14</v>
      </c>
      <c r="T1107" s="274">
        <v>1398785.99999999</v>
      </c>
      <c r="U1107" s="90">
        <v>935</v>
      </c>
      <c r="V1107" s="90"/>
      <c r="W1107" s="81">
        <f>SUMIF('O&amp;M'!$B$3:$B$89,TOTALCO!U1107,'O&amp;M'!$F$3:$F$89)+SUMIF('O&amp;M'!$B$3:$B$89,TOTALCO!V1107,'O&amp;M'!$F$3:$F$89)</f>
        <v>1398785.99999999</v>
      </c>
      <c r="X1107" s="282">
        <f ca="1">D1107-T1107</f>
        <v>0</v>
      </c>
      <c r="Y1107" s="39"/>
      <c r="AE1107" s="359"/>
      <c r="AG1107" s="597"/>
    </row>
    <row r="1108" spans="1:34" x14ac:dyDescent="0.2">
      <c r="A1108" s="49">
        <v>32</v>
      </c>
      <c r="B1108" s="37" t="s">
        <v>292</v>
      </c>
      <c r="D1108" s="55">
        <f t="shared" ca="1" si="289"/>
        <v>107726756.99999997</v>
      </c>
      <c r="F1108" s="49">
        <f ca="1">F1094+F1095+F1096+SUM(F1097:F1107)</f>
        <v>101255501.61019331</v>
      </c>
      <c r="H1108" s="49">
        <f ca="1">H1094+H1095+H1096+SUM(H1097:H1107)</f>
        <v>5153100.1360583324</v>
      </c>
      <c r="I1108" s="49">
        <f t="shared" ca="1" si="292"/>
        <v>1318155.2537483303</v>
      </c>
      <c r="L1108" s="49">
        <f ca="1">L1094+L1095+L1096+SUM(L1097:L1107)</f>
        <v>7290.5933592501497</v>
      </c>
      <c r="M1108" s="49"/>
      <c r="N1108" s="49">
        <f t="shared" ca="1" si="294"/>
        <v>1310864.6603890802</v>
      </c>
      <c r="O1108" s="49">
        <f ca="1">O1094+O1095+O1096+SUM(O1097:O1107)</f>
        <v>683327.15243298537</v>
      </c>
      <c r="P1108" s="49">
        <f ca="1">P1094+P1095+P1096+SUM(P1097:P1107)</f>
        <v>627537.50795609481</v>
      </c>
      <c r="Q1108" s="49">
        <f ca="1">Q1094+Q1095+Q1096+SUM(Q1097:Q1107)</f>
        <v>5.7314605749516623E-12</v>
      </c>
      <c r="T1108" s="64"/>
      <c r="U1108" s="39"/>
      <c r="V1108" s="39"/>
      <c r="W1108" s="74"/>
      <c r="X1108" s="80"/>
      <c r="Y1108" s="273"/>
      <c r="AG1108" s="597"/>
    </row>
    <row r="1109" spans="1:34" x14ac:dyDescent="0.2">
      <c r="U1109" s="39"/>
      <c r="V1109" s="39"/>
      <c r="W1109" s="39"/>
      <c r="X1109" s="80"/>
      <c r="AE1109" s="359"/>
      <c r="AG1109" s="597"/>
    </row>
    <row r="1110" spans="1:34" x14ac:dyDescent="0.2">
      <c r="B1110" s="37" t="s">
        <v>293</v>
      </c>
      <c r="U1110" s="39"/>
      <c r="V1110" s="39"/>
      <c r="W1110" s="39"/>
      <c r="X1110" s="80"/>
      <c r="AG1110" s="597"/>
    </row>
    <row r="1111" spans="1:34" x14ac:dyDescent="0.2">
      <c r="A1111" s="49">
        <v>33</v>
      </c>
      <c r="B1111" s="37" t="s">
        <v>1423</v>
      </c>
      <c r="C1111" s="40" t="s">
        <v>1196</v>
      </c>
      <c r="D1111" s="55">
        <f>SUM(F1111:I1111)+K1111</f>
        <v>1572907</v>
      </c>
      <c r="F1111" s="49">
        <f>Z1114</f>
        <v>1572907</v>
      </c>
      <c r="H1111" s="49">
        <v>0</v>
      </c>
      <c r="I1111" s="49">
        <f>(L1111+M1111+N1111)</f>
        <v>0</v>
      </c>
      <c r="L1111" s="49">
        <f>AB1114</f>
        <v>0</v>
      </c>
      <c r="M1111" s="49"/>
      <c r="N1111" s="49">
        <f>SUM(O1111:Q1111)</f>
        <v>0</v>
      </c>
      <c r="O1111" s="49">
        <v>0</v>
      </c>
      <c r="P1111" s="49">
        <v>0</v>
      </c>
      <c r="Q1111" s="49">
        <v>0</v>
      </c>
      <c r="T1111" s="74">
        <f>Z1114</f>
        <v>1572907</v>
      </c>
      <c r="U1111" s="74">
        <f>D1111-T1111</f>
        <v>0</v>
      </c>
      <c r="V1111" s="39"/>
      <c r="W1111" s="39"/>
      <c r="X1111" s="81"/>
      <c r="Y1111" s="39"/>
      <c r="AE1111" s="494"/>
      <c r="AG1111" s="597"/>
    </row>
    <row r="1112" spans="1:34" x14ac:dyDescent="0.2">
      <c r="A1112" s="49">
        <v>34</v>
      </c>
      <c r="B1112" s="37" t="s">
        <v>295</v>
      </c>
      <c r="C1112" s="40" t="s">
        <v>1196</v>
      </c>
      <c r="D1112" s="55">
        <f>SUM(F1112:I1112)+K1112</f>
        <v>43336</v>
      </c>
      <c r="F1112" s="49">
        <v>0</v>
      </c>
      <c r="H1112" s="49">
        <f>AA1114</f>
        <v>43336</v>
      </c>
      <c r="I1112" s="49">
        <f>(L1112+M1112+N1112)</f>
        <v>0</v>
      </c>
      <c r="L1112" s="49">
        <v>0</v>
      </c>
      <c r="M1112" s="49"/>
      <c r="N1112" s="49">
        <f>SUM(O1112:Q1112)</f>
        <v>0</v>
      </c>
      <c r="O1112" s="49">
        <v>0</v>
      </c>
      <c r="P1112" s="49">
        <v>0</v>
      </c>
      <c r="Q1112" s="49">
        <v>0</v>
      </c>
      <c r="T1112" s="74">
        <f>AA1114</f>
        <v>43336</v>
      </c>
      <c r="U1112" s="39"/>
      <c r="V1112" s="39"/>
      <c r="W1112" s="39"/>
      <c r="X1112" s="81"/>
      <c r="Y1112" s="39"/>
      <c r="AE1112" s="494"/>
      <c r="AG1112" s="597"/>
    </row>
    <row r="1113" spans="1:34" x14ac:dyDescent="0.2">
      <c r="A1113" s="49">
        <v>35</v>
      </c>
      <c r="B1113" s="37" t="s">
        <v>294</v>
      </c>
      <c r="C1113" s="40" t="s">
        <v>1092</v>
      </c>
      <c r="D1113" s="55">
        <f ca="1">SUM(F1113:I1113)+K1113</f>
        <v>0</v>
      </c>
      <c r="F1113" s="49">
        <f ca="1">INDEX(INDIRECT($C1113),1,F$12+1)*$T1113</f>
        <v>0</v>
      </c>
      <c r="H1113" s="49">
        <f ca="1">INDEX(INDIRECT($C1113),1,H$12+1)*$T1113</f>
        <v>0</v>
      </c>
      <c r="I1113" s="49">
        <f ca="1">(L1113+M1113+N1113)</f>
        <v>0</v>
      </c>
      <c r="L1113" s="49">
        <f ca="1">INDEX(INDIRECT($C1113),1,L$12+1)*$T1113</f>
        <v>0</v>
      </c>
      <c r="M1113" s="49"/>
      <c r="N1113" s="49">
        <f ca="1">SUM(O1113:Q1113)</f>
        <v>0</v>
      </c>
      <c r="O1113" s="49">
        <f t="shared" ref="O1113:Q1114" ca="1" si="297">INDEX(INDIRECT($C1113),1,O$12+1)*$T1113</f>
        <v>0</v>
      </c>
      <c r="P1113" s="49">
        <f t="shared" ca="1" si="297"/>
        <v>0</v>
      </c>
      <c r="Q1113" s="49">
        <f t="shared" ca="1" si="297"/>
        <v>0</v>
      </c>
      <c r="T1113" s="74">
        <f>AC1114</f>
        <v>0</v>
      </c>
      <c r="U1113" s="39"/>
      <c r="V1113" s="39"/>
      <c r="W1113" s="39"/>
      <c r="X1113" s="81"/>
      <c r="Y1113" s="138" t="s">
        <v>593</v>
      </c>
      <c r="Z1113" s="86" t="s">
        <v>594</v>
      </c>
      <c r="AA1113" s="86" t="s">
        <v>595</v>
      </c>
      <c r="AB1113" s="87" t="s">
        <v>596</v>
      </c>
      <c r="AC1113" s="87" t="s">
        <v>553</v>
      </c>
      <c r="AD1113" s="30" t="s">
        <v>682</v>
      </c>
      <c r="AE1113" s="494"/>
      <c r="AG1113" s="597"/>
    </row>
    <row r="1114" spans="1:34" x14ac:dyDescent="0.2">
      <c r="A1114" s="49">
        <v>36</v>
      </c>
      <c r="B1114" s="37" t="s">
        <v>296</v>
      </c>
      <c r="C1114" s="40" t="s">
        <v>630</v>
      </c>
      <c r="D1114" s="55">
        <f ca="1">SUM(F1114:I1114)+K1114</f>
        <v>441708</v>
      </c>
      <c r="F1114" s="49">
        <f ca="1">INDEX(INDIRECT($C1114),1,F$12+1)*$T1114</f>
        <v>415651.2738559267</v>
      </c>
      <c r="H1114" s="49">
        <f ca="1">INDEX(INDIRECT($C1114),1,H$12+1)*$T1114</f>
        <v>16956.676210514408</v>
      </c>
      <c r="I1114" s="49">
        <f ca="1">(L1114+M1114+N1114)</f>
        <v>9100.0499335589047</v>
      </c>
      <c r="L1114" s="49">
        <f ca="1">INDEX(INDIRECT($C1114),1,L$12+1)*$T1114</f>
        <v>1.8602279562441497</v>
      </c>
      <c r="M1114" s="49"/>
      <c r="N1114" s="49">
        <f ca="1">SUM(O1114:Q1114)</f>
        <v>9098.189705602661</v>
      </c>
      <c r="O1114" s="49">
        <f t="shared" ca="1" si="297"/>
        <v>4607.3929398675127</v>
      </c>
      <c r="P1114" s="49">
        <f t="shared" ca="1" si="297"/>
        <v>4490.7967657351483</v>
      </c>
      <c r="Q1114" s="49">
        <f t="shared" ca="1" si="297"/>
        <v>0</v>
      </c>
      <c r="T1114" s="74">
        <f>Y1114-AD1114</f>
        <v>441708</v>
      </c>
      <c r="U1114" s="81">
        <v>928</v>
      </c>
      <c r="V1114" s="81"/>
      <c r="W1114" s="81">
        <f>VLOOKUP(U1114,'O&amp;M'!$B$3:$G$90,5,0)-AD1114</f>
        <v>441708</v>
      </c>
      <c r="X1114" s="282">
        <f ca="1">D1114-T1114</f>
        <v>0</v>
      </c>
      <c r="Y1114" s="285">
        <f>SUM('O&amp;M'!F82)</f>
        <v>2057951</v>
      </c>
      <c r="Z1114" s="285">
        <f>Z1118</f>
        <v>1572907</v>
      </c>
      <c r="AA1114" s="286">
        <v>43336</v>
      </c>
      <c r="AB1114" s="286">
        <v>0</v>
      </c>
      <c r="AC1114" s="286">
        <v>0</v>
      </c>
      <c r="AD1114" s="30">
        <f>SUM(Z1114:AC1114)</f>
        <v>1616243</v>
      </c>
      <c r="AG1114" s="597"/>
    </row>
    <row r="1115" spans="1:34" x14ac:dyDescent="0.2">
      <c r="A1115" s="49">
        <v>37</v>
      </c>
      <c r="B1115" s="37" t="s">
        <v>297</v>
      </c>
      <c r="D1115" s="55">
        <f ca="1">SUM(F1115:I1115)+K1115</f>
        <v>2057951</v>
      </c>
      <c r="F1115" s="49">
        <f ca="1">SUM(F1111:F1114)</f>
        <v>1988558.2738559267</v>
      </c>
      <c r="H1115" s="49">
        <f ca="1">SUM(H1111:H1114)</f>
        <v>60292.676210514408</v>
      </c>
      <c r="I1115" s="49">
        <f ca="1">(L1115+M1115+N1115)</f>
        <v>9100.0499335589047</v>
      </c>
      <c r="L1115" s="49">
        <f ca="1">SUM(L1111:L1114)</f>
        <v>1.8602279562441497</v>
      </c>
      <c r="M1115" s="49"/>
      <c r="N1115" s="49">
        <f ca="1">SUM(O1115:Q1115)</f>
        <v>9098.189705602661</v>
      </c>
      <c r="O1115" s="49">
        <f ca="1">SUM(O1111:O1114)</f>
        <v>4607.3929398675127</v>
      </c>
      <c r="P1115" s="49">
        <f ca="1">SUM(P1111:P1114)</f>
        <v>4490.7967657351483</v>
      </c>
      <c r="Q1115" s="49">
        <f ca="1">SUM(Q1111:Q1114)</f>
        <v>0</v>
      </c>
      <c r="T1115" s="47"/>
      <c r="U1115" s="39"/>
      <c r="V1115" s="39"/>
      <c r="W1115" s="74"/>
      <c r="Y1115" s="89" t="s">
        <v>2576</v>
      </c>
      <c r="Z1115" s="285">
        <f>128952.17*12</f>
        <v>1547426.04</v>
      </c>
      <c r="AC1115" s="30"/>
      <c r="AG1115" s="597"/>
    </row>
    <row r="1116" spans="1:34" x14ac:dyDescent="0.2">
      <c r="D1116" s="47"/>
      <c r="T1116" s="47"/>
      <c r="U1116" s="39"/>
      <c r="V1116" s="39"/>
      <c r="W1116" s="39"/>
      <c r="Y1116" s="89" t="s">
        <v>2577</v>
      </c>
      <c r="Z1116" s="288">
        <f>Z1118-Z1115</f>
        <v>25480.959999999963</v>
      </c>
      <c r="AE1116" s="359"/>
      <c r="AG1116" s="597"/>
    </row>
    <row r="1117" spans="1:34" x14ac:dyDescent="0.2">
      <c r="A1117" s="49">
        <v>38</v>
      </c>
      <c r="B1117" s="37" t="s">
        <v>298</v>
      </c>
      <c r="C1117" s="40" t="s">
        <v>1021</v>
      </c>
      <c r="D1117" s="55">
        <f ca="1">SUM(F1117:I1117)+K1117</f>
        <v>0</v>
      </c>
      <c r="F1117" s="49">
        <f ca="1">INDEX(INDIRECT($C1117),1,F$12+1)*$T1117</f>
        <v>0</v>
      </c>
      <c r="H1117" s="49">
        <f ca="1">INDEX(INDIRECT($C1117),1,H$12+1)*$T1117</f>
        <v>0</v>
      </c>
      <c r="I1117" s="49">
        <f ca="1">(L1117+M1117+N1117)</f>
        <v>0</v>
      </c>
      <c r="L1117" s="49">
        <f ca="1">INDEX(INDIRECT($C1117),1,L$12+1)*$T1117</f>
        <v>0</v>
      </c>
      <c r="M1117" s="49"/>
      <c r="N1117" s="49">
        <f ca="1">SUM(O1117:Q1117)</f>
        <v>0</v>
      </c>
      <c r="O1117" s="49">
        <f t="shared" ref="O1117:Q1118" ca="1" si="298">INDEX(INDIRECT($C1117),1,O$12+1)*$T1117</f>
        <v>0</v>
      </c>
      <c r="P1117" s="49">
        <f t="shared" ca="1" si="298"/>
        <v>0</v>
      </c>
      <c r="Q1117" s="49">
        <f t="shared" ca="1" si="298"/>
        <v>0</v>
      </c>
      <c r="T1117" s="287">
        <v>0</v>
      </c>
      <c r="U1117" s="81">
        <v>927</v>
      </c>
      <c r="V1117" s="81"/>
      <c r="W1117" s="81">
        <f>VLOOKUP(U1117,'O&amp;M'!$B$3:$G$90,5,0)</f>
        <v>0</v>
      </c>
      <c r="X1117" s="282">
        <f ca="1">D1117-T1117</f>
        <v>0</v>
      </c>
      <c r="Y1117" s="89"/>
      <c r="Z1117" s="288"/>
      <c r="AG1117" s="597"/>
    </row>
    <row r="1118" spans="1:34" x14ac:dyDescent="0.2">
      <c r="A1118" s="49">
        <v>39</v>
      </c>
      <c r="B1118" s="37" t="s">
        <v>289</v>
      </c>
      <c r="C1118" s="40" t="s">
        <v>1021</v>
      </c>
      <c r="D1118" s="55">
        <f ca="1">SUM(F1118:I1118)+K1118</f>
        <v>0</v>
      </c>
      <c r="F1118" s="49">
        <f ca="1">INDEX(INDIRECT($C1118),1,F$12+1)*$T1118</f>
        <v>0</v>
      </c>
      <c r="H1118" s="49">
        <f ca="1">INDEX(INDIRECT($C1118),1,H$12+1)*$T1118</f>
        <v>0</v>
      </c>
      <c r="I1118" s="49">
        <f ca="1">(L1118+M1118+N1118)</f>
        <v>0</v>
      </c>
      <c r="L1118" s="49">
        <f ca="1">INDEX(INDIRECT($C1118),1,L$12+1)*$T1118</f>
        <v>0</v>
      </c>
      <c r="M1118" s="49"/>
      <c r="N1118" s="49">
        <f ca="1">SUM(O1118:Q1118)</f>
        <v>0</v>
      </c>
      <c r="O1118" s="49">
        <f t="shared" ca="1" si="298"/>
        <v>0</v>
      </c>
      <c r="P1118" s="49">
        <f t="shared" ca="1" si="298"/>
        <v>0</v>
      </c>
      <c r="Q1118" s="49">
        <f t="shared" ca="1" si="298"/>
        <v>0</v>
      </c>
      <c r="T1118" s="274">
        <v>0</v>
      </c>
      <c r="U1118" s="81">
        <v>929</v>
      </c>
      <c r="V1118" s="81"/>
      <c r="W1118" s="81">
        <f>SUMIF('O&amp;M'!$B$3:$B$89,TOTALCO!U1118,'O&amp;M'!$F$3:$F$89)+SUMIF('O&amp;M'!$B$3:$B$89,TOTALCO!V1118,'O&amp;M'!$F$3:$F$89)</f>
        <v>0</v>
      </c>
      <c r="X1118" s="282">
        <f ca="1">D1118-T1118</f>
        <v>0</v>
      </c>
      <c r="Z1118" s="404">
        <v>1572907</v>
      </c>
      <c r="AE1118" s="89"/>
      <c r="AG1118" s="597"/>
      <c r="AH1118" s="89"/>
    </row>
    <row r="1119" spans="1:34" x14ac:dyDescent="0.2">
      <c r="U1119" s="39"/>
      <c r="V1119" s="39"/>
      <c r="W1119" s="88"/>
      <c r="Z1119" s="428"/>
      <c r="AA1119" s="359"/>
      <c r="AE1119" s="89"/>
      <c r="AF1119" s="89"/>
      <c r="AG1119" s="597"/>
      <c r="AH1119" s="89"/>
    </row>
    <row r="1120" spans="1:34" x14ac:dyDescent="0.2">
      <c r="A1120" s="49">
        <v>40</v>
      </c>
      <c r="B1120" s="37" t="s">
        <v>299</v>
      </c>
      <c r="C1120" s="47"/>
      <c r="D1120" s="55">
        <f ca="1">SUM(F1120:I1120)+K1120</f>
        <v>115982377.99999997</v>
      </c>
      <c r="F1120" s="49">
        <f ca="1">F1091+F1108+F1115+F1117+F1118</f>
        <v>109038721.97839193</v>
      </c>
      <c r="H1120" s="49">
        <f ca="1">H1091+H1108+H1115+H1117+H1118</f>
        <v>5526225.6610029377</v>
      </c>
      <c r="I1120" s="49">
        <f ca="1">(L1120+M1120+N1120)</f>
        <v>1417430.3606050992</v>
      </c>
      <c r="L1120" s="49">
        <f ca="1">L1091+L1108+L1115+L1117+L1118</f>
        <v>7718.3760793046158</v>
      </c>
      <c r="M1120" s="49"/>
      <c r="N1120" s="49">
        <f ca="1">SUM(O1120:Q1120)</f>
        <v>1409711.9845257946</v>
      </c>
      <c r="O1120" s="49">
        <f ca="1">O1091+O1108+O1115+O1117+O1118</f>
        <v>734582.36658578459</v>
      </c>
      <c r="P1120" s="49">
        <f ca="1">P1091+P1108+P1115+P1117+P1118</f>
        <v>675129.61794001015</v>
      </c>
      <c r="Q1120" s="49">
        <f ca="1">Q1091+Q1108+Q1115+Q1117+Q1118</f>
        <v>5.7407053870481153E-12</v>
      </c>
      <c r="U1120" s="39"/>
      <c r="V1120" s="39"/>
      <c r="W1120" s="77"/>
      <c r="X1120" s="78"/>
      <c r="Y1120" s="78"/>
      <c r="Z1120" s="78"/>
      <c r="AG1120" s="597"/>
    </row>
    <row r="1121" spans="1:33" x14ac:dyDescent="0.2">
      <c r="C1121" s="47"/>
      <c r="D1121" s="47"/>
      <c r="V1121" s="39"/>
      <c r="W1121" s="77"/>
      <c r="X1121" s="78"/>
      <c r="Y1121" s="78"/>
      <c r="Z1121" s="78" t="s">
        <v>2404</v>
      </c>
      <c r="AA1121" s="285">
        <f>IS!$N$344*1000</f>
        <v>938986321.69972694</v>
      </c>
      <c r="AB1121" s="280">
        <f ca="1">D1122-AA1121</f>
        <v>0</v>
      </c>
      <c r="AG1121" s="597"/>
    </row>
    <row r="1122" spans="1:33" x14ac:dyDescent="0.2">
      <c r="A1122" s="49">
        <v>41</v>
      </c>
      <c r="B1122" s="37" t="s">
        <v>300</v>
      </c>
      <c r="C1122" s="47"/>
      <c r="D1122" s="55">
        <f ca="1">SUM(F1122:I1122)+K1122</f>
        <v>938986321.69972646</v>
      </c>
      <c r="F1122" s="49">
        <f ca="1">F1012+F1035+F1060+F1071+F1078+F1085+F1120</f>
        <v>880920467.52057183</v>
      </c>
      <c r="H1122" s="49">
        <f ca="1">H1012+H1035+H1060+H1071+H1078+H1085+H1120</f>
        <v>42570834.742930502</v>
      </c>
      <c r="I1122" s="49">
        <f ca="1">(L1122+M1122+N1122)</f>
        <v>15495019.436224075</v>
      </c>
      <c r="L1122" s="49">
        <f ca="1">L1012+L1035+L1060+L1071+L1078+L1085+L1120</f>
        <v>25291.61392747115</v>
      </c>
      <c r="M1122" s="49"/>
      <c r="N1122" s="49">
        <f ca="1">SUM(O1122:Q1122)</f>
        <v>15469727.822296605</v>
      </c>
      <c r="O1122" s="49">
        <f ca="1">O1012+O1035+O1060+O1071+O1078+O1085+O1120</f>
        <v>7887472.1403945638</v>
      </c>
      <c r="P1122" s="49">
        <f ca="1">P1012+P1035+P1060+P1071+P1078+P1085+P1120</f>
        <v>7582255.6819020417</v>
      </c>
      <c r="Q1122" s="49">
        <f ca="1">Q1012+Q1035+Q1060+Q1071+Q1078+Q1085+Q1120</f>
        <v>5.7407053870481153E-12</v>
      </c>
      <c r="T1122" s="47"/>
      <c r="V1122" s="39"/>
      <c r="W1122" s="74"/>
    </row>
    <row r="1123" spans="1:33" x14ac:dyDescent="0.2">
      <c r="B1123" s="23" t="s">
        <v>680</v>
      </c>
      <c r="C1123" s="47"/>
      <c r="D1123" s="23">
        <f ca="1">SUM(D960,D977,D993,D1007,D1009,D1010,D1026,D1048,D1071,D1078,D1085,D1120,-D1107)</f>
        <v>792512083.69972646</v>
      </c>
      <c r="F1123" s="23">
        <f ca="1">SUM(F960,F977,F993,F1007,F1009,F1010,F1026,F1048,F1071,F1078,F1085,F1120,-F1107)</f>
        <v>745116673.04329598</v>
      </c>
      <c r="H1123" s="23">
        <f ca="1">SUM(H960,H977,H993,H1007,H1009,H1010,H1026,H1048,H1071,H1078,H1085,H1120,-H1107)</f>
        <v>34328167.882813901</v>
      </c>
      <c r="L1123" s="23">
        <f ca="1">SUM(L960,L977,L993,L1007,L1009,L1010,L1026,L1048,L1071,L1078,L1085,L1120,-L1107)</f>
        <v>19298.547178808469</v>
      </c>
      <c r="N1123" s="23">
        <f ca="1">SUM(N960,N977,N993,N1007,N1009,N1010,N1026,N1048,N1071,N1078,N1085,N1120,-N1107)</f>
        <v>13047944.226437615</v>
      </c>
      <c r="T1123" s="47"/>
      <c r="W1123" s="39"/>
    </row>
    <row r="1124" spans="1:33" x14ac:dyDescent="0.2">
      <c r="B1124" s="23" t="s">
        <v>701</v>
      </c>
      <c r="C1124" s="47"/>
      <c r="D1124" s="23">
        <f ca="1">SUM(D966,D983,D998,D1033,D1058,D1107)</f>
        <v>146474237.99999997</v>
      </c>
      <c r="F1124" s="23">
        <f ca="1">SUM(F966,F983,F998,F1033,F1058,F1107)</f>
        <v>135803794.4772757</v>
      </c>
      <c r="H1124" s="23">
        <f ca="1">SUM(H966,H983,H998,H1033,H1058,H1107)</f>
        <v>8242666.8601165917</v>
      </c>
      <c r="L1124" s="23">
        <f ca="1">SUM(L966,L983,L998,L1033,L1058,L1107)</f>
        <v>5993.0667486626744</v>
      </c>
      <c r="N1124" s="23">
        <f ca="1">SUM(N966,N983,N998,N1033,N1058,N1107)</f>
        <v>2421783.5958589893</v>
      </c>
      <c r="T1124" s="47"/>
      <c r="W1124" s="39"/>
    </row>
    <row r="1125" spans="1:33" x14ac:dyDescent="0.2">
      <c r="B1125" s="23" t="s">
        <v>892</v>
      </c>
      <c r="C1125" s="47"/>
      <c r="D1125" s="23">
        <f ca="1">D1123-D1007-D989-D953</f>
        <v>306508154.12999988</v>
      </c>
      <c r="F1125" s="23">
        <f ca="1">F1123-F1007-F989-F953</f>
        <v>287797774.31130749</v>
      </c>
      <c r="H1125" s="23">
        <f ca="1">H1123-H1007-H989-H953</f>
        <v>15649088.377742626</v>
      </c>
      <c r="L1125" s="23">
        <f ca="1">L1123-L1007-L989-L953</f>
        <v>17253.013120738884</v>
      </c>
      <c r="N1125" s="23">
        <f ca="1">N1123-N1007-N989-N953</f>
        <v>3044038.4278288893</v>
      </c>
      <c r="T1125" s="47"/>
      <c r="W1125" s="39"/>
    </row>
    <row r="1126" spans="1:33" x14ac:dyDescent="0.2">
      <c r="B1126" s="53" t="s">
        <v>301</v>
      </c>
      <c r="C1126" s="47"/>
      <c r="T1126" s="47"/>
      <c r="W1126" s="39"/>
    </row>
    <row r="1127" spans="1:33" x14ac:dyDescent="0.2">
      <c r="C1127" s="47"/>
      <c r="T1127" s="47"/>
      <c r="W1127" s="39"/>
    </row>
    <row r="1128" spans="1:33" x14ac:dyDescent="0.2">
      <c r="B1128" s="37" t="s">
        <v>302</v>
      </c>
      <c r="C1128" s="47"/>
      <c r="D1128" s="91"/>
      <c r="T1128" s="47"/>
      <c r="W1128" s="39"/>
    </row>
    <row r="1129" spans="1:33" x14ac:dyDescent="0.2">
      <c r="C1129" s="47"/>
      <c r="D1129" s="91"/>
      <c r="T1129" s="92"/>
      <c r="W1129" s="39"/>
    </row>
    <row r="1130" spans="1:33" x14ac:dyDescent="0.2">
      <c r="B1130" s="37" t="s">
        <v>104</v>
      </c>
      <c r="T1130" s="47"/>
      <c r="W1130" s="39"/>
    </row>
    <row r="1131" spans="1:33" x14ac:dyDescent="0.2">
      <c r="B1131" s="37" t="s">
        <v>105</v>
      </c>
      <c r="T1131" s="47"/>
      <c r="V1131" s="140"/>
      <c r="W1131" s="39"/>
    </row>
    <row r="1132" spans="1:33" x14ac:dyDescent="0.2">
      <c r="A1132" s="49">
        <v>1</v>
      </c>
      <c r="B1132" s="37" t="s">
        <v>106</v>
      </c>
      <c r="C1132" s="40" t="s">
        <v>679</v>
      </c>
      <c r="D1132" s="55">
        <f ca="1">SUM(F1132:I1132)+K1132</f>
        <v>205814155.29878169</v>
      </c>
      <c r="F1132" s="49">
        <f ca="1">INDEX(INDIRECT($C1132),1,F$12+1)*$T1132</f>
        <v>192933488.54162043</v>
      </c>
      <c r="H1132" s="49">
        <f ca="1">INDEX(INDIRECT($C1132),1,H$12+1)*$T1132</f>
        <v>8834661.8759615067</v>
      </c>
      <c r="I1132" s="49">
        <f ca="1">(L1132+M1132+N1132)</f>
        <v>4046004.881199745</v>
      </c>
      <c r="L1132" s="49">
        <f ca="1">INDEX(INDIRECT($C1132),1,L$12+1)*$T1132</f>
        <v>619.28962104904781</v>
      </c>
      <c r="M1132" s="49"/>
      <c r="N1132" s="49">
        <f ca="1">SUM(O1132:Q1132)</f>
        <v>4045385.5915786959</v>
      </c>
      <c r="O1132" s="49">
        <f t="shared" ref="O1132:Q1134" ca="1" si="299">INDEX(INDIRECT($C1132),1,O$12+1)*$T1132</f>
        <v>2051706.514535496</v>
      </c>
      <c r="P1132" s="49">
        <f t="shared" ca="1" si="299"/>
        <v>1993679.0770431997</v>
      </c>
      <c r="Q1132" s="49">
        <f t="shared" ca="1" si="299"/>
        <v>0</v>
      </c>
      <c r="T1132" s="74">
        <f>T1135-T1133-T1134</f>
        <v>205814155.29878166</v>
      </c>
      <c r="U1132" s="39"/>
      <c r="W1132" s="39"/>
      <c r="X1132" s="39"/>
      <c r="Y1132" s="39"/>
    </row>
    <row r="1133" spans="1:33" x14ac:dyDescent="0.2">
      <c r="A1133" s="49">
        <v>2</v>
      </c>
      <c r="B1133" s="37" t="s">
        <v>107</v>
      </c>
      <c r="C1133" s="40" t="s">
        <v>574</v>
      </c>
      <c r="D1133" s="55">
        <f ca="1">SUM(F1133:I1133)+K1133</f>
        <v>386720.99999999988</v>
      </c>
      <c r="F1133" s="49">
        <f ca="1">INDEX(INDIRECT($C1133),1,F$12+1)*$T1133</f>
        <v>203089.44680136981</v>
      </c>
      <c r="H1133" s="49">
        <f ca="1">INDEX(INDIRECT($C1133),1,H$12+1)*$T1133</f>
        <v>125956.26579452054</v>
      </c>
      <c r="I1133" s="49">
        <f ca="1">(L1133+M1133+N1133)</f>
        <v>57675.287404109578</v>
      </c>
      <c r="L1133" s="49">
        <f ca="1">INDEX(INDIRECT($C1133),1,L$12+1)*$T1133</f>
        <v>0</v>
      </c>
      <c r="M1133" s="49"/>
      <c r="N1133" s="49">
        <f ca="1">SUM(O1133:Q1133)</f>
        <v>57675.287404109578</v>
      </c>
      <c r="O1133" s="49">
        <f t="shared" ca="1" si="299"/>
        <v>29251.293904109585</v>
      </c>
      <c r="P1133" s="49">
        <f t="shared" ca="1" si="299"/>
        <v>28423.993499999993</v>
      </c>
      <c r="Q1133" s="49">
        <f t="shared" ca="1" si="299"/>
        <v>0</v>
      </c>
      <c r="T1133" s="243">
        <f>'AFUDC Depr AccDepr'!C29</f>
        <v>386720.99999999994</v>
      </c>
      <c r="U1133" s="39"/>
      <c r="V1133" s="39" t="s">
        <v>417</v>
      </c>
      <c r="W1133" s="39"/>
      <c r="X1133" s="39"/>
      <c r="Y1133" s="39"/>
    </row>
    <row r="1134" spans="1:33" x14ac:dyDescent="0.2">
      <c r="A1134" s="49">
        <v>3</v>
      </c>
      <c r="B1134" s="37" t="s">
        <v>108</v>
      </c>
      <c r="C1134" s="40" t="s">
        <v>580</v>
      </c>
      <c r="D1134" s="55">
        <f ca="1">SUM(F1134:I1134)+K1134</f>
        <v>690251.00000000047</v>
      </c>
      <c r="F1134" s="49">
        <f ca="1">INDEX(INDIRECT($C1134),1,F$12+1)*$T1134</f>
        <v>537583.0216122329</v>
      </c>
      <c r="H1134" s="49">
        <f ca="1">INDEX(INDIRECT($C1134),1,H$12+1)*$T1134</f>
        <v>0</v>
      </c>
      <c r="I1134" s="49">
        <f ca="1">(L1134+M1134+N1134)</f>
        <v>152667.97838776751</v>
      </c>
      <c r="L1134" s="49">
        <f ca="1">INDEX(INDIRECT($C1134),1,L$12+1)*$T1134</f>
        <v>0</v>
      </c>
      <c r="M1134" s="49"/>
      <c r="N1134" s="49">
        <f ca="1">SUM(O1134:Q1134)</f>
        <v>152667.97838776751</v>
      </c>
      <c r="O1134" s="49">
        <f t="shared" ca="1" si="299"/>
        <v>77428.93198393732</v>
      </c>
      <c r="P1134" s="49">
        <f t="shared" ca="1" si="299"/>
        <v>75239.046403830187</v>
      </c>
      <c r="Q1134" s="49">
        <f t="shared" ca="1" si="299"/>
        <v>0</v>
      </c>
      <c r="T1134" s="243">
        <f>'AFUDC Depr AccDepr'!D29</f>
        <v>690251.00000000047</v>
      </c>
      <c r="U1134" s="39"/>
      <c r="V1134" s="39" t="s">
        <v>417</v>
      </c>
      <c r="W1134" s="39"/>
      <c r="Y1134" s="39"/>
    </row>
    <row r="1135" spans="1:33" x14ac:dyDescent="0.2">
      <c r="A1135" s="49">
        <v>4</v>
      </c>
      <c r="B1135" s="37" t="s">
        <v>109</v>
      </c>
      <c r="D1135" s="55">
        <f ca="1">SUM(F1135:I1135)+K1135</f>
        <v>206891127.29878166</v>
      </c>
      <c r="F1135" s="49">
        <f ca="1">SUM(F1132:F1134)</f>
        <v>193674161.01003402</v>
      </c>
      <c r="H1135" s="49">
        <f ca="1">SUM(H1132:H1134)</f>
        <v>8960618.1417560279</v>
      </c>
      <c r="I1135" s="49">
        <f ca="1">(L1135+M1135+N1135)</f>
        <v>4256348.1469916217</v>
      </c>
      <c r="L1135" s="49">
        <f ca="1">SUM(L1132:L1134)</f>
        <v>619.28962104904781</v>
      </c>
      <c r="M1135" s="49"/>
      <c r="N1135" s="49">
        <f ca="1">SUM(O1135:Q1135)</f>
        <v>4255728.8573705731</v>
      </c>
      <c r="O1135" s="49">
        <f ca="1">SUM(O1132:O1134)</f>
        <v>2158386.7404235429</v>
      </c>
      <c r="P1135" s="49">
        <f ca="1">SUM(P1132:P1134)</f>
        <v>2097342.1169470302</v>
      </c>
      <c r="Q1135" s="49">
        <f ca="1">SUM(Q1132:Q1134)</f>
        <v>0</v>
      </c>
      <c r="T1135" s="289">
        <f>SUMIFS(FCPIS!$U$6:$U$898,FCPIS!$G$6:$G$898,$U1135,FCPIS!$B$6:$B$898,$X1135,FCPIS!$D$6:$D$898,"DE")*1000</f>
        <v>206891127.29878166</v>
      </c>
      <c r="U1135" s="24" t="s">
        <v>2666</v>
      </c>
      <c r="V1135" s="89" t="s">
        <v>418</v>
      </c>
      <c r="W1135" s="39"/>
      <c r="X1135" s="24" t="s">
        <v>935</v>
      </c>
    </row>
    <row r="1136" spans="1:33" x14ac:dyDescent="0.2">
      <c r="A1136" s="49"/>
      <c r="B1136" s="37"/>
      <c r="D1136" s="55"/>
      <c r="F1136" s="49"/>
      <c r="H1136" s="49"/>
      <c r="I1136" s="49"/>
      <c r="L1136" s="49"/>
      <c r="M1136" s="49"/>
      <c r="N1136" s="49"/>
      <c r="O1136" s="49"/>
      <c r="P1136" s="49"/>
      <c r="Q1136" s="49"/>
      <c r="T1136" s="24"/>
      <c r="V1136" s="89"/>
      <c r="W1136" s="39"/>
    </row>
    <row r="1137" spans="1:27" x14ac:dyDescent="0.2">
      <c r="B1137" s="37" t="s">
        <v>110</v>
      </c>
      <c r="T1137" s="24"/>
      <c r="W1137" s="39"/>
    </row>
    <row r="1138" spans="1:27" x14ac:dyDescent="0.2">
      <c r="A1138" s="49">
        <v>5</v>
      </c>
      <c r="B1138" s="37" t="s">
        <v>106</v>
      </c>
      <c r="C1138" s="40" t="s">
        <v>944</v>
      </c>
      <c r="D1138" s="55">
        <f ca="1">SUM(F1138:I1138)+K1138</f>
        <v>1294004.7050958402</v>
      </c>
      <c r="F1138" s="49">
        <f ca="1">INDEX(INDIRECT($C1138),1,F$12+1)*$T1138</f>
        <v>1213020.7544810646</v>
      </c>
      <c r="H1138" s="49">
        <f ca="1">INDEX(INDIRECT($C1138),1,H$12+1)*$T1138</f>
        <v>55545.713164524524</v>
      </c>
      <c r="I1138" s="49">
        <f ca="1">(L1138+M1138+N1138)</f>
        <v>25438.237450250821</v>
      </c>
      <c r="L1138" s="49">
        <f ca="1">INDEX(INDIRECT($C1138),1,L$12+1)*$T1138</f>
        <v>3.8936276384447095</v>
      </c>
      <c r="M1138" s="49"/>
      <c r="N1138" s="49">
        <f ca="1">SUM(O1138:Q1138)</f>
        <v>25434.343822612376</v>
      </c>
      <c r="O1138" s="49">
        <f t="shared" ref="O1138:Q1140" ca="1" si="300">INDEX(INDIRECT($C1138),1,O$12+1)*$T1138</f>
        <v>12899.588366167322</v>
      </c>
      <c r="P1138" s="49">
        <f t="shared" ca="1" si="300"/>
        <v>12534.755456445053</v>
      </c>
      <c r="Q1138" s="49">
        <f t="shared" ca="1" si="300"/>
        <v>0</v>
      </c>
      <c r="T1138" s="74">
        <f>T1141-T1139-T1140</f>
        <v>1294004.7050958402</v>
      </c>
      <c r="U1138" s="39"/>
      <c r="V1138" s="39"/>
      <c r="W1138" s="39"/>
      <c r="X1138" s="39"/>
    </row>
    <row r="1139" spans="1:27" x14ac:dyDescent="0.2">
      <c r="A1139" s="49">
        <v>6</v>
      </c>
      <c r="B1139" s="37" t="s">
        <v>107</v>
      </c>
      <c r="C1139" s="40" t="s">
        <v>574</v>
      </c>
      <c r="D1139" s="55">
        <f ca="1">SUM(F1139:I1139)+K1139</f>
        <v>24.999999999999957</v>
      </c>
      <c r="F1139" s="49">
        <f ca="1">INDEX(INDIRECT($C1139),1,F$12+1)*$T1139</f>
        <v>13.12893835616436</v>
      </c>
      <c r="H1139" s="49">
        <f ca="1">INDEX(INDIRECT($C1139),1,H$12+1)*$T1139</f>
        <v>8.1425799086757866</v>
      </c>
      <c r="I1139" s="49">
        <f ca="1">(L1139+M1139+N1139)</f>
        <v>3.7284817351598107</v>
      </c>
      <c r="L1139" s="49">
        <f ca="1">INDEX(INDIRECT($C1139),1,L$12+1)*$T1139</f>
        <v>0</v>
      </c>
      <c r="M1139" s="49"/>
      <c r="N1139" s="49">
        <f ca="1">SUM(O1139:Q1139)</f>
        <v>3.7284817351598107</v>
      </c>
      <c r="O1139" s="49">
        <f t="shared" ca="1" si="300"/>
        <v>1.8909817351598142</v>
      </c>
      <c r="P1139" s="49">
        <f t="shared" ca="1" si="300"/>
        <v>1.8374999999999968</v>
      </c>
      <c r="Q1139" s="49">
        <f t="shared" ca="1" si="300"/>
        <v>0</v>
      </c>
      <c r="T1139" s="243">
        <f>'AFUDC Depr AccDepr'!C33</f>
        <v>24.999999999999957</v>
      </c>
      <c r="U1139" s="39"/>
      <c r="V1139" s="39" t="s">
        <v>417</v>
      </c>
      <c r="W1139" s="39"/>
      <c r="X1139" s="39"/>
      <c r="Y1139" s="39"/>
    </row>
    <row r="1140" spans="1:27" x14ac:dyDescent="0.2">
      <c r="A1140" s="49">
        <v>7</v>
      </c>
      <c r="B1140" s="37" t="s">
        <v>108</v>
      </c>
      <c r="C1140" s="40" t="s">
        <v>580</v>
      </c>
      <c r="D1140" s="55">
        <f ca="1">SUM(F1140:I1140)+K1140</f>
        <v>3212.9999999999995</v>
      </c>
      <c r="F1140" s="49">
        <f ca="1">INDEX(INDIRECT($C1140),1,F$12+1)*$T1140</f>
        <v>2502.3567491247431</v>
      </c>
      <c r="H1140" s="49">
        <f ca="1">INDEX(INDIRECT($C1140),1,H$12+1)*$T1140</f>
        <v>0</v>
      </c>
      <c r="I1140" s="49">
        <f ca="1">(L1140+M1140+N1140)</f>
        <v>710.6432508752564</v>
      </c>
      <c r="L1140" s="49">
        <f ca="1">INDEX(INDIRECT($C1140),1,L$12+1)*$T1140</f>
        <v>0</v>
      </c>
      <c r="M1140" s="49"/>
      <c r="N1140" s="49">
        <f ca="1">SUM(O1140:Q1140)</f>
        <v>710.6432508752564</v>
      </c>
      <c r="O1140" s="49">
        <f t="shared" ca="1" si="300"/>
        <v>360.41839629988283</v>
      </c>
      <c r="P1140" s="49">
        <f t="shared" ca="1" si="300"/>
        <v>350.22485457537363</v>
      </c>
      <c r="Q1140" s="49">
        <f t="shared" ca="1" si="300"/>
        <v>0</v>
      </c>
      <c r="T1140" s="243">
        <f>'AFUDC Depr AccDepr'!D33</f>
        <v>3212.9999999999995</v>
      </c>
      <c r="U1140" s="39"/>
      <c r="V1140" s="39" t="s">
        <v>417</v>
      </c>
      <c r="W1140" s="39"/>
    </row>
    <row r="1141" spans="1:27" x14ac:dyDescent="0.2">
      <c r="A1141" s="49">
        <v>8</v>
      </c>
      <c r="B1141" s="37" t="s">
        <v>111</v>
      </c>
      <c r="D1141" s="55">
        <f ca="1">SUM(F1141:I1141)+K1141</f>
        <v>1297242.7050958399</v>
      </c>
      <c r="F1141" s="49">
        <f ca="1">SUM(F1138:F1140)</f>
        <v>1215536.2401685456</v>
      </c>
      <c r="H1141" s="49">
        <f ca="1">SUM(H1138:H1140)</f>
        <v>55553.855744433204</v>
      </c>
      <c r="I1141" s="49">
        <f ca="1">(L1141+M1141+N1141)</f>
        <v>26152.609182861237</v>
      </c>
      <c r="L1141" s="49">
        <f ca="1">SUM(L1138:L1140)</f>
        <v>3.8936276384447095</v>
      </c>
      <c r="M1141" s="49"/>
      <c r="N1141" s="49">
        <f ca="1">SUM(O1141:Q1141)</f>
        <v>26148.715555222792</v>
      </c>
      <c r="O1141" s="49">
        <f ca="1">SUM(O1138:O1140)</f>
        <v>13261.897744202364</v>
      </c>
      <c r="P1141" s="49">
        <f ca="1">SUM(P1138:P1140)</f>
        <v>12886.817811020426</v>
      </c>
      <c r="Q1141" s="49">
        <f ca="1">SUM(Q1138:Q1140)</f>
        <v>0</v>
      </c>
      <c r="T1141" s="289">
        <f>SUMIFS(FCPIS!$U$6:$U$898,FCPIS!$G$6:$G$898,$U1141,FCPIS!$B$6:$B$898,$X1141,FCPIS!$D$6:$D$898,"DE")*1000</f>
        <v>1297242.7050958402</v>
      </c>
      <c r="U1141" s="24" t="s">
        <v>2667</v>
      </c>
      <c r="V1141" s="89" t="s">
        <v>418</v>
      </c>
      <c r="W1141" s="39"/>
      <c r="X1141" s="24" t="s">
        <v>935</v>
      </c>
    </row>
    <row r="1142" spans="1:27" x14ac:dyDescent="0.2">
      <c r="A1142" s="49"/>
      <c r="B1142" s="37"/>
      <c r="D1142" s="55"/>
      <c r="F1142" s="49"/>
      <c r="H1142" s="49"/>
      <c r="I1142" s="49"/>
      <c r="L1142" s="49"/>
      <c r="M1142" s="49"/>
      <c r="N1142" s="49"/>
      <c r="O1142" s="49"/>
      <c r="P1142" s="49"/>
      <c r="Q1142" s="49"/>
      <c r="T1142" s="24"/>
      <c r="V1142" s="89"/>
      <c r="W1142" s="39"/>
    </row>
    <row r="1143" spans="1:27" x14ac:dyDescent="0.2">
      <c r="B1143" s="37" t="s">
        <v>112</v>
      </c>
      <c r="T1143" s="24"/>
      <c r="W1143" s="39"/>
    </row>
    <row r="1144" spans="1:27" x14ac:dyDescent="0.2">
      <c r="A1144" s="49">
        <v>9</v>
      </c>
      <c r="B1144" s="37" t="s">
        <v>106</v>
      </c>
      <c r="C1144" s="40" t="s">
        <v>946</v>
      </c>
      <c r="D1144" s="55">
        <f ca="1">SUM(F1144:I1144)+K1144</f>
        <v>41706873.465249129</v>
      </c>
      <c r="F1144" s="49">
        <f ca="1">INDEX(INDIRECT($C1144),1,F$12+1)*$T1144</f>
        <v>39096691.780665331</v>
      </c>
      <c r="H1144" s="49">
        <f ca="1">INDEX(INDIRECT($C1144),1,H$12+1)*$T1144</f>
        <v>1790285.6313944131</v>
      </c>
      <c r="I1144" s="49">
        <f ca="1">(L1144+M1144+N1144)</f>
        <v>819896.05318938452</v>
      </c>
      <c r="L1144" s="49">
        <f ca="1">INDEX(INDIRECT($C1144),1,L$12+1)*$T1144</f>
        <v>125.49493413579422</v>
      </c>
      <c r="M1144" s="49"/>
      <c r="N1144" s="49">
        <f ca="1">SUM(O1144:Q1144)</f>
        <v>819770.5582552487</v>
      </c>
      <c r="O1144" s="49">
        <f t="shared" ref="O1144:Q1146" ca="1" si="301">INDEX(INDIRECT($C1144),1,O$12+1)*$T1144</f>
        <v>415764.71679188625</v>
      </c>
      <c r="P1144" s="49">
        <f t="shared" ca="1" si="301"/>
        <v>404005.84146336239</v>
      </c>
      <c r="Q1144" s="49">
        <f t="shared" ca="1" si="301"/>
        <v>0</v>
      </c>
      <c r="T1144" s="74">
        <f>T1147-T1145-T1146</f>
        <v>41706873.465249129</v>
      </c>
      <c r="U1144" s="39"/>
      <c r="V1144" s="39"/>
      <c r="W1144" s="39"/>
      <c r="X1144" s="39"/>
      <c r="Y1144" s="39"/>
    </row>
    <row r="1145" spans="1:27" x14ac:dyDescent="0.2">
      <c r="A1145" s="49">
        <v>10</v>
      </c>
      <c r="B1145" s="37" t="s">
        <v>107</v>
      </c>
      <c r="C1145" s="40" t="s">
        <v>574</v>
      </c>
      <c r="D1145" s="55">
        <f ca="1">SUM(F1145:I1145)+K1145</f>
        <v>93.999999999999943</v>
      </c>
      <c r="F1145" s="49">
        <f ca="1">INDEX(INDIRECT($C1145),1,F$12+1)*$T1145</f>
        <v>49.364808219178059</v>
      </c>
      <c r="H1145" s="49">
        <f ca="1">INDEX(INDIRECT($C1145),1,H$12+1)*$T1145</f>
        <v>30.616100456620991</v>
      </c>
      <c r="I1145" s="49">
        <f ca="1">(L1145+M1145+N1145)</f>
        <v>14.019091324200907</v>
      </c>
      <c r="L1145" s="49">
        <f ca="1">INDEX(INDIRECT($C1145),1,L$12+1)*$T1145</f>
        <v>0</v>
      </c>
      <c r="M1145" s="49"/>
      <c r="N1145" s="49">
        <f ca="1">SUM(O1145:Q1145)</f>
        <v>14.019091324200907</v>
      </c>
      <c r="O1145" s="49">
        <f t="shared" ca="1" si="301"/>
        <v>7.1100913242009103</v>
      </c>
      <c r="P1145" s="49">
        <f t="shared" ca="1" si="301"/>
        <v>6.9089999999999963</v>
      </c>
      <c r="Q1145" s="49">
        <f t="shared" ca="1" si="301"/>
        <v>0</v>
      </c>
      <c r="T1145" s="243">
        <f>'AFUDC Depr AccDepr'!C51</f>
        <v>93.999999999999957</v>
      </c>
      <c r="U1145" s="39"/>
      <c r="V1145" s="39" t="s">
        <v>417</v>
      </c>
      <c r="W1145" s="39"/>
      <c r="X1145" s="39"/>
      <c r="Y1145" s="39"/>
    </row>
    <row r="1146" spans="1:27" x14ac:dyDescent="0.2">
      <c r="A1146" s="49">
        <v>11</v>
      </c>
      <c r="B1146" s="37" t="s">
        <v>108</v>
      </c>
      <c r="C1146" s="40" t="s">
        <v>580</v>
      </c>
      <c r="D1146" s="55">
        <f ca="1">SUM(F1146:I1146)+K1146</f>
        <v>184266.00000000006</v>
      </c>
      <c r="F1146" s="49">
        <f ca="1">INDEX(INDIRECT($C1146),1,F$12+1)*$T1146</f>
        <v>143510.51003243701</v>
      </c>
      <c r="H1146" s="49">
        <f ca="1">INDEX(INDIRECT($C1146),1,H$12+1)*$T1146</f>
        <v>0</v>
      </c>
      <c r="I1146" s="49">
        <f ca="1">(L1146+M1146+N1146)</f>
        <v>40755.489967563044</v>
      </c>
      <c r="L1146" s="49">
        <f ca="1">INDEX(INDIRECT($C1146),1,L$12+1)*$T1146</f>
        <v>0</v>
      </c>
      <c r="M1146" s="49"/>
      <c r="N1146" s="49">
        <f ca="1">SUM(O1146:Q1146)</f>
        <v>40755.489967563044</v>
      </c>
      <c r="O1146" s="49">
        <f t="shared" ca="1" si="301"/>
        <v>20670.045506565279</v>
      </c>
      <c r="P1146" s="49">
        <f t="shared" ca="1" si="301"/>
        <v>20085.444460997765</v>
      </c>
      <c r="Q1146" s="49">
        <f t="shared" ca="1" si="301"/>
        <v>0</v>
      </c>
      <c r="T1146" s="243">
        <f>'AFUDC Depr AccDepr'!D51</f>
        <v>184266.00000000006</v>
      </c>
      <c r="U1146" s="39"/>
      <c r="V1146" s="39" t="s">
        <v>417</v>
      </c>
      <c r="W1146" s="39"/>
    </row>
    <row r="1147" spans="1:27" x14ac:dyDescent="0.2">
      <c r="A1147" s="49">
        <v>12</v>
      </c>
      <c r="B1147" s="37" t="s">
        <v>113</v>
      </c>
      <c r="D1147" s="55">
        <f ca="1">SUM(F1147:I1147)+K1147</f>
        <v>41891233.465249129</v>
      </c>
      <c r="F1147" s="49">
        <f ca="1">SUM(F1144:F1146)</f>
        <v>39240251.655505985</v>
      </c>
      <c r="H1147" s="49">
        <f ca="1">SUM(H1144:H1146)</f>
        <v>1790316.2474948696</v>
      </c>
      <c r="I1147" s="49">
        <f ca="1">(L1147+M1147+N1147)</f>
        <v>860665.56224827166</v>
      </c>
      <c r="L1147" s="49">
        <f ca="1">SUM(L1144:L1146)</f>
        <v>125.49493413579422</v>
      </c>
      <c r="M1147" s="49"/>
      <c r="N1147" s="49">
        <f ca="1">SUM(O1147:Q1147)</f>
        <v>860540.06731413584</v>
      </c>
      <c r="O1147" s="49">
        <f ca="1">SUM(O1144:O1146)</f>
        <v>436441.8723897757</v>
      </c>
      <c r="P1147" s="49">
        <f ca="1">SUM(P1144:P1146)</f>
        <v>424098.19492436014</v>
      </c>
      <c r="Q1147" s="49">
        <f ca="1">SUM(Q1144:Q1146)</f>
        <v>0</v>
      </c>
      <c r="T1147" s="289">
        <f>SUMIFS(FCPIS!$U$6:$U$898,FCPIS!$G$6:$G$898,$U1147,FCPIS!$B$6:$B$898,$X1147,FCPIS!$D$6:$D$898,"DE")*1000</f>
        <v>41891233.465249129</v>
      </c>
      <c r="U1147" s="24" t="s">
        <v>2668</v>
      </c>
      <c r="V1147" s="89" t="s">
        <v>418</v>
      </c>
      <c r="W1147" s="39"/>
      <c r="X1147" s="24" t="s">
        <v>935</v>
      </c>
    </row>
    <row r="1148" spans="1:27" x14ac:dyDescent="0.2">
      <c r="A1148" s="49"/>
      <c r="B1148" s="37"/>
      <c r="D1148" s="55"/>
      <c r="F1148" s="49"/>
      <c r="H1148" s="49"/>
      <c r="I1148" s="49"/>
      <c r="L1148" s="49"/>
      <c r="M1148" s="49"/>
      <c r="N1148" s="49"/>
      <c r="O1148" s="49"/>
      <c r="P1148" s="49"/>
      <c r="Q1148" s="49"/>
      <c r="T1148" s="24"/>
      <c r="V1148" s="89"/>
      <c r="W1148" s="39"/>
    </row>
    <row r="1149" spans="1:27" x14ac:dyDescent="0.2">
      <c r="A1149" s="49">
        <v>13</v>
      </c>
      <c r="B1149" s="37" t="s">
        <v>114</v>
      </c>
      <c r="D1149" s="55">
        <f ca="1">SUM(F1149:I1149)+K1149</f>
        <v>250079603.46912664</v>
      </c>
      <c r="F1149" s="49">
        <f ca="1">F1135+F1141+F1147</f>
        <v>234129948.90570855</v>
      </c>
      <c r="H1149" s="49">
        <f ca="1">H1135+H1141+H1147</f>
        <v>10806488.24499533</v>
      </c>
      <c r="I1149" s="49">
        <f ca="1">(L1149+M1149+N1149)</f>
        <v>5143166.3184227552</v>
      </c>
      <c r="L1149" s="49">
        <f ca="1">L1135+L1141+L1147</f>
        <v>748.67818282328676</v>
      </c>
      <c r="M1149" s="49"/>
      <c r="N1149" s="49">
        <f ca="1">SUM(O1149:Q1149)</f>
        <v>5142417.6402399316</v>
      </c>
      <c r="O1149" s="49">
        <f ca="1">O1135+O1141+O1147</f>
        <v>2608090.5105575211</v>
      </c>
      <c r="P1149" s="49">
        <f ca="1">P1135+P1141+P1147</f>
        <v>2534327.129682411</v>
      </c>
      <c r="Q1149" s="49">
        <f ca="1">Q1135+Q1141+Q1147</f>
        <v>0</v>
      </c>
      <c r="T1149" s="24"/>
      <c r="W1149" s="39"/>
    </row>
    <row r="1150" spans="1:27" x14ac:dyDescent="0.2">
      <c r="T1150" s="24"/>
      <c r="W1150" s="39"/>
    </row>
    <row r="1151" spans="1:27" x14ac:dyDescent="0.2">
      <c r="B1151" s="37" t="s">
        <v>115</v>
      </c>
      <c r="T1151" s="24"/>
      <c r="W1151" s="39"/>
    </row>
    <row r="1152" spans="1:27" x14ac:dyDescent="0.2">
      <c r="A1152" s="49">
        <v>14</v>
      </c>
      <c r="B1152" s="37" t="s">
        <v>81</v>
      </c>
      <c r="C1152" s="40" t="s">
        <v>1393</v>
      </c>
      <c r="D1152" s="55">
        <f ca="1">SUM(F1152:I1152)+K1152</f>
        <v>24956309.484434519</v>
      </c>
      <c r="F1152" s="49">
        <f ca="1">INDEX(INDIRECT($C1152),1,F$12+1)*$T1152</f>
        <v>23845701.236184534</v>
      </c>
      <c r="H1152" s="49">
        <f ca="1">INDEX(INDIRECT($C1152),1,H$12+1)*$T1152</f>
        <v>1110531.9003269658</v>
      </c>
      <c r="I1152" s="49">
        <f ca="1">(L1152+M1152+N1152)</f>
        <v>76.347923017617063</v>
      </c>
      <c r="L1152" s="49">
        <f ca="1">INDEX(INDIRECT($C1152),1,L$12+1)*$T1152</f>
        <v>76.347923017617063</v>
      </c>
      <c r="M1152" s="49"/>
      <c r="N1152" s="49">
        <f ca="1">SUM(O1152:Q1152)</f>
        <v>0</v>
      </c>
      <c r="O1152" s="49">
        <f t="shared" ref="O1152:Q1155" ca="1" si="302">INDEX(INDIRECT($C1152),1,O$12+1)*$T1152</f>
        <v>0</v>
      </c>
      <c r="P1152" s="49">
        <f t="shared" ca="1" si="302"/>
        <v>0</v>
      </c>
      <c r="Q1152" s="49">
        <f t="shared" ca="1" si="302"/>
        <v>0</v>
      </c>
      <c r="T1152" s="74">
        <f>T1156-T1153-T1154-T1155</f>
        <v>24956309.484434519</v>
      </c>
      <c r="U1152" s="39"/>
      <c r="V1152" s="89" t="s">
        <v>421</v>
      </c>
      <c r="W1152" s="39"/>
      <c r="X1152" s="39"/>
      <c r="Y1152" s="39"/>
      <c r="Z1152" s="39"/>
      <c r="AA1152" s="39"/>
    </row>
    <row r="1153" spans="1:28" x14ac:dyDescent="0.2">
      <c r="A1153" s="49">
        <v>15</v>
      </c>
      <c r="B1153" s="37" t="s">
        <v>83</v>
      </c>
      <c r="C1153" s="40" t="s">
        <v>988</v>
      </c>
      <c r="D1153" s="55">
        <f ca="1">SUM(F1153:I1153)+K1153</f>
        <v>1519202.0433821995</v>
      </c>
      <c r="F1153" s="49">
        <f ca="1">INDEX(INDIRECT($C1153),1,F$12+1)*$T1153</f>
        <v>184097.68677134824</v>
      </c>
      <c r="H1153" s="49">
        <f ca="1">INDEX(INDIRECT($C1153),1,H$12+1)*$T1153</f>
        <v>1335103.7656829231</v>
      </c>
      <c r="I1153" s="49">
        <f ca="1">(L1153+M1153+N1153)</f>
        <v>0.59092792826394125</v>
      </c>
      <c r="L1153" s="49">
        <f ca="1">INDEX(INDIRECT($C1153),1,L$12+1)*$T1153</f>
        <v>0.59092792826394125</v>
      </c>
      <c r="M1153" s="49"/>
      <c r="N1153" s="49">
        <f ca="1">SUM(O1153:Q1153)</f>
        <v>0</v>
      </c>
      <c r="O1153" s="49">
        <f t="shared" ca="1" si="302"/>
        <v>0</v>
      </c>
      <c r="P1153" s="49">
        <f t="shared" ca="1" si="302"/>
        <v>0</v>
      </c>
      <c r="Q1153" s="49">
        <f t="shared" ca="1" si="302"/>
        <v>0</v>
      </c>
      <c r="T1153" s="289">
        <f>SUMIFS(FCPIS!$U$6:$U$898,FCPIS!$G$6:$G$898,$U1153,FCPIS!$B$6:$B$898,$X1153,FCPIS!$D$6:$D$898,"DE")*1000</f>
        <v>1519202.0433821997</v>
      </c>
      <c r="U1153" s="24" t="s">
        <v>560</v>
      </c>
      <c r="V1153" s="89" t="s">
        <v>418</v>
      </c>
      <c r="W1153" s="39"/>
      <c r="X1153" s="24" t="s">
        <v>937</v>
      </c>
    </row>
    <row r="1154" spans="1:28" x14ac:dyDescent="0.2">
      <c r="A1154" s="49">
        <v>17</v>
      </c>
      <c r="B1154" s="37" t="s">
        <v>75</v>
      </c>
      <c r="C1154" s="40" t="s">
        <v>574</v>
      </c>
      <c r="D1154" s="55">
        <f ca="1">SUM(F1154:I1154)+K1154</f>
        <v>63243.999999999942</v>
      </c>
      <c r="F1154" s="49">
        <f ca="1">INDEX(INDIRECT($C1154),1,F$12+1)*$T1154</f>
        <v>33213.063095890378</v>
      </c>
      <c r="H1154" s="49">
        <f ca="1">INDEX(INDIRECT($C1154),1,H$12+1)*$T1154</f>
        <v>20598.772949771672</v>
      </c>
      <c r="I1154" s="49">
        <f ca="1">(L1154+M1154+N1154)</f>
        <v>9432.1639543378915</v>
      </c>
      <c r="L1154" s="49">
        <f ca="1">INDEX(INDIRECT($C1154),1,L$12+1)*$T1154</f>
        <v>0</v>
      </c>
      <c r="M1154" s="49"/>
      <c r="N1154" s="49">
        <f ca="1">SUM(O1154:Q1154)</f>
        <v>9432.1639543378915</v>
      </c>
      <c r="O1154" s="49">
        <f t="shared" ca="1" si="302"/>
        <v>4783.7299543378949</v>
      </c>
      <c r="P1154" s="49">
        <f t="shared" ca="1" si="302"/>
        <v>4648.4339999999956</v>
      </c>
      <c r="Q1154" s="49">
        <f t="shared" ca="1" si="302"/>
        <v>0</v>
      </c>
      <c r="T1154" s="243">
        <f>'AFUDC Depr AccDepr'!C56</f>
        <v>63243.999999999942</v>
      </c>
      <c r="U1154" s="39"/>
      <c r="V1154" s="39" t="s">
        <v>417</v>
      </c>
      <c r="W1154" s="39"/>
      <c r="X1154" s="39"/>
      <c r="Y1154" s="39"/>
    </row>
    <row r="1155" spans="1:28" x14ac:dyDescent="0.2">
      <c r="A1155" s="49">
        <v>18</v>
      </c>
      <c r="B1155" s="37" t="s">
        <v>76</v>
      </c>
      <c r="C1155" s="40" t="s">
        <v>580</v>
      </c>
      <c r="D1155" s="55">
        <f ca="1">SUM(F1155:I1155)+K1155</f>
        <v>32052</v>
      </c>
      <c r="F1155" s="49">
        <f ca="1">INDEX(INDIRECT($C1155),1,F$12+1)*$T1155</f>
        <v>24962.819334872791</v>
      </c>
      <c r="H1155" s="49">
        <f ca="1">INDEX(INDIRECT($C1155),1,H$12+1)*$T1155</f>
        <v>0</v>
      </c>
      <c r="I1155" s="49">
        <f ca="1">(L1155+M1155+N1155)</f>
        <v>7089.1806651272091</v>
      </c>
      <c r="L1155" s="49">
        <f ca="1">INDEX(INDIRECT($C1155),1,L$12+1)*$T1155</f>
        <v>0</v>
      </c>
      <c r="M1155" s="49"/>
      <c r="N1155" s="49">
        <f ca="1">SUM(O1155:Q1155)</f>
        <v>7089.1806651272091</v>
      </c>
      <c r="O1155" s="49">
        <f t="shared" ca="1" si="302"/>
        <v>3595.4343100541068</v>
      </c>
      <c r="P1155" s="49">
        <f t="shared" ca="1" si="302"/>
        <v>3493.7463550731018</v>
      </c>
      <c r="Q1155" s="49">
        <f t="shared" ca="1" si="302"/>
        <v>0</v>
      </c>
      <c r="T1155" s="243">
        <f>'AFUDC Depr AccDepr'!D56</f>
        <v>32052</v>
      </c>
      <c r="U1155" s="39"/>
      <c r="V1155" s="39" t="s">
        <v>417</v>
      </c>
      <c r="W1155" s="39"/>
    </row>
    <row r="1156" spans="1:28" x14ac:dyDescent="0.2">
      <c r="A1156" s="49">
        <v>19</v>
      </c>
      <c r="B1156" s="37" t="s">
        <v>116</v>
      </c>
      <c r="D1156" s="55">
        <f ca="1">SUM(F1156:I1156)+K1156</f>
        <v>26570807.527816717</v>
      </c>
      <c r="F1156" s="49">
        <f ca="1">SUM(F1152:F1155)</f>
        <v>24087974.805386644</v>
      </c>
      <c r="H1156" s="49">
        <f ca="1">SUM(H1152:H1155)</f>
        <v>2466234.4389596605</v>
      </c>
      <c r="I1156" s="49">
        <f ca="1">(L1156+M1156+N1156)</f>
        <v>16598.283470410981</v>
      </c>
      <c r="L1156" s="49">
        <f ca="1">SUM(L1152:L1155)</f>
        <v>76.938850945881001</v>
      </c>
      <c r="M1156" s="49"/>
      <c r="N1156" s="49">
        <f ca="1">SUM(O1156:Q1156)</f>
        <v>16521.344619465101</v>
      </c>
      <c r="O1156" s="49">
        <f ca="1">SUM(O1152:O1155)</f>
        <v>8379.1642643920022</v>
      </c>
      <c r="P1156" s="49">
        <f ca="1">SUM(P1152:P1155)</f>
        <v>8142.1803550730974</v>
      </c>
      <c r="Q1156" s="49">
        <f ca="1">SUM(Q1152:Q1155)</f>
        <v>0</v>
      </c>
      <c r="T1156" s="289">
        <f>SUMIFS(FCPIS!$U$6:$U$898,FCPIS!$G$6:$G$898,$U1156,FCPIS!$B$6:$B$898,$X1156,FCPIS!$D$6:$D$898,"DE")*1000</f>
        <v>26570807.52781672</v>
      </c>
      <c r="U1156" s="24" t="s">
        <v>560</v>
      </c>
      <c r="V1156" s="89" t="s">
        <v>418</v>
      </c>
      <c r="W1156" s="39"/>
    </row>
    <row r="1157" spans="1:28" x14ac:dyDescent="0.2">
      <c r="W1157" s="39"/>
    </row>
    <row r="1158" spans="1:28" x14ac:dyDescent="0.2">
      <c r="B1158" s="37" t="s">
        <v>303</v>
      </c>
      <c r="W1158" s="39"/>
    </row>
    <row r="1159" spans="1:28" x14ac:dyDescent="0.2">
      <c r="A1159" s="49">
        <v>20</v>
      </c>
      <c r="B1159" s="59" t="s">
        <v>63</v>
      </c>
      <c r="C1159" s="40" t="s">
        <v>1025</v>
      </c>
      <c r="D1159" s="55">
        <f ca="1">SUM(F1159:I1159)+K1159</f>
        <v>47427099.866636217</v>
      </c>
      <c r="F1159" s="49">
        <f ca="1">INDEX(INDIRECT($C1159),1,F$12+1)*$T1159</f>
        <v>47336937.887165405</v>
      </c>
      <c r="H1159" s="49">
        <f ca="1">INDEX(INDIRECT($C1159),1,H$12+1)*$T1159</f>
        <v>0</v>
      </c>
      <c r="I1159" s="49">
        <f ca="1">(L1159+M1159+N1159)</f>
        <v>90161.979470811857</v>
      </c>
      <c r="L1159" s="49">
        <f ca="1">INDEX(INDIRECT($C1159),1,L$12+1)*$T1159</f>
        <v>0</v>
      </c>
      <c r="M1159" s="49"/>
      <c r="N1159" s="49">
        <f ca="1">SUM(O1159:Q1159)</f>
        <v>90161.979470811857</v>
      </c>
      <c r="O1159" s="49">
        <f t="shared" ref="O1159:Q1161" ca="1" si="303">INDEX(INDIRECT($C1159),1,O$12+1)*$T1159</f>
        <v>89501.391231717775</v>
      </c>
      <c r="P1159" s="49">
        <f t="shared" ca="1" si="303"/>
        <v>660.58823909408011</v>
      </c>
      <c r="Q1159" s="49">
        <f t="shared" ca="1" si="303"/>
        <v>0</v>
      </c>
      <c r="T1159" s="289">
        <f>SUMIFS(FCPIS!$U$6:$U$898,FCPIS!$G$6:$G$898,$U1159,FCPIS!$B$6:$B$898,$X1159,FCPIS!$D$6:$D$898,"DE")*1000</f>
        <v>47427099.866636217</v>
      </c>
      <c r="U1159" s="24" t="s">
        <v>2665</v>
      </c>
      <c r="V1159" s="89" t="s">
        <v>418</v>
      </c>
      <c r="W1159" s="39"/>
      <c r="X1159" s="24" t="s">
        <v>935</v>
      </c>
    </row>
    <row r="1160" spans="1:28" x14ac:dyDescent="0.2">
      <c r="A1160" s="49">
        <v>21</v>
      </c>
      <c r="B1160" s="59" t="s">
        <v>64</v>
      </c>
      <c r="C1160" s="40" t="s">
        <v>1027</v>
      </c>
      <c r="D1160" s="55">
        <f ca="1">SUM(F1160:I1160)+K1160</f>
        <v>2474359.6733455588</v>
      </c>
      <c r="F1160" s="49">
        <f ca="1">INDEX(INDIRECT($C1160),1,F$12+1)*$T1160</f>
        <v>0</v>
      </c>
      <c r="H1160" s="49">
        <f ca="1">INDEX(INDIRECT($C1160),1,H$12+1)*$T1160</f>
        <v>2474359.6733455588</v>
      </c>
      <c r="I1160" s="49">
        <f ca="1">(L1160+M1160+N1160)</f>
        <v>0</v>
      </c>
      <c r="L1160" s="49">
        <f ca="1">INDEX(INDIRECT($C1160),1,L$12+1)*$T1160</f>
        <v>0</v>
      </c>
      <c r="M1160" s="49"/>
      <c r="N1160" s="49">
        <f ca="1">SUM(O1160:Q1160)</f>
        <v>0</v>
      </c>
      <c r="O1160" s="49">
        <f t="shared" ca="1" si="303"/>
        <v>0</v>
      </c>
      <c r="P1160" s="49">
        <f t="shared" ca="1" si="303"/>
        <v>0</v>
      </c>
      <c r="Q1160" s="49">
        <f t="shared" ca="1" si="303"/>
        <v>0</v>
      </c>
      <c r="T1160" s="289">
        <f>SUMIFS(FCPIS!$U$6:$U$898,FCPIS!$G$6:$G$898,$U1160,FCPIS!$B$6:$B$898,$X1160,FCPIS!$D$6:$D$898,"DE")*1000</f>
        <v>2474359.6733455588</v>
      </c>
      <c r="U1160" s="24" t="s">
        <v>2665</v>
      </c>
      <c r="V1160" s="89" t="s">
        <v>418</v>
      </c>
      <c r="W1160" s="39"/>
      <c r="X1160" s="24" t="s">
        <v>937</v>
      </c>
      <c r="Y1160" s="362"/>
      <c r="Z1160" s="360"/>
      <c r="AA1160" s="247"/>
      <c r="AB1160" s="247"/>
    </row>
    <row r="1161" spans="1:28" x14ac:dyDescent="0.2">
      <c r="A1161" s="49">
        <v>22</v>
      </c>
      <c r="B1161" s="59" t="s">
        <v>65</v>
      </c>
      <c r="C1161" s="40" t="s">
        <v>1029</v>
      </c>
      <c r="D1161" s="55">
        <f ca="1">SUM(F1161:I1161)+K1161</f>
        <v>4271.7860867520003</v>
      </c>
      <c r="F1161" s="49">
        <f ca="1">INDEX(INDIRECT($C1161),1,F$12+1)*$T1161</f>
        <v>0</v>
      </c>
      <c r="H1161" s="49">
        <f ca="1">INDEX(INDIRECT($C1161),1,H$12+1)*$T1161</f>
        <v>0</v>
      </c>
      <c r="I1161" s="49">
        <f ca="1">(L1161+M1161+N1161)</f>
        <v>4271.7860867520003</v>
      </c>
      <c r="L1161" s="49">
        <f ca="1">INDEX(INDIRECT($C1161),1,L$12+1)*$T1161</f>
        <v>4271.7860867520003</v>
      </c>
      <c r="M1161" s="49"/>
      <c r="N1161" s="49">
        <f ca="1">SUM(O1161:Q1161)</f>
        <v>0</v>
      </c>
      <c r="O1161" s="49">
        <f t="shared" ca="1" si="303"/>
        <v>0</v>
      </c>
      <c r="P1161" s="49">
        <f t="shared" ca="1" si="303"/>
        <v>0</v>
      </c>
      <c r="Q1161" s="49">
        <f t="shared" ca="1" si="303"/>
        <v>0</v>
      </c>
      <c r="T1161" s="289">
        <f>SUMIFS(FCPIS!$U$6:$U$898,FCPIS!$G$6:$G$898,$U1161,FCPIS!$B$6:$B$898,$X1161,FCPIS!$D$6:$D$898,"DE")*1000</f>
        <v>4271.7860867520003</v>
      </c>
      <c r="U1161" s="24" t="s">
        <v>2665</v>
      </c>
      <c r="V1161" s="89" t="s">
        <v>418</v>
      </c>
      <c r="W1161" s="39"/>
      <c r="X1161" s="39" t="s">
        <v>939</v>
      </c>
      <c r="Y1161" s="362"/>
      <c r="Z1161" s="360"/>
      <c r="AA1161" s="247"/>
      <c r="AB1161" s="247"/>
    </row>
    <row r="1162" spans="1:28" x14ac:dyDescent="0.2">
      <c r="A1162" s="49">
        <v>23</v>
      </c>
      <c r="B1162" s="37" t="s">
        <v>117</v>
      </c>
      <c r="C1162" s="47"/>
      <c r="D1162" s="55">
        <f ca="1">SUM(F1162:I1162)+K1162</f>
        <v>49905731.326068528</v>
      </c>
      <c r="F1162" s="49">
        <f ca="1">F1159+F1160+F1161</f>
        <v>47336937.887165405</v>
      </c>
      <c r="H1162" s="49">
        <f ca="1">H1159+H1160+H1161</f>
        <v>2474359.6733455588</v>
      </c>
      <c r="I1162" s="49">
        <f ca="1">(L1162+M1162+N1162)</f>
        <v>94433.765557563864</v>
      </c>
      <c r="L1162" s="49">
        <f ca="1">L1159+L1160+L1161</f>
        <v>4271.7860867520003</v>
      </c>
      <c r="M1162" s="49"/>
      <c r="N1162" s="49">
        <f ca="1">SUM(O1162:Q1162)</f>
        <v>90161.979470811857</v>
      </c>
      <c r="O1162" s="49">
        <f ca="1">O1159+O1160+O1161</f>
        <v>89501.391231717775</v>
      </c>
      <c r="P1162" s="49">
        <f ca="1">P1159+P1160+P1161</f>
        <v>660.58823909408011</v>
      </c>
      <c r="Q1162" s="49">
        <f ca="1">Q1159+Q1160+Q1161</f>
        <v>0</v>
      </c>
      <c r="T1162" s="24">
        <f>SUM(T1159:T1161)</f>
        <v>49905731.326068528</v>
      </c>
      <c r="V1162" s="89" t="s">
        <v>418</v>
      </c>
      <c r="W1162" s="39"/>
      <c r="Y1162" s="362"/>
      <c r="Z1162" s="361"/>
      <c r="AA1162" s="247"/>
      <c r="AB1162" s="247"/>
    </row>
    <row r="1163" spans="1:28" x14ac:dyDescent="0.2">
      <c r="C1163" s="47"/>
      <c r="T1163" s="24"/>
      <c r="W1163" s="39"/>
      <c r="Y1163" s="362"/>
      <c r="Z1163" s="361"/>
      <c r="AA1163" s="247"/>
      <c r="AB1163" s="247"/>
    </row>
    <row r="1164" spans="1:28" x14ac:dyDescent="0.2">
      <c r="A1164" s="49">
        <v>24</v>
      </c>
      <c r="B1164" s="37" t="s">
        <v>118</v>
      </c>
      <c r="C1164" s="40" t="s">
        <v>958</v>
      </c>
      <c r="D1164" s="55">
        <f ca="1">SUM(F1164:I1164)+K1164</f>
        <v>13181731.534717459</v>
      </c>
      <c r="F1164" s="49">
        <f ca="1">INDEX(INDIRECT($C1164),1,F$12+1)*$T1164</f>
        <v>12427164.468427399</v>
      </c>
      <c r="H1164" s="49">
        <f ca="1">INDEX(INDIRECT($C1164),1,H$12+1)*$T1164</f>
        <v>602233.12475796812</v>
      </c>
      <c r="I1164" s="49">
        <f ca="1">(L1164+M1164+N1164)</f>
        <v>152333.94153209269</v>
      </c>
      <c r="L1164" s="49">
        <f ca="1">INDEX(INDIRECT($C1164),1,L$12+1)*$T1164</f>
        <v>857.05327596310519</v>
      </c>
      <c r="M1164" s="49"/>
      <c r="N1164" s="49">
        <f ca="1">SUM(O1164:Q1164)</f>
        <v>151476.88825612958</v>
      </c>
      <c r="O1164" s="49">
        <f ca="1">INDEX(INDIRECT($C1164),1,O$12+1)*$T1164</f>
        <v>78961.828661051899</v>
      </c>
      <c r="P1164" s="49">
        <f ca="1">INDEX(INDIRECT($C1164),1,P$12+1)*$T1164</f>
        <v>72515.059595077677</v>
      </c>
      <c r="Q1164" s="49">
        <f ca="1">INDEX(INDIRECT($C1164),1,Q$12+1)*$T1164</f>
        <v>8.6180558317592437E-13</v>
      </c>
      <c r="T1164" s="289">
        <f>SUMIFS(FCPIS!$U$6:$U$898,FCPIS!$G$6:$G$898,$U1164,FCPIS!$B$6:$B$898,$X1164,FCPIS!$D$6:$D$898,"DE")*1000</f>
        <v>13181731.534717459</v>
      </c>
      <c r="U1164" s="24" t="s">
        <v>2663</v>
      </c>
      <c r="V1164" s="89" t="s">
        <v>418</v>
      </c>
      <c r="W1164" s="39"/>
      <c r="X1164" s="39"/>
      <c r="Y1164" s="362"/>
      <c r="Z1164" s="361"/>
      <c r="AA1164" s="247"/>
      <c r="AB1164" s="247"/>
    </row>
    <row r="1165" spans="1:28" x14ac:dyDescent="0.2">
      <c r="T1165" s="24"/>
      <c r="W1165" s="39"/>
      <c r="Y1165" s="362"/>
      <c r="Z1165" s="361"/>
      <c r="AA1165" s="247"/>
      <c r="AB1165" s="247"/>
    </row>
    <row r="1166" spans="1:28" x14ac:dyDescent="0.2">
      <c r="A1166" s="49">
        <v>25</v>
      </c>
      <c r="B1166" s="59" t="s">
        <v>693</v>
      </c>
      <c r="C1166" s="45" t="s">
        <v>1200</v>
      </c>
      <c r="D1166" s="55">
        <f ca="1">SUM(F1166:I1166)+K1166</f>
        <v>18282927.047200002</v>
      </c>
      <c r="F1166" s="49">
        <f ca="1">INDEX(INDIRECT($C1166),1,F$12+1)*$T1166</f>
        <v>17094060.088289209</v>
      </c>
      <c r="H1166" s="49">
        <f ca="1">INDEX(INDIRECT($C1166),1,H$12+1)*$T1166</f>
        <v>922851.96469113301</v>
      </c>
      <c r="I1166" s="49">
        <f ca="1">(L1166+M1166+N1166)</f>
        <v>266014.99421966041</v>
      </c>
      <c r="L1166" s="49">
        <f ca="1">INDEX(INDIRECT($C1166),1,L$12+1)*$T1166</f>
        <v>1256.4646271309341</v>
      </c>
      <c r="M1166" s="49"/>
      <c r="N1166" s="49">
        <f ca="1">SUM(O1166:Q1166)</f>
        <v>264758.52959252946</v>
      </c>
      <c r="O1166" s="49">
        <f ca="1">INDEX(INDIRECT($C1166),1,O$12+1)*$T1166</f>
        <v>137610.33609199544</v>
      </c>
      <c r="P1166" s="49">
        <f ca="1">INDEX(INDIRECT($C1166),1,P$12+1)*$T1166</f>
        <v>127148.19350053402</v>
      </c>
      <c r="Q1166" s="49">
        <f ca="1">INDEX(INDIRECT($C1166),1,Q$12+1)*$T1166</f>
        <v>2.7272049725390378E-14</v>
      </c>
      <c r="T1166" s="289">
        <f>SUMIFS(FCPIS!$U$6:$U$898,FCPIS!$G$6:$G$898,$U1166,FCPIS!$D$6:$D$898,"DE",FCPIS!$E$6:$E$898,"*303*")*1000</f>
        <v>18282927.047199998</v>
      </c>
      <c r="U1166" s="432" t="s">
        <v>2669</v>
      </c>
      <c r="V1166" s="89" t="s">
        <v>418</v>
      </c>
      <c r="W1166" s="39"/>
      <c r="X1166" s="731">
        <v>303</v>
      </c>
      <c r="Y1166" s="247"/>
      <c r="Z1166" s="360"/>
      <c r="AA1166" s="247"/>
      <c r="AB1166" s="247"/>
    </row>
    <row r="1167" spans="1:28" x14ac:dyDescent="0.2">
      <c r="T1167" s="24"/>
      <c r="W1167" s="39"/>
      <c r="X1167" s="432"/>
      <c r="Y1167" s="247"/>
      <c r="Z1167" s="360"/>
      <c r="AA1167" s="247"/>
      <c r="AB1167" s="247"/>
    </row>
    <row r="1168" spans="1:28" x14ac:dyDescent="0.2">
      <c r="A1168" s="49">
        <v>26</v>
      </c>
      <c r="B1168" s="59" t="s">
        <v>692</v>
      </c>
      <c r="C1168" s="45" t="s">
        <v>1199</v>
      </c>
      <c r="D1168" s="55">
        <f ca="1">SUM(F1168:I1168)+K1168</f>
        <v>2029.8535296</v>
      </c>
      <c r="F1168" s="49">
        <f ca="1">INDEX(INDIRECT($C1168),1,F$12+1)*$T1168</f>
        <v>2029.8535296</v>
      </c>
      <c r="H1168" s="49">
        <f ca="1">INDEX(INDIRECT($C1168),1,H$12+1)*$T1168</f>
        <v>0</v>
      </c>
      <c r="I1168" s="49">
        <f ca="1">(L1168+M1168+N1168)</f>
        <v>0</v>
      </c>
      <c r="L1168" s="49">
        <f ca="1">INDEX(INDIRECT($C1168),1,L$12+1)*$T1168</f>
        <v>0</v>
      </c>
      <c r="M1168" s="49"/>
      <c r="N1168" s="49">
        <f ca="1">SUM(O1168:Q1168)</f>
        <v>0</v>
      </c>
      <c r="O1168" s="49">
        <f ca="1">INDEX(INDIRECT($C1168),1,O$12+1)*$T1168</f>
        <v>0</v>
      </c>
      <c r="P1168" s="49">
        <f ca="1">INDEX(INDIRECT($C1168),1,P$12+1)*$T1168</f>
        <v>0</v>
      </c>
      <c r="Q1168" s="49">
        <f ca="1">INDEX(INDIRECT($C1168),1,Q$12+1)*$T1168</f>
        <v>0</v>
      </c>
      <c r="T1168" s="289">
        <f>SUMIFS(FCPIS!$U$6:$U$898,FCPIS!$G$6:$G$898,$U1168,FCPIS!$D$6:$D$898,"DE",FCPIS!$E$6:$E$898,"*302*")*1000</f>
        <v>2029.8535296</v>
      </c>
      <c r="U1168" s="24" t="s">
        <v>2669</v>
      </c>
      <c r="V1168" s="89" t="s">
        <v>418</v>
      </c>
      <c r="W1168" s="39"/>
      <c r="X1168" s="732">
        <v>302</v>
      </c>
      <c r="Y1168" s="39"/>
    </row>
    <row r="1169" spans="1:33" x14ac:dyDescent="0.2">
      <c r="C1169" s="47"/>
      <c r="T1169" s="39"/>
      <c r="U1169" s="39"/>
      <c r="W1169" s="39"/>
      <c r="Y1169" s="78" t="s">
        <v>2403</v>
      </c>
      <c r="Z1169" s="78"/>
      <c r="AA1169" s="78"/>
      <c r="AB1169" s="30"/>
    </row>
    <row r="1170" spans="1:33" x14ac:dyDescent="0.2">
      <c r="A1170" s="49">
        <v>27</v>
      </c>
      <c r="B1170" s="37" t="s">
        <v>305</v>
      </c>
      <c r="C1170" s="47"/>
      <c r="D1170" s="55">
        <f ca="1">SUM(F1170:I1170)+K1170</f>
        <v>358022830.75845891</v>
      </c>
      <c r="F1170" s="49">
        <f ca="1">F1149+F1156+F1162+F1166+F1168+F1164</f>
        <v>335078116.00850677</v>
      </c>
      <c r="H1170" s="49">
        <f ca="1">H1149+H1156+H1162+H1166+H1168+H1164</f>
        <v>17272167.44674965</v>
      </c>
      <c r="I1170" s="49">
        <f ca="1">(L1170+M1170+N1170)</f>
        <v>5672547.3032024838</v>
      </c>
      <c r="L1170" s="49">
        <f ca="1">L1149+L1156+L1162+L1166+L1168+L1164</f>
        <v>7210.9210236152066</v>
      </c>
      <c r="M1170" s="49"/>
      <c r="N1170" s="49">
        <f ca="1">SUM(O1170:Q1170)</f>
        <v>5665336.3821788682</v>
      </c>
      <c r="O1170" s="49">
        <f ca="1">O1149+O1156+O1162+O1166+O1168+O1164</f>
        <v>2922543.2308066781</v>
      </c>
      <c r="P1170" s="49">
        <f ca="1">P1149+P1156+P1162+P1166+P1168+P1164</f>
        <v>2742793.1513721901</v>
      </c>
      <c r="Q1170" s="49">
        <f ca="1">Q1149+Q1156+Q1162+Q1166+Q1168</f>
        <v>2.7272049725390378E-14</v>
      </c>
      <c r="T1170" s="39"/>
      <c r="U1170" s="39"/>
      <c r="W1170" s="39"/>
      <c r="Y1170" s="289">
        <f>FCPIS!U566</f>
        <v>358022830.75845921</v>
      </c>
      <c r="Z1170" s="288"/>
      <c r="AA1170" s="30">
        <f>Y1170+Z1170</f>
        <v>358022830.75845921</v>
      </c>
      <c r="AB1170" s="280">
        <f ca="1">AA1170-D1170</f>
        <v>0</v>
      </c>
      <c r="AC1170" s="89"/>
    </row>
    <row r="1171" spans="1:33" x14ac:dyDescent="0.2">
      <c r="A1171" s="49"/>
      <c r="B1171" s="37"/>
      <c r="C1171" s="47"/>
      <c r="D1171" s="55"/>
      <c r="F1171" s="49"/>
      <c r="H1171" s="49"/>
      <c r="I1171" s="49"/>
      <c r="L1171" s="49"/>
      <c r="M1171" s="49"/>
      <c r="N1171" s="49"/>
      <c r="O1171" s="49"/>
      <c r="P1171" s="49"/>
      <c r="Q1171" s="49"/>
      <c r="T1171" s="47"/>
      <c r="U1171" s="39"/>
      <c r="W1171" s="39"/>
    </row>
    <row r="1172" spans="1:33" x14ac:dyDescent="0.2">
      <c r="A1172" s="49"/>
      <c r="B1172" s="37"/>
      <c r="C1172" s="47"/>
      <c r="D1172" s="55"/>
      <c r="F1172" s="49"/>
      <c r="H1172" s="49"/>
      <c r="I1172" s="49"/>
      <c r="L1172" s="49"/>
      <c r="M1172" s="49"/>
      <c r="N1172" s="49"/>
      <c r="O1172" s="49"/>
      <c r="P1172" s="49"/>
      <c r="Q1172" s="49"/>
      <c r="T1172" s="47"/>
      <c r="U1172" s="39"/>
      <c r="W1172" s="39"/>
    </row>
    <row r="1173" spans="1:33" x14ac:dyDescent="0.2">
      <c r="A1173" s="49"/>
      <c r="B1173" s="52" t="s">
        <v>1463</v>
      </c>
      <c r="C1173" s="47"/>
      <c r="D1173" s="55"/>
      <c r="F1173" s="49"/>
      <c r="H1173" s="49"/>
      <c r="I1173" s="49"/>
      <c r="L1173" s="49"/>
      <c r="M1173" s="49"/>
      <c r="N1173" s="49"/>
      <c r="O1173" s="49"/>
      <c r="P1173" s="49"/>
      <c r="Q1173" s="49"/>
      <c r="T1173" s="47"/>
      <c r="U1173" s="39"/>
      <c r="W1173" s="39"/>
    </row>
    <row r="1174" spans="1:33" x14ac:dyDescent="0.2">
      <c r="A1174" s="49"/>
      <c r="B1174" s="52"/>
      <c r="C1174" s="47"/>
      <c r="D1174" s="55"/>
      <c r="F1174" s="49"/>
      <c r="H1174" s="49"/>
      <c r="I1174" s="49"/>
      <c r="L1174" s="49"/>
      <c r="M1174" s="49"/>
      <c r="N1174" s="49"/>
      <c r="O1174" s="49"/>
      <c r="P1174" s="49"/>
      <c r="Q1174" s="49"/>
      <c r="T1174" s="47"/>
      <c r="U1174" s="39"/>
      <c r="W1174" s="39"/>
      <c r="AB1174" s="106"/>
    </row>
    <row r="1175" spans="1:33" x14ac:dyDescent="0.2">
      <c r="A1175" s="49"/>
      <c r="B1175" s="37" t="s">
        <v>1462</v>
      </c>
      <c r="C1175" s="47"/>
      <c r="D1175" s="55"/>
      <c r="F1175" s="49"/>
      <c r="H1175" s="49"/>
      <c r="I1175" s="49"/>
      <c r="L1175" s="49"/>
      <c r="M1175" s="49"/>
      <c r="N1175" s="49"/>
      <c r="O1175" s="49"/>
      <c r="P1175" s="49"/>
      <c r="Q1175" s="49"/>
      <c r="T1175" s="47"/>
      <c r="U1175" s="39"/>
      <c r="W1175" s="39"/>
    </row>
    <row r="1176" spans="1:33" x14ac:dyDescent="0.2">
      <c r="A1176" s="49"/>
      <c r="B1176" s="37"/>
      <c r="C1176" s="47"/>
      <c r="D1176" s="55"/>
      <c r="F1176" s="49"/>
      <c r="H1176" s="49"/>
      <c r="I1176" s="49"/>
      <c r="L1176" s="49"/>
      <c r="M1176" s="49"/>
      <c r="N1176" s="49"/>
      <c r="O1176" s="49"/>
      <c r="P1176" s="49"/>
      <c r="Q1176" s="49"/>
      <c r="T1176" s="47"/>
      <c r="U1176" s="39"/>
      <c r="W1176" s="39"/>
    </row>
    <row r="1177" spans="1:33" x14ac:dyDescent="0.2">
      <c r="B1177" s="37" t="s">
        <v>104</v>
      </c>
      <c r="C1177" s="47"/>
      <c r="T1177" s="47"/>
      <c r="U1177" s="39"/>
      <c r="W1177" s="39"/>
      <c r="Y1177" s="138" t="s">
        <v>1465</v>
      </c>
      <c r="Z1177" s="86" t="s">
        <v>935</v>
      </c>
      <c r="AA1177" s="86" t="s">
        <v>937</v>
      </c>
      <c r="AB1177" s="87" t="s">
        <v>939</v>
      </c>
      <c r="AC1177" s="87" t="s">
        <v>553</v>
      </c>
      <c r="AD1177" s="30" t="s">
        <v>682</v>
      </c>
      <c r="AE1177" s="24" t="s">
        <v>1242</v>
      </c>
      <c r="AF1177" s="24" t="s">
        <v>915</v>
      </c>
    </row>
    <row r="1178" spans="1:33" x14ac:dyDescent="0.2">
      <c r="A1178" s="23">
        <v>1</v>
      </c>
      <c r="B1178" s="37" t="s">
        <v>105</v>
      </c>
      <c r="C1178" s="40" t="s">
        <v>1196</v>
      </c>
      <c r="D1178" s="55">
        <f>SUM(F1178:I1178)+K1178</f>
        <v>9627413.0644305404</v>
      </c>
      <c r="F1178" s="49">
        <f>Z1178</f>
        <v>8494101.2644305397</v>
      </c>
      <c r="H1178" s="49">
        <f>AA1178</f>
        <v>1133311.8</v>
      </c>
      <c r="I1178" s="49">
        <f>(L1178+M1178+N1178)</f>
        <v>0</v>
      </c>
      <c r="L1178" s="49">
        <f>AB1178</f>
        <v>0</v>
      </c>
      <c r="M1178" s="49"/>
      <c r="N1178" s="49">
        <f>SUM(O1178:Q1178)</f>
        <v>0</v>
      </c>
      <c r="O1178" s="49">
        <f>AE1178</f>
        <v>0</v>
      </c>
      <c r="P1178" s="49">
        <f>AF1178</f>
        <v>0</v>
      </c>
      <c r="Q1178" s="49"/>
      <c r="T1178" s="47">
        <v>0</v>
      </c>
      <c r="U1178" s="39"/>
      <c r="V1178" s="64" t="s">
        <v>1464</v>
      </c>
      <c r="W1178" s="39"/>
      <c r="X1178" s="433">
        <f>D1178-Y1178</f>
        <v>0</v>
      </c>
      <c r="Y1178" s="285">
        <f>IS!$N$351*1000</f>
        <v>9627413.0644305386</v>
      </c>
      <c r="Z1178" s="285">
        <v>8494101.2644305397</v>
      </c>
      <c r="AA1178" s="286">
        <v>1133311.8</v>
      </c>
      <c r="AB1178" s="286">
        <v>0</v>
      </c>
      <c r="AC1178" s="286">
        <v>0</v>
      </c>
      <c r="AD1178" s="30">
        <f>SUM(Z1178:AC1178)</f>
        <v>9627413.0644305404</v>
      </c>
      <c r="AE1178" s="24">
        <f>$AC1178*($O$262/$N$262)</f>
        <v>0</v>
      </c>
      <c r="AF1178" s="24">
        <f>$AC1178*($P$262/$N$262)</f>
        <v>0</v>
      </c>
      <c r="AG1178" s="24" t="s">
        <v>1458</v>
      </c>
    </row>
    <row r="1179" spans="1:33" x14ac:dyDescent="0.2">
      <c r="A1179" s="23">
        <v>2</v>
      </c>
      <c r="B1179" s="37" t="s">
        <v>110</v>
      </c>
      <c r="C1179" s="40" t="s">
        <v>944</v>
      </c>
      <c r="D1179" s="55">
        <f ca="1">SUM(F1179:I1179)+K1179</f>
        <v>0</v>
      </c>
      <c r="F1179" s="49">
        <f ca="1">INDEX(INDIRECT($C1179),1,F$12+1)*$T1179</f>
        <v>0</v>
      </c>
      <c r="H1179" s="49">
        <f ca="1">INDEX(INDIRECT($C1179),1,H$12+1)*$T1179</f>
        <v>0</v>
      </c>
      <c r="I1179" s="49">
        <f ca="1">(L1179+M1179+N1179)</f>
        <v>0</v>
      </c>
      <c r="L1179" s="49">
        <f ca="1">INDEX(INDIRECT($C1179),1,L$12+1)*$T1179</f>
        <v>0</v>
      </c>
      <c r="M1179" s="49"/>
      <c r="N1179" s="49">
        <f ca="1">SUM(O1179:Q1179)</f>
        <v>0</v>
      </c>
      <c r="O1179" s="49">
        <f t="shared" ref="O1179:Q1180" ca="1" si="304">INDEX(INDIRECT($C1179),1,O$12+1)*$T1179</f>
        <v>0</v>
      </c>
      <c r="P1179" s="49">
        <f t="shared" ca="1" si="304"/>
        <v>0</v>
      </c>
      <c r="Q1179" s="49">
        <f t="shared" ca="1" si="304"/>
        <v>0</v>
      </c>
      <c r="T1179" s="47">
        <v>0</v>
      </c>
      <c r="U1179" s="39"/>
      <c r="W1179" s="39"/>
    </row>
    <row r="1180" spans="1:33" x14ac:dyDescent="0.2">
      <c r="A1180" s="23">
        <v>3</v>
      </c>
      <c r="B1180" s="37" t="s">
        <v>112</v>
      </c>
      <c r="C1180" s="40" t="s">
        <v>946</v>
      </c>
      <c r="D1180" s="55">
        <f ca="1">SUM(F1180:I1180)+K1180</f>
        <v>0</v>
      </c>
      <c r="F1180" s="49">
        <f ca="1">INDEX(INDIRECT($C1180),1,F$12+1)*$T1180</f>
        <v>0</v>
      </c>
      <c r="H1180" s="49">
        <f ca="1">INDEX(INDIRECT($C1180),1,H$12+1)*$T1180</f>
        <v>0</v>
      </c>
      <c r="I1180" s="49">
        <f ca="1">(L1180+M1180+N1180)</f>
        <v>0</v>
      </c>
      <c r="L1180" s="49">
        <f ca="1">INDEX(INDIRECT($C1180),1,L$12+1)*$T1180</f>
        <v>0</v>
      </c>
      <c r="M1180" s="49"/>
      <c r="N1180" s="49">
        <f ca="1">SUM(O1180:Q1180)</f>
        <v>0</v>
      </c>
      <c r="O1180" s="49">
        <f t="shared" ca="1" si="304"/>
        <v>0</v>
      </c>
      <c r="P1180" s="49">
        <f t="shared" ca="1" si="304"/>
        <v>0</v>
      </c>
      <c r="Q1180" s="49">
        <f t="shared" ca="1" si="304"/>
        <v>0</v>
      </c>
      <c r="T1180" s="47">
        <v>0</v>
      </c>
      <c r="U1180" s="39"/>
      <c r="W1180" s="39"/>
    </row>
    <row r="1181" spans="1:33" x14ac:dyDescent="0.2">
      <c r="B1181" s="37"/>
      <c r="C1181" s="40"/>
      <c r="D1181" s="55"/>
      <c r="F1181" s="49"/>
      <c r="H1181" s="49"/>
      <c r="I1181" s="49"/>
      <c r="L1181" s="49"/>
      <c r="M1181" s="49"/>
      <c r="N1181" s="49"/>
      <c r="O1181" s="49"/>
      <c r="P1181" s="49"/>
      <c r="Q1181" s="49"/>
      <c r="T1181" s="47"/>
      <c r="U1181" s="39"/>
      <c r="W1181" s="39"/>
    </row>
    <row r="1182" spans="1:33" x14ac:dyDescent="0.2">
      <c r="A1182" s="23">
        <v>4</v>
      </c>
      <c r="B1182" s="37" t="s">
        <v>114</v>
      </c>
      <c r="D1182" s="55">
        <f ca="1">SUM(F1182:I1182)+K1182</f>
        <v>9627413.0644305404</v>
      </c>
      <c r="F1182" s="49">
        <f ca="1">SUM(F1178:F1180)</f>
        <v>8494101.2644305397</v>
      </c>
      <c r="H1182" s="49">
        <f ca="1">SUM(H1178:H1180)</f>
        <v>1133311.8</v>
      </c>
      <c r="I1182" s="49">
        <f ca="1">(L1182+M1182+N1182)</f>
        <v>0</v>
      </c>
      <c r="L1182" s="49">
        <f ca="1">SUM(L1178:L1180)</f>
        <v>0</v>
      </c>
      <c r="M1182" s="49"/>
      <c r="N1182" s="49">
        <f ca="1">SUM(O1182:Q1182)</f>
        <v>0</v>
      </c>
      <c r="O1182" s="49">
        <f ca="1">SUM(O1178:O1180)</f>
        <v>0</v>
      </c>
      <c r="P1182" s="49">
        <f ca="1">SUM(P1178:P1180)</f>
        <v>0</v>
      </c>
      <c r="Q1182" s="49">
        <f ca="1">SUM(Q1178:Q1180)</f>
        <v>0</v>
      </c>
      <c r="T1182" s="47"/>
      <c r="U1182" s="39"/>
      <c r="W1182" s="39"/>
    </row>
    <row r="1183" spans="1:33" x14ac:dyDescent="0.2">
      <c r="B1183" s="37"/>
      <c r="D1183" s="55"/>
      <c r="F1183" s="49"/>
      <c r="H1183" s="49"/>
      <c r="I1183" s="49"/>
      <c r="L1183" s="49"/>
      <c r="M1183" s="49"/>
      <c r="N1183" s="49"/>
      <c r="O1183" s="49"/>
      <c r="P1183" s="49"/>
      <c r="Q1183" s="49"/>
      <c r="T1183" s="47"/>
      <c r="U1183" s="39"/>
      <c r="W1183" s="39"/>
    </row>
    <row r="1184" spans="1:33" x14ac:dyDescent="0.2">
      <c r="B1184" s="37" t="s">
        <v>115</v>
      </c>
      <c r="D1184" s="55"/>
      <c r="F1184" s="49"/>
      <c r="H1184" s="49"/>
      <c r="I1184" s="49"/>
      <c r="L1184" s="49"/>
      <c r="M1184" s="49"/>
      <c r="N1184" s="49"/>
      <c r="O1184" s="49"/>
      <c r="P1184" s="49"/>
      <c r="Q1184" s="49"/>
      <c r="T1184" s="47"/>
      <c r="U1184" s="39"/>
      <c r="W1184" s="39"/>
    </row>
    <row r="1185" spans="1:26" x14ac:dyDescent="0.2">
      <c r="A1185" s="23">
        <v>5</v>
      </c>
      <c r="B1185" s="37" t="s">
        <v>81</v>
      </c>
      <c r="C1185" s="40" t="s">
        <v>1393</v>
      </c>
      <c r="D1185" s="55">
        <f ca="1">SUM(F1185:I1185)+K1185</f>
        <v>0</v>
      </c>
      <c r="F1185" s="49">
        <f ca="1">INDEX(INDIRECT($C1185),1,F$12+1)*$T1185</f>
        <v>0</v>
      </c>
      <c r="H1185" s="49">
        <f ca="1">INDEX(INDIRECT($C1185),1,H$12+1)*$T1185</f>
        <v>0</v>
      </c>
      <c r="I1185" s="49">
        <f ca="1">(L1185+M1185+N1185)</f>
        <v>0</v>
      </c>
      <c r="L1185" s="49">
        <f ca="1">INDEX(INDIRECT($C1185),1,L$12+1)*$T1185</f>
        <v>0</v>
      </c>
      <c r="M1185" s="49"/>
      <c r="N1185" s="49">
        <f ca="1">SUM(O1185:Q1185)</f>
        <v>0</v>
      </c>
      <c r="O1185" s="49">
        <f t="shared" ref="O1185:Q1186" ca="1" si="305">INDEX(INDIRECT($C1185),1,O$12+1)*$T1185</f>
        <v>0</v>
      </c>
      <c r="P1185" s="49">
        <f t="shared" ca="1" si="305"/>
        <v>0</v>
      </c>
      <c r="Q1185" s="49">
        <f t="shared" ca="1" si="305"/>
        <v>0</v>
      </c>
      <c r="T1185" s="47">
        <v>0</v>
      </c>
      <c r="U1185" s="39"/>
      <c r="V1185" s="64" t="s">
        <v>1464</v>
      </c>
      <c r="W1185" s="39"/>
      <c r="Y1185" s="387"/>
      <c r="Z1185" s="387"/>
    </row>
    <row r="1186" spans="1:26" x14ac:dyDescent="0.2">
      <c r="A1186" s="23">
        <v>6</v>
      </c>
      <c r="B1186" s="37" t="s">
        <v>83</v>
      </c>
      <c r="C1186" s="40" t="s">
        <v>988</v>
      </c>
      <c r="D1186" s="55">
        <f ca="1">SUM(F1186:I1186)+K1186</f>
        <v>0</v>
      </c>
      <c r="F1186" s="49">
        <f ca="1">INDEX(INDIRECT($C1186),1,F$12+1)*$T1186</f>
        <v>0</v>
      </c>
      <c r="H1186" s="49">
        <f ca="1">INDEX(INDIRECT($C1186),1,H$12+1)*$T1186</f>
        <v>0</v>
      </c>
      <c r="I1186" s="49">
        <f ca="1">(L1186+M1186+N1186)</f>
        <v>0</v>
      </c>
      <c r="L1186" s="49">
        <f ca="1">INDEX(INDIRECT($C1186),1,L$12+1)*$T1186</f>
        <v>0</v>
      </c>
      <c r="M1186" s="49"/>
      <c r="N1186" s="49">
        <f ca="1">SUM(O1186:Q1186)</f>
        <v>0</v>
      </c>
      <c r="O1186" s="49">
        <f t="shared" ca="1" si="305"/>
        <v>0</v>
      </c>
      <c r="P1186" s="49">
        <f t="shared" ca="1" si="305"/>
        <v>0</v>
      </c>
      <c r="Q1186" s="49">
        <f t="shared" ca="1" si="305"/>
        <v>0</v>
      </c>
      <c r="T1186" s="47"/>
      <c r="U1186" s="39"/>
      <c r="W1186" s="39"/>
    </row>
    <row r="1187" spans="1:26" x14ac:dyDescent="0.2">
      <c r="B1187" s="37"/>
      <c r="C1187" s="47"/>
      <c r="T1187" s="47"/>
      <c r="U1187" s="39"/>
      <c r="W1187" s="39"/>
    </row>
    <row r="1188" spans="1:26" x14ac:dyDescent="0.2">
      <c r="A1188" s="23">
        <v>7</v>
      </c>
      <c r="B1188" s="37" t="s">
        <v>116</v>
      </c>
      <c r="C1188" s="47"/>
      <c r="D1188" s="55">
        <f ca="1">SUM(F1188:I1188)+K1188</f>
        <v>0</v>
      </c>
      <c r="F1188" s="23">
        <f ca="1">F1185+F1186</f>
        <v>0</v>
      </c>
      <c r="H1188" s="23">
        <f ca="1">H1185+H1186</f>
        <v>0</v>
      </c>
      <c r="I1188" s="49">
        <f ca="1">(L1188+M1188+N1188)</f>
        <v>0</v>
      </c>
      <c r="L1188" s="23">
        <f ca="1">L1185+L1186</f>
        <v>0</v>
      </c>
      <c r="N1188" s="49">
        <f ca="1">SUM(O1188:Q1188)</f>
        <v>0</v>
      </c>
      <c r="O1188" s="23">
        <f ca="1">O1185+O1186</f>
        <v>0</v>
      </c>
      <c r="P1188" s="23">
        <f ca="1">P1185+P1186</f>
        <v>0</v>
      </c>
      <c r="Q1188" s="23">
        <f ca="1">Q1185+Q1186</f>
        <v>0</v>
      </c>
      <c r="T1188" s="47"/>
      <c r="U1188" s="39"/>
      <c r="W1188" s="39"/>
    </row>
    <row r="1189" spans="1:26" x14ac:dyDescent="0.2">
      <c r="B1189" s="37"/>
      <c r="C1189" s="47"/>
      <c r="T1189" s="47"/>
      <c r="U1189" s="39"/>
      <c r="W1189" s="39"/>
    </row>
    <row r="1190" spans="1:26" x14ac:dyDescent="0.2">
      <c r="B1190" s="37" t="s">
        <v>303</v>
      </c>
      <c r="D1190" s="55"/>
      <c r="F1190" s="49"/>
      <c r="H1190" s="49"/>
      <c r="I1190" s="49"/>
      <c r="L1190" s="49"/>
      <c r="M1190" s="49"/>
      <c r="N1190" s="49"/>
      <c r="O1190" s="49"/>
      <c r="P1190" s="49"/>
      <c r="Q1190" s="49"/>
      <c r="T1190" s="47"/>
      <c r="U1190" s="39"/>
      <c r="W1190" s="39"/>
    </row>
    <row r="1191" spans="1:26" x14ac:dyDescent="0.2">
      <c r="A1191" s="23">
        <v>8</v>
      </c>
      <c r="B1191" s="37" t="s">
        <v>1113</v>
      </c>
      <c r="C1191" s="40" t="s">
        <v>1025</v>
      </c>
      <c r="D1191" s="55">
        <f ca="1">SUM(F1191:I1191)+K1191</f>
        <v>0</v>
      </c>
      <c r="F1191" s="49">
        <f ca="1">INDEX(INDIRECT($C1191),1,F$12+1)*$T1191</f>
        <v>0</v>
      </c>
      <c r="H1191" s="49">
        <f ca="1">INDEX(INDIRECT($C1191),1,H$12+1)*$T1191</f>
        <v>0</v>
      </c>
      <c r="I1191" s="49">
        <f ca="1">(L1191+M1191+N1191)</f>
        <v>0</v>
      </c>
      <c r="L1191" s="49">
        <f ca="1">INDEX(INDIRECT($C1191),1,L$12+1)*$T1191</f>
        <v>0</v>
      </c>
      <c r="M1191" s="49"/>
      <c r="N1191" s="49">
        <f ca="1">SUM(O1191:Q1191)</f>
        <v>0</v>
      </c>
      <c r="O1191" s="49">
        <f t="shared" ref="O1191:Q1192" ca="1" si="306">INDEX(INDIRECT($C1191),1,O$12+1)*$T1191</f>
        <v>0</v>
      </c>
      <c r="P1191" s="49">
        <f t="shared" ca="1" si="306"/>
        <v>0</v>
      </c>
      <c r="Q1191" s="49">
        <f t="shared" ca="1" si="306"/>
        <v>0</v>
      </c>
      <c r="T1191" s="47">
        <v>0</v>
      </c>
      <c r="U1191" s="39"/>
      <c r="V1191" s="64" t="s">
        <v>1464</v>
      </c>
      <c r="W1191" s="39"/>
      <c r="Y1191" s="387"/>
      <c r="Z1191" s="387"/>
    </row>
    <row r="1192" spans="1:26" x14ac:dyDescent="0.2">
      <c r="A1192" s="23">
        <v>9</v>
      </c>
      <c r="B1192" s="37" t="s">
        <v>1114</v>
      </c>
      <c r="C1192" s="40" t="s">
        <v>1027</v>
      </c>
      <c r="D1192" s="55">
        <f ca="1">SUM(F1192:I1192)+K1192</f>
        <v>0</v>
      </c>
      <c r="F1192" s="49">
        <f ca="1">INDEX(INDIRECT($C1192),1,F$12+1)*$T1192</f>
        <v>0</v>
      </c>
      <c r="H1192" s="49">
        <f ca="1">INDEX(INDIRECT($C1192),1,H$12+1)*$T1192</f>
        <v>0</v>
      </c>
      <c r="I1192" s="49">
        <f ca="1">(L1192+M1192+N1192)</f>
        <v>0</v>
      </c>
      <c r="L1192" s="49">
        <f ca="1">INDEX(INDIRECT($C1192),1,L$12+1)*$T1192</f>
        <v>0</v>
      </c>
      <c r="M1192" s="49"/>
      <c r="N1192" s="49">
        <f ca="1">SUM(O1192:Q1192)</f>
        <v>0</v>
      </c>
      <c r="O1192" s="49">
        <f t="shared" ca="1" si="306"/>
        <v>0</v>
      </c>
      <c r="P1192" s="49">
        <f t="shared" ca="1" si="306"/>
        <v>0</v>
      </c>
      <c r="Q1192" s="49">
        <f t="shared" ca="1" si="306"/>
        <v>0</v>
      </c>
      <c r="T1192" s="47"/>
      <c r="U1192" s="39"/>
      <c r="W1192" s="39"/>
    </row>
    <row r="1193" spans="1:26" x14ac:dyDescent="0.2">
      <c r="B1193" s="37"/>
      <c r="C1193" s="47"/>
      <c r="T1193" s="47"/>
      <c r="U1193" s="39"/>
      <c r="W1193" s="39"/>
    </row>
    <row r="1194" spans="1:26" x14ac:dyDescent="0.2">
      <c r="A1194" s="23">
        <v>10</v>
      </c>
      <c r="B1194" s="37" t="s">
        <v>117</v>
      </c>
      <c r="C1194" s="47"/>
      <c r="D1194" s="55">
        <f ca="1">SUM(F1194:I1194)+K1194</f>
        <v>0</v>
      </c>
      <c r="F1194" s="23">
        <f ca="1">F1191+F1192</f>
        <v>0</v>
      </c>
      <c r="H1194" s="23">
        <f ca="1">H1191+H1192</f>
        <v>0</v>
      </c>
      <c r="I1194" s="49">
        <f ca="1">(L1194+M1194+N1194)</f>
        <v>0</v>
      </c>
      <c r="L1194" s="23">
        <f ca="1">L1191+L1192</f>
        <v>0</v>
      </c>
      <c r="N1194" s="49">
        <f ca="1">SUM(O1194:Q1194)</f>
        <v>0</v>
      </c>
      <c r="O1194" s="23">
        <f ca="1">O1191+O1192</f>
        <v>0</v>
      </c>
      <c r="P1194" s="23">
        <f ca="1">P1191+P1192</f>
        <v>0</v>
      </c>
      <c r="Q1194" s="23">
        <f ca="1">Q1191+Q1192</f>
        <v>0</v>
      </c>
      <c r="T1194" s="47"/>
      <c r="U1194" s="39"/>
      <c r="W1194" s="39"/>
    </row>
    <row r="1195" spans="1:26" x14ac:dyDescent="0.2">
      <c r="B1195" s="37"/>
      <c r="C1195" s="47"/>
      <c r="T1195" s="47"/>
      <c r="U1195" s="39"/>
      <c r="W1195" s="39"/>
    </row>
    <row r="1196" spans="1:26" x14ac:dyDescent="0.2">
      <c r="A1196" s="23">
        <v>11</v>
      </c>
      <c r="B1196" s="37" t="s">
        <v>1467</v>
      </c>
      <c r="C1196" s="47"/>
      <c r="D1196" s="55">
        <f ca="1">SUM(F1196:I1196)+K1196</f>
        <v>9627413.0644305404</v>
      </c>
      <c r="F1196" s="23">
        <f ca="1">F1194+F1188+F1182</f>
        <v>8494101.2644305397</v>
      </c>
      <c r="H1196" s="23">
        <f ca="1">H1194+H1188+H1182</f>
        <v>1133311.8</v>
      </c>
      <c r="I1196" s="49">
        <f ca="1">(L1196+M1196+N1196)</f>
        <v>0</v>
      </c>
      <c r="L1196" s="23">
        <f ca="1">L1194+L1188+L1182</f>
        <v>0</v>
      </c>
      <c r="N1196" s="49">
        <f ca="1">SUM(O1196:Q1196)</f>
        <v>0</v>
      </c>
      <c r="O1196" s="23">
        <f ca="1">O1194+O1188+O1182</f>
        <v>0</v>
      </c>
      <c r="P1196" s="23">
        <f ca="1">P1194+P1188+P1182</f>
        <v>0</v>
      </c>
      <c r="Q1196" s="23">
        <f ca="1">Q1194+Q1188+Q1182</f>
        <v>0</v>
      </c>
      <c r="T1196" s="47"/>
      <c r="U1196" s="39"/>
      <c r="W1196" s="39"/>
    </row>
    <row r="1197" spans="1:26" x14ac:dyDescent="0.2">
      <c r="B1197" s="37"/>
      <c r="C1197" s="47"/>
      <c r="T1197" s="47"/>
      <c r="U1197" s="39"/>
      <c r="W1197" s="39"/>
    </row>
    <row r="1198" spans="1:26" x14ac:dyDescent="0.2">
      <c r="A1198" s="49"/>
      <c r="B1198" s="37" t="s">
        <v>1379</v>
      </c>
      <c r="C1198" s="47"/>
      <c r="D1198" s="55"/>
      <c r="F1198" s="49"/>
      <c r="H1198" s="49"/>
      <c r="I1198" s="49"/>
      <c r="L1198" s="49"/>
      <c r="M1198" s="49"/>
      <c r="N1198" s="49"/>
      <c r="O1198" s="49"/>
      <c r="P1198" s="49"/>
      <c r="Q1198" s="49"/>
      <c r="T1198" s="47"/>
      <c r="U1198" s="39"/>
      <c r="W1198" s="39"/>
    </row>
    <row r="1199" spans="1:26" x14ac:dyDescent="0.2">
      <c r="A1199" s="49"/>
      <c r="B1199" s="37"/>
      <c r="C1199" s="47"/>
      <c r="D1199" s="55"/>
      <c r="F1199" s="49"/>
      <c r="H1199" s="49"/>
      <c r="I1199" s="49"/>
      <c r="L1199" s="49"/>
      <c r="M1199" s="49"/>
      <c r="N1199" s="49"/>
      <c r="O1199" s="49"/>
      <c r="P1199" s="49"/>
      <c r="Q1199" s="49"/>
      <c r="T1199" s="47"/>
      <c r="U1199" s="39"/>
      <c r="W1199" s="39"/>
    </row>
    <row r="1200" spans="1:26" x14ac:dyDescent="0.2">
      <c r="B1200" s="37" t="s">
        <v>104</v>
      </c>
      <c r="C1200" s="47"/>
      <c r="T1200" s="47"/>
      <c r="U1200" s="39"/>
      <c r="W1200" s="39"/>
    </row>
    <row r="1201" spans="1:26" x14ac:dyDescent="0.2">
      <c r="A1201" s="23">
        <v>12</v>
      </c>
      <c r="B1201" s="37" t="s">
        <v>105</v>
      </c>
      <c r="C1201" s="40" t="s">
        <v>679</v>
      </c>
      <c r="D1201" s="55">
        <f ca="1">SUM(F1201:I1201)+K1201</f>
        <v>0</v>
      </c>
      <c r="F1201" s="49">
        <f ca="1">INDEX(INDIRECT($C1201),1,F$12+1)*$T1201</f>
        <v>0</v>
      </c>
      <c r="H1201" s="49">
        <f ca="1">INDEX(INDIRECT($C1201),1,H$12+1)*$T1201</f>
        <v>0</v>
      </c>
      <c r="I1201" s="49">
        <f ca="1">(L1201+M1201+N1201)</f>
        <v>0</v>
      </c>
      <c r="L1201" s="49">
        <f ca="1">INDEX(INDIRECT($C1201),1,L$12+1)*$T1201</f>
        <v>0</v>
      </c>
      <c r="M1201" s="49"/>
      <c r="N1201" s="49">
        <f ca="1">SUM(O1201:Q1201)</f>
        <v>0</v>
      </c>
      <c r="O1201" s="49">
        <f t="shared" ref="O1201:Q1203" ca="1" si="307">INDEX(INDIRECT($C1201),1,O$12+1)*$T1201</f>
        <v>0</v>
      </c>
      <c r="P1201" s="49">
        <f t="shared" ca="1" si="307"/>
        <v>0</v>
      </c>
      <c r="Q1201" s="49">
        <f t="shared" ca="1" si="307"/>
        <v>0</v>
      </c>
      <c r="T1201" s="47">
        <v>0</v>
      </c>
      <c r="U1201" s="39"/>
      <c r="V1201" s="136" t="s">
        <v>1368</v>
      </c>
      <c r="W1201" s="39"/>
    </row>
    <row r="1202" spans="1:26" x14ac:dyDescent="0.2">
      <c r="A1202" s="23">
        <v>13</v>
      </c>
      <c r="B1202" s="37" t="s">
        <v>110</v>
      </c>
      <c r="C1202" s="40" t="s">
        <v>944</v>
      </c>
      <c r="D1202" s="55">
        <f ca="1">SUM(F1202:I1202)+K1202</f>
        <v>0</v>
      </c>
      <c r="F1202" s="49">
        <f ca="1">INDEX(INDIRECT($C1202),1,F$12+1)*$T1202</f>
        <v>0</v>
      </c>
      <c r="H1202" s="49">
        <f ca="1">INDEX(INDIRECT($C1202),1,H$12+1)*$T1202</f>
        <v>0</v>
      </c>
      <c r="I1202" s="49">
        <f ca="1">(L1202+M1202+N1202)</f>
        <v>0</v>
      </c>
      <c r="L1202" s="49">
        <f ca="1">INDEX(INDIRECT($C1202),1,L$12+1)*$T1202</f>
        <v>0</v>
      </c>
      <c r="M1202" s="49"/>
      <c r="N1202" s="49">
        <f ca="1">SUM(O1202:Q1202)</f>
        <v>0</v>
      </c>
      <c r="O1202" s="49">
        <f t="shared" ca="1" si="307"/>
        <v>0</v>
      </c>
      <c r="P1202" s="49">
        <f t="shared" ca="1" si="307"/>
        <v>0</v>
      </c>
      <c r="Q1202" s="49">
        <f t="shared" ca="1" si="307"/>
        <v>0</v>
      </c>
      <c r="T1202" s="47">
        <v>0</v>
      </c>
      <c r="U1202" s="39"/>
      <c r="W1202" s="39"/>
    </row>
    <row r="1203" spans="1:26" x14ac:dyDescent="0.2">
      <c r="A1203" s="23">
        <v>14</v>
      </c>
      <c r="B1203" s="37" t="s">
        <v>112</v>
      </c>
      <c r="C1203" s="40" t="s">
        <v>946</v>
      </c>
      <c r="D1203" s="55">
        <f ca="1">SUM(F1203:I1203)+K1203</f>
        <v>0</v>
      </c>
      <c r="F1203" s="49">
        <f ca="1">INDEX(INDIRECT($C1203),1,F$12+1)*$T1203</f>
        <v>0</v>
      </c>
      <c r="H1203" s="49">
        <f ca="1">INDEX(INDIRECT($C1203),1,H$12+1)*$T1203</f>
        <v>0</v>
      </c>
      <c r="I1203" s="49">
        <f ca="1">(L1203+M1203+N1203)</f>
        <v>0</v>
      </c>
      <c r="L1203" s="49">
        <f ca="1">INDEX(INDIRECT($C1203),1,L$12+1)*$T1203</f>
        <v>0</v>
      </c>
      <c r="M1203" s="49"/>
      <c r="N1203" s="49">
        <f ca="1">SUM(O1203:Q1203)</f>
        <v>0</v>
      </c>
      <c r="O1203" s="49">
        <f t="shared" ca="1" si="307"/>
        <v>0</v>
      </c>
      <c r="P1203" s="49">
        <f t="shared" ca="1" si="307"/>
        <v>0</v>
      </c>
      <c r="Q1203" s="49">
        <f t="shared" ca="1" si="307"/>
        <v>0</v>
      </c>
      <c r="T1203" s="47">
        <v>0</v>
      </c>
      <c r="U1203" s="39"/>
      <c r="W1203" s="39"/>
    </row>
    <row r="1204" spans="1:26" x14ac:dyDescent="0.2">
      <c r="B1204" s="37"/>
      <c r="C1204" s="40"/>
      <c r="D1204" s="55"/>
      <c r="F1204" s="49"/>
      <c r="H1204" s="49"/>
      <c r="I1204" s="49"/>
      <c r="L1204" s="49"/>
      <c r="M1204" s="49"/>
      <c r="N1204" s="49"/>
      <c r="O1204" s="49"/>
      <c r="P1204" s="49"/>
      <c r="Q1204" s="49"/>
      <c r="T1204" s="47"/>
      <c r="U1204" s="39"/>
      <c r="W1204" s="39"/>
    </row>
    <row r="1205" spans="1:26" x14ac:dyDescent="0.2">
      <c r="A1205" s="23">
        <v>15</v>
      </c>
      <c r="B1205" s="37" t="s">
        <v>114</v>
      </c>
      <c r="D1205" s="55">
        <f ca="1">SUM(F1205:I1205)+K1205</f>
        <v>0</v>
      </c>
      <c r="F1205" s="49">
        <f ca="1">SUM(F1201:F1203)</f>
        <v>0</v>
      </c>
      <c r="H1205" s="49">
        <f ca="1">SUM(H1201:H1203)</f>
        <v>0</v>
      </c>
      <c r="I1205" s="49">
        <f ca="1">(L1205+M1205+N1205)</f>
        <v>0</v>
      </c>
      <c r="L1205" s="49">
        <f ca="1">SUM(L1201:L1203)</f>
        <v>0</v>
      </c>
      <c r="M1205" s="49"/>
      <c r="N1205" s="49">
        <f ca="1">SUM(O1205:Q1205)</f>
        <v>0</v>
      </c>
      <c r="O1205" s="49">
        <f ca="1">SUM(O1201:O1203)</f>
        <v>0</v>
      </c>
      <c r="P1205" s="49">
        <f ca="1">SUM(P1201:P1203)</f>
        <v>0</v>
      </c>
      <c r="Q1205" s="49">
        <f ca="1">SUM(Q1201:Q1203)</f>
        <v>0</v>
      </c>
      <c r="T1205" s="47"/>
      <c r="U1205" s="39"/>
      <c r="W1205" s="39"/>
    </row>
    <row r="1206" spans="1:26" x14ac:dyDescent="0.2">
      <c r="B1206" s="37"/>
      <c r="D1206" s="55"/>
      <c r="F1206" s="49"/>
      <c r="H1206" s="49"/>
      <c r="I1206" s="49"/>
      <c r="L1206" s="49"/>
      <c r="M1206" s="49"/>
      <c r="N1206" s="49"/>
      <c r="O1206" s="49"/>
      <c r="P1206" s="49"/>
      <c r="Q1206" s="49"/>
      <c r="T1206" s="47"/>
      <c r="U1206" s="39"/>
      <c r="W1206" s="39"/>
    </row>
    <row r="1207" spans="1:26" x14ac:dyDescent="0.2">
      <c r="B1207" s="37" t="s">
        <v>115</v>
      </c>
      <c r="D1207" s="55"/>
      <c r="F1207" s="49"/>
      <c r="H1207" s="49"/>
      <c r="I1207" s="49"/>
      <c r="L1207" s="49"/>
      <c r="M1207" s="49"/>
      <c r="N1207" s="49"/>
      <c r="O1207" s="49"/>
      <c r="P1207" s="49"/>
      <c r="Q1207" s="49"/>
      <c r="T1207" s="47"/>
      <c r="U1207" s="39"/>
      <c r="W1207" s="39"/>
    </row>
    <row r="1208" spans="1:26" x14ac:dyDescent="0.2">
      <c r="A1208" s="23">
        <v>16</v>
      </c>
      <c r="B1208" s="37" t="s">
        <v>81</v>
      </c>
      <c r="C1208" s="40" t="s">
        <v>1393</v>
      </c>
      <c r="D1208" s="55">
        <f ca="1">SUM(F1208:I1208)+K1208</f>
        <v>0</v>
      </c>
      <c r="F1208" s="49">
        <f ca="1">INDEX(INDIRECT($C1208),1,F$12+1)*$T1208</f>
        <v>0</v>
      </c>
      <c r="H1208" s="49">
        <f ca="1">INDEX(INDIRECT($C1208),1,H$12+1)*$T1208</f>
        <v>0</v>
      </c>
      <c r="I1208" s="49">
        <f ca="1">(L1208+M1208+N1208)</f>
        <v>0</v>
      </c>
      <c r="L1208" s="49">
        <f ca="1">INDEX(INDIRECT($C1208),1,L$12+1)*$T1208</f>
        <v>0</v>
      </c>
      <c r="M1208" s="49"/>
      <c r="N1208" s="49">
        <f ca="1">SUM(O1208:Q1208)</f>
        <v>0</v>
      </c>
      <c r="O1208" s="49">
        <f t="shared" ref="O1208:Q1209" ca="1" si="308">INDEX(INDIRECT($C1208),1,O$12+1)*$T1208</f>
        <v>0</v>
      </c>
      <c r="P1208" s="49">
        <f t="shared" ca="1" si="308"/>
        <v>0</v>
      </c>
      <c r="Q1208" s="49">
        <f t="shared" ca="1" si="308"/>
        <v>0</v>
      </c>
      <c r="T1208" s="47">
        <v>0</v>
      </c>
      <c r="U1208" s="39"/>
      <c r="V1208" s="136" t="s">
        <v>1368</v>
      </c>
      <c r="W1208" s="39"/>
    </row>
    <row r="1209" spans="1:26" x14ac:dyDescent="0.2">
      <c r="A1209" s="23">
        <v>17</v>
      </c>
      <c r="B1209" s="37" t="s">
        <v>83</v>
      </c>
      <c r="C1209" s="40" t="s">
        <v>988</v>
      </c>
      <c r="D1209" s="55">
        <f ca="1">SUM(F1209:I1209)+K1209</f>
        <v>0</v>
      </c>
      <c r="F1209" s="49">
        <f ca="1">INDEX(INDIRECT($C1209),1,F$12+1)*$T1209</f>
        <v>0</v>
      </c>
      <c r="H1209" s="49">
        <f ca="1">INDEX(INDIRECT($C1209),1,H$12+1)*$T1209</f>
        <v>0</v>
      </c>
      <c r="I1209" s="49">
        <f ca="1">(L1209+M1209+N1209)</f>
        <v>0</v>
      </c>
      <c r="L1209" s="49">
        <f ca="1">INDEX(INDIRECT($C1209),1,L$12+1)*$T1209</f>
        <v>0</v>
      </c>
      <c r="M1209" s="49"/>
      <c r="N1209" s="49">
        <f ca="1">SUM(O1209:Q1209)</f>
        <v>0</v>
      </c>
      <c r="O1209" s="49">
        <f t="shared" ca="1" si="308"/>
        <v>0</v>
      </c>
      <c r="P1209" s="49">
        <f t="shared" ca="1" si="308"/>
        <v>0</v>
      </c>
      <c r="Q1209" s="49">
        <f t="shared" ca="1" si="308"/>
        <v>0</v>
      </c>
      <c r="T1209" s="47"/>
      <c r="U1209" s="39"/>
      <c r="W1209" s="39"/>
    </row>
    <row r="1210" spans="1:26" x14ac:dyDescent="0.2">
      <c r="B1210" s="37"/>
      <c r="C1210" s="47"/>
      <c r="T1210" s="47"/>
      <c r="U1210" s="39"/>
      <c r="W1210" s="93"/>
      <c r="X1210" s="93"/>
    </row>
    <row r="1211" spans="1:26" x14ac:dyDescent="0.2">
      <c r="A1211" s="23">
        <v>18</v>
      </c>
      <c r="B1211" s="37" t="s">
        <v>116</v>
      </c>
      <c r="C1211" s="47"/>
      <c r="D1211" s="55">
        <f ca="1">SUM(F1211:I1211)+K1211</f>
        <v>0</v>
      </c>
      <c r="F1211" s="23">
        <f ca="1">F1208+F1209</f>
        <v>0</v>
      </c>
      <c r="H1211" s="23">
        <f ca="1">H1208+H1209</f>
        <v>0</v>
      </c>
      <c r="I1211" s="49">
        <f ca="1">(L1211+M1211+N1211)</f>
        <v>0</v>
      </c>
      <c r="L1211" s="23">
        <f ca="1">L1208+L1209</f>
        <v>0</v>
      </c>
      <c r="N1211" s="49">
        <f ca="1">SUM(O1211:Q1211)</f>
        <v>0</v>
      </c>
      <c r="O1211" s="23">
        <f ca="1">O1208+O1209</f>
        <v>0</v>
      </c>
      <c r="P1211" s="23">
        <f ca="1">P1208+P1209</f>
        <v>0</v>
      </c>
      <c r="Q1211" s="23">
        <f ca="1">Q1208+Q1209</f>
        <v>0</v>
      </c>
      <c r="T1211" s="47"/>
      <c r="U1211" s="39"/>
      <c r="W1211" s="78"/>
      <c r="X1211" s="78"/>
      <c r="Y1211" s="78"/>
      <c r="Z1211" s="94"/>
    </row>
    <row r="1212" spans="1:26" x14ac:dyDescent="0.2">
      <c r="B1212" s="37"/>
      <c r="C1212" s="47"/>
      <c r="T1212" s="47"/>
      <c r="U1212" s="39"/>
      <c r="W1212" s="39"/>
    </row>
    <row r="1213" spans="1:26" x14ac:dyDescent="0.2">
      <c r="B1213" s="37" t="s">
        <v>84</v>
      </c>
      <c r="D1213" s="55"/>
      <c r="F1213" s="49"/>
      <c r="H1213" s="49"/>
      <c r="I1213" s="49"/>
      <c r="L1213" s="49"/>
      <c r="M1213" s="49"/>
      <c r="N1213" s="49"/>
      <c r="O1213" s="49"/>
      <c r="P1213" s="49"/>
      <c r="Q1213" s="49"/>
      <c r="T1213" s="47"/>
      <c r="U1213" s="39"/>
      <c r="W1213" s="39"/>
    </row>
    <row r="1214" spans="1:26" x14ac:dyDescent="0.2">
      <c r="A1214" s="23">
        <v>19</v>
      </c>
      <c r="B1214" s="37" t="s">
        <v>81</v>
      </c>
      <c r="C1214" s="40" t="s">
        <v>1025</v>
      </c>
      <c r="D1214" s="55">
        <f ca="1">SUM(F1214:I1214)+K1214</f>
        <v>0</v>
      </c>
      <c r="F1214" s="49">
        <f ca="1">INDEX(INDIRECT($C1214),1,F$12+1)*$T1214</f>
        <v>0</v>
      </c>
      <c r="H1214" s="49">
        <f ca="1">INDEX(INDIRECT($C1214),1,H$12+1)*$T1214</f>
        <v>0</v>
      </c>
      <c r="I1214" s="49">
        <f ca="1">(L1214+M1214+N1214)</f>
        <v>0</v>
      </c>
      <c r="L1214" s="49">
        <f ca="1">INDEX(INDIRECT($C1214),1,L$12+1)*$T1214</f>
        <v>0</v>
      </c>
      <c r="M1214" s="49"/>
      <c r="N1214" s="49">
        <f ca="1">SUM(O1214:Q1214)</f>
        <v>0</v>
      </c>
      <c r="O1214" s="49">
        <f t="shared" ref="O1214:Q1215" ca="1" si="309">INDEX(INDIRECT($C1214),1,O$12+1)*$T1214</f>
        <v>0</v>
      </c>
      <c r="P1214" s="49">
        <f t="shared" ca="1" si="309"/>
        <v>0</v>
      </c>
      <c r="Q1214" s="49">
        <f t="shared" ca="1" si="309"/>
        <v>0</v>
      </c>
      <c r="T1214" s="47">
        <v>0</v>
      </c>
      <c r="U1214" s="39"/>
      <c r="V1214" s="136" t="s">
        <v>1368</v>
      </c>
      <c r="W1214" s="39"/>
    </row>
    <row r="1215" spans="1:26" x14ac:dyDescent="0.2">
      <c r="A1215" s="23">
        <v>20</v>
      </c>
      <c r="B1215" s="37" t="s">
        <v>83</v>
      </c>
      <c r="C1215" s="40" t="s">
        <v>1084</v>
      </c>
      <c r="D1215" s="55">
        <f ca="1">SUM(F1215:I1215)+K1215</f>
        <v>0</v>
      </c>
      <c r="F1215" s="49">
        <f ca="1">INDEX(INDIRECT($C1215),1,F$12+1)*$T1215</f>
        <v>0</v>
      </c>
      <c r="H1215" s="49">
        <f ca="1">INDEX(INDIRECT($C1215),1,H$12+1)*$T1215</f>
        <v>0</v>
      </c>
      <c r="I1215" s="49">
        <f ca="1">(L1215+M1215+N1215)</f>
        <v>0</v>
      </c>
      <c r="L1215" s="49">
        <f ca="1">INDEX(INDIRECT($C1215),1,L$12+1)*$T1215</f>
        <v>0</v>
      </c>
      <c r="M1215" s="49"/>
      <c r="N1215" s="49">
        <f ca="1">SUM(O1215:Q1215)</f>
        <v>0</v>
      </c>
      <c r="O1215" s="49">
        <f t="shared" ca="1" si="309"/>
        <v>0</v>
      </c>
      <c r="P1215" s="49">
        <f t="shared" ca="1" si="309"/>
        <v>0</v>
      </c>
      <c r="Q1215" s="49">
        <f t="shared" ca="1" si="309"/>
        <v>0</v>
      </c>
      <c r="T1215" s="47"/>
      <c r="U1215" s="39"/>
      <c r="W1215" s="39"/>
    </row>
    <row r="1216" spans="1:26" x14ac:dyDescent="0.2">
      <c r="B1216" s="37"/>
      <c r="C1216" s="47"/>
      <c r="T1216" s="47"/>
      <c r="U1216" s="39"/>
      <c r="W1216" s="93" t="s">
        <v>1466</v>
      </c>
      <c r="X1216" s="93" t="s">
        <v>424</v>
      </c>
    </row>
    <row r="1217" spans="1:26" x14ac:dyDescent="0.2">
      <c r="A1217" s="23">
        <v>21</v>
      </c>
      <c r="B1217" s="37" t="s">
        <v>117</v>
      </c>
      <c r="C1217" s="47"/>
      <c r="D1217" s="55">
        <f ca="1">SUM(F1217:I1217)+K1217</f>
        <v>0</v>
      </c>
      <c r="F1217" s="23">
        <f ca="1">F1214+F1215</f>
        <v>0</v>
      </c>
      <c r="H1217" s="23">
        <f ca="1">H1214+H1215</f>
        <v>0</v>
      </c>
      <c r="I1217" s="49">
        <f ca="1">(L1217+M1217+N1217)</f>
        <v>0</v>
      </c>
      <c r="L1217" s="23">
        <f ca="1">L1214+L1215</f>
        <v>0</v>
      </c>
      <c r="N1217" s="49">
        <f ca="1">SUM(O1217:Q1217)</f>
        <v>0</v>
      </c>
      <c r="O1217" s="23">
        <f ca="1">O1214+O1215</f>
        <v>0</v>
      </c>
      <c r="P1217" s="23">
        <f ca="1">P1214+P1215</f>
        <v>0</v>
      </c>
      <c r="Q1217" s="23">
        <f ca="1">Q1214+Q1215</f>
        <v>0</v>
      </c>
      <c r="T1217" s="47"/>
      <c r="U1217" s="39"/>
      <c r="W1217" s="285">
        <f>IS!$N$351*1000</f>
        <v>9627413.0644305386</v>
      </c>
      <c r="X1217" s="288">
        <v>0</v>
      </c>
      <c r="Y1217" s="30">
        <f>W1217+X1217</f>
        <v>9627413.0644305386</v>
      </c>
      <c r="Z1217" s="280">
        <f ca="1">Y1217-(D1211+D1205+D1217+D1196)</f>
        <v>0</v>
      </c>
    </row>
    <row r="1218" spans="1:26" x14ac:dyDescent="0.2">
      <c r="B1218" s="37"/>
      <c r="C1218" s="47"/>
      <c r="T1218" s="47"/>
      <c r="U1218" s="39"/>
      <c r="W1218" s="39"/>
    </row>
    <row r="1219" spans="1:26" x14ac:dyDescent="0.2">
      <c r="A1219" s="23">
        <v>22</v>
      </c>
      <c r="B1219" s="37" t="s">
        <v>87</v>
      </c>
      <c r="C1219" s="47"/>
      <c r="D1219" s="55">
        <f ca="1">SUM(F1219:I1219)+K1219</f>
        <v>0</v>
      </c>
      <c r="F1219" s="23">
        <f ca="1">F1211+F1205+F1217</f>
        <v>0</v>
      </c>
      <c r="H1219" s="23">
        <f ca="1">H1211+H1205+H1217</f>
        <v>0</v>
      </c>
      <c r="I1219" s="49">
        <f ca="1">(L1219+M1219+N1219)</f>
        <v>0</v>
      </c>
      <c r="L1219" s="23">
        <f ca="1">L1211+L1205+L1217</f>
        <v>0</v>
      </c>
      <c r="N1219" s="49">
        <f ca="1">SUM(O1219:Q1219)</f>
        <v>0</v>
      </c>
      <c r="O1219" s="23">
        <f ca="1">O1211+O1205+O1217</f>
        <v>0</v>
      </c>
      <c r="P1219" s="23">
        <f ca="1">P1211+P1205+P1217</f>
        <v>0</v>
      </c>
      <c r="Q1219" s="23">
        <f ca="1">Q1211+Q1205+Q1217</f>
        <v>0</v>
      </c>
      <c r="T1219" s="47"/>
      <c r="U1219" s="39"/>
      <c r="W1219" s="39"/>
    </row>
    <row r="1220" spans="1:26" x14ac:dyDescent="0.2">
      <c r="B1220" s="37"/>
      <c r="C1220" s="47"/>
      <c r="T1220" s="47"/>
      <c r="U1220" s="39"/>
      <c r="W1220" s="39"/>
    </row>
    <row r="1221" spans="1:26" x14ac:dyDescent="0.2">
      <c r="B1221" s="53" t="s">
        <v>306</v>
      </c>
      <c r="C1221" s="47"/>
      <c r="T1221" s="47"/>
      <c r="U1221" s="39"/>
      <c r="W1221" s="39"/>
    </row>
    <row r="1222" spans="1:26" x14ac:dyDescent="0.2">
      <c r="C1222" s="47"/>
      <c r="W1222" s="39"/>
    </row>
    <row r="1223" spans="1:26" x14ac:dyDescent="0.2">
      <c r="B1223" s="37" t="s">
        <v>307</v>
      </c>
      <c r="C1223" s="47"/>
      <c r="W1223" s="39"/>
    </row>
    <row r="1224" spans="1:26" x14ac:dyDescent="0.2">
      <c r="A1224" s="49">
        <v>1</v>
      </c>
      <c r="B1224" s="37" t="s">
        <v>308</v>
      </c>
      <c r="C1224" s="40" t="s">
        <v>1031</v>
      </c>
      <c r="D1224" s="55">
        <f t="shared" ref="D1224:D1230" ca="1" si="310">SUM(F1224:I1224)+K1224</f>
        <v>34198507.829488404</v>
      </c>
      <c r="F1224" s="49">
        <f t="shared" ref="F1224:F1229" ca="1" si="311">INDEX(INDIRECT($C1224),1,F$12+1)*$T1224</f>
        <v>32080976.049024407</v>
      </c>
      <c r="H1224" s="49">
        <f t="shared" ref="H1224:H1229" ca="1" si="312">INDEX(INDIRECT($C1224),1,H$12+1)*$T1224</f>
        <v>1629197.6511274669</v>
      </c>
      <c r="I1224" s="49">
        <f t="shared" ref="I1224:I1230" ca="1" si="313">(L1224+M1224+N1224)</f>
        <v>488334.12933652842</v>
      </c>
      <c r="L1224" s="49">
        <f t="shared" ref="L1224:L1229" ca="1" si="314">INDEX(INDIRECT($C1224),1,L$12+1)*$T1224</f>
        <v>2716.2720146024508</v>
      </c>
      <c r="M1224" s="49"/>
      <c r="N1224" s="49">
        <f t="shared" ref="N1224:N1230" ca="1" si="315">SUM(O1224:Q1224)</f>
        <v>485617.85732192599</v>
      </c>
      <c r="O1224" s="49">
        <f t="shared" ref="O1224:Q1229" ca="1" si="316">INDEX(INDIRECT($C1224),1,O$12+1)*$T1224</f>
        <v>252469.35976333346</v>
      </c>
      <c r="P1224" s="49">
        <f t="shared" ca="1" si="316"/>
        <v>233148.49755859253</v>
      </c>
      <c r="Q1224" s="49">
        <f t="shared" ca="1" si="316"/>
        <v>5.0919868299560346E-14</v>
      </c>
      <c r="T1224" s="274">
        <v>34198507.829488404</v>
      </c>
      <c r="U1224" s="39"/>
      <c r="V1224" s="39"/>
      <c r="W1224" s="39"/>
      <c r="X1224" s="39"/>
      <c r="Y1224" s="39"/>
    </row>
    <row r="1225" spans="1:26" x14ac:dyDescent="0.2">
      <c r="A1225" s="49">
        <v>2</v>
      </c>
      <c r="B1225" s="37" t="s">
        <v>309</v>
      </c>
      <c r="C1225" s="45" t="s">
        <v>1267</v>
      </c>
      <c r="D1225" s="55">
        <f t="shared" ca="1" si="310"/>
        <v>3406958</v>
      </c>
      <c r="F1225" s="49">
        <f t="shared" ca="1" si="311"/>
        <v>3406958</v>
      </c>
      <c r="H1225" s="49">
        <f t="shared" ca="1" si="312"/>
        <v>0</v>
      </c>
      <c r="I1225" s="49">
        <f t="shared" ca="1" si="313"/>
        <v>0</v>
      </c>
      <c r="L1225" s="49">
        <f t="shared" ca="1" si="314"/>
        <v>0</v>
      </c>
      <c r="M1225" s="49"/>
      <c r="N1225" s="49">
        <f t="shared" ca="1" si="315"/>
        <v>0</v>
      </c>
      <c r="O1225" s="49">
        <f t="shared" ca="1" si="316"/>
        <v>0</v>
      </c>
      <c r="P1225" s="49">
        <f t="shared" ca="1" si="316"/>
        <v>0</v>
      </c>
      <c r="Q1225" s="49">
        <f t="shared" ca="1" si="316"/>
        <v>0</v>
      </c>
      <c r="T1225" s="274">
        <v>3406958</v>
      </c>
      <c r="U1225" s="39"/>
      <c r="V1225" s="39"/>
      <c r="W1225" s="39"/>
      <c r="X1225" s="39"/>
      <c r="Y1225" s="39"/>
    </row>
    <row r="1226" spans="1:26" x14ac:dyDescent="0.2">
      <c r="A1226" s="49">
        <v>3</v>
      </c>
      <c r="B1226" s="37" t="s">
        <v>310</v>
      </c>
      <c r="C1226" s="40" t="s">
        <v>1017</v>
      </c>
      <c r="D1226" s="55">
        <f t="shared" ca="1" si="310"/>
        <v>0</v>
      </c>
      <c r="F1226" s="49">
        <f t="shared" ca="1" si="311"/>
        <v>0</v>
      </c>
      <c r="H1226" s="49">
        <f t="shared" ca="1" si="312"/>
        <v>0</v>
      </c>
      <c r="I1226" s="49">
        <f t="shared" ca="1" si="313"/>
        <v>0</v>
      </c>
      <c r="L1226" s="49">
        <f t="shared" ca="1" si="314"/>
        <v>0</v>
      </c>
      <c r="M1226" s="49"/>
      <c r="N1226" s="49">
        <f t="shared" ca="1" si="315"/>
        <v>0</v>
      </c>
      <c r="O1226" s="49">
        <f t="shared" ca="1" si="316"/>
        <v>0</v>
      </c>
      <c r="P1226" s="49">
        <f t="shared" ca="1" si="316"/>
        <v>0</v>
      </c>
      <c r="Q1226" s="49">
        <f t="shared" ca="1" si="316"/>
        <v>0</v>
      </c>
      <c r="T1226" s="274"/>
      <c r="U1226" s="39"/>
      <c r="V1226" s="39"/>
      <c r="W1226" s="39"/>
      <c r="X1226" s="39"/>
      <c r="Y1226" s="39"/>
    </row>
    <row r="1227" spans="1:26" x14ac:dyDescent="0.2">
      <c r="A1227" s="49">
        <v>4</v>
      </c>
      <c r="B1227" s="37" t="s">
        <v>311</v>
      </c>
      <c r="C1227" s="40" t="s">
        <v>677</v>
      </c>
      <c r="D1227" s="55">
        <f t="shared" ca="1" si="310"/>
        <v>0</v>
      </c>
      <c r="F1227" s="49">
        <f t="shared" ca="1" si="311"/>
        <v>0</v>
      </c>
      <c r="H1227" s="49">
        <f t="shared" ca="1" si="312"/>
        <v>0</v>
      </c>
      <c r="I1227" s="49">
        <f t="shared" ca="1" si="313"/>
        <v>0</v>
      </c>
      <c r="L1227" s="49">
        <f t="shared" ca="1" si="314"/>
        <v>0</v>
      </c>
      <c r="M1227" s="49"/>
      <c r="N1227" s="49">
        <f t="shared" ca="1" si="315"/>
        <v>0</v>
      </c>
      <c r="O1227" s="49">
        <f t="shared" ca="1" si="316"/>
        <v>0</v>
      </c>
      <c r="P1227" s="49">
        <f t="shared" ca="1" si="316"/>
        <v>0</v>
      </c>
      <c r="Q1227" s="49">
        <f t="shared" ca="1" si="316"/>
        <v>0</v>
      </c>
      <c r="T1227" s="274"/>
      <c r="U1227" s="39"/>
      <c r="W1227" s="39"/>
    </row>
    <row r="1228" spans="1:26" x14ac:dyDescent="0.2">
      <c r="A1228" s="49">
        <v>5</v>
      </c>
      <c r="B1228" s="37" t="s">
        <v>312</v>
      </c>
      <c r="C1228" s="40" t="s">
        <v>677</v>
      </c>
      <c r="D1228" s="55">
        <f t="shared" ca="1" si="310"/>
        <v>10653786</v>
      </c>
      <c r="F1228" s="49">
        <f ca="1">INDEX(INDIRECT($C1228),1,F$12+1)*$T1228</f>
        <v>10021757.097935546</v>
      </c>
      <c r="H1228" s="49">
        <f t="shared" ca="1" si="312"/>
        <v>504433.28052871505</v>
      </c>
      <c r="I1228" s="49">
        <f t="shared" ca="1" si="313"/>
        <v>127595.6215357387</v>
      </c>
      <c r="L1228" s="49">
        <f t="shared" ca="1" si="314"/>
        <v>717.87183037415832</v>
      </c>
      <c r="M1228" s="49"/>
      <c r="N1228" s="49">
        <f t="shared" ca="1" si="315"/>
        <v>126877.74970536453</v>
      </c>
      <c r="O1228" s="49">
        <f t="shared" ca="1" si="316"/>
        <v>66138.796805719438</v>
      </c>
      <c r="P1228" s="49">
        <f t="shared" ca="1" si="316"/>
        <v>60738.952899645097</v>
      </c>
      <c r="Q1228" s="49">
        <f t="shared" ca="1" si="316"/>
        <v>5.6786317706344433E-13</v>
      </c>
      <c r="T1228" s="274">
        <v>10653786</v>
      </c>
      <c r="U1228" s="39"/>
      <c r="V1228" s="422"/>
      <c r="W1228" s="39"/>
    </row>
    <row r="1229" spans="1:26" x14ac:dyDescent="0.2">
      <c r="A1229" s="49">
        <v>6</v>
      </c>
      <c r="B1229" s="37" t="s">
        <v>313</v>
      </c>
      <c r="C1229" s="40" t="s">
        <v>991</v>
      </c>
      <c r="D1229" s="55">
        <f t="shared" ca="1" si="310"/>
        <v>0</v>
      </c>
      <c r="F1229" s="49">
        <f t="shared" ca="1" si="311"/>
        <v>0</v>
      </c>
      <c r="H1229" s="49">
        <f t="shared" ca="1" si="312"/>
        <v>0</v>
      </c>
      <c r="I1229" s="49">
        <f t="shared" ca="1" si="313"/>
        <v>0</v>
      </c>
      <c r="L1229" s="49">
        <f t="shared" ca="1" si="314"/>
        <v>0</v>
      </c>
      <c r="M1229" s="49"/>
      <c r="N1229" s="49">
        <f t="shared" ca="1" si="315"/>
        <v>0</v>
      </c>
      <c r="O1229" s="49">
        <f t="shared" ca="1" si="316"/>
        <v>0</v>
      </c>
      <c r="P1229" s="49">
        <f t="shared" ca="1" si="316"/>
        <v>0</v>
      </c>
      <c r="Q1229" s="49">
        <f t="shared" ca="1" si="316"/>
        <v>0</v>
      </c>
      <c r="T1229" s="274"/>
      <c r="U1229" s="39"/>
      <c r="V1229" s="39"/>
      <c r="W1229" s="39" t="s">
        <v>2305</v>
      </c>
      <c r="X1229" s="39"/>
      <c r="Y1229" s="39"/>
    </row>
    <row r="1230" spans="1:26" x14ac:dyDescent="0.2">
      <c r="A1230" s="49">
        <v>7</v>
      </c>
      <c r="B1230" s="37" t="s">
        <v>314</v>
      </c>
      <c r="C1230" s="47"/>
      <c r="D1230" s="55">
        <f t="shared" ca="1" si="310"/>
        <v>48259251.829488397</v>
      </c>
      <c r="F1230" s="49">
        <f ca="1">SUM(F1224:F1229)</f>
        <v>45509691.146959946</v>
      </c>
      <c r="H1230" s="49">
        <f ca="1">SUM(H1224:H1229)</f>
        <v>2133630.9316561818</v>
      </c>
      <c r="I1230" s="49">
        <f t="shared" ca="1" si="313"/>
        <v>615929.75087226706</v>
      </c>
      <c r="L1230" s="49">
        <f ca="1">SUM(L1224:L1229)</f>
        <v>3434.1438449766092</v>
      </c>
      <c r="M1230" s="49"/>
      <c r="N1230" s="49">
        <f t="shared" ca="1" si="315"/>
        <v>612495.60702729051</v>
      </c>
      <c r="O1230" s="49">
        <f ca="1">SUM(O1224:O1229)</f>
        <v>318608.1565690529</v>
      </c>
      <c r="P1230" s="49">
        <f ca="1">SUM(P1224:P1229)</f>
        <v>293887.45045823761</v>
      </c>
      <c r="Q1230" s="49">
        <f ca="1">SUM(Q1224:Q1229)</f>
        <v>6.1878304536300467E-13</v>
      </c>
      <c r="T1230" s="47"/>
      <c r="W1230" s="39">
        <f>IS!N365*1000</f>
        <v>48259251.829488389</v>
      </c>
      <c r="X1230" s="24">
        <f ca="1">D1230-W1230</f>
        <v>0</v>
      </c>
    </row>
    <row r="1231" spans="1:26" x14ac:dyDescent="0.2">
      <c r="C1231" s="47"/>
      <c r="W1231" s="39"/>
    </row>
    <row r="1232" spans="1:26" x14ac:dyDescent="0.2">
      <c r="A1232" s="49">
        <v>8</v>
      </c>
      <c r="B1232" s="37" t="s">
        <v>315</v>
      </c>
      <c r="C1232" s="40" t="s">
        <v>572</v>
      </c>
      <c r="D1232" s="55">
        <f ca="1">SUM(F1232:I1232)+K1232</f>
        <v>0</v>
      </c>
      <c r="F1232" s="49">
        <f ca="1">INDEX(INDIRECT($C1232),1,F$12+1)*$T1232</f>
        <v>0</v>
      </c>
      <c r="H1232" s="49">
        <f ca="1">INDEX(INDIRECT($C1232),1,H$12+1)*$T1232</f>
        <v>0</v>
      </c>
      <c r="I1232" s="49">
        <f ca="1">(L1232+M1232+N1232)</f>
        <v>0</v>
      </c>
      <c r="L1232" s="49">
        <f ca="1">INDEX(INDIRECT($C1232),1,L$12+1)*$T1232</f>
        <v>0</v>
      </c>
      <c r="M1232" s="49"/>
      <c r="N1232" s="49">
        <f ca="1">SUM(O1232:Q1232)</f>
        <v>0</v>
      </c>
      <c r="O1232" s="49">
        <f ca="1">INDEX(INDIRECT($C1232),1,O$12+1)*$T1232</f>
        <v>0</v>
      </c>
      <c r="P1232" s="49">
        <f ca="1">INDEX(INDIRECT($C1232),1,P$12+1)*$T1232</f>
        <v>0</v>
      </c>
      <c r="Q1232" s="49">
        <f ca="1">INDEX(INDIRECT($C1232),1,Q$12+1)*$T1232</f>
        <v>0</v>
      </c>
      <c r="T1232" s="646">
        <f>IS!$N$370*1000</f>
        <v>0</v>
      </c>
      <c r="U1232" s="39"/>
      <c r="V1232" s="39" t="s">
        <v>419</v>
      </c>
      <c r="W1232" s="39"/>
      <c r="X1232" s="39" t="s">
        <v>2578</v>
      </c>
      <c r="Y1232" s="39"/>
    </row>
    <row r="1233" spans="1:26" x14ac:dyDescent="0.2">
      <c r="A1233" s="49">
        <v>9</v>
      </c>
      <c r="B1233" s="59" t="s">
        <v>69</v>
      </c>
      <c r="C1233" s="40" t="s">
        <v>991</v>
      </c>
      <c r="D1233" s="55">
        <f>T1233</f>
        <v>0</v>
      </c>
      <c r="F1233" s="49">
        <v>0</v>
      </c>
      <c r="H1233" s="49">
        <f ca="1">INDEX(INDIRECT($C1233),1,H$12+1)*$T1233</f>
        <v>0</v>
      </c>
      <c r="I1233" s="49">
        <f>(L1233+M1233+N1233)</f>
        <v>0</v>
      </c>
      <c r="L1233" s="49">
        <v>0</v>
      </c>
      <c r="M1233" s="49"/>
      <c r="N1233" s="49">
        <f>SUM(O1233:Q1233)</f>
        <v>0</v>
      </c>
      <c r="O1233" s="49">
        <v>0</v>
      </c>
      <c r="P1233" s="49">
        <v>0</v>
      </c>
      <c r="Q1233" s="49">
        <v>0</v>
      </c>
      <c r="T1233" s="23">
        <f>Y1233</f>
        <v>0</v>
      </c>
      <c r="U1233" s="39"/>
      <c r="V1233" s="73" t="s">
        <v>1226</v>
      </c>
      <c r="W1233" s="39"/>
      <c r="X1233" s="285">
        <f>IS!$N$406*1000</f>
        <v>0</v>
      </c>
      <c r="Y1233" s="24">
        <f>X1233*0.7426</f>
        <v>0</v>
      </c>
    </row>
    <row r="1234" spans="1:26" x14ac:dyDescent="0.2">
      <c r="A1234" s="49">
        <v>10</v>
      </c>
      <c r="B1234" s="59" t="s">
        <v>66</v>
      </c>
      <c r="C1234" s="40" t="s">
        <v>677</v>
      </c>
      <c r="D1234" s="55">
        <f>Y1235</f>
        <v>1123628.06</v>
      </c>
      <c r="F1234" s="49">
        <v>0</v>
      </c>
      <c r="H1234" s="49">
        <f ca="1">INDEX(INDIRECT($C1234),1,H$12+1)*$T1234</f>
        <v>26600.655785648218</v>
      </c>
      <c r="I1234" s="49">
        <f>(L1234+M1234+N1234)</f>
        <v>0</v>
      </c>
      <c r="L1234" s="49">
        <v>0</v>
      </c>
      <c r="M1234" s="49"/>
      <c r="N1234" s="49">
        <f>SUM(O1234:Q1234)</f>
        <v>0</v>
      </c>
      <c r="O1234" s="49">
        <v>0</v>
      </c>
      <c r="P1234" s="49">
        <v>0</v>
      </c>
      <c r="Q1234" s="49">
        <v>0</v>
      </c>
      <c r="T1234" s="23">
        <f>Z1235</f>
        <v>561814.03</v>
      </c>
      <c r="U1234" s="39" t="s">
        <v>791</v>
      </c>
      <c r="V1234" s="39" t="s">
        <v>139</v>
      </c>
      <c r="X1234" s="73" t="s">
        <v>1229</v>
      </c>
      <c r="Y1234" s="39" t="s">
        <v>2579</v>
      </c>
      <c r="Z1234" s="39" t="s">
        <v>792</v>
      </c>
    </row>
    <row r="1235" spans="1:26" x14ac:dyDescent="0.2">
      <c r="T1235" s="23">
        <f ca="1">Y1235-H1234</f>
        <v>1097027.4042143519</v>
      </c>
      <c r="U1235" s="39" t="s">
        <v>712</v>
      </c>
      <c r="V1235" s="73"/>
      <c r="X1235" s="285">
        <f>IS!$N$409*1000</f>
        <v>1513100</v>
      </c>
      <c r="Y1235" s="24">
        <f>X1235*0.7426</f>
        <v>1123628.06</v>
      </c>
      <c r="Z1235" s="24">
        <f>Y1235*0.5</f>
        <v>561814.03</v>
      </c>
    </row>
    <row r="1236" spans="1:26" x14ac:dyDescent="0.2">
      <c r="T1236" s="47"/>
      <c r="U1236" s="39"/>
      <c r="V1236" s="73"/>
      <c r="X1236" s="284"/>
      <c r="Y1236" s="24">
        <f ca="1">T1235+H1234</f>
        <v>1123628.06</v>
      </c>
    </row>
    <row r="1237" spans="1:26" x14ac:dyDescent="0.2">
      <c r="B1237" s="37" t="s">
        <v>317</v>
      </c>
      <c r="C1237" s="47"/>
      <c r="W1237" s="39"/>
    </row>
    <row r="1238" spans="1:26" x14ac:dyDescent="0.2">
      <c r="A1238" s="49">
        <v>11</v>
      </c>
      <c r="B1238" s="37" t="s">
        <v>161</v>
      </c>
      <c r="C1238" s="40" t="s">
        <v>963</v>
      </c>
      <c r="D1238" s="55">
        <f t="shared" ref="D1238:D1244" ca="1" si="317">SUM(F1238:I1238)+K1238</f>
        <v>0</v>
      </c>
      <c r="F1238" s="49">
        <f t="shared" ref="F1238:F1243" ca="1" si="318">INDEX(INDIRECT($C1238),1,F$12+1)*$T1238</f>
        <v>0</v>
      </c>
      <c r="H1238" s="49">
        <f t="shared" ref="H1238:H1243" ca="1" si="319">INDEX(INDIRECT($C1238),1,H$12+1)*$T1238</f>
        <v>0</v>
      </c>
      <c r="I1238" s="49">
        <f t="shared" ref="I1238:I1244" ca="1" si="320">(L1238+M1238+N1238)</f>
        <v>0</v>
      </c>
      <c r="L1238" s="49">
        <f t="shared" ref="L1238:L1243" ca="1" si="321">INDEX(INDIRECT($C1238),1,L$12+1)*$T1238</f>
        <v>0</v>
      </c>
      <c r="M1238" s="49"/>
      <c r="N1238" s="49">
        <f t="shared" ref="N1238:N1244" ca="1" si="322">SUM(O1238:Q1238)</f>
        <v>0</v>
      </c>
      <c r="O1238" s="49">
        <f t="shared" ref="O1238:Q1243" ca="1" si="323">INDEX(INDIRECT($C1238),1,O$12+1)*$T1238</f>
        <v>0</v>
      </c>
      <c r="P1238" s="49">
        <f t="shared" ca="1" si="323"/>
        <v>0</v>
      </c>
      <c r="Q1238" s="49">
        <f t="shared" ca="1" si="323"/>
        <v>0</v>
      </c>
      <c r="T1238" s="287">
        <v>0</v>
      </c>
      <c r="U1238" s="39"/>
      <c r="V1238" s="39" t="s">
        <v>420</v>
      </c>
      <c r="W1238" s="39"/>
      <c r="X1238" s="24" t="s">
        <v>544</v>
      </c>
      <c r="Y1238" s="39"/>
    </row>
    <row r="1239" spans="1:26" x14ac:dyDescent="0.2">
      <c r="A1239" s="49">
        <v>12</v>
      </c>
      <c r="B1239" s="37" t="s">
        <v>162</v>
      </c>
      <c r="C1239" s="40" t="s">
        <v>1369</v>
      </c>
      <c r="D1239" s="55">
        <f t="shared" ca="1" si="317"/>
        <v>0</v>
      </c>
      <c r="F1239" s="49">
        <f t="shared" ca="1" si="318"/>
        <v>0</v>
      </c>
      <c r="H1239" s="49">
        <f t="shared" ca="1" si="319"/>
        <v>0</v>
      </c>
      <c r="I1239" s="49">
        <f t="shared" ca="1" si="320"/>
        <v>0</v>
      </c>
      <c r="L1239" s="49">
        <f t="shared" ca="1" si="321"/>
        <v>0</v>
      </c>
      <c r="M1239" s="49"/>
      <c r="N1239" s="49">
        <f t="shared" ca="1" si="322"/>
        <v>0</v>
      </c>
      <c r="O1239" s="49">
        <f t="shared" ca="1" si="323"/>
        <v>0</v>
      </c>
      <c r="P1239" s="49">
        <f t="shared" ca="1" si="323"/>
        <v>0</v>
      </c>
      <c r="Q1239" s="49">
        <f t="shared" ca="1" si="323"/>
        <v>0</v>
      </c>
      <c r="T1239" s="287">
        <v>0</v>
      </c>
      <c r="U1239" s="39"/>
      <c r="V1239" s="39"/>
      <c r="W1239" s="39"/>
      <c r="X1239" s="39"/>
      <c r="Y1239" s="39"/>
    </row>
    <row r="1240" spans="1:26" x14ac:dyDescent="0.2">
      <c r="A1240" s="49">
        <v>13</v>
      </c>
      <c r="B1240" s="37" t="s">
        <v>163</v>
      </c>
      <c r="C1240" s="40" t="s">
        <v>988</v>
      </c>
      <c r="D1240" s="55">
        <f t="shared" ca="1" si="317"/>
        <v>0</v>
      </c>
      <c r="F1240" s="49">
        <f t="shared" ca="1" si="318"/>
        <v>0</v>
      </c>
      <c r="H1240" s="49">
        <f t="shared" ca="1" si="319"/>
        <v>0</v>
      </c>
      <c r="I1240" s="49">
        <f t="shared" ca="1" si="320"/>
        <v>0</v>
      </c>
      <c r="L1240" s="49">
        <f t="shared" ca="1" si="321"/>
        <v>0</v>
      </c>
      <c r="M1240" s="49"/>
      <c r="N1240" s="49">
        <f t="shared" ca="1" si="322"/>
        <v>0</v>
      </c>
      <c r="O1240" s="49">
        <f t="shared" ca="1" si="323"/>
        <v>0</v>
      </c>
      <c r="P1240" s="49">
        <f t="shared" ca="1" si="323"/>
        <v>0</v>
      </c>
      <c r="Q1240" s="49">
        <f t="shared" ca="1" si="323"/>
        <v>0</v>
      </c>
      <c r="T1240" s="287">
        <v>0</v>
      </c>
      <c r="U1240" s="39"/>
      <c r="V1240" s="39"/>
      <c r="W1240" s="39"/>
      <c r="X1240" s="39"/>
      <c r="Y1240" s="39"/>
    </row>
    <row r="1241" spans="1:26" x14ac:dyDescent="0.2">
      <c r="A1241" s="49">
        <v>14</v>
      </c>
      <c r="B1241" s="37" t="s">
        <v>318</v>
      </c>
      <c r="C1241" s="40" t="s">
        <v>629</v>
      </c>
      <c r="D1241" s="55">
        <f t="shared" ca="1" si="317"/>
        <v>0</v>
      </c>
      <c r="F1241" s="49">
        <f t="shared" ca="1" si="318"/>
        <v>0</v>
      </c>
      <c r="H1241" s="49">
        <f t="shared" ca="1" si="319"/>
        <v>0</v>
      </c>
      <c r="I1241" s="49">
        <f t="shared" ca="1" si="320"/>
        <v>0</v>
      </c>
      <c r="L1241" s="49">
        <f t="shared" ca="1" si="321"/>
        <v>0</v>
      </c>
      <c r="M1241" s="49"/>
      <c r="N1241" s="49">
        <f t="shared" ca="1" si="322"/>
        <v>0</v>
      </c>
      <c r="O1241" s="49">
        <f t="shared" ca="1" si="323"/>
        <v>0</v>
      </c>
      <c r="P1241" s="49">
        <f t="shared" ca="1" si="323"/>
        <v>0</v>
      </c>
      <c r="Q1241" s="49">
        <f t="shared" ca="1" si="323"/>
        <v>0</v>
      </c>
      <c r="T1241" s="287">
        <v>0</v>
      </c>
      <c r="U1241" s="39"/>
      <c r="V1241" s="39"/>
      <c r="W1241" s="39"/>
      <c r="X1241" s="39"/>
      <c r="Y1241" s="39"/>
    </row>
    <row r="1242" spans="1:26" x14ac:dyDescent="0.2">
      <c r="A1242" s="49">
        <v>15</v>
      </c>
      <c r="B1242" s="37" t="s">
        <v>165</v>
      </c>
      <c r="C1242" s="40" t="s">
        <v>1084</v>
      </c>
      <c r="D1242" s="55">
        <f t="shared" ca="1" si="317"/>
        <v>0</v>
      </c>
      <c r="F1242" s="49">
        <f t="shared" ca="1" si="318"/>
        <v>0</v>
      </c>
      <c r="H1242" s="49">
        <f t="shared" ca="1" si="319"/>
        <v>0</v>
      </c>
      <c r="I1242" s="49">
        <f t="shared" ca="1" si="320"/>
        <v>0</v>
      </c>
      <c r="L1242" s="49">
        <f t="shared" ca="1" si="321"/>
        <v>0</v>
      </c>
      <c r="M1242" s="49"/>
      <c r="N1242" s="49">
        <f t="shared" ca="1" si="322"/>
        <v>0</v>
      </c>
      <c r="O1242" s="49">
        <f t="shared" ca="1" si="323"/>
        <v>0</v>
      </c>
      <c r="P1242" s="49">
        <f t="shared" ca="1" si="323"/>
        <v>0</v>
      </c>
      <c r="Q1242" s="49">
        <f t="shared" ca="1" si="323"/>
        <v>0</v>
      </c>
      <c r="T1242" s="287">
        <v>0</v>
      </c>
      <c r="U1242" s="39"/>
      <c r="V1242" s="39"/>
      <c r="W1242" s="39"/>
      <c r="X1242" s="39"/>
      <c r="Y1242" s="39"/>
    </row>
    <row r="1243" spans="1:26" x14ac:dyDescent="0.2">
      <c r="A1243" s="49">
        <v>16</v>
      </c>
      <c r="B1243" s="37" t="s">
        <v>166</v>
      </c>
      <c r="C1243" s="40" t="s">
        <v>958</v>
      </c>
      <c r="D1243" s="55">
        <f t="shared" ca="1" si="317"/>
        <v>0</v>
      </c>
      <c r="F1243" s="49">
        <f t="shared" ca="1" si="318"/>
        <v>0</v>
      </c>
      <c r="H1243" s="49">
        <f t="shared" ca="1" si="319"/>
        <v>0</v>
      </c>
      <c r="I1243" s="49">
        <f t="shared" ca="1" si="320"/>
        <v>0</v>
      </c>
      <c r="L1243" s="49">
        <f t="shared" ca="1" si="321"/>
        <v>0</v>
      </c>
      <c r="M1243" s="49"/>
      <c r="N1243" s="49">
        <f t="shared" ca="1" si="322"/>
        <v>0</v>
      </c>
      <c r="O1243" s="49">
        <f t="shared" ca="1" si="323"/>
        <v>0</v>
      </c>
      <c r="P1243" s="49">
        <f t="shared" ca="1" si="323"/>
        <v>0</v>
      </c>
      <c r="Q1243" s="49">
        <f t="shared" ca="1" si="323"/>
        <v>0</v>
      </c>
      <c r="T1243" s="287">
        <v>0</v>
      </c>
      <c r="U1243" s="39"/>
      <c r="V1243" s="39"/>
      <c r="W1243" s="39"/>
      <c r="X1243" s="39"/>
      <c r="Y1243" s="39"/>
    </row>
    <row r="1244" spans="1:26" x14ac:dyDescent="0.2">
      <c r="A1244" s="49">
        <v>17</v>
      </c>
      <c r="B1244" s="37" t="s">
        <v>319</v>
      </c>
      <c r="C1244" s="47"/>
      <c r="D1244" s="55">
        <f t="shared" ca="1" si="317"/>
        <v>0</v>
      </c>
      <c r="F1244" s="49">
        <f ca="1">SUM(F1238:F1243)</f>
        <v>0</v>
      </c>
      <c r="H1244" s="49">
        <f ca="1">SUM(H1238:H1243)</f>
        <v>0</v>
      </c>
      <c r="I1244" s="49">
        <f t="shared" ca="1" si="320"/>
        <v>0</v>
      </c>
      <c r="L1244" s="49">
        <f ca="1">SUM(L1238:L1243)</f>
        <v>0</v>
      </c>
      <c r="M1244" s="49"/>
      <c r="N1244" s="49">
        <f t="shared" ca="1" si="322"/>
        <v>0</v>
      </c>
      <c r="O1244" s="49">
        <f ca="1">SUM(O1238:O1243)</f>
        <v>0</v>
      </c>
      <c r="P1244" s="49">
        <f ca="1">SUM(P1238:P1243)</f>
        <v>0</v>
      </c>
      <c r="Q1244" s="49">
        <f ca="1">SUM(Q1238:Q1243)</f>
        <v>0</v>
      </c>
      <c r="W1244" s="39"/>
    </row>
    <row r="1245" spans="1:26" x14ac:dyDescent="0.2">
      <c r="C1245" s="47"/>
      <c r="W1245" s="39"/>
    </row>
    <row r="1246" spans="1:26" x14ac:dyDescent="0.2">
      <c r="A1246" s="49">
        <v>18</v>
      </c>
      <c r="B1246" s="37" t="s">
        <v>320</v>
      </c>
      <c r="C1246" s="47"/>
      <c r="D1246" s="55">
        <f ca="1">SUM(F1246:I1246)+K1246</f>
        <v>1354895817.3521042</v>
      </c>
      <c r="F1246" s="49">
        <f ca="1">F1122+F1170+F1196+F1219+F1230+F1232</f>
        <v>1270002375.940469</v>
      </c>
      <c r="H1246" s="49">
        <f ca="1">H1122+H1170+H1196+H1219+H1230+H1232</f>
        <v>63109944.92133633</v>
      </c>
      <c r="I1246" s="49">
        <f ca="1">(L1246+M1246+N1246)</f>
        <v>21783496.490298826</v>
      </c>
      <c r="L1246" s="49">
        <f ca="1">L1122+L1170+L1196+L1219+L1230+L1232</f>
        <v>35936.678796062966</v>
      </c>
      <c r="M1246" s="49"/>
      <c r="N1246" s="49">
        <f ca="1">SUM(O1246:Q1246)</f>
        <v>21747559.811502762</v>
      </c>
      <c r="O1246" s="49">
        <f ca="1">O1122+O1170+O1196+O1219+O1230+O1232</f>
        <v>11128623.527770294</v>
      </c>
      <c r="P1246" s="49">
        <f ca="1">P1122+P1170+P1196+P1219+P1230+P1232</f>
        <v>10618936.28373247</v>
      </c>
      <c r="Q1246" s="49">
        <f ca="1">Q1122+Q1170+Q1196+Q1219+Q1230+Q1232</f>
        <v>6.3867604821365104E-12</v>
      </c>
      <c r="W1246" s="39"/>
    </row>
    <row r="1247" spans="1:26" x14ac:dyDescent="0.2">
      <c r="W1247" s="39"/>
    </row>
    <row r="1248" spans="1:26" x14ac:dyDescent="0.2">
      <c r="C1248" s="47"/>
      <c r="T1248" s="47"/>
      <c r="U1248" s="39"/>
      <c r="V1248" s="39"/>
      <c r="W1248" s="39"/>
      <c r="X1248" s="39"/>
      <c r="Y1248" s="39"/>
    </row>
    <row r="1249" spans="1:25" x14ac:dyDescent="0.2">
      <c r="C1249" s="47"/>
      <c r="W1249" s="39"/>
    </row>
    <row r="1250" spans="1:25" x14ac:dyDescent="0.2">
      <c r="C1250" s="47"/>
      <c r="T1250" s="47"/>
      <c r="U1250" s="39"/>
      <c r="V1250" s="39"/>
      <c r="W1250" s="39"/>
      <c r="X1250" s="39"/>
      <c r="Y1250" s="39"/>
    </row>
    <row r="1251" spans="1:25" x14ac:dyDescent="0.2">
      <c r="C1251" s="47"/>
      <c r="W1251" s="39"/>
    </row>
    <row r="1252" spans="1:25" x14ac:dyDescent="0.2">
      <c r="C1252" s="47"/>
      <c r="T1252" s="47"/>
      <c r="U1252" s="39"/>
      <c r="V1252" s="39"/>
      <c r="W1252" s="39"/>
      <c r="X1252" s="39"/>
      <c r="Y1252" s="39"/>
    </row>
    <row r="1253" spans="1:25" x14ac:dyDescent="0.2">
      <c r="C1253" s="47"/>
      <c r="W1253" s="39"/>
    </row>
    <row r="1254" spans="1:25" x14ac:dyDescent="0.2">
      <c r="W1254" s="39"/>
    </row>
    <row r="1255" spans="1:25" x14ac:dyDescent="0.2">
      <c r="B1255" s="53" t="s">
        <v>321</v>
      </c>
      <c r="C1255" s="47"/>
      <c r="W1255" s="39"/>
    </row>
    <row r="1256" spans="1:25" x14ac:dyDescent="0.2">
      <c r="C1256" s="47"/>
      <c r="W1256" s="39"/>
    </row>
    <row r="1257" spans="1:25" x14ac:dyDescent="0.2">
      <c r="A1257" s="49">
        <v>1</v>
      </c>
      <c r="B1257" s="37" t="s">
        <v>322</v>
      </c>
      <c r="C1257" s="40"/>
      <c r="D1257" s="55">
        <f ca="1">ROUND(SUM(F1257:I1257)+K1257,0)</f>
        <v>381224687</v>
      </c>
      <c r="F1257" s="49">
        <f ca="1">F946-F1246</f>
        <v>367066933.66508174</v>
      </c>
      <c r="H1257" s="49">
        <f ca="1">H946-H1246</f>
        <v>10536323.253660731</v>
      </c>
      <c r="I1257" s="49">
        <f ca="1">(L1257+M1257+N1257)</f>
        <v>3621430.289505207</v>
      </c>
      <c r="L1257" s="49">
        <f ca="1">L946-L1246</f>
        <v>-35764.54607715943</v>
      </c>
      <c r="M1257" s="49"/>
      <c r="N1257" s="49">
        <f ca="1">SUM(O1257:Q1257)</f>
        <v>3657194.8355823662</v>
      </c>
      <c r="O1257" s="49">
        <f ca="1">O946-O1246</f>
        <v>1817419.1790420171</v>
      </c>
      <c r="P1257" s="49">
        <f ca="1">P946-P1246</f>
        <v>1839775.6565403491</v>
      </c>
      <c r="Q1257" s="49">
        <f ca="1">Q946-Q1246</f>
        <v>-6.3867604821365104E-12</v>
      </c>
      <c r="T1257" s="287">
        <v>381224687</v>
      </c>
      <c r="U1257" s="24" t="str">
        <f ca="1">IF(T1257=ROUND(D946-D1246,0),"ok","err")</f>
        <v>ok</v>
      </c>
      <c r="W1257" s="318">
        <f ca="1">T1257-D1257</f>
        <v>0</v>
      </c>
    </row>
    <row r="1258" spans="1:25" x14ac:dyDescent="0.2">
      <c r="C1258" s="47"/>
      <c r="F1258" s="405"/>
      <c r="T1258" s="150"/>
      <c r="V1258" s="39"/>
      <c r="W1258" s="39"/>
    </row>
    <row r="1259" spans="1:25" x14ac:dyDescent="0.2">
      <c r="B1259" s="37" t="s">
        <v>323</v>
      </c>
      <c r="C1259" s="47"/>
      <c r="F1259" s="405"/>
      <c r="W1259" s="39"/>
    </row>
    <row r="1260" spans="1:25" x14ac:dyDescent="0.2">
      <c r="B1260" s="37" t="s">
        <v>324</v>
      </c>
      <c r="C1260" s="47"/>
      <c r="F1260" s="405"/>
      <c r="W1260" s="39"/>
    </row>
    <row r="1261" spans="1:25" x14ac:dyDescent="0.2">
      <c r="A1261" s="49">
        <v>2</v>
      </c>
      <c r="D1261" s="55"/>
      <c r="W1261" s="39"/>
    </row>
    <row r="1262" spans="1:25" x14ac:dyDescent="0.2">
      <c r="A1262" s="49">
        <v>3</v>
      </c>
      <c r="D1262" s="55"/>
      <c r="W1262" s="39"/>
    </row>
    <row r="1263" spans="1:25" x14ac:dyDescent="0.2">
      <c r="A1263" s="49">
        <v>4</v>
      </c>
      <c r="B1263" s="37" t="s">
        <v>325</v>
      </c>
      <c r="C1263" s="47"/>
      <c r="D1263" s="55">
        <f>SUM(F1263:I1263)+K1263</f>
        <v>0</v>
      </c>
      <c r="F1263" s="49">
        <f>F1262+F1261</f>
        <v>0</v>
      </c>
      <c r="H1263" s="49">
        <f>H1262+H1261</f>
        <v>0</v>
      </c>
      <c r="I1263" s="49">
        <f>(L1263+M1263+N1263)</f>
        <v>0</v>
      </c>
      <c r="L1263" s="49">
        <f>L1262+L1261</f>
        <v>0</v>
      </c>
      <c r="M1263" s="49"/>
      <c r="N1263" s="49">
        <f>SUM(O1263:Q1263)</f>
        <v>0</v>
      </c>
      <c r="O1263" s="49">
        <f>O1262+O1261</f>
        <v>0</v>
      </c>
      <c r="P1263" s="49">
        <f>P1262+P1261</f>
        <v>0</v>
      </c>
      <c r="Q1263" s="49">
        <f>Q1262+Q1261</f>
        <v>0</v>
      </c>
      <c r="T1263" s="126"/>
      <c r="W1263" s="39"/>
    </row>
    <row r="1264" spans="1:25" x14ac:dyDescent="0.2">
      <c r="C1264" s="47"/>
      <c r="W1264" s="39"/>
    </row>
    <row r="1265" spans="1:28" x14ac:dyDescent="0.2">
      <c r="B1265" s="37" t="s">
        <v>386</v>
      </c>
      <c r="C1265" s="47"/>
      <c r="W1265" s="39"/>
    </row>
    <row r="1266" spans="1:28" x14ac:dyDescent="0.2">
      <c r="B1266" s="37" t="s">
        <v>387</v>
      </c>
      <c r="C1266" s="47"/>
      <c r="W1266" s="39"/>
      <c r="Z1266" s="39"/>
      <c r="AA1266" s="39"/>
    </row>
    <row r="1267" spans="1:28" x14ac:dyDescent="0.2">
      <c r="A1267" s="49">
        <v>5</v>
      </c>
      <c r="B1267" s="37" t="s">
        <v>388</v>
      </c>
      <c r="C1267" s="40" t="s">
        <v>1033</v>
      </c>
      <c r="D1267" s="55">
        <f ca="1">SUM(F1267:I1267)+K1267</f>
        <v>116045467.27503477</v>
      </c>
      <c r="F1267" s="49">
        <f ca="1">INDEX(INDIRECT($C1267),1,F$12+1)*$T1267</f>
        <v>108870763.21236937</v>
      </c>
      <c r="H1267" s="49">
        <f ca="1">INDEX(INDIRECT($C1267),1,H$12+1)*$T1267</f>
        <v>5495866.7742041778</v>
      </c>
      <c r="I1267" s="49">
        <f ca="1">(L1267+M1267+N1267)</f>
        <v>1678837.2884612235</v>
      </c>
      <c r="L1267" s="49">
        <f ca="1">INDEX(INDIRECT($C1267),1,L$12+1)*$T1267</f>
        <v>8904.0692421413805</v>
      </c>
      <c r="M1267" s="49"/>
      <c r="N1267" s="49">
        <f ca="1">SUM(O1267:Q1267)</f>
        <v>1669933.219219082</v>
      </c>
      <c r="O1267" s="49">
        <f t="shared" ref="O1267:Q1269" ca="1" si="324">INDEX(INDIRECT($C1267),1,O$12+1)*$T1267</f>
        <v>866315.23409057362</v>
      </c>
      <c r="P1267" s="49">
        <f t="shared" ca="1" si="324"/>
        <v>803617.98512850842</v>
      </c>
      <c r="Q1267" s="49">
        <f t="shared" ca="1" si="324"/>
        <v>1.7417042323568287E-13</v>
      </c>
      <c r="T1267" s="274">
        <f>116478614-435511-T1269</f>
        <v>116045467.27503476</v>
      </c>
      <c r="U1267" s="39"/>
      <c r="V1267" s="39" t="s">
        <v>420</v>
      </c>
      <c r="W1267" s="39"/>
      <c r="X1267" s="39"/>
      <c r="Y1267" s="385" t="s">
        <v>1361</v>
      </c>
      <c r="Z1267" s="236"/>
    </row>
    <row r="1268" spans="1:28" x14ac:dyDescent="0.2">
      <c r="A1268" s="49">
        <v>6</v>
      </c>
      <c r="B1268" s="37" t="s">
        <v>389</v>
      </c>
      <c r="C1268" s="40" t="s">
        <v>689</v>
      </c>
      <c r="D1268" s="55">
        <v>0</v>
      </c>
      <c r="F1268" s="49">
        <f ca="1">INDEX(INDIRECT($C1268),1,F$12+1)*$T1268*0</f>
        <v>0</v>
      </c>
      <c r="H1268" s="49">
        <f ca="1">INDEX(INDIRECT($C1268),1,H$12+1)*$T1268</f>
        <v>21902.279497089981</v>
      </c>
      <c r="I1268" s="49">
        <f ca="1">(L1268+M1268+N1268)</f>
        <v>0</v>
      </c>
      <c r="L1268" s="49">
        <f ca="1">INDEX(INDIRECT($C1268),1,L$12+1)*$T1268</f>
        <v>0</v>
      </c>
      <c r="M1268" s="49"/>
      <c r="N1268" s="49">
        <f ca="1">SUM(O1268:Q1268)</f>
        <v>0</v>
      </c>
      <c r="O1268" s="49">
        <f t="shared" ca="1" si="324"/>
        <v>0</v>
      </c>
      <c r="P1268" s="49">
        <f t="shared" ca="1" si="324"/>
        <v>0</v>
      </c>
      <c r="Q1268" s="49">
        <f t="shared" ca="1" si="324"/>
        <v>0</v>
      </c>
      <c r="T1268" s="423">
        <v>435510.9</v>
      </c>
      <c r="U1268" s="39"/>
      <c r="V1268" s="39" t="s">
        <v>1195</v>
      </c>
      <c r="W1268" s="39"/>
      <c r="X1268" s="245"/>
      <c r="Y1268" s="384">
        <f ca="1">T1268-H1268</f>
        <v>413608.62050291005</v>
      </c>
      <c r="Z1268" s="247"/>
    </row>
    <row r="1269" spans="1:28" x14ac:dyDescent="0.2">
      <c r="A1269" s="49">
        <v>7</v>
      </c>
      <c r="B1269" s="37" t="s">
        <v>390</v>
      </c>
      <c r="C1269" s="40" t="s">
        <v>2637</v>
      </c>
      <c r="D1269" s="55">
        <f ca="1">SUM(F1269:I1269)+K1269</f>
        <v>-2364.2750347616302</v>
      </c>
      <c r="F1269" s="49">
        <f ca="1">INDEX(INDIRECT($C1269),1,F$12+1)*$T1269</f>
        <v>0</v>
      </c>
      <c r="H1269" s="49">
        <f ca="1">INDEX(INDIRECT($C1269),1,H$12+1)*$T1269</f>
        <v>0</v>
      </c>
      <c r="I1269" s="49">
        <f ca="1">(L1269+M1269+N1269)</f>
        <v>-2364.2750347616302</v>
      </c>
      <c r="L1269" s="49">
        <f ca="1">INDEX(INDIRECT($C1269),1,L$12+1)*$T1269</f>
        <v>0</v>
      </c>
      <c r="M1269" s="49"/>
      <c r="N1269" s="49">
        <f ca="1">SUM(O1269:Q1269)</f>
        <v>-2364.2750347616302</v>
      </c>
      <c r="O1269" s="49">
        <f t="shared" ca="1" si="324"/>
        <v>-1199.0942225809104</v>
      </c>
      <c r="P1269" s="49">
        <f t="shared" ca="1" si="324"/>
        <v>-1165.1808121807198</v>
      </c>
      <c r="Q1269" s="49">
        <f t="shared" ca="1" si="324"/>
        <v>0</v>
      </c>
      <c r="T1269" s="423">
        <f>IS!$N$432*1000</f>
        <v>-2364.2750347616302</v>
      </c>
      <c r="U1269" s="39"/>
      <c r="V1269" s="39" t="s">
        <v>420</v>
      </c>
      <c r="W1269" s="39"/>
      <c r="X1269" s="246"/>
      <c r="Y1269" s="246"/>
      <c r="Z1269" s="94"/>
    </row>
    <row r="1270" spans="1:28" x14ac:dyDescent="0.2">
      <c r="A1270" s="49">
        <v>8</v>
      </c>
      <c r="B1270" s="37" t="s">
        <v>391</v>
      </c>
      <c r="C1270" s="47"/>
      <c r="D1270" s="49">
        <f ca="1">SUM(D1267:D1269)</f>
        <v>116043103.00000001</v>
      </c>
      <c r="F1270" s="49">
        <f ca="1">SUM(F1267:F1269)</f>
        <v>108870763.21236937</v>
      </c>
      <c r="H1270" s="49">
        <f ca="1">SUM(H1267:H1269)</f>
        <v>5517769.0537012676</v>
      </c>
      <c r="I1270" s="49">
        <f ca="1">(L1270+M1270+N1270)</f>
        <v>1676473.013426462</v>
      </c>
      <c r="L1270" s="49">
        <f ca="1">SUM(L1267:L1269)</f>
        <v>8904.0692421413805</v>
      </c>
      <c r="M1270" s="49"/>
      <c r="N1270" s="49">
        <f ca="1">SUM(O1270:Q1270)</f>
        <v>1667568.9441843205</v>
      </c>
      <c r="O1270" s="49">
        <f ca="1">SUM(O1267:O1269)</f>
        <v>865116.13986799272</v>
      </c>
      <c r="P1270" s="49">
        <f ca="1">SUM(P1267:P1269)</f>
        <v>802452.80431632767</v>
      </c>
      <c r="Q1270" s="49">
        <f ca="1">SUM(Q1267:Q1269)</f>
        <v>1.7417042323568287E-13</v>
      </c>
      <c r="T1270" s="39"/>
      <c r="U1270" s="39"/>
      <c r="V1270" s="39" t="s">
        <v>420</v>
      </c>
      <c r="W1270" s="39"/>
      <c r="X1270" s="246"/>
      <c r="Y1270" s="248"/>
      <c r="Z1270" s="94"/>
    </row>
    <row r="1271" spans="1:28" x14ac:dyDescent="0.2">
      <c r="C1271" s="47"/>
      <c r="T1271" s="39"/>
      <c r="U1271" s="39"/>
      <c r="W1271" s="39"/>
    </row>
    <row r="1272" spans="1:28" x14ac:dyDescent="0.2">
      <c r="B1272" s="37" t="s">
        <v>392</v>
      </c>
      <c r="C1272" s="47"/>
      <c r="T1272" s="39"/>
      <c r="U1272" s="39"/>
      <c r="W1272" s="39"/>
    </row>
    <row r="1273" spans="1:28" x14ac:dyDescent="0.2">
      <c r="A1273" s="49">
        <v>9</v>
      </c>
      <c r="B1273" s="59" t="s">
        <v>1231</v>
      </c>
      <c r="C1273" s="40" t="s">
        <v>582</v>
      </c>
      <c r="D1273" s="55">
        <f ca="1">SUM(F1273:I1273)+K1273</f>
        <v>0</v>
      </c>
      <c r="F1273" s="49">
        <f ca="1">INDEX(INDIRECT($C1273),1,F$12+1)*$T1273</f>
        <v>0</v>
      </c>
      <c r="H1273" s="49">
        <f ca="1">INDEX(INDIRECT($C1273),1,H$12+1)*$T1273</f>
        <v>0</v>
      </c>
      <c r="I1273" s="49">
        <f ca="1">(L1273+M1273+N1273)</f>
        <v>0</v>
      </c>
      <c r="L1273" s="49">
        <f ca="1">INDEX(INDIRECT($C1273),1,L$12+1)*$T1273</f>
        <v>0</v>
      </c>
      <c r="M1273" s="49"/>
      <c r="N1273" s="49">
        <f ca="1">SUM(O1273:Q1273)</f>
        <v>0</v>
      </c>
      <c r="O1273" s="49">
        <f t="shared" ref="O1273:Q1277" ca="1" si="325">INDEX(INDIRECT($C1273),1,O$12+1)*$T1273</f>
        <v>0</v>
      </c>
      <c r="P1273" s="49">
        <f t="shared" ca="1" si="325"/>
        <v>0</v>
      </c>
      <c r="Q1273" s="49">
        <f t="shared" ca="1" si="325"/>
        <v>0</v>
      </c>
      <c r="T1273" s="274">
        <v>0</v>
      </c>
      <c r="U1273" s="39"/>
      <c r="V1273" s="73" t="s">
        <v>1228</v>
      </c>
      <c r="W1273" s="39"/>
      <c r="Y1273" s="39"/>
    </row>
    <row r="1274" spans="1:28" x14ac:dyDescent="0.2">
      <c r="A1274" s="49">
        <v>10</v>
      </c>
      <c r="B1274" s="59" t="s">
        <v>1408</v>
      </c>
      <c r="C1274" s="40" t="s">
        <v>679</v>
      </c>
      <c r="D1274" s="55">
        <f ca="1">SUM(F1274:I1274)+K1274</f>
        <v>0</v>
      </c>
      <c r="F1274" s="49">
        <f ca="1">INDEX(INDIRECT($C1274),1,F$12+1)*$T1274</f>
        <v>0</v>
      </c>
      <c r="H1274" s="49">
        <f ca="1">INDEX(INDIRECT($C1274),1,H$12+1)*$T1274</f>
        <v>0</v>
      </c>
      <c r="I1274" s="49">
        <f ca="1">(L1274+M1274+N1274)</f>
        <v>0</v>
      </c>
      <c r="L1274" s="49">
        <f ca="1">INDEX(INDIRECT($C1274),1,L$12+1)*$T1274</f>
        <v>0</v>
      </c>
      <c r="M1274" s="49"/>
      <c r="N1274" s="49">
        <f ca="1">SUM(O1274:Q1274)</f>
        <v>0</v>
      </c>
      <c r="O1274" s="49">
        <f t="shared" ca="1" si="325"/>
        <v>0</v>
      </c>
      <c r="P1274" s="49">
        <f t="shared" ca="1" si="325"/>
        <v>0</v>
      </c>
      <c r="Q1274" s="49">
        <f t="shared" ca="1" si="325"/>
        <v>0</v>
      </c>
      <c r="T1274" s="274">
        <v>0</v>
      </c>
      <c r="U1274" s="39"/>
      <c r="V1274" s="73" t="s">
        <v>1410</v>
      </c>
      <c r="W1274" s="39"/>
      <c r="X1274" s="39">
        <v>302124</v>
      </c>
      <c r="Y1274" s="592">
        <f>X1274/X1276</f>
        <v>0.25608416455893623</v>
      </c>
    </row>
    <row r="1275" spans="1:28" x14ac:dyDescent="0.2">
      <c r="A1275" s="49">
        <v>11</v>
      </c>
      <c r="B1275" s="37" t="s">
        <v>142</v>
      </c>
      <c r="C1275" s="40" t="s">
        <v>574</v>
      </c>
      <c r="D1275" s="55">
        <f ca="1">SUM(F1275:I1275)+K1275</f>
        <v>204867.33164714897</v>
      </c>
      <c r="F1275" s="49">
        <f ca="1">INDEX(INDIRECT($C1275),1,F$12+1)*$T1275</f>
        <v>107587.62273549214</v>
      </c>
      <c r="H1275" s="49">
        <f ca="1">INDEX(INDIRECT($C1275),1,H$12+1)*$T1275</f>
        <v>66725.944744563894</v>
      </c>
      <c r="I1275" s="49">
        <f ca="1">(L1275+M1275+N1275)</f>
        <v>30553.764167092952</v>
      </c>
      <c r="L1275" s="49">
        <f ca="1">INDEX(INDIRECT($C1275),1,L$12+1)*$T1275</f>
        <v>0</v>
      </c>
      <c r="M1275" s="49"/>
      <c r="N1275" s="49">
        <f ca="1">SUM(O1275:Q1275)</f>
        <v>30553.764167092952</v>
      </c>
      <c r="O1275" s="49">
        <f t="shared" ca="1" si="325"/>
        <v>15496.015291027503</v>
      </c>
      <c r="P1275" s="49">
        <f t="shared" ca="1" si="325"/>
        <v>15057.748876065451</v>
      </c>
      <c r="Q1275" s="49">
        <f t="shared" ca="1" si="325"/>
        <v>0</v>
      </c>
      <c r="T1275" s="274">
        <f>800000*Y1274</f>
        <v>204867.331647149</v>
      </c>
      <c r="U1275" s="39"/>
      <c r="V1275" s="39" t="s">
        <v>420</v>
      </c>
      <c r="W1275" s="39"/>
      <c r="X1275" s="39">
        <v>877660</v>
      </c>
      <c r="Y1275" s="592">
        <f>X1275/X1276</f>
        <v>0.74391583544106377</v>
      </c>
    </row>
    <row r="1276" spans="1:28" x14ac:dyDescent="0.2">
      <c r="A1276" s="49">
        <v>12</v>
      </c>
      <c r="B1276" s="37" t="s">
        <v>143</v>
      </c>
      <c r="C1276" s="40" t="s">
        <v>580</v>
      </c>
      <c r="D1276" s="55">
        <f ca="1">SUM(F1276:I1276)+K1276</f>
        <v>595132.66835285106</v>
      </c>
      <c r="F1276" s="49">
        <f ca="1">INDEX(INDIRECT($C1276),1,F$12+1)*$T1276</f>
        <v>463502.72308664006</v>
      </c>
      <c r="H1276" s="49">
        <f ca="1">INDEX(INDIRECT($C1276),1,H$12+1)*$T1276</f>
        <v>0</v>
      </c>
      <c r="I1276" s="49">
        <f ca="1">(L1276+M1276+N1276)</f>
        <v>131629.945266211</v>
      </c>
      <c r="L1276" s="49">
        <f ca="1">INDEX(INDIRECT($C1276),1,L$12+1)*$T1276</f>
        <v>0</v>
      </c>
      <c r="M1276" s="49"/>
      <c r="N1276" s="49">
        <f ca="1">SUM(O1276:Q1276)</f>
        <v>131629.945266211</v>
      </c>
      <c r="O1276" s="49">
        <f t="shared" ca="1" si="325"/>
        <v>66759.029540430944</v>
      </c>
      <c r="P1276" s="49">
        <f t="shared" ca="1" si="325"/>
        <v>64870.915725780062</v>
      </c>
      <c r="Q1276" s="49">
        <f t="shared" ca="1" si="325"/>
        <v>0</v>
      </c>
      <c r="T1276" s="274">
        <f>800000*Y1275</f>
        <v>595132.66835285106</v>
      </c>
      <c r="U1276" s="39"/>
      <c r="V1276" s="39" t="s">
        <v>420</v>
      </c>
      <c r="W1276" s="39"/>
      <c r="X1276" s="39">
        <f>SUM(X1274:X1275)</f>
        <v>1179784</v>
      </c>
    </row>
    <row r="1277" spans="1:28" x14ac:dyDescent="0.2">
      <c r="A1277" s="49">
        <v>13</v>
      </c>
      <c r="B1277" s="37" t="s">
        <v>393</v>
      </c>
      <c r="C1277" s="40" t="s">
        <v>1033</v>
      </c>
      <c r="D1277" s="55">
        <f ca="1">SUM(F1277:I1277)+K1277+Y1268</f>
        <v>339000</v>
      </c>
      <c r="F1277" s="49">
        <f ca="1">INDEX(INDIRECT($C1277),1,F$12+1)*$T1277</f>
        <v>318040.76105377689</v>
      </c>
      <c r="H1277" s="49">
        <f ca="1">INDEX(INDIRECT($C1277),1,H$12+1)*$T1277-Y1268</f>
        <v>-397553.71650532814</v>
      </c>
      <c r="I1277" s="49">
        <f ca="1">(L1277+M1277+N1277)</f>
        <v>4904.3349486412262</v>
      </c>
      <c r="L1277" s="49">
        <f ca="1">INDEX(INDIRECT($C1277),1,L$12+1)*$T1277</f>
        <v>26.011179445138943</v>
      </c>
      <c r="M1277" s="49"/>
      <c r="N1277" s="49">
        <f ca="1">SUM(O1277:Q1277)</f>
        <v>4878.3237691960876</v>
      </c>
      <c r="O1277" s="49">
        <f t="shared" ca="1" si="325"/>
        <v>2530.7396424253529</v>
      </c>
      <c r="P1277" s="49">
        <f t="shared" ca="1" si="325"/>
        <v>2347.5841267707347</v>
      </c>
      <c r="Q1277" s="49">
        <f t="shared" ca="1" si="325"/>
        <v>5.0879861888064262E-16</v>
      </c>
      <c r="T1277" s="274">
        <f>-161000+500000</f>
        <v>339000</v>
      </c>
      <c r="U1277" s="39"/>
      <c r="V1277" s="39" t="s">
        <v>1373</v>
      </c>
      <c r="W1277" s="39"/>
      <c r="X1277" s="388"/>
      <c r="Y1277" s="44"/>
    </row>
    <row r="1278" spans="1:28" x14ac:dyDescent="0.2">
      <c r="C1278" s="47"/>
      <c r="T1278" s="24"/>
      <c r="W1278" s="156"/>
      <c r="X1278" s="149"/>
      <c r="Y1278" s="149"/>
      <c r="Z1278" s="149"/>
      <c r="AA1278" s="30"/>
    </row>
    <row r="1279" spans="1:28" x14ac:dyDescent="0.2">
      <c r="A1279" s="49">
        <v>14</v>
      </c>
      <c r="B1279" s="59" t="s">
        <v>1230</v>
      </c>
      <c r="C1279" s="47"/>
      <c r="D1279" s="49">
        <f ca="1">ROUND(D1257+D1263-D1270+D1273+D1275+D1276+D1277,0)</f>
        <v>266320584</v>
      </c>
      <c r="F1279" s="49">
        <f ca="1">ROUND(F1257+F1263-F1270+F1273+F1275+F1276+F1277,0)</f>
        <v>259085302</v>
      </c>
      <c r="H1279" s="49">
        <f ca="1">ROUND(H1257+H1263-H1270+H1274+H1275+H1276+H1277,0)</f>
        <v>4687726</v>
      </c>
      <c r="I1279" s="49">
        <f ca="1">(L1279+M1279+N1279)</f>
        <v>2112045</v>
      </c>
      <c r="L1279" s="49">
        <f ca="1">ROUND(L1257+L1263-L1270+L1273+L1275+L1276+L1277,0)</f>
        <v>-44643</v>
      </c>
      <c r="M1279" s="49"/>
      <c r="N1279" s="49">
        <f ca="1">SUM(O1279:Q1279)</f>
        <v>2156688</v>
      </c>
      <c r="O1279" s="49">
        <f ca="1">ROUND(O1257+O1263-O1270+O1273+O1275+O1276+O1277,0)</f>
        <v>1037089</v>
      </c>
      <c r="P1279" s="49">
        <f ca="1">ROUND(P1257+P1263-P1270+P1273+P1275+P1276+P1277,0)</f>
        <v>1119599</v>
      </c>
      <c r="Q1279" s="49">
        <f ca="1">ROUND(Q1257+Q1263-Q1270+Q1273+Q1275+Q1276+Q1277,0)</f>
        <v>0</v>
      </c>
      <c r="T1279" s="23">
        <f ca="1">D1279</f>
        <v>266320584</v>
      </c>
      <c r="V1279" s="39"/>
      <c r="W1279" s="49"/>
      <c r="X1279" s="49"/>
      <c r="Y1279" s="49"/>
      <c r="Z1279" s="49"/>
      <c r="AB1279" s="153"/>
    </row>
    <row r="1280" spans="1:28" x14ac:dyDescent="0.2">
      <c r="A1280" s="49">
        <v>15</v>
      </c>
      <c r="B1280" s="59" t="s">
        <v>1409</v>
      </c>
      <c r="C1280" s="47"/>
      <c r="D1280" s="49">
        <f ca="1">ROUND(D1257+D1263-D1270+D1274+D1275+D1276+D1277,0)</f>
        <v>266320584</v>
      </c>
      <c r="F1280" s="49">
        <f ca="1">ROUND(F1257+F1263-F1270+F1274+F1275+F1276+F1277,0)</f>
        <v>259085302</v>
      </c>
      <c r="H1280" s="49">
        <f ca="1">T1280*T1281</f>
        <v>8886983.353064863</v>
      </c>
      <c r="I1280" s="49">
        <f ca="1">(L1280+M1280+N1280)</f>
        <v>2112045</v>
      </c>
      <c r="L1280" s="49">
        <f ca="1">ROUND(L1257+L1263-L1270+L1274+L1275+L1276+L1277,0)</f>
        <v>-44643</v>
      </c>
      <c r="M1280" s="49"/>
      <c r="N1280" s="49">
        <f ca="1">SUM(O1280:Q1280)</f>
        <v>2156688</v>
      </c>
      <c r="O1280" s="49">
        <f ca="1">ROUND(O1257+O1263-O1270+O1274+O1275+O1276+O1277,0)</f>
        <v>1037089</v>
      </c>
      <c r="P1280" s="49">
        <f ca="1">ROUND(P1257+P1263-P1270+P1274+P1275+P1276+P1277,0)</f>
        <v>1119599</v>
      </c>
      <c r="Q1280" s="49">
        <v>0</v>
      </c>
      <c r="T1280" s="23">
        <f ca="1">D1280-D1276+D1269-H1268-Y1268</f>
        <v>265287576.1566124</v>
      </c>
      <c r="V1280" s="39"/>
      <c r="W1280" s="151"/>
      <c r="X1280" s="151"/>
      <c r="Y1280" s="151"/>
      <c r="Z1280" s="151"/>
      <c r="AB1280" s="153"/>
    </row>
    <row r="1281" spans="1:31" x14ac:dyDescent="0.2">
      <c r="C1281" s="47"/>
      <c r="D1281" s="152"/>
      <c r="K1281" s="62"/>
      <c r="N1281" s="62"/>
      <c r="T1281" s="382">
        <v>3.349943288644032E-2</v>
      </c>
      <c r="V1281" s="39" t="s">
        <v>2580</v>
      </c>
      <c r="W1281" s="39"/>
      <c r="X1281" s="149"/>
    </row>
    <row r="1282" spans="1:31" x14ac:dyDescent="0.2">
      <c r="A1282" s="49">
        <v>16</v>
      </c>
      <c r="B1282" s="37" t="s">
        <v>394</v>
      </c>
      <c r="D1282" s="49">
        <f ca="1">D1302*D1279</f>
        <v>13316029.200000001</v>
      </c>
      <c r="F1282" s="49">
        <f ca="1">F1302*F1279</f>
        <v>12954265.100000001</v>
      </c>
      <c r="H1282" s="49">
        <f ca="1">H1302*H1280</f>
        <v>533219.00118389179</v>
      </c>
      <c r="I1282" s="49">
        <f t="shared" ref="I1282:I1289" ca="1" si="326">(L1282+M1282+N1282)</f>
        <v>105602.25000000001</v>
      </c>
      <c r="L1282" s="49">
        <f ca="1">L1302*L1279</f>
        <v>-2232.15</v>
      </c>
      <c r="M1282" s="49"/>
      <c r="N1282" s="49">
        <f t="shared" ref="N1282:N1289" ca="1" si="327">SUM(O1282:Q1282)</f>
        <v>107834.40000000001</v>
      </c>
      <c r="O1282" s="49">
        <f ca="1">O1302*O1279</f>
        <v>51854.450000000004</v>
      </c>
      <c r="P1282" s="49">
        <f ca="1">P1302*P1279</f>
        <v>55979.950000000004</v>
      </c>
      <c r="Q1282" s="49">
        <f>Q1302*Q1280</f>
        <v>0</v>
      </c>
      <c r="T1282" s="95"/>
      <c r="V1282" s="89" t="s">
        <v>1103</v>
      </c>
      <c r="W1282" s="39"/>
      <c r="Z1282" s="78" t="s">
        <v>1067</v>
      </c>
      <c r="AA1282" s="89" t="s">
        <v>1101</v>
      </c>
    </row>
    <row r="1283" spans="1:31" x14ac:dyDescent="0.2">
      <c r="A1283" s="49">
        <v>17</v>
      </c>
      <c r="B1283" s="37" t="s">
        <v>1352</v>
      </c>
      <c r="C1283" s="40" t="s">
        <v>1033</v>
      </c>
      <c r="D1283" s="55">
        <f ca="1">SUM(F1283:I1283)</f>
        <v>80824</v>
      </c>
      <c r="F1283" s="49">
        <f ca="1">ROUND(INDEX(INDIRECT($C1283),1,F$12+1)*$T1283,0)</f>
        <v>75827</v>
      </c>
      <c r="H1283" s="49">
        <f ca="1">ROUND(INDEX(INDIRECT($C1283),1,H$12+1)*$T1283,0)</f>
        <v>3828</v>
      </c>
      <c r="I1283" s="49">
        <f t="shared" ca="1" si="326"/>
        <v>1169</v>
      </c>
      <c r="L1283" s="49">
        <f ca="1">ROUND(INDEX(INDIRECT($C1283),1,L$12+1)*$T1283,0)</f>
        <v>6</v>
      </c>
      <c r="M1283" s="49"/>
      <c r="N1283" s="49">
        <f t="shared" ca="1" si="327"/>
        <v>1163</v>
      </c>
      <c r="O1283" s="49">
        <f t="shared" ref="O1283:P1285" ca="1" si="328">ROUND(INDEX(INDIRECT($C1283),1,O$12+1)*$T1283,0)</f>
        <v>603</v>
      </c>
      <c r="P1283" s="49">
        <f t="shared" ca="1" si="328"/>
        <v>560</v>
      </c>
      <c r="Q1283" s="49">
        <f ca="1">INDEX(INDIRECT($C1283),1,Q$12+1)*$T1283</f>
        <v>1.2130719637878778E-16</v>
      </c>
      <c r="T1283" s="274">
        <f>80823+1</f>
        <v>80824</v>
      </c>
      <c r="U1283" s="39"/>
      <c r="V1283" s="39" t="s">
        <v>420</v>
      </c>
      <c r="W1283" s="39"/>
      <c r="X1283" s="39"/>
      <c r="Y1283" s="274">
        <f>80823+1</f>
        <v>80824</v>
      </c>
      <c r="Z1283" s="288">
        <v>10241213.8437544</v>
      </c>
      <c r="AA1283" s="292">
        <f ca="1">D1286-Z1283</f>
        <v>0.35624560154974461</v>
      </c>
    </row>
    <row r="1284" spans="1:31" x14ac:dyDescent="0.2">
      <c r="A1284" s="46">
        <v>18</v>
      </c>
      <c r="B1284" s="38" t="s">
        <v>1360</v>
      </c>
      <c r="C1284" s="44" t="s">
        <v>578</v>
      </c>
      <c r="D1284" s="84">
        <f ca="1">SUM(F1284:I1284)</f>
        <v>-1620000</v>
      </c>
      <c r="E1284" s="24"/>
      <c r="F1284" s="46">
        <f ca="1">ROUND(INDEX(INDIRECT($C1284),1,F$12+1)*$T1284,0)</f>
        <v>-1586730</v>
      </c>
      <c r="G1284" s="24"/>
      <c r="H1284" s="46">
        <f ca="1">ROUND(INDEX(INDIRECT($C1284),1,H$12+1)*$T1284,0)</f>
        <v>0</v>
      </c>
      <c r="I1284" s="46">
        <f ca="1">(L1284+M1284+N1284)</f>
        <v>-33270</v>
      </c>
      <c r="J1284" s="24"/>
      <c r="K1284" s="24"/>
      <c r="L1284" s="46">
        <f ca="1">ROUND(INDEX(INDIRECT($C1284),1,L$12+1)*$T1284,0)</f>
        <v>0</v>
      </c>
      <c r="M1284" s="46"/>
      <c r="N1284" s="46">
        <f ca="1">SUM(O1284:Q1284)</f>
        <v>-33270</v>
      </c>
      <c r="O1284" s="46">
        <f t="shared" ca="1" si="328"/>
        <v>-16874</v>
      </c>
      <c r="P1284" s="46">
        <f t="shared" ca="1" si="328"/>
        <v>-16396</v>
      </c>
      <c r="Q1284" s="46">
        <f ca="1">INDEX(INDIRECT($C1284),1,Q$12+1)*$T1284</f>
        <v>0</v>
      </c>
      <c r="R1284" s="24"/>
      <c r="S1284" s="24"/>
      <c r="T1284" s="274">
        <v>-1620000</v>
      </c>
      <c r="U1284" s="39"/>
      <c r="V1284" s="39" t="s">
        <v>420</v>
      </c>
      <c r="W1284" s="39"/>
      <c r="X1284" s="39"/>
      <c r="Y1284" s="24">
        <f ca="1">T1283-AA1283</f>
        <v>80823.64375439845</v>
      </c>
      <c r="Z1284" s="371"/>
      <c r="AA1284" s="292"/>
    </row>
    <row r="1285" spans="1:31" x14ac:dyDescent="0.2">
      <c r="A1285" s="23">
        <v>19</v>
      </c>
      <c r="B1285" s="59" t="s">
        <v>316</v>
      </c>
      <c r="C1285" s="40" t="s">
        <v>995</v>
      </c>
      <c r="D1285" s="55">
        <f ca="1">SUM(F1285:I1285)</f>
        <v>-1535639</v>
      </c>
      <c r="F1285" s="49">
        <f ca="1">ROUND(INDEX(INDIRECT($C1285),1,F$12+1)*$T1285,0)</f>
        <v>-1512108</v>
      </c>
      <c r="H1285" s="49">
        <f ca="1">ROUND(INDEX(INDIRECT($C1285),1,H$12+1)*$T1285,0)</f>
        <v>0</v>
      </c>
      <c r="I1285" s="49">
        <f ca="1">(L1285+M1285+N1285)</f>
        <v>-23531</v>
      </c>
      <c r="L1285" s="49">
        <f ca="1">ROUND(INDEX(INDIRECT($C1285),1,L$12+1)*$T1285,0)</f>
        <v>-111</v>
      </c>
      <c r="M1285" s="49"/>
      <c r="N1285" s="49">
        <f ca="1">SUM(O1285:Q1285)</f>
        <v>-23420</v>
      </c>
      <c r="O1285" s="49">
        <f t="shared" ca="1" si="328"/>
        <v>-12173</v>
      </c>
      <c r="P1285" s="49">
        <f t="shared" ca="1" si="328"/>
        <v>-11247</v>
      </c>
      <c r="Q1285" s="49">
        <f ca="1">INDEX(INDIRECT($C1285),1,Q$12+1)*$T1285</f>
        <v>-2.4124191779768317E-15</v>
      </c>
      <c r="T1285" s="274">
        <f>-1458214-21903-55522</f>
        <v>-1535639</v>
      </c>
      <c r="U1285" s="39"/>
      <c r="V1285" s="73" t="s">
        <v>1234</v>
      </c>
      <c r="W1285" s="39"/>
    </row>
    <row r="1286" spans="1:31" x14ac:dyDescent="0.2">
      <c r="A1286" s="49">
        <v>20</v>
      </c>
      <c r="B1286" s="37" t="s">
        <v>1115</v>
      </c>
      <c r="C1286" s="47"/>
      <c r="D1286" s="49">
        <f ca="1">D1282+D1283+D1284+D1285</f>
        <v>10241214.200000001</v>
      </c>
      <c r="F1286" s="49">
        <f ca="1">F1282+F1283+F1284+F1285</f>
        <v>9931254.1000000015</v>
      </c>
      <c r="H1286" s="49">
        <f ca="1">H1282+H1283+H1284+H1285</f>
        <v>537047.00118389179</v>
      </c>
      <c r="I1286" s="49">
        <f t="shared" ca="1" si="326"/>
        <v>49970.250000000007</v>
      </c>
      <c r="L1286" s="49">
        <f ca="1">L1282+L1283+L1284+L1285</f>
        <v>-2337.15</v>
      </c>
      <c r="M1286" s="49"/>
      <c r="N1286" s="49">
        <f t="shared" ca="1" si="327"/>
        <v>52307.400000000009</v>
      </c>
      <c r="O1286" s="49">
        <f ca="1">O1282+O1283+O1284+O1285</f>
        <v>23410.450000000004</v>
      </c>
      <c r="P1286" s="49">
        <f ca="1">P1282+P1283+P1284+P1285</f>
        <v>28896.950000000004</v>
      </c>
      <c r="Q1286" s="49">
        <f ca="1">Q1283+Q1282</f>
        <v>1.2130719637878778E-16</v>
      </c>
      <c r="T1286" s="243"/>
      <c r="W1286" s="39"/>
      <c r="Z1286" s="30"/>
    </row>
    <row r="1287" spans="1:31" x14ac:dyDescent="0.2">
      <c r="A1287" s="23">
        <v>21</v>
      </c>
      <c r="B1287" s="59" t="s">
        <v>1232</v>
      </c>
      <c r="C1287" s="40" t="s">
        <v>582</v>
      </c>
      <c r="D1287" s="55">
        <f ca="1">SUM(F1287:I1287)+K1287</f>
        <v>0</v>
      </c>
      <c r="F1287" s="49">
        <f ca="1">INDEX(INDIRECT($C1287),1,F$12+1)*$T1287</f>
        <v>0</v>
      </c>
      <c r="H1287" s="49">
        <f ca="1">INDEX(INDIRECT($C1287),1,H$12+1)*$T1287+H1274</f>
        <v>0</v>
      </c>
      <c r="I1287" s="49">
        <f ca="1">(L1287+M1287+N1287)</f>
        <v>0</v>
      </c>
      <c r="L1287" s="49">
        <f ca="1">INDEX(INDIRECT($C1287),1,L$12+1)*$T1287</f>
        <v>0</v>
      </c>
      <c r="M1287" s="49"/>
      <c r="N1287" s="49">
        <f ca="1">SUM(O1287:Q1287)</f>
        <v>0</v>
      </c>
      <c r="O1287" s="49">
        <f ca="1">INDEX(INDIRECT($C1287),1,O$12+1)*$T1287</f>
        <v>0</v>
      </c>
      <c r="P1287" s="49">
        <f ca="1">INDEX(INDIRECT($C1287),1,P$12+1)*$T1287</f>
        <v>0</v>
      </c>
      <c r="Q1287" s="49">
        <f ca="1">INDEX(INDIRECT($C1287),1,Q$12+1)*$T1287</f>
        <v>0</v>
      </c>
      <c r="T1287" s="274">
        <v>0</v>
      </c>
      <c r="U1287" s="39"/>
      <c r="V1287" s="73" t="s">
        <v>1233</v>
      </c>
      <c r="W1287" s="39"/>
    </row>
    <row r="1288" spans="1:31" x14ac:dyDescent="0.2">
      <c r="A1288" s="23">
        <v>22</v>
      </c>
      <c r="B1288" s="96" t="s">
        <v>1102</v>
      </c>
      <c r="C1288" s="40" t="s">
        <v>1033</v>
      </c>
      <c r="D1288" s="55">
        <f ca="1">SUM(F1288:I1288)-H1288</f>
        <v>0</v>
      </c>
      <c r="F1288" s="49">
        <f ca="1">ROUND(INDEX(INDIRECT($C1288),1,F$12+1)*$T1288,0)</f>
        <v>0</v>
      </c>
      <c r="H1288" s="49">
        <f ca="1">ROUND(INDEX(INDIRECT($C1288),1,H$12+1)*$T1288,0)+Y1268</f>
        <v>413608.62050291005</v>
      </c>
      <c r="I1288" s="49">
        <f t="shared" ca="1" si="326"/>
        <v>0</v>
      </c>
      <c r="L1288" s="49">
        <f ca="1">ROUND(INDEX(INDIRECT($C1288),1,L$12+1)*$T1288,0)</f>
        <v>0</v>
      </c>
      <c r="M1288" s="49"/>
      <c r="N1288" s="49">
        <f t="shared" ca="1" si="327"/>
        <v>0</v>
      </c>
      <c r="O1288" s="49">
        <f ca="1">ROUND(INDEX(INDIRECT($C1288),1,O$12+1)*$T1288,0)</f>
        <v>0</v>
      </c>
      <c r="P1288" s="49">
        <f ca="1">ROUND(INDEX(INDIRECT($C1288),1,P$12+1)*$T1288,0)</f>
        <v>0</v>
      </c>
      <c r="Q1288" s="49">
        <f ca="1">INDEX(INDIRECT($C1288),1,Q$12+1)*$T1288</f>
        <v>0</v>
      </c>
      <c r="T1288" s="274">
        <v>0</v>
      </c>
      <c r="U1288" s="39"/>
      <c r="V1288" s="73" t="s">
        <v>1372</v>
      </c>
      <c r="W1288" s="39"/>
    </row>
    <row r="1289" spans="1:31" x14ac:dyDescent="0.2">
      <c r="A1289" s="49">
        <v>23</v>
      </c>
      <c r="B1289" s="59" t="s">
        <v>1412</v>
      </c>
      <c r="D1289" s="49">
        <f ca="1">D1280-D1286+D1287+D1288</f>
        <v>256079369.80000001</v>
      </c>
      <c r="F1289" s="49">
        <f ca="1">F1280-F1286+F1287+F1288</f>
        <v>249154047.90000001</v>
      </c>
      <c r="H1289" s="49">
        <f ca="1">H1279-H1286+H1287+H1288</f>
        <v>4564287.619319018</v>
      </c>
      <c r="I1289" s="49">
        <f t="shared" ca="1" si="326"/>
        <v>2062074.75</v>
      </c>
      <c r="L1289" s="49">
        <f ca="1">L1280-L1286+L1287+L1288</f>
        <v>-42305.85</v>
      </c>
      <c r="M1289" s="49"/>
      <c r="N1289" s="49">
        <f t="shared" ca="1" si="327"/>
        <v>2104380.6</v>
      </c>
      <c r="O1289" s="49">
        <f ca="1">O1280-O1286+O1287+O1288</f>
        <v>1013678.55</v>
      </c>
      <c r="P1289" s="49">
        <f ca="1">P1280-P1286+P1287+P1288</f>
        <v>1090702.05</v>
      </c>
      <c r="Q1289" s="49">
        <f ca="1">Q1279-Q1286+Q1287-Q1288</f>
        <v>-1.2130719637878778E-16</v>
      </c>
      <c r="T1289" s="243"/>
      <c r="W1289" s="39"/>
    </row>
    <row r="1290" spans="1:31" x14ac:dyDescent="0.2">
      <c r="T1290" s="243"/>
      <c r="W1290" s="39"/>
      <c r="X1290" s="148"/>
    </row>
    <row r="1291" spans="1:31" x14ac:dyDescent="0.2">
      <c r="A1291" s="49">
        <v>24</v>
      </c>
      <c r="B1291" s="37" t="s">
        <v>2638</v>
      </c>
      <c r="D1291" s="49">
        <f ca="1">ROUND(D1289*$D$1303,0)-W1291</f>
        <v>53776668</v>
      </c>
      <c r="F1291" s="49">
        <f ca="1">ROUND(F1289*$D$1303,0)-Y1291</f>
        <v>52322350</v>
      </c>
      <c r="H1291" s="49">
        <f ca="1">ROUND(H1289*$D$1303,0)+Y1291</f>
        <v>958500</v>
      </c>
      <c r="I1291" s="49">
        <f t="shared" ref="I1291:I1296" ca="1" si="329">(L1291+M1291+N1291)</f>
        <v>433035</v>
      </c>
      <c r="L1291" s="49">
        <f ca="1">ROUND(L1289*$D$1303,0)</f>
        <v>-8884</v>
      </c>
      <c r="M1291" s="49"/>
      <c r="N1291" s="49">
        <f t="shared" ref="N1291:N1296" ca="1" si="330">SUM(O1291:Q1291)</f>
        <v>441919</v>
      </c>
      <c r="O1291" s="49">
        <f ca="1">ROUND(O1289*$D$1303,0)</f>
        <v>212872</v>
      </c>
      <c r="P1291" s="49">
        <f ca="1">ROUND(P1289*$D$1303,0)</f>
        <v>229047</v>
      </c>
      <c r="Q1291" s="49">
        <f ca="1">Q1289*$D$1303</f>
        <v>-2.5474511239545435E-17</v>
      </c>
      <c r="T1291" s="243"/>
      <c r="W1291" s="39"/>
    </row>
    <row r="1292" spans="1:31" x14ac:dyDescent="0.2">
      <c r="A1292" s="49">
        <v>25</v>
      </c>
      <c r="B1292" s="37" t="s">
        <v>395</v>
      </c>
      <c r="C1292" s="40" t="s">
        <v>1033</v>
      </c>
      <c r="D1292" s="55">
        <f ca="1">SUM(F1292:I1292)+K1292</f>
        <v>-781544.00000000023</v>
      </c>
      <c r="F1292" s="49">
        <f ca="1">INDEX(INDIRECT($C1292),1,F$12+1)*$T1292</f>
        <v>-733223.74205608561</v>
      </c>
      <c r="H1292" s="49">
        <f ca="1">INDEX(INDIRECT($C1292),1,H$12+1)*$T1292</f>
        <v>-37013.610294649436</v>
      </c>
      <c r="I1292" s="49">
        <f t="shared" ca="1" si="329"/>
        <v>-11306.647649265071</v>
      </c>
      <c r="L1292" s="49">
        <f ca="1">INDEX(INDIRECT($C1292),1,L$12+1)*$T1292</f>
        <v>-59.967201263338261</v>
      </c>
      <c r="M1292" s="49"/>
      <c r="N1292" s="49">
        <f t="shared" ca="1" si="330"/>
        <v>-11246.680448001733</v>
      </c>
      <c r="O1292" s="49">
        <f ca="1">INDEX(INDIRECT($C1292),1,O$12+1)*$T1292</f>
        <v>-5834.4672067837173</v>
      </c>
      <c r="P1292" s="49">
        <f ca="1">INDEX(INDIRECT($C1292),1,P$12+1)*$T1292</f>
        <v>-5412.2132412180154</v>
      </c>
      <c r="Q1292" s="49">
        <f ca="1">INDEX(INDIRECT($C1292),1,Q$12+1)*$T1292</f>
        <v>-1.1730044477712478E-15</v>
      </c>
      <c r="T1292" s="274">
        <f>-8844-772700</f>
        <v>-781544</v>
      </c>
      <c r="U1292" s="39"/>
      <c r="V1292" s="39" t="s">
        <v>420</v>
      </c>
      <c r="W1292" s="39"/>
      <c r="X1292" s="39"/>
      <c r="Y1292" s="39"/>
    </row>
    <row r="1293" spans="1:31" x14ac:dyDescent="0.2">
      <c r="A1293" s="23">
        <v>26</v>
      </c>
      <c r="B1293" s="59" t="s">
        <v>316</v>
      </c>
      <c r="C1293" s="40" t="s">
        <v>991</v>
      </c>
      <c r="D1293" s="55">
        <f ca="1">SUM(F1293:I1293)</f>
        <v>-15603815</v>
      </c>
      <c r="F1293" s="49">
        <f ca="1">ROUND(INDEX(INDIRECT($C1293),1,F$12+1)*$T1293,0)</f>
        <v>-14589166</v>
      </c>
      <c r="H1293" s="49">
        <f ca="1">ROUND(INDEX(INDIRECT($C1293),1,H$12+1)*$T1293,0)</f>
        <v>-787616</v>
      </c>
      <c r="I1293" s="49">
        <f t="shared" ca="1" si="329"/>
        <v>-227033</v>
      </c>
      <c r="L1293" s="49">
        <f ca="1">ROUND(INDEX(INDIRECT($C1293),1,L$12+1)*$T1293,0)</f>
        <v>-1072</v>
      </c>
      <c r="M1293" s="49"/>
      <c r="N1293" s="49">
        <f t="shared" ca="1" si="330"/>
        <v>-225961</v>
      </c>
      <c r="O1293" s="49">
        <f ca="1">ROUND(INDEX(INDIRECT($C1293),1,O$12+1)*$T1293,0)</f>
        <v>-117445</v>
      </c>
      <c r="P1293" s="49">
        <f ca="1">ROUND(INDEX(INDIRECT($C1293),1,P$12+1)*$T1293,0)</f>
        <v>-108516</v>
      </c>
      <c r="Q1293" s="49">
        <f ca="1">INDEX(INDIRECT($C1293),1,Q$12+1)*$T1293</f>
        <v>-2.3275575766829959E-14</v>
      </c>
      <c r="T1293" s="274">
        <v>-15603815</v>
      </c>
      <c r="U1293" s="39"/>
      <c r="V1293" s="73" t="s">
        <v>1411</v>
      </c>
      <c r="W1293" s="39"/>
    </row>
    <row r="1294" spans="1:31" x14ac:dyDescent="0.2">
      <c r="A1294" s="49">
        <v>27</v>
      </c>
      <c r="B1294" s="37" t="s">
        <v>317</v>
      </c>
      <c r="C1294" s="40"/>
      <c r="D1294" s="55">
        <f ca="1">SUM(F1294:I1294)+K1294</f>
        <v>0</v>
      </c>
      <c r="F1294" s="49">
        <f ca="1">-F1244</f>
        <v>0</v>
      </c>
      <c r="H1294" s="49">
        <f ca="1">-H1244</f>
        <v>0</v>
      </c>
      <c r="I1294" s="49">
        <f ca="1">(L1294+M1294+N1294)</f>
        <v>0</v>
      </c>
      <c r="L1294" s="49">
        <f ca="1">-L1244</f>
        <v>0</v>
      </c>
      <c r="M1294" s="49"/>
      <c r="N1294" s="49">
        <f t="shared" ca="1" si="330"/>
        <v>0</v>
      </c>
      <c r="O1294" s="49">
        <f ca="1">-O1244</f>
        <v>0</v>
      </c>
      <c r="P1294" s="49">
        <f ca="1">-P1244</f>
        <v>0</v>
      </c>
      <c r="Q1294" s="49">
        <f ca="1">-Q1244</f>
        <v>0</v>
      </c>
      <c r="T1294" s="243"/>
      <c r="W1294" s="39"/>
      <c r="Z1294" s="78" t="s">
        <v>1068</v>
      </c>
      <c r="AA1294" s="89" t="s">
        <v>1101</v>
      </c>
    </row>
    <row r="1295" spans="1:31" x14ac:dyDescent="0.2">
      <c r="A1295" s="49">
        <v>28</v>
      </c>
      <c r="B1295" s="37" t="s">
        <v>1353</v>
      </c>
      <c r="C1295" s="40" t="s">
        <v>1033</v>
      </c>
      <c r="D1295" s="55">
        <f ca="1">SUM(F1295:I1295)+K1295</f>
        <v>99863</v>
      </c>
      <c r="F1295" s="49">
        <f ca="1">ROUND(INDEX(INDIRECT($C1295),1,F$12+1)*$T1295,0)</f>
        <v>93688</v>
      </c>
      <c r="H1295" s="49">
        <f ca="1">ROUND(INDEX(INDIRECT($C1295),1,H$12+1)*$T1295,0)</f>
        <v>4729</v>
      </c>
      <c r="I1295" s="49">
        <f t="shared" ca="1" si="329"/>
        <v>1446</v>
      </c>
      <c r="L1295" s="49">
        <f ca="1">ROUND(INDEX(INDIRECT($C1295),1,L$12+1)*$T1295,0)</f>
        <v>8</v>
      </c>
      <c r="M1295" s="49"/>
      <c r="N1295" s="49">
        <f t="shared" ca="1" si="330"/>
        <v>1438</v>
      </c>
      <c r="O1295" s="49">
        <f ca="1">ROUND(INDEX(INDIRECT($C1295),1,O$12+1)*$T1295,0)</f>
        <v>746</v>
      </c>
      <c r="P1295" s="49">
        <f ca="1">ROUND(INDEX(INDIRECT($C1295),1,P$12+1)*$T1295,0)</f>
        <v>692</v>
      </c>
      <c r="Q1295" s="49">
        <f ca="1">ROUND(INDEX(INDIRECT($C1295),1,Q$12+1)*$T1295,0)</f>
        <v>0</v>
      </c>
      <c r="T1295" s="274">
        <f>364862-265000</f>
        <v>99862</v>
      </c>
      <c r="U1295" s="39"/>
      <c r="V1295" s="39" t="s">
        <v>420</v>
      </c>
      <c r="W1295" s="39"/>
      <c r="X1295" s="39"/>
      <c r="Y1295" s="274">
        <f>364862-265000</f>
        <v>99862</v>
      </c>
      <c r="Z1295" s="274">
        <v>37491171.183198743</v>
      </c>
      <c r="AA1295" s="430">
        <f ca="1">D1296-Z1295</f>
        <v>0.81680125743150711</v>
      </c>
      <c r="AB1295" s="431"/>
      <c r="AC1295" s="236"/>
      <c r="AD1295" s="236"/>
      <c r="AE1295" s="236"/>
    </row>
    <row r="1296" spans="1:31" x14ac:dyDescent="0.2">
      <c r="A1296" s="49">
        <v>29</v>
      </c>
      <c r="B1296" s="37" t="s">
        <v>396</v>
      </c>
      <c r="C1296" s="47"/>
      <c r="D1296" s="49">
        <f ca="1">SUM(D1291:D1295)</f>
        <v>37491172</v>
      </c>
      <c r="F1296" s="49">
        <f ca="1">SUM(F1291:F1295)</f>
        <v>37093648.257943913</v>
      </c>
      <c r="H1296" s="49">
        <f ca="1">SUM(H1291:H1295)</f>
        <v>138599.38970535062</v>
      </c>
      <c r="I1296" s="49">
        <f t="shared" ca="1" si="329"/>
        <v>196141.35235073493</v>
      </c>
      <c r="L1296" s="49">
        <f ca="1">SUM(L1291:L1295)</f>
        <v>-10007.967201263338</v>
      </c>
      <c r="M1296" s="49"/>
      <c r="N1296" s="49">
        <f t="shared" ca="1" si="330"/>
        <v>206149.31955199828</v>
      </c>
      <c r="O1296" s="49">
        <f ca="1">SUM(O1291:O1295)</f>
        <v>90338.532793216291</v>
      </c>
      <c r="P1296" s="49">
        <f ca="1">SUM(P1291:P1295)</f>
        <v>115810.78675878199</v>
      </c>
      <c r="Q1296" s="49">
        <f ca="1">SUM(Q1291:Q1295)</f>
        <v>-2.4474054725840752E-14</v>
      </c>
      <c r="T1296" s="24"/>
      <c r="W1296" s="39"/>
      <c r="Y1296" s="24">
        <f ca="1">T1295-AA1295</f>
        <v>99861.183198742568</v>
      </c>
      <c r="Z1296" s="284"/>
    </row>
    <row r="1297" spans="1:27" x14ac:dyDescent="0.2">
      <c r="T1297" s="24"/>
      <c r="W1297" s="125" t="str">
        <f>T589</f>
        <v>Financial Statements Net Operating Income</v>
      </c>
      <c r="Z1297" s="593">
        <f>Z1283+Z1295</f>
        <v>47732385.026953146</v>
      </c>
      <c r="AA1297" s="594" t="s">
        <v>2401</v>
      </c>
    </row>
    <row r="1298" spans="1:27" x14ac:dyDescent="0.2">
      <c r="A1298" s="49">
        <v>30</v>
      </c>
      <c r="B1298" s="37" t="s">
        <v>70</v>
      </c>
      <c r="C1298" s="47"/>
      <c r="D1298" s="49">
        <f ca="1">D946-D1244-D1246-D1286-D1296</f>
        <v>333492301.00824767</v>
      </c>
      <c r="F1298" s="49">
        <f ca="1">F946-F1244-F1246-F1286-F1296</f>
        <v>320042031.30713779</v>
      </c>
      <c r="G1298" s="97"/>
      <c r="H1298" s="49">
        <f ca="1">H946-H1244-H1246-H1286-H1296</f>
        <v>9860676.8627714887</v>
      </c>
      <c r="I1298" s="49">
        <f ca="1">(L1298+M1298+N1298)</f>
        <v>3375318.6871544719</v>
      </c>
      <c r="L1298" s="49">
        <f ca="1">L946-L1244-L1246-L1286-L1296</f>
        <v>-23419.42887589609</v>
      </c>
      <c r="M1298" s="49"/>
      <c r="N1298" s="49">
        <f ca="1">SUM(O1298:Q1298)</f>
        <v>3398738.116030368</v>
      </c>
      <c r="O1298" s="49">
        <f ca="1">O946-O1244-O1246-O1286-O1296</f>
        <v>1703670.196248801</v>
      </c>
      <c r="P1298" s="49">
        <f ca="1">P946-P1244-P1246-P1286-P1296</f>
        <v>1695067.9197815671</v>
      </c>
      <c r="Q1298" s="49">
        <f ca="1">Q946-Q1246-Q1286-Q1296</f>
        <v>-6.3624077346070486E-12</v>
      </c>
      <c r="T1298" s="24"/>
      <c r="W1298" s="290">
        <f>IS!N375*1000-Z1299</f>
        <v>333492302.18129462</v>
      </c>
      <c r="X1298" s="291">
        <f ca="1">D1298-W1298</f>
        <v>-1.1730469465255737</v>
      </c>
      <c r="Z1298" s="595">
        <f>SUM(IS!N354,IS!N357,IS!N360,IS!N363)*1000</f>
        <v>47732385.026953042</v>
      </c>
      <c r="AA1298" s="594" t="s">
        <v>2402</v>
      </c>
    </row>
    <row r="1299" spans="1:27" ht="13.5" thickBot="1" x14ac:dyDescent="0.25">
      <c r="A1299" s="49">
        <v>31</v>
      </c>
      <c r="B1299" s="37" t="s">
        <v>397</v>
      </c>
      <c r="C1299" s="47"/>
      <c r="D1299" s="62">
        <f ca="1">IF(D908=0,0,(IF(OR((+D1298/D908)&lt;-10000,(+D1298/D908)&gt;10000),0,+D1298/D908)))</f>
        <v>5.9695220683586077E-2</v>
      </c>
      <c r="F1299" s="62">
        <f ca="1">IF(F908=0,0,(IF(OR((+F1298/F908)&lt;-10000,(+F1298/F908)&gt;10000),0,+F1298/F908)))</f>
        <v>6.039076685250671E-2</v>
      </c>
      <c r="G1299" s="62"/>
      <c r="H1299" s="62">
        <f ca="1">IF(H908=0,0,(IF(OR((+H1298/H908)&lt;-10000,(+H1298/H908)&gt;10000),0,+H1298/H908)))</f>
        <v>3.6859150717843084E-2</v>
      </c>
      <c r="I1299" s="62">
        <f ca="1">IF(I908=0,0,(IF(OR((+I1298/I908)&lt;-10000,(+I1298/I908)&gt;10000),0,+I1298/I908)))</f>
        <v>4.1302940411266885E-2</v>
      </c>
      <c r="K1299" s="62"/>
      <c r="L1299" s="62">
        <f ca="1">IF(L908=0,0,(IF(OR((+L1298/L908)&lt;-10000,(+L1298/L908)&gt;10000),0,+L1298/L908)))</f>
        <v>-5.4033433452570563E-2</v>
      </c>
      <c r="M1299" s="62"/>
      <c r="N1299" s="62">
        <f ca="1">IF(N908=0,0,(IF(OR((+N1298/N908)&lt;-10000,(+N1298/N908)&gt;10000),0,+N1298/N908)))</f>
        <v>4.181127311847254E-2</v>
      </c>
      <c r="O1299" s="62">
        <f ca="1">IF(O908=0,0,(IF(OR((+O1298/O908)&lt;-10000,(+O1298/O908)&gt;10000),0,+O1298/O908)))</f>
        <v>4.0400279353177214E-2</v>
      </c>
      <c r="P1299" s="62">
        <f ca="1">IF(P908=0,0,(IF(OR((+P1298/P908)&lt;-10000,(+P1298/P908)&gt;10000),0,+P1298/P908)))</f>
        <v>4.333235081546645E-2</v>
      </c>
      <c r="Q1299" s="62">
        <f ca="1">IF(Q908=0,0,(IF(OR((+Q1298/Q908)&lt;-10000,(+Q1298/Q908)&gt;10000),0,+Q1298/Q908)))</f>
        <v>-0.75045021065766193</v>
      </c>
      <c r="T1299" s="154"/>
      <c r="W1299" s="39"/>
      <c r="Z1299" s="596">
        <f>Z1297-Z1298</f>
        <v>1.0430812835693359E-7</v>
      </c>
      <c r="AA1299" s="594"/>
    </row>
    <row r="1300" spans="1:27" ht="13.5" thickTop="1" x14ac:dyDescent="0.2">
      <c r="H1300" s="47"/>
      <c r="M1300" s="47"/>
      <c r="W1300" s="39"/>
    </row>
    <row r="1301" spans="1:27" x14ac:dyDescent="0.2">
      <c r="H1301" s="98"/>
      <c r="M1301" s="98"/>
      <c r="W1301" s="39"/>
    </row>
    <row r="1302" spans="1:27" x14ac:dyDescent="0.2">
      <c r="B1302" s="37" t="s">
        <v>398</v>
      </c>
      <c r="D1302" s="99">
        <v>0.05</v>
      </c>
      <c r="F1302" s="99">
        <v>0.05</v>
      </c>
      <c r="G1302" s="99"/>
      <c r="H1302" s="99">
        <v>0.06</v>
      </c>
      <c r="I1302" s="62">
        <v>0.05</v>
      </c>
      <c r="K1302" s="62"/>
      <c r="L1302" s="99">
        <v>0.05</v>
      </c>
      <c r="M1302" s="99"/>
      <c r="N1302" s="62">
        <v>0.05</v>
      </c>
      <c r="O1302" s="99">
        <v>0.05</v>
      </c>
      <c r="P1302" s="99">
        <v>0.05</v>
      </c>
      <c r="Q1302" s="99">
        <v>0.06</v>
      </c>
      <c r="W1302" s="39"/>
    </row>
    <row r="1303" spans="1:27" x14ac:dyDescent="0.2">
      <c r="B1303" s="37" t="s">
        <v>399</v>
      </c>
      <c r="D1303" s="99">
        <v>0.21</v>
      </c>
      <c r="F1303" s="62">
        <f>$D1303</f>
        <v>0.21</v>
      </c>
      <c r="G1303" s="62"/>
      <c r="H1303" s="62">
        <f>$D1303</f>
        <v>0.21</v>
      </c>
      <c r="I1303" s="62">
        <f>$D1303</f>
        <v>0.21</v>
      </c>
      <c r="K1303" s="99"/>
      <c r="L1303" s="62">
        <f>$D1303</f>
        <v>0.21</v>
      </c>
      <c r="M1303" s="62"/>
      <c r="N1303" s="62">
        <f>$D1303</f>
        <v>0.21</v>
      </c>
      <c r="O1303" s="62">
        <f>$D1303</f>
        <v>0.21</v>
      </c>
      <c r="P1303" s="62">
        <f>$D1303</f>
        <v>0.21</v>
      </c>
      <c r="Q1303" s="62">
        <f>$D1303</f>
        <v>0.21</v>
      </c>
      <c r="W1303" s="39"/>
    </row>
    <row r="1304" spans="1:27" x14ac:dyDescent="0.2">
      <c r="B1304" s="37" t="s">
        <v>400</v>
      </c>
      <c r="D1304" s="60">
        <f>1-((D$1302+D1303)-(D$1302*D1303))</f>
        <v>0.75049999999999994</v>
      </c>
      <c r="F1304" s="60">
        <f>1-((F$1302+F1303)-(F$1302*F1303))</f>
        <v>0.75049999999999994</v>
      </c>
      <c r="G1304" s="60"/>
      <c r="H1304" s="60">
        <f>1-((H$1302+H1303)-(H$1302*H1303))</f>
        <v>0.74259999999999993</v>
      </c>
      <c r="I1304" s="60">
        <f>1-((I$1302+I1303)-(I$1302*I1303))</f>
        <v>0.75049999999999994</v>
      </c>
      <c r="K1304" s="60"/>
      <c r="L1304" s="60">
        <f t="shared" ref="L1304:Q1304" si="331">1-((L$1302+L1303)-(L$1302*L1303))</f>
        <v>0.75049999999999994</v>
      </c>
      <c r="M1304" s="60"/>
      <c r="N1304" s="60">
        <f t="shared" si="331"/>
        <v>0.75049999999999994</v>
      </c>
      <c r="O1304" s="60">
        <f t="shared" si="331"/>
        <v>0.75049999999999994</v>
      </c>
      <c r="P1304" s="60">
        <f t="shared" si="331"/>
        <v>0.75049999999999994</v>
      </c>
      <c r="Q1304" s="60">
        <f t="shared" si="331"/>
        <v>0.74259999999999993</v>
      </c>
      <c r="W1304" s="39"/>
    </row>
    <row r="1305" spans="1:27" x14ac:dyDescent="0.2">
      <c r="B1305" s="37" t="s">
        <v>401</v>
      </c>
      <c r="D1305" s="60">
        <f>((D$1302+D1303)-(D$1302*D1303))</f>
        <v>0.2495</v>
      </c>
      <c r="F1305" s="60">
        <f>((F$1302+F1303)-(F$1302*F1303))</f>
        <v>0.2495</v>
      </c>
      <c r="G1305" s="60"/>
      <c r="H1305" s="60">
        <f>((H$1302+H1303)-(H$1302*H1303))</f>
        <v>0.25740000000000002</v>
      </c>
      <c r="I1305" s="60">
        <f>((I$1302+I1303)-(I$1302*I1303))</f>
        <v>0.2495</v>
      </c>
      <c r="K1305" s="60"/>
      <c r="L1305" s="60">
        <f t="shared" ref="L1305:Q1305" si="332">((L$1302+L1303)-(L$1302*L1303))</f>
        <v>0.2495</v>
      </c>
      <c r="M1305" s="60"/>
      <c r="N1305" s="60">
        <f t="shared" si="332"/>
        <v>0.2495</v>
      </c>
      <c r="O1305" s="60">
        <f t="shared" si="332"/>
        <v>0.2495</v>
      </c>
      <c r="P1305" s="60">
        <f t="shared" si="332"/>
        <v>0.2495</v>
      </c>
      <c r="Q1305" s="60">
        <f t="shared" si="332"/>
        <v>0.25740000000000002</v>
      </c>
      <c r="W1305" s="39"/>
    </row>
    <row r="1306" spans="1:27" x14ac:dyDescent="0.2">
      <c r="B1306" s="37" t="s">
        <v>402</v>
      </c>
      <c r="D1306" s="60">
        <f>1+(+D1305/D1304)</f>
        <v>1.3324450366422385</v>
      </c>
      <c r="F1306" s="60">
        <f>1+(+F1305/F1304)</f>
        <v>1.3324450366422385</v>
      </c>
      <c r="G1306" s="60"/>
      <c r="H1306" s="60">
        <f>1+(+H1305/H1304)</f>
        <v>1.3466199838405601</v>
      </c>
      <c r="I1306" s="60">
        <f>1+(+I1305/I1304)</f>
        <v>1.3324450366422385</v>
      </c>
      <c r="K1306" s="60"/>
      <c r="L1306" s="60">
        <f t="shared" ref="L1306:Q1306" si="333">1+(+L1305/L1304)</f>
        <v>1.3324450366422385</v>
      </c>
      <c r="M1306" s="60"/>
      <c r="N1306" s="60">
        <f t="shared" si="333"/>
        <v>1.3324450366422385</v>
      </c>
      <c r="O1306" s="60">
        <f t="shared" si="333"/>
        <v>1.3324450366422385</v>
      </c>
      <c r="P1306" s="60">
        <f t="shared" si="333"/>
        <v>1.3324450366422385</v>
      </c>
      <c r="Q1306" s="60">
        <f t="shared" si="333"/>
        <v>1.3466199838405601</v>
      </c>
      <c r="W1306" s="39"/>
    </row>
    <row r="1307" spans="1:27" x14ac:dyDescent="0.2">
      <c r="W1307" s="39"/>
    </row>
    <row r="1308" spans="1:27" x14ac:dyDescent="0.2">
      <c r="D1308" s="60"/>
      <c r="F1308" s="60"/>
      <c r="H1308" s="60"/>
      <c r="I1308" s="60"/>
      <c r="L1308" s="60"/>
      <c r="N1308" s="60"/>
      <c r="O1308" s="60"/>
      <c r="P1308" s="60"/>
      <c r="W1308" s="39"/>
    </row>
    <row r="1309" spans="1:27" x14ac:dyDescent="0.2">
      <c r="W1309" s="39"/>
    </row>
    <row r="1310" spans="1:27" x14ac:dyDescent="0.2">
      <c r="W1310" s="39"/>
    </row>
    <row r="1311" spans="1:27" x14ac:dyDescent="0.2">
      <c r="B1311" s="53" t="s">
        <v>403</v>
      </c>
      <c r="W1311" s="39"/>
    </row>
    <row r="1312" spans="1:27" x14ac:dyDescent="0.2">
      <c r="W1312" s="39"/>
    </row>
    <row r="1313" spans="1:25" x14ac:dyDescent="0.2">
      <c r="B1313" s="37" t="s">
        <v>404</v>
      </c>
      <c r="W1313" s="39"/>
    </row>
    <row r="1314" spans="1:25" x14ac:dyDescent="0.2">
      <c r="B1314" s="37" t="s">
        <v>405</v>
      </c>
      <c r="W1314" s="39"/>
    </row>
    <row r="1315" spans="1:25" x14ac:dyDescent="0.2">
      <c r="A1315" s="49"/>
      <c r="B1315" s="37" t="s">
        <v>406</v>
      </c>
      <c r="C1315" s="40"/>
      <c r="D1315" s="55"/>
      <c r="F1315" s="49"/>
      <c r="H1315" s="49"/>
      <c r="I1315" s="49"/>
      <c r="L1315" s="49"/>
      <c r="M1315" s="49"/>
      <c r="N1315" s="49"/>
      <c r="O1315" s="49"/>
      <c r="P1315" s="49"/>
      <c r="Q1315" s="49"/>
      <c r="T1315" s="47"/>
      <c r="U1315" s="39"/>
      <c r="V1315" s="39"/>
      <c r="W1315" s="39"/>
      <c r="X1315" s="39"/>
      <c r="Y1315" s="39"/>
    </row>
    <row r="1316" spans="1:25" x14ac:dyDescent="0.2">
      <c r="A1316" s="49">
        <v>1</v>
      </c>
      <c r="B1316" s="59" t="s">
        <v>452</v>
      </c>
      <c r="C1316" s="40" t="s">
        <v>630</v>
      </c>
      <c r="D1316" s="55">
        <f ca="1">SUM(F1316:I1316)+K1316</f>
        <v>2381202.0000000005</v>
      </c>
      <c r="F1316" s="49">
        <f ca="1">INDEX(INDIRECT($C1316),1,F$12+1)*$T1316</f>
        <v>2240732.8927895362</v>
      </c>
      <c r="H1316" s="49">
        <f ca="1">INDEX(INDIRECT($C1316),1,H$12+1)*$T1316</f>
        <v>91411.682165207167</v>
      </c>
      <c r="I1316" s="49">
        <f ca="1">(L1316+M1316+N1316)</f>
        <v>49057.425045256896</v>
      </c>
      <c r="L1316" s="49">
        <f ca="1">INDEX(INDIRECT($C1316),1,L$12+1)*$T1316</f>
        <v>10.028295910113654</v>
      </c>
      <c r="M1316" s="49"/>
      <c r="N1316" s="49">
        <f ca="1">SUM(O1316:Q1316)</f>
        <v>49047.396749346779</v>
      </c>
      <c r="O1316" s="49">
        <f t="shared" ref="O1316:Q1320" ca="1" si="334">INDEX(INDIRECT($C1316),1,O$12+1)*$T1316</f>
        <v>24837.977313515719</v>
      </c>
      <c r="P1316" s="49">
        <f t="shared" ca="1" si="334"/>
        <v>24209.419435831063</v>
      </c>
      <c r="Q1316" s="49">
        <f t="shared" ca="1" si="334"/>
        <v>0</v>
      </c>
      <c r="T1316" s="274">
        <v>2381202</v>
      </c>
      <c r="U1316" s="81">
        <v>501</v>
      </c>
      <c r="W1316" s="81">
        <f>SUMIF('O&amp;M'!$B$3:$B$89,TOTALCO!U1316,'O&amp;M'!$G$3:$G$89)+SUMIF('O&amp;M'!$B$3:$B$89,TOTALCO!V1316,'O&amp;M'!$G$3:$G$89)</f>
        <v>2381202</v>
      </c>
      <c r="X1316" s="74">
        <f ca="1">D1316-T1316</f>
        <v>0</v>
      </c>
      <c r="Y1316" s="39" t="s">
        <v>422</v>
      </c>
    </row>
    <row r="1317" spans="1:25" x14ac:dyDescent="0.2">
      <c r="A1317" s="49">
        <v>2</v>
      </c>
      <c r="B1317" s="59" t="s">
        <v>453</v>
      </c>
      <c r="C1317" s="40" t="s">
        <v>630</v>
      </c>
      <c r="D1317" s="55">
        <f ca="1">SUM(F1317:I1317)+K1317</f>
        <v>8712114</v>
      </c>
      <c r="F1317" s="49">
        <f ca="1">INDEX(INDIRECT($C1317),1,F$12+1)*$T1317</f>
        <v>8198179.0732294936</v>
      </c>
      <c r="H1317" s="49">
        <f ca="1">INDEX(INDIRECT($C1317),1,H$12+1)*$T1317</f>
        <v>334448.31473980437</v>
      </c>
      <c r="I1317" s="49">
        <f ca="1">(L1317+M1317+N1317)</f>
        <v>179486.61203070264</v>
      </c>
      <c r="L1317" s="49">
        <f ca="1">INDEX(INDIRECT($C1317),1,L$12+1)*$T1317</f>
        <v>36.690569382456381</v>
      </c>
      <c r="M1317" s="49"/>
      <c r="N1317" s="49">
        <f ca="1">SUM(O1317:Q1317)</f>
        <v>179449.92146132019</v>
      </c>
      <c r="O1317" s="49">
        <f t="shared" ca="1" si="334"/>
        <v>90874.814436054847</v>
      </c>
      <c r="P1317" s="49">
        <f t="shared" ca="1" si="334"/>
        <v>88575.107025265359</v>
      </c>
      <c r="Q1317" s="49">
        <f t="shared" ca="1" si="334"/>
        <v>0</v>
      </c>
      <c r="T1317" s="274">
        <v>8712114</v>
      </c>
      <c r="U1317" s="81">
        <v>510</v>
      </c>
      <c r="W1317" s="81">
        <f>SUMIF('O&amp;M'!$B$3:$B$89,TOTALCO!U1317,'O&amp;M'!$G$3:$G$89)+SUMIF('O&amp;M'!$B$3:$B$89,TOTALCO!V1317,'O&amp;M'!$G$3:$G$89)</f>
        <v>8712114</v>
      </c>
      <c r="X1317" s="74">
        <f ca="1">D1317-T1317</f>
        <v>0</v>
      </c>
      <c r="Y1317" s="39" t="s">
        <v>422</v>
      </c>
    </row>
    <row r="1318" spans="1:25" x14ac:dyDescent="0.2">
      <c r="A1318" s="49">
        <v>3</v>
      </c>
      <c r="B1318" s="59" t="s">
        <v>454</v>
      </c>
      <c r="C1318" s="40" t="s">
        <v>630</v>
      </c>
      <c r="D1318" s="55">
        <f ca="1">SUM(F1318:I1318)+K1318</f>
        <v>11890682</v>
      </c>
      <c r="F1318" s="49">
        <f ca="1">INDEX(INDIRECT($C1318),1,F$12+1)*$T1318</f>
        <v>11189240.675549772</v>
      </c>
      <c r="H1318" s="49">
        <f ca="1">INDEX(INDIRECT($C1318),1,H$12+1)*$T1318</f>
        <v>456469.98604551394</v>
      </c>
      <c r="I1318" s="49">
        <f ca="1">(L1318+M1318+N1318)</f>
        <v>244971.3384047155</v>
      </c>
      <c r="L1318" s="49">
        <f ca="1">INDEX(INDIRECT($C1318),1,L$12+1)*$T1318</f>
        <v>50.076926556025924</v>
      </c>
      <c r="M1318" s="49"/>
      <c r="N1318" s="49">
        <f ca="1">SUM(O1318:Q1318)</f>
        <v>244921.26147815946</v>
      </c>
      <c r="O1318" s="49">
        <f t="shared" ca="1" si="334"/>
        <v>124030.00239300559</v>
      </c>
      <c r="P1318" s="49">
        <f t="shared" ca="1" si="334"/>
        <v>120891.25908515388</v>
      </c>
      <c r="Q1318" s="49">
        <f t="shared" ca="1" si="334"/>
        <v>0</v>
      </c>
      <c r="T1318" s="274">
        <v>11890682</v>
      </c>
      <c r="U1318" s="81">
        <v>512</v>
      </c>
      <c r="W1318" s="81">
        <f>SUMIF('O&amp;M'!$B$3:$B$89,TOTALCO!U1318,'O&amp;M'!$G$3:$G$89)+SUMIF('O&amp;M'!$B$3:$B$89,TOTALCO!V1318,'O&amp;M'!$G$3:$G$89)</f>
        <v>11890682</v>
      </c>
      <c r="X1318" s="74">
        <f ca="1">D1318-T1318</f>
        <v>0</v>
      </c>
      <c r="Y1318" s="39" t="s">
        <v>422</v>
      </c>
    </row>
    <row r="1319" spans="1:25" x14ac:dyDescent="0.2">
      <c r="A1319" s="49">
        <v>4</v>
      </c>
      <c r="B1319" s="59" t="s">
        <v>455</v>
      </c>
      <c r="C1319" s="40" t="s">
        <v>630</v>
      </c>
      <c r="D1319" s="55">
        <f ca="1">SUM(F1319:I1319)+K1319</f>
        <v>2243338</v>
      </c>
      <c r="F1319" s="49">
        <f ca="1">INDEX(INDIRECT($C1319),1,F$12+1)*$T1319</f>
        <v>2111001.6060143961</v>
      </c>
      <c r="H1319" s="49">
        <f ca="1">INDEX(INDIRECT($C1319),1,H$12+1)*$T1319</f>
        <v>86119.237362110187</v>
      </c>
      <c r="I1319" s="49">
        <f ca="1">(L1319+M1319+N1319)</f>
        <v>46217.156623493727</v>
      </c>
      <c r="L1319" s="49">
        <f ca="1">INDEX(INDIRECT($C1319),1,L$12+1)*$T1319</f>
        <v>9.4476895661949492</v>
      </c>
      <c r="M1319" s="49"/>
      <c r="N1319" s="49">
        <f ca="1">SUM(O1319:Q1319)</f>
        <v>46207.708933927534</v>
      </c>
      <c r="O1319" s="49">
        <f t="shared" ca="1" si="334"/>
        <v>23399.937657766004</v>
      </c>
      <c r="P1319" s="49">
        <f t="shared" ca="1" si="334"/>
        <v>22807.771276161529</v>
      </c>
      <c r="Q1319" s="49">
        <f t="shared" ca="1" si="334"/>
        <v>0</v>
      </c>
      <c r="T1319" s="274">
        <v>2243338</v>
      </c>
      <c r="U1319" s="81">
        <v>513</v>
      </c>
      <c r="W1319" s="81">
        <f>SUMIF('O&amp;M'!$B$3:$B$89,TOTALCO!U1319,'O&amp;M'!$G$3:$G$89)+SUMIF('O&amp;M'!$B$3:$B$89,TOTALCO!V1319,'O&amp;M'!$G$3:$G$89)</f>
        <v>2243338</v>
      </c>
      <c r="X1319" s="74">
        <f ca="1">D1319-T1319</f>
        <v>0</v>
      </c>
      <c r="Y1319" s="39" t="s">
        <v>422</v>
      </c>
    </row>
    <row r="1320" spans="1:25" x14ac:dyDescent="0.2">
      <c r="A1320" s="49">
        <v>5</v>
      </c>
      <c r="B1320" s="59" t="s">
        <v>456</v>
      </c>
      <c r="C1320" s="40" t="s">
        <v>630</v>
      </c>
      <c r="D1320" s="55">
        <f ca="1">SUM(F1320:I1320)+K1320</f>
        <v>0</v>
      </c>
      <c r="F1320" s="49">
        <f ca="1">INDEX(INDIRECT($C1320),1,F$12+1)*$T1320</f>
        <v>0</v>
      </c>
      <c r="H1320" s="49">
        <f ca="1">INDEX(INDIRECT($C1320),1,H$12+1)*$T1320</f>
        <v>0</v>
      </c>
      <c r="I1320" s="49">
        <f ca="1">(L1320+M1320+N1320)</f>
        <v>0</v>
      </c>
      <c r="L1320" s="49">
        <f ca="1">INDEX(INDIRECT($C1320),1,L$12+1)*$T1320</f>
        <v>0</v>
      </c>
      <c r="M1320" s="49"/>
      <c r="N1320" s="49">
        <f ca="1">SUM(O1320:Q1320)</f>
        <v>0</v>
      </c>
      <c r="O1320" s="49">
        <f t="shared" ca="1" si="334"/>
        <v>0</v>
      </c>
      <c r="P1320" s="49">
        <f t="shared" ca="1" si="334"/>
        <v>0</v>
      </c>
      <c r="Q1320" s="49">
        <f t="shared" ca="1" si="334"/>
        <v>0</v>
      </c>
      <c r="T1320" s="274">
        <v>0</v>
      </c>
      <c r="U1320" s="81">
        <v>547</v>
      </c>
      <c r="W1320" s="81">
        <f>SUMIF('O&amp;M'!$B$3:$B$89,TOTALCO!U1320,'O&amp;M'!$G$3:$G$89)+SUMIF('O&amp;M'!$B$3:$B$89,TOTALCO!V1320,'O&amp;M'!$G$3:$G$89)</f>
        <v>0</v>
      </c>
      <c r="X1320" s="74">
        <f ca="1">D1320-T1320</f>
        <v>0</v>
      </c>
      <c r="Y1320" s="39" t="s">
        <v>422</v>
      </c>
    </row>
    <row r="1321" spans="1:25" x14ac:dyDescent="0.2">
      <c r="A1321" s="49"/>
      <c r="B1321" s="59"/>
      <c r="C1321" s="40"/>
      <c r="D1321" s="55"/>
      <c r="F1321" s="49"/>
      <c r="H1321" s="49"/>
      <c r="I1321" s="49"/>
      <c r="L1321" s="49"/>
      <c r="M1321" s="49"/>
      <c r="N1321" s="49"/>
      <c r="O1321" s="49"/>
      <c r="P1321" s="49"/>
      <c r="Q1321" s="49"/>
      <c r="T1321" s="47"/>
      <c r="U1321" s="81"/>
      <c r="W1321" s="39"/>
      <c r="X1321" s="74"/>
      <c r="Y1321" s="39"/>
    </row>
    <row r="1322" spans="1:25" x14ac:dyDescent="0.2">
      <c r="A1322" s="49">
        <v>6</v>
      </c>
      <c r="B1322" s="59" t="s">
        <v>457</v>
      </c>
      <c r="C1322" s="40"/>
      <c r="D1322" s="55">
        <f ca="1">SUM(F1322:I1322)+K1322</f>
        <v>25227336.000000004</v>
      </c>
      <c r="F1322" s="49">
        <f ca="1">SUM(F1316:F1320)</f>
        <v>23739154.247583199</v>
      </c>
      <c r="H1322" s="49">
        <f ca="1">SUM(H1316:H1320)</f>
        <v>968449.22031263565</v>
      </c>
      <c r="I1322" s="49">
        <f ca="1">SUM(I1316:I1320)</f>
        <v>519732.53210416873</v>
      </c>
      <c r="L1322" s="49">
        <f t="shared" ref="L1322:Q1322" ca="1" si="335">SUM(L1316:L1320)</f>
        <v>106.24348141479092</v>
      </c>
      <c r="M1322" s="49"/>
      <c r="N1322" s="49">
        <f t="shared" ca="1" si="335"/>
        <v>519626.28862275399</v>
      </c>
      <c r="O1322" s="49">
        <f t="shared" ca="1" si="335"/>
        <v>263142.73180034215</v>
      </c>
      <c r="P1322" s="49">
        <f t="shared" ca="1" si="335"/>
        <v>256483.55682241183</v>
      </c>
      <c r="Q1322" s="49">
        <f t="shared" ca="1" si="335"/>
        <v>0</v>
      </c>
      <c r="T1322" s="47"/>
      <c r="U1322" s="81"/>
      <c r="W1322" s="39"/>
      <c r="X1322" s="74"/>
      <c r="Y1322" s="39"/>
    </row>
    <row r="1323" spans="1:25" x14ac:dyDescent="0.2">
      <c r="A1323" s="49"/>
      <c r="B1323" s="59"/>
      <c r="C1323" s="40"/>
      <c r="D1323" s="55"/>
      <c r="F1323" s="49"/>
      <c r="H1323" s="49"/>
      <c r="I1323" s="49"/>
      <c r="L1323" s="49"/>
      <c r="M1323" s="49"/>
      <c r="N1323" s="49"/>
      <c r="O1323" s="49"/>
      <c r="P1323" s="49"/>
      <c r="Q1323" s="49"/>
      <c r="T1323" s="47"/>
      <c r="U1323" s="81"/>
      <c r="W1323" s="39"/>
      <c r="X1323" s="74"/>
      <c r="Y1323" s="39"/>
    </row>
    <row r="1324" spans="1:25" x14ac:dyDescent="0.2">
      <c r="A1324" s="49"/>
      <c r="B1324" s="37" t="s">
        <v>407</v>
      </c>
      <c r="C1324" s="40"/>
      <c r="D1324" s="55"/>
      <c r="F1324" s="49"/>
      <c r="H1324" s="49"/>
      <c r="I1324" s="49"/>
      <c r="L1324" s="49"/>
      <c r="M1324" s="49"/>
      <c r="N1324" s="49"/>
      <c r="O1324" s="49"/>
      <c r="P1324" s="49"/>
      <c r="Q1324" s="49"/>
      <c r="T1324" s="47"/>
      <c r="U1324" s="81"/>
      <c r="W1324" s="39"/>
      <c r="X1324" s="74"/>
      <c r="Y1324" s="39"/>
    </row>
    <row r="1325" spans="1:25" x14ac:dyDescent="0.2">
      <c r="A1325" s="49">
        <v>7</v>
      </c>
      <c r="B1325" s="59" t="s">
        <v>458</v>
      </c>
      <c r="C1325" s="40" t="s">
        <v>963</v>
      </c>
      <c r="D1325" s="55">
        <f t="shared" ref="D1325:D1350" ca="1" si="336">SUM(F1325:I1325)+K1325</f>
        <v>7794907.0000000009</v>
      </c>
      <c r="F1325" s="49">
        <f t="shared" ref="F1325:F1350" ca="1" si="337">INDEX(INDIRECT($C1325),1,F$12+1)*$T1325</f>
        <v>7293278.8907199493</v>
      </c>
      <c r="H1325" s="49">
        <f t="shared" ref="H1325:H1350" ca="1" si="338">INDEX(INDIRECT($C1325),1,H$12+1)*$T1325</f>
        <v>338720.14564663719</v>
      </c>
      <c r="I1325" s="49">
        <f t="shared" ref="I1325:I1350" ca="1" si="339">(L1325+M1325+N1325)</f>
        <v>162907.9636334145</v>
      </c>
      <c r="L1325" s="49">
        <f t="shared" ref="L1325:L1350" ca="1" si="340">INDEX(INDIRECT($C1325),1,L$12+1)*$T1325</f>
        <v>23.288849086171858</v>
      </c>
      <c r="M1325" s="49"/>
      <c r="N1325" s="49">
        <f t="shared" ref="N1325:N1354" ca="1" si="341">SUM(O1325:Q1325)</f>
        <v>162884.67478432832</v>
      </c>
      <c r="O1325" s="49">
        <f t="shared" ref="O1325:Q1350" ca="1" si="342">INDEX(INDIRECT($C1325),1,O$12+1)*$T1325</f>
        <v>82610.554867424915</v>
      </c>
      <c r="P1325" s="49">
        <f t="shared" ca="1" si="342"/>
        <v>80274.119916903393</v>
      </c>
      <c r="Q1325" s="49">
        <f t="shared" ca="1" si="342"/>
        <v>0</v>
      </c>
      <c r="T1325" s="274">
        <v>7794907</v>
      </c>
      <c r="U1325" s="81">
        <v>500</v>
      </c>
      <c r="W1325" s="81">
        <f>SUMIF('O&amp;M'!$B$3:$B$89,TOTALCO!U1325,'O&amp;M'!$G$3:$G$89)+SUMIF('O&amp;M'!$B$3:$B$89,TOTALCO!V1325,'O&amp;M'!$G$3:$G$89)</f>
        <v>7794907</v>
      </c>
      <c r="X1325" s="74">
        <f t="shared" ref="X1325:X1350" ca="1" si="343">D1325-T1325</f>
        <v>0</v>
      </c>
      <c r="Y1325" s="39" t="s">
        <v>422</v>
      </c>
    </row>
    <row r="1326" spans="1:25" x14ac:dyDescent="0.2">
      <c r="A1326" s="49">
        <v>8</v>
      </c>
      <c r="B1326" s="59" t="s">
        <v>459</v>
      </c>
      <c r="C1326" s="40" t="s">
        <v>963</v>
      </c>
      <c r="D1326" s="55">
        <f t="shared" ca="1" si="336"/>
        <v>9236154.0000000019</v>
      </c>
      <c r="F1326" s="49">
        <f t="shared" ca="1" si="337"/>
        <v>8641776.8678495623</v>
      </c>
      <c r="H1326" s="49">
        <f t="shared" ca="1" si="338"/>
        <v>401348.14027861663</v>
      </c>
      <c r="I1326" s="49">
        <f t="shared" ca="1" si="339"/>
        <v>193028.99187182292</v>
      </c>
      <c r="L1326" s="49">
        <f t="shared" ca="1" si="340"/>
        <v>27.59486375432607</v>
      </c>
      <c r="M1326" s="49"/>
      <c r="N1326" s="49">
        <f t="shared" ca="1" si="341"/>
        <v>193001.3970080686</v>
      </c>
      <c r="O1326" s="49">
        <f t="shared" ca="1" si="342"/>
        <v>97884.914698916371</v>
      </c>
      <c r="P1326" s="49">
        <f t="shared" ca="1" si="342"/>
        <v>95116.482309152227</v>
      </c>
      <c r="Q1326" s="49">
        <f t="shared" ca="1" si="342"/>
        <v>0</v>
      </c>
      <c r="T1326" s="274">
        <v>9236154</v>
      </c>
      <c r="U1326" s="81">
        <v>502</v>
      </c>
      <c r="W1326" s="81">
        <f>SUMIF('O&amp;M'!$B$3:$B$89,TOTALCO!U1326,'O&amp;M'!$G$3:$G$89)+SUMIF('O&amp;M'!$B$3:$B$89,TOTALCO!V1326,'O&amp;M'!$G$3:$G$89)</f>
        <v>9236154</v>
      </c>
      <c r="X1326" s="74">
        <f t="shared" ca="1" si="343"/>
        <v>0</v>
      </c>
      <c r="Y1326" s="39" t="s">
        <v>422</v>
      </c>
    </row>
    <row r="1327" spans="1:25" x14ac:dyDescent="0.2">
      <c r="A1327" s="49">
        <v>9</v>
      </c>
      <c r="B1327" s="59" t="s">
        <v>460</v>
      </c>
      <c r="C1327" s="40" t="s">
        <v>963</v>
      </c>
      <c r="D1327" s="55">
        <f t="shared" ca="1" si="336"/>
        <v>6700236.0000000009</v>
      </c>
      <c r="F1327" s="49">
        <f t="shared" ca="1" si="337"/>
        <v>6269053.5989257945</v>
      </c>
      <c r="H1327" s="49">
        <f t="shared" ca="1" si="338"/>
        <v>291152.27593951306</v>
      </c>
      <c r="I1327" s="49">
        <f t="shared" ca="1" si="339"/>
        <v>140030.12513469302</v>
      </c>
      <c r="L1327" s="49">
        <f t="shared" ca="1" si="340"/>
        <v>20.018299775191135</v>
      </c>
      <c r="M1327" s="49"/>
      <c r="N1327" s="49">
        <f t="shared" ca="1" si="341"/>
        <v>140010.10683491782</v>
      </c>
      <c r="O1327" s="49">
        <f t="shared" ca="1" si="342"/>
        <v>71009.213285379243</v>
      </c>
      <c r="P1327" s="49">
        <f t="shared" ca="1" si="342"/>
        <v>69000.893549538581</v>
      </c>
      <c r="Q1327" s="49">
        <f t="shared" ca="1" si="342"/>
        <v>0</v>
      </c>
      <c r="T1327" s="274">
        <v>6700236</v>
      </c>
      <c r="U1327" s="81">
        <v>505</v>
      </c>
      <c r="W1327" s="81">
        <f>SUMIF('O&amp;M'!$B$3:$B$89,TOTALCO!U1327,'O&amp;M'!$G$3:$G$89)+SUMIF('O&amp;M'!$B$3:$B$89,TOTALCO!V1327,'O&amp;M'!$G$3:$G$89)</f>
        <v>6700236</v>
      </c>
      <c r="X1327" s="74">
        <f t="shared" ca="1" si="343"/>
        <v>0</v>
      </c>
      <c r="Y1327" s="39" t="s">
        <v>422</v>
      </c>
    </row>
    <row r="1328" spans="1:25" x14ac:dyDescent="0.2">
      <c r="A1328" s="49">
        <v>10</v>
      </c>
      <c r="B1328" s="59" t="s">
        <v>461</v>
      </c>
      <c r="C1328" s="40" t="s">
        <v>963</v>
      </c>
      <c r="D1328" s="55">
        <f t="shared" ca="1" si="336"/>
        <v>2779706</v>
      </c>
      <c r="F1328" s="49">
        <f t="shared" ca="1" si="337"/>
        <v>2600822.7028504107</v>
      </c>
      <c r="H1328" s="49">
        <f t="shared" ca="1" si="338"/>
        <v>120789.43612474545</v>
      </c>
      <c r="I1328" s="49">
        <f t="shared" ca="1" si="339"/>
        <v>58093.861024844045</v>
      </c>
      <c r="L1328" s="49">
        <f t="shared" ca="1" si="340"/>
        <v>8.3049295569435824</v>
      </c>
      <c r="M1328" s="49"/>
      <c r="N1328" s="49">
        <f t="shared" ca="1" si="341"/>
        <v>58085.556095287102</v>
      </c>
      <c r="O1328" s="49">
        <f t="shared" ca="1" si="342"/>
        <v>29459.370718381917</v>
      </c>
      <c r="P1328" s="49">
        <f t="shared" ca="1" si="342"/>
        <v>28626.185376905181</v>
      </c>
      <c r="Q1328" s="49">
        <f t="shared" ca="1" si="342"/>
        <v>0</v>
      </c>
      <c r="T1328" s="274">
        <v>2779706</v>
      </c>
      <c r="U1328" s="81">
        <v>506</v>
      </c>
      <c r="W1328" s="81">
        <f>SUMIF('O&amp;M'!$B$3:$B$89,TOTALCO!U1328,'O&amp;M'!$G$3:$G$89)+SUMIF('O&amp;M'!$B$3:$B$89,TOTALCO!V1328,'O&amp;M'!$G$3:$G$89)</f>
        <v>2779706</v>
      </c>
      <c r="X1328" s="74">
        <f t="shared" ca="1" si="343"/>
        <v>0</v>
      </c>
      <c r="Y1328" s="39" t="s">
        <v>422</v>
      </c>
    </row>
    <row r="1329" spans="1:25" x14ac:dyDescent="0.2">
      <c r="A1329" s="49">
        <v>11</v>
      </c>
      <c r="B1329" s="59" t="s">
        <v>462</v>
      </c>
      <c r="C1329" s="40" t="s">
        <v>963</v>
      </c>
      <c r="D1329" s="55">
        <f t="shared" ca="1" si="336"/>
        <v>0</v>
      </c>
      <c r="F1329" s="49">
        <f t="shared" ca="1" si="337"/>
        <v>0</v>
      </c>
      <c r="H1329" s="49">
        <f t="shared" ca="1" si="338"/>
        <v>0</v>
      </c>
      <c r="I1329" s="49">
        <f t="shared" ca="1" si="339"/>
        <v>0</v>
      </c>
      <c r="L1329" s="49">
        <f t="shared" ca="1" si="340"/>
        <v>0</v>
      </c>
      <c r="M1329" s="49"/>
      <c r="N1329" s="49">
        <f t="shared" ca="1" si="341"/>
        <v>0</v>
      </c>
      <c r="O1329" s="49">
        <f t="shared" ca="1" si="342"/>
        <v>0</v>
      </c>
      <c r="P1329" s="49">
        <f t="shared" ca="1" si="342"/>
        <v>0</v>
      </c>
      <c r="Q1329" s="49">
        <f t="shared" ca="1" si="342"/>
        <v>0</v>
      </c>
      <c r="T1329" s="274">
        <v>0</v>
      </c>
      <c r="U1329" s="81">
        <v>509</v>
      </c>
      <c r="W1329" s="81">
        <f>SUMIF('O&amp;M'!$B$3:$B$89,TOTALCO!U1329,'O&amp;M'!$G$3:$G$89)+SUMIF('O&amp;M'!$B$3:$B$89,TOTALCO!V1329,'O&amp;M'!$G$3:$G$89)</f>
        <v>0</v>
      </c>
      <c r="X1329" s="74">
        <f t="shared" ca="1" si="343"/>
        <v>0</v>
      </c>
      <c r="Y1329" s="39" t="s">
        <v>422</v>
      </c>
    </row>
    <row r="1330" spans="1:25" x14ac:dyDescent="0.2">
      <c r="A1330" s="49">
        <v>12</v>
      </c>
      <c r="B1330" s="59" t="s">
        <v>463</v>
      </c>
      <c r="C1330" s="40" t="s">
        <v>963</v>
      </c>
      <c r="D1330" s="55">
        <f t="shared" ca="1" si="336"/>
        <v>1275449.0000000002</v>
      </c>
      <c r="F1330" s="49">
        <f t="shared" ca="1" si="337"/>
        <v>1193369.6281289654</v>
      </c>
      <c r="H1330" s="49">
        <f t="shared" ca="1" si="338"/>
        <v>55423.402876372704</v>
      </c>
      <c r="I1330" s="49">
        <f t="shared" ca="1" si="339"/>
        <v>26655.968994662137</v>
      </c>
      <c r="L1330" s="49">
        <f t="shared" ca="1" si="340"/>
        <v>3.8106598677968591</v>
      </c>
      <c r="M1330" s="49"/>
      <c r="N1330" s="49">
        <f t="shared" ca="1" si="341"/>
        <v>26652.158334794338</v>
      </c>
      <c r="O1330" s="49">
        <f t="shared" ca="1" si="342"/>
        <v>13517.229852146053</v>
      </c>
      <c r="P1330" s="49">
        <f t="shared" ca="1" si="342"/>
        <v>13134.928482648287</v>
      </c>
      <c r="Q1330" s="49">
        <f t="shared" ca="1" si="342"/>
        <v>0</v>
      </c>
      <c r="T1330" s="274">
        <v>1275449</v>
      </c>
      <c r="U1330" s="81">
        <v>511</v>
      </c>
      <c r="W1330" s="81">
        <f>SUMIF('O&amp;M'!$B$3:$B$89,TOTALCO!U1330,'O&amp;M'!$G$3:$G$89)+SUMIF('O&amp;M'!$B$3:$B$89,TOTALCO!V1330,'O&amp;M'!$G$3:$G$89)</f>
        <v>1275449</v>
      </c>
      <c r="X1330" s="74">
        <f t="shared" ca="1" si="343"/>
        <v>0</v>
      </c>
      <c r="Y1330" s="39" t="s">
        <v>422</v>
      </c>
    </row>
    <row r="1331" spans="1:25" x14ac:dyDescent="0.2">
      <c r="A1331" s="49">
        <v>13</v>
      </c>
      <c r="B1331" s="59" t="s">
        <v>464</v>
      </c>
      <c r="C1331" s="40" t="s">
        <v>963</v>
      </c>
      <c r="D1331" s="55">
        <f t="shared" ca="1" si="336"/>
        <v>275227</v>
      </c>
      <c r="F1331" s="49">
        <f t="shared" ca="1" si="337"/>
        <v>257515.23004138208</v>
      </c>
      <c r="H1331" s="49">
        <f t="shared" ca="1" si="338"/>
        <v>11959.723127663616</v>
      </c>
      <c r="I1331" s="49">
        <f t="shared" ca="1" si="339"/>
        <v>5752.0468309543348</v>
      </c>
      <c r="L1331" s="49">
        <f t="shared" ca="1" si="340"/>
        <v>0.82229590005882336</v>
      </c>
      <c r="M1331" s="49"/>
      <c r="N1331" s="49">
        <f t="shared" ca="1" si="341"/>
        <v>5751.2245350542762</v>
      </c>
      <c r="O1331" s="49">
        <f t="shared" ca="1" si="342"/>
        <v>2916.8603531121994</v>
      </c>
      <c r="P1331" s="49">
        <f t="shared" ca="1" si="342"/>
        <v>2834.3641819420768</v>
      </c>
      <c r="Q1331" s="49">
        <f t="shared" ca="1" si="342"/>
        <v>0</v>
      </c>
      <c r="T1331" s="274">
        <v>275227</v>
      </c>
      <c r="U1331" s="81">
        <v>514</v>
      </c>
      <c r="W1331" s="81">
        <f>SUMIF('O&amp;M'!$B$3:$B$89,TOTALCO!U1331,'O&amp;M'!$G$3:$G$89)+SUMIF('O&amp;M'!$B$3:$B$89,TOTALCO!V1331,'O&amp;M'!$G$3:$G$89)</f>
        <v>275227</v>
      </c>
      <c r="X1331" s="74">
        <f t="shared" ca="1" si="343"/>
        <v>0</v>
      </c>
      <c r="Y1331" s="39" t="s">
        <v>422</v>
      </c>
    </row>
    <row r="1332" spans="1:25" x14ac:dyDescent="0.2">
      <c r="A1332" s="49">
        <v>14</v>
      </c>
      <c r="B1332" s="59" t="s">
        <v>542</v>
      </c>
      <c r="C1332" s="40" t="s">
        <v>963</v>
      </c>
      <c r="D1332" s="55">
        <f t="shared" ca="1" si="336"/>
        <v>0</v>
      </c>
      <c r="F1332" s="49">
        <f t="shared" ca="1" si="337"/>
        <v>0</v>
      </c>
      <c r="H1332" s="49">
        <f t="shared" ca="1" si="338"/>
        <v>0</v>
      </c>
      <c r="I1332" s="49">
        <f ca="1">(L1332+M1332+N1332)</f>
        <v>0</v>
      </c>
      <c r="L1332" s="49">
        <f t="shared" ca="1" si="340"/>
        <v>0</v>
      </c>
      <c r="M1332" s="49"/>
      <c r="N1332" s="49">
        <f ca="1">SUM(O1332:Q1332)</f>
        <v>0</v>
      </c>
      <c r="O1332" s="49">
        <f t="shared" ca="1" si="342"/>
        <v>0</v>
      </c>
      <c r="P1332" s="49">
        <f t="shared" ca="1" si="342"/>
        <v>0</v>
      </c>
      <c r="Q1332" s="49">
        <f t="shared" ca="1" si="342"/>
        <v>0</v>
      </c>
      <c r="T1332" s="274">
        <v>0</v>
      </c>
      <c r="U1332" s="81">
        <v>535</v>
      </c>
      <c r="W1332" s="81">
        <f>SUMIF('O&amp;M'!$B$3:$B$89,TOTALCO!U1332,'O&amp;M'!$G$3:$G$89)+SUMIF('O&amp;M'!$B$3:$B$89,TOTALCO!V1332,'O&amp;M'!$G$3:$G$89)</f>
        <v>0</v>
      </c>
      <c r="X1332" s="74">
        <f t="shared" ca="1" si="343"/>
        <v>0</v>
      </c>
      <c r="Y1332" s="39" t="s">
        <v>422</v>
      </c>
    </row>
    <row r="1333" spans="1:25" x14ac:dyDescent="0.2">
      <c r="A1333" s="49">
        <v>15</v>
      </c>
      <c r="B1333" s="59" t="s">
        <v>465</v>
      </c>
      <c r="C1333" s="40" t="s">
        <v>963</v>
      </c>
      <c r="D1333" s="55">
        <f t="shared" ca="1" si="336"/>
        <v>0</v>
      </c>
      <c r="F1333" s="49">
        <f t="shared" ca="1" si="337"/>
        <v>0</v>
      </c>
      <c r="H1333" s="49">
        <f t="shared" ca="1" si="338"/>
        <v>0</v>
      </c>
      <c r="I1333" s="49">
        <f t="shared" ca="1" si="339"/>
        <v>0</v>
      </c>
      <c r="L1333" s="49">
        <f t="shared" ca="1" si="340"/>
        <v>0</v>
      </c>
      <c r="M1333" s="49"/>
      <c r="N1333" s="49">
        <f t="shared" ca="1" si="341"/>
        <v>0</v>
      </c>
      <c r="O1333" s="49">
        <f t="shared" ca="1" si="342"/>
        <v>0</v>
      </c>
      <c r="P1333" s="49">
        <f t="shared" ca="1" si="342"/>
        <v>0</v>
      </c>
      <c r="Q1333" s="49">
        <f t="shared" ca="1" si="342"/>
        <v>0</v>
      </c>
      <c r="T1333" s="274">
        <v>0</v>
      </c>
      <c r="U1333" s="81">
        <v>538</v>
      </c>
      <c r="W1333" s="81">
        <f>SUMIF('O&amp;M'!$B$3:$B$89,TOTALCO!U1333,'O&amp;M'!$G$3:$G$89)+SUMIF('O&amp;M'!$B$3:$B$89,TOTALCO!V1333,'O&amp;M'!$G$3:$G$89)</f>
        <v>0</v>
      </c>
      <c r="X1333" s="74">
        <f t="shared" ca="1" si="343"/>
        <v>0</v>
      </c>
      <c r="Y1333" s="39" t="s">
        <v>422</v>
      </c>
    </row>
    <row r="1334" spans="1:25" x14ac:dyDescent="0.2">
      <c r="A1334" s="49">
        <v>16</v>
      </c>
      <c r="B1334" s="59" t="s">
        <v>466</v>
      </c>
      <c r="C1334" s="40" t="s">
        <v>963</v>
      </c>
      <c r="D1334" s="55">
        <f t="shared" ca="1" si="336"/>
        <v>0</v>
      </c>
      <c r="F1334" s="49">
        <f t="shared" ca="1" si="337"/>
        <v>0</v>
      </c>
      <c r="H1334" s="49">
        <f t="shared" ca="1" si="338"/>
        <v>0</v>
      </c>
      <c r="I1334" s="49">
        <f t="shared" ca="1" si="339"/>
        <v>0</v>
      </c>
      <c r="L1334" s="49">
        <f t="shared" ca="1" si="340"/>
        <v>0</v>
      </c>
      <c r="M1334" s="49"/>
      <c r="N1334" s="49">
        <f t="shared" ca="1" si="341"/>
        <v>0</v>
      </c>
      <c r="O1334" s="49">
        <f t="shared" ca="1" si="342"/>
        <v>0</v>
      </c>
      <c r="P1334" s="49">
        <f t="shared" ca="1" si="342"/>
        <v>0</v>
      </c>
      <c r="Q1334" s="49">
        <f t="shared" ca="1" si="342"/>
        <v>0</v>
      </c>
      <c r="T1334" s="274">
        <v>0</v>
      </c>
      <c r="U1334" s="81">
        <v>539</v>
      </c>
      <c r="W1334" s="81">
        <f>SUMIF('O&amp;M'!$B$3:$B$89,TOTALCO!U1334,'O&amp;M'!$G$3:$G$89)+SUMIF('O&amp;M'!$B$3:$B$89,TOTALCO!V1334,'O&amp;M'!$G$3:$G$89)</f>
        <v>0</v>
      </c>
      <c r="X1334" s="74">
        <f t="shared" ca="1" si="343"/>
        <v>0</v>
      </c>
      <c r="Y1334" s="39" t="s">
        <v>422</v>
      </c>
    </row>
    <row r="1335" spans="1:25" x14ac:dyDescent="0.2">
      <c r="A1335" s="49">
        <v>17</v>
      </c>
      <c r="B1335" s="59" t="s">
        <v>467</v>
      </c>
      <c r="C1335" s="40" t="s">
        <v>963</v>
      </c>
      <c r="D1335" s="55">
        <f t="shared" ca="1" si="336"/>
        <v>204027.00000000003</v>
      </c>
      <c r="F1335" s="49">
        <f t="shared" ca="1" si="337"/>
        <v>190897.18610330042</v>
      </c>
      <c r="H1335" s="49">
        <f t="shared" ca="1" si="338"/>
        <v>8865.7959813820034</v>
      </c>
      <c r="I1335" s="49">
        <f t="shared" ca="1" si="339"/>
        <v>4264.0179153176114</v>
      </c>
      <c r="L1335" s="49">
        <f t="shared" ca="1" si="340"/>
        <v>0.60957161034819096</v>
      </c>
      <c r="M1335" s="49"/>
      <c r="N1335" s="49">
        <f t="shared" ca="1" si="341"/>
        <v>4263.4083437072632</v>
      </c>
      <c r="O1335" s="49">
        <f t="shared" ca="1" si="342"/>
        <v>2162.2815612727777</v>
      </c>
      <c r="P1335" s="49">
        <f t="shared" ca="1" si="342"/>
        <v>2101.1267824344854</v>
      </c>
      <c r="Q1335" s="49">
        <f t="shared" ca="1" si="342"/>
        <v>0</v>
      </c>
      <c r="T1335" s="274">
        <v>204027</v>
      </c>
      <c r="U1335" s="81">
        <v>541</v>
      </c>
      <c r="W1335" s="81">
        <f>SUMIF('O&amp;M'!$B$3:$B$89,TOTALCO!U1335,'O&amp;M'!$G$3:$G$89)+SUMIF('O&amp;M'!$B$3:$B$89,TOTALCO!V1335,'O&amp;M'!$G$3:$G$89)</f>
        <v>204027</v>
      </c>
      <c r="X1335" s="74">
        <f t="shared" ca="1" si="343"/>
        <v>0</v>
      </c>
      <c r="Y1335" s="39" t="s">
        <v>422</v>
      </c>
    </row>
    <row r="1336" spans="1:25" x14ac:dyDescent="0.2">
      <c r="A1336" s="49">
        <v>18</v>
      </c>
      <c r="B1336" s="59" t="s">
        <v>468</v>
      </c>
      <c r="C1336" s="40" t="s">
        <v>963</v>
      </c>
      <c r="D1336" s="55">
        <f t="shared" ca="1" si="336"/>
        <v>59485.000000000007</v>
      </c>
      <c r="F1336" s="49">
        <f t="shared" ca="1" si="337"/>
        <v>55656.943028887472</v>
      </c>
      <c r="H1336" s="49">
        <f t="shared" ca="1" si="338"/>
        <v>2584.8631502326084</v>
      </c>
      <c r="I1336" s="49">
        <f t="shared" ca="1" si="339"/>
        <v>1243.1938208799234</v>
      </c>
      <c r="L1336" s="49">
        <f t="shared" ca="1" si="340"/>
        <v>0.17772337603141808</v>
      </c>
      <c r="M1336" s="49"/>
      <c r="N1336" s="49">
        <f t="shared" ca="1" si="341"/>
        <v>1243.0160975038918</v>
      </c>
      <c r="O1336" s="49">
        <f t="shared" ca="1" si="342"/>
        <v>630.42302573831489</v>
      </c>
      <c r="P1336" s="49">
        <f t="shared" ca="1" si="342"/>
        <v>612.59307176557695</v>
      </c>
      <c r="Q1336" s="49">
        <f t="shared" ca="1" si="342"/>
        <v>0</v>
      </c>
      <c r="T1336" s="274">
        <v>59485</v>
      </c>
      <c r="U1336" s="81">
        <v>542</v>
      </c>
      <c r="W1336" s="81">
        <f>SUMIF('O&amp;M'!$B$3:$B$89,TOTALCO!U1336,'O&amp;M'!$G$3:$G$89)+SUMIF('O&amp;M'!$B$3:$B$89,TOTALCO!V1336,'O&amp;M'!$G$3:$G$89)</f>
        <v>59485</v>
      </c>
      <c r="X1336" s="74">
        <f t="shared" ca="1" si="343"/>
        <v>0</v>
      </c>
      <c r="Y1336" s="39" t="s">
        <v>422</v>
      </c>
    </row>
    <row r="1337" spans="1:25" x14ac:dyDescent="0.2">
      <c r="A1337" s="49">
        <v>19</v>
      </c>
      <c r="B1337" s="59" t="s">
        <v>1404</v>
      </c>
      <c r="C1337" s="40" t="s">
        <v>963</v>
      </c>
      <c r="D1337" s="55">
        <f ca="1">SUM(F1337:I1337)+K1337</f>
        <v>1308.0000000000002</v>
      </c>
      <c r="F1337" s="49">
        <f t="shared" ca="1" si="337"/>
        <v>1223.8258633568937</v>
      </c>
      <c r="H1337" s="49">
        <f t="shared" ca="1" si="338"/>
        <v>56.837875103038613</v>
      </c>
      <c r="I1337" s="49">
        <f ca="1">(L1337+M1337+N1337)</f>
        <v>27.336261540067909</v>
      </c>
      <c r="L1337" s="49">
        <f t="shared" ca="1" si="340"/>
        <v>3.9079125132234155E-3</v>
      </c>
      <c r="M1337" s="49"/>
      <c r="N1337" s="49">
        <f ca="1">SUM(O1337:Q1337)</f>
        <v>27.332353627554685</v>
      </c>
      <c r="O1337" s="49">
        <f t="shared" ca="1" si="342"/>
        <v>13.862205895027584</v>
      </c>
      <c r="P1337" s="49">
        <f t="shared" ca="1" si="342"/>
        <v>13.470147732527101</v>
      </c>
      <c r="Q1337" s="49">
        <f t="shared" ca="1" si="342"/>
        <v>0</v>
      </c>
      <c r="T1337" s="274">
        <v>1308</v>
      </c>
      <c r="U1337" s="81">
        <v>543</v>
      </c>
      <c r="W1337" s="81">
        <f>SUMIF('O&amp;M'!$B$3:$B$89,TOTALCO!U1337,'O&amp;M'!$G$3:$G$89)+SUMIF('O&amp;M'!$B$3:$B$89,TOTALCO!V1337,'O&amp;M'!$G$3:$G$89)</f>
        <v>1308</v>
      </c>
      <c r="X1337" s="74">
        <f ca="1">D1337-T1337</f>
        <v>0</v>
      </c>
      <c r="Y1337" s="39" t="s">
        <v>422</v>
      </c>
    </row>
    <row r="1338" spans="1:25" x14ac:dyDescent="0.2">
      <c r="A1338" s="49">
        <v>20</v>
      </c>
      <c r="B1338" s="59" t="s">
        <v>469</v>
      </c>
      <c r="C1338" s="40" t="s">
        <v>963</v>
      </c>
      <c r="D1338" s="55">
        <f t="shared" ca="1" si="336"/>
        <v>1464.0000000000002</v>
      </c>
      <c r="F1338" s="49">
        <f t="shared" ca="1" si="337"/>
        <v>1369.7867461425783</v>
      </c>
      <c r="H1338" s="49">
        <f t="shared" ca="1" si="338"/>
        <v>63.616704243767991</v>
      </c>
      <c r="I1338" s="49">
        <f t="shared" ca="1" si="339"/>
        <v>30.596549613653988</v>
      </c>
      <c r="L1338" s="49">
        <f t="shared" ca="1" si="340"/>
        <v>4.3739938221399694E-3</v>
      </c>
      <c r="M1338" s="49"/>
      <c r="N1338" s="49">
        <f t="shared" ca="1" si="341"/>
        <v>30.592175619831849</v>
      </c>
      <c r="O1338" s="49">
        <f t="shared" ca="1" si="342"/>
        <v>15.515496506361149</v>
      </c>
      <c r="P1338" s="49">
        <f t="shared" ca="1" si="342"/>
        <v>15.0766791134707</v>
      </c>
      <c r="Q1338" s="49">
        <f t="shared" ca="1" si="342"/>
        <v>0</v>
      </c>
      <c r="T1338" s="274">
        <v>1464</v>
      </c>
      <c r="U1338" s="81">
        <v>544</v>
      </c>
      <c r="W1338" s="81">
        <f>SUMIF('O&amp;M'!$B$3:$B$89,TOTALCO!U1338,'O&amp;M'!$G$3:$G$89)+SUMIF('O&amp;M'!$B$3:$B$89,TOTALCO!V1338,'O&amp;M'!$G$3:$G$89)</f>
        <v>1464</v>
      </c>
      <c r="X1338" s="74">
        <f t="shared" ca="1" si="343"/>
        <v>0</v>
      </c>
      <c r="Y1338" s="39" t="s">
        <v>422</v>
      </c>
    </row>
    <row r="1339" spans="1:25" x14ac:dyDescent="0.2">
      <c r="A1339" s="49">
        <v>21</v>
      </c>
      <c r="B1339" s="59" t="s">
        <v>470</v>
      </c>
      <c r="C1339" s="40" t="s">
        <v>963</v>
      </c>
      <c r="D1339" s="55">
        <f t="shared" ca="1" si="336"/>
        <v>768.00000000000011</v>
      </c>
      <c r="F1339" s="49">
        <f t="shared" ca="1" si="337"/>
        <v>718.57665371413941</v>
      </c>
      <c r="H1339" s="49">
        <f t="shared" ca="1" si="338"/>
        <v>33.372697308206156</v>
      </c>
      <c r="I1339" s="49">
        <f t="shared" ca="1" si="339"/>
        <v>16.050648977654554</v>
      </c>
      <c r="L1339" s="49">
        <f t="shared" ca="1" si="340"/>
        <v>2.294554136204574E-3</v>
      </c>
      <c r="M1339" s="49"/>
      <c r="N1339" s="49">
        <f t="shared" ca="1" si="341"/>
        <v>16.048354423518347</v>
      </c>
      <c r="O1339" s="49">
        <f t="shared" ca="1" si="342"/>
        <v>8.1392768557960125</v>
      </c>
      <c r="P1339" s="49">
        <f t="shared" ca="1" si="342"/>
        <v>7.9090775677223348</v>
      </c>
      <c r="Q1339" s="49">
        <f t="shared" ca="1" si="342"/>
        <v>0</v>
      </c>
      <c r="T1339" s="274">
        <v>768</v>
      </c>
      <c r="U1339" s="81">
        <v>545</v>
      </c>
      <c r="W1339" s="81">
        <f>SUMIF('O&amp;M'!$B$3:$B$89,TOTALCO!U1339,'O&amp;M'!$G$3:$G$89)+SUMIF('O&amp;M'!$B$3:$B$89,TOTALCO!V1339,'O&amp;M'!$G$3:$G$89)</f>
        <v>768</v>
      </c>
      <c r="X1339" s="74">
        <f t="shared" ca="1" si="343"/>
        <v>0</v>
      </c>
      <c r="Y1339" s="39" t="s">
        <v>422</v>
      </c>
    </row>
    <row r="1340" spans="1:25" x14ac:dyDescent="0.2">
      <c r="A1340" s="49">
        <v>22</v>
      </c>
      <c r="B1340" s="59" t="s">
        <v>471</v>
      </c>
      <c r="C1340" s="40" t="s">
        <v>963</v>
      </c>
      <c r="D1340" s="55">
        <f t="shared" ca="1" si="336"/>
        <v>1089861.0000000002</v>
      </c>
      <c r="F1340" s="49">
        <f t="shared" ca="1" si="337"/>
        <v>1019724.8312415959</v>
      </c>
      <c r="H1340" s="49">
        <f t="shared" ca="1" si="338"/>
        <v>47358.855808618326</v>
      </c>
      <c r="I1340" s="49">
        <f t="shared" ca="1" si="339"/>
        <v>22777.312949785897</v>
      </c>
      <c r="L1340" s="49">
        <f t="shared" ca="1" si="340"/>
        <v>3.2561784706224652</v>
      </c>
      <c r="M1340" s="49"/>
      <c r="N1340" s="49">
        <f t="shared" ca="1" si="341"/>
        <v>22774.056771315274</v>
      </c>
      <c r="O1340" s="49">
        <f t="shared" ca="1" si="342"/>
        <v>11550.365121529556</v>
      </c>
      <c r="P1340" s="49">
        <f t="shared" ca="1" si="342"/>
        <v>11223.691649785718</v>
      </c>
      <c r="Q1340" s="49">
        <f t="shared" ca="1" si="342"/>
        <v>0</v>
      </c>
      <c r="T1340" s="274">
        <v>1089861</v>
      </c>
      <c r="U1340" s="81">
        <v>546</v>
      </c>
      <c r="W1340" s="81">
        <f>SUMIF('O&amp;M'!$B$3:$B$89,TOTALCO!U1340,'O&amp;M'!$G$3:$G$89)+SUMIF('O&amp;M'!$B$3:$B$89,TOTALCO!V1340,'O&amp;M'!$G$3:$G$89)</f>
        <v>1089861</v>
      </c>
      <c r="X1340" s="74">
        <f t="shared" ca="1" si="343"/>
        <v>0</v>
      </c>
      <c r="Y1340" s="39" t="s">
        <v>422</v>
      </c>
    </row>
    <row r="1341" spans="1:25" x14ac:dyDescent="0.2">
      <c r="A1341" s="49">
        <v>23</v>
      </c>
      <c r="B1341" s="59" t="s">
        <v>473</v>
      </c>
      <c r="C1341" s="40" t="s">
        <v>963</v>
      </c>
      <c r="D1341" s="55">
        <f t="shared" ca="1" si="336"/>
        <v>339571.00000000006</v>
      </c>
      <c r="F1341" s="49">
        <f t="shared" ca="1" si="337"/>
        <v>317718.48031036981</v>
      </c>
      <c r="H1341" s="49">
        <f t="shared" ca="1" si="338"/>
        <v>14755.729424016763</v>
      </c>
      <c r="I1341" s="49">
        <f t="shared" ca="1" si="339"/>
        <v>7096.7902656134547</v>
      </c>
      <c r="L1341" s="49">
        <f t="shared" ca="1" si="340"/>
        <v>1.0145365137827127</v>
      </c>
      <c r="M1341" s="49"/>
      <c r="N1341" s="49">
        <f t="shared" ca="1" si="341"/>
        <v>7095.7757290996724</v>
      </c>
      <c r="O1341" s="49">
        <f t="shared" ca="1" si="342"/>
        <v>3598.7791421868592</v>
      </c>
      <c r="P1341" s="49">
        <f t="shared" ca="1" si="342"/>
        <v>3496.9965869128137</v>
      </c>
      <c r="Q1341" s="49">
        <f t="shared" ca="1" si="342"/>
        <v>0</v>
      </c>
      <c r="T1341" s="274">
        <v>339571</v>
      </c>
      <c r="U1341" s="81">
        <v>548</v>
      </c>
      <c r="W1341" s="81">
        <f>SUMIF('O&amp;M'!$B$3:$B$89,TOTALCO!U1341,'O&amp;M'!$G$3:$G$89)+SUMIF('O&amp;M'!$B$3:$B$89,TOTALCO!V1341,'O&amp;M'!$G$3:$G$89)</f>
        <v>339571</v>
      </c>
      <c r="X1341" s="74">
        <f t="shared" ca="1" si="343"/>
        <v>0</v>
      </c>
      <c r="Y1341" s="39" t="s">
        <v>422</v>
      </c>
    </row>
    <row r="1342" spans="1:25" x14ac:dyDescent="0.2">
      <c r="A1342" s="49">
        <v>24</v>
      </c>
      <c r="B1342" s="59" t="s">
        <v>474</v>
      </c>
      <c r="C1342" s="40" t="s">
        <v>963</v>
      </c>
      <c r="D1342" s="55">
        <f t="shared" ca="1" si="336"/>
        <v>2160322.0000000005</v>
      </c>
      <c r="F1342" s="49">
        <f t="shared" ca="1" si="337"/>
        <v>2021298.1168034335</v>
      </c>
      <c r="H1342" s="49">
        <f t="shared" ca="1" si="338"/>
        <v>93874.703377940823</v>
      </c>
      <c r="I1342" s="49">
        <f t="shared" ca="1" si="339"/>
        <v>45149.179818625831</v>
      </c>
      <c r="L1342" s="49">
        <f t="shared" ca="1" si="340"/>
        <v>6.4543955477001793</v>
      </c>
      <c r="M1342" s="49"/>
      <c r="N1342" s="49">
        <f t="shared" ca="1" si="341"/>
        <v>45142.725423078133</v>
      </c>
      <c r="O1342" s="49">
        <f t="shared" ca="1" si="342"/>
        <v>22895.128718316348</v>
      </c>
      <c r="P1342" s="49">
        <f t="shared" ca="1" si="342"/>
        <v>22247.596704761785</v>
      </c>
      <c r="Q1342" s="49">
        <f t="shared" ca="1" si="342"/>
        <v>0</v>
      </c>
      <c r="T1342" s="274">
        <v>2160322</v>
      </c>
      <c r="U1342" s="81">
        <v>549</v>
      </c>
      <c r="W1342" s="81">
        <f>SUMIF('O&amp;M'!$B$3:$B$89,TOTALCO!U1342,'O&amp;M'!$G$3:$G$89)+SUMIF('O&amp;M'!$B$3:$B$89,TOTALCO!V1342,'O&amp;M'!$G$3:$G$89)</f>
        <v>2160322</v>
      </c>
      <c r="X1342" s="74">
        <f t="shared" ca="1" si="343"/>
        <v>0</v>
      </c>
      <c r="Y1342" s="39" t="s">
        <v>422</v>
      </c>
    </row>
    <row r="1343" spans="1:25" x14ac:dyDescent="0.2">
      <c r="A1343" s="49">
        <v>25</v>
      </c>
      <c r="B1343" s="59" t="s">
        <v>475</v>
      </c>
      <c r="C1343" s="40" t="s">
        <v>963</v>
      </c>
      <c r="D1343" s="55">
        <f t="shared" ca="1" si="336"/>
        <v>0</v>
      </c>
      <c r="F1343" s="49">
        <f t="shared" ca="1" si="337"/>
        <v>0</v>
      </c>
      <c r="H1343" s="49">
        <f t="shared" ca="1" si="338"/>
        <v>0</v>
      </c>
      <c r="I1343" s="49">
        <f t="shared" ca="1" si="339"/>
        <v>0</v>
      </c>
      <c r="L1343" s="49">
        <f t="shared" ca="1" si="340"/>
        <v>0</v>
      </c>
      <c r="M1343" s="49"/>
      <c r="N1343" s="49">
        <f t="shared" ca="1" si="341"/>
        <v>0</v>
      </c>
      <c r="O1343" s="49">
        <f t="shared" ca="1" si="342"/>
        <v>0</v>
      </c>
      <c r="P1343" s="49">
        <f t="shared" ca="1" si="342"/>
        <v>0</v>
      </c>
      <c r="Q1343" s="49">
        <f t="shared" ca="1" si="342"/>
        <v>0</v>
      </c>
      <c r="T1343" s="274">
        <v>0</v>
      </c>
      <c r="U1343" s="81">
        <v>550</v>
      </c>
      <c r="W1343" s="81">
        <f>SUMIF('O&amp;M'!$B$3:$B$89,TOTALCO!U1343,'O&amp;M'!$G$3:$G$89)+SUMIF('O&amp;M'!$B$3:$B$89,TOTALCO!V1343,'O&amp;M'!$G$3:$G$89)</f>
        <v>0</v>
      </c>
      <c r="X1343" s="74">
        <f t="shared" ca="1" si="343"/>
        <v>0</v>
      </c>
      <c r="Y1343" s="39" t="s">
        <v>422</v>
      </c>
    </row>
    <row r="1344" spans="1:25" x14ac:dyDescent="0.2">
      <c r="A1344" s="49">
        <v>26</v>
      </c>
      <c r="B1344" s="59" t="s">
        <v>476</v>
      </c>
      <c r="C1344" s="40" t="s">
        <v>963</v>
      </c>
      <c r="D1344" s="55">
        <f t="shared" ca="1" si="336"/>
        <v>300805.00000000006</v>
      </c>
      <c r="F1344" s="49">
        <f t="shared" ca="1" si="337"/>
        <v>281447.20093812724</v>
      </c>
      <c r="H1344" s="49">
        <f t="shared" ca="1" si="338"/>
        <v>13071.190382545512</v>
      </c>
      <c r="I1344" s="49">
        <f t="shared" ca="1" si="339"/>
        <v>6286.6086793273143</v>
      </c>
      <c r="L1344" s="49">
        <f t="shared" ca="1" si="340"/>
        <v>0.89871530851694914</v>
      </c>
      <c r="M1344" s="49"/>
      <c r="N1344" s="49">
        <f t="shared" ca="1" si="341"/>
        <v>6285.7099640187971</v>
      </c>
      <c r="O1344" s="49">
        <f t="shared" ca="1" si="342"/>
        <v>3187.9364252704681</v>
      </c>
      <c r="P1344" s="49">
        <f t="shared" ca="1" si="342"/>
        <v>3097.7735387483294</v>
      </c>
      <c r="Q1344" s="49">
        <f t="shared" ca="1" si="342"/>
        <v>0</v>
      </c>
      <c r="T1344" s="274">
        <v>300805</v>
      </c>
      <c r="U1344" s="81">
        <v>551</v>
      </c>
      <c r="W1344" s="81">
        <f>SUMIF('O&amp;M'!$B$3:$B$89,TOTALCO!U1344,'O&amp;M'!$G$3:$G$89)+SUMIF('O&amp;M'!$B$3:$B$89,TOTALCO!V1344,'O&amp;M'!$G$3:$G$89)</f>
        <v>300805</v>
      </c>
      <c r="X1344" s="74">
        <f t="shared" ca="1" si="343"/>
        <v>0</v>
      </c>
      <c r="Y1344" s="39" t="s">
        <v>422</v>
      </c>
    </row>
    <row r="1345" spans="1:25" x14ac:dyDescent="0.2">
      <c r="A1345" s="49">
        <v>27</v>
      </c>
      <c r="B1345" s="59" t="s">
        <v>477</v>
      </c>
      <c r="C1345" s="40" t="s">
        <v>963</v>
      </c>
      <c r="D1345" s="55">
        <f t="shared" ca="1" si="336"/>
        <v>249049.00000000003</v>
      </c>
      <c r="F1345" s="49">
        <f t="shared" ca="1" si="337"/>
        <v>233021.87113392277</v>
      </c>
      <c r="H1345" s="49">
        <f t="shared" ca="1" si="338"/>
        <v>10822.183453009682</v>
      </c>
      <c r="I1345" s="49">
        <f t="shared" ca="1" si="339"/>
        <v>5204.9454130675631</v>
      </c>
      <c r="L1345" s="49">
        <f t="shared" ca="1" si="340"/>
        <v>0.74408387118178776</v>
      </c>
      <c r="M1345" s="49"/>
      <c r="N1345" s="49">
        <f t="shared" ca="1" si="341"/>
        <v>5204.2013291963813</v>
      </c>
      <c r="O1345" s="49">
        <f t="shared" ca="1" si="342"/>
        <v>2639.4254709103402</v>
      </c>
      <c r="P1345" s="49">
        <f t="shared" ca="1" si="342"/>
        <v>2564.7758582860415</v>
      </c>
      <c r="Q1345" s="49">
        <f t="shared" ca="1" si="342"/>
        <v>0</v>
      </c>
      <c r="T1345" s="274">
        <v>249049</v>
      </c>
      <c r="U1345" s="81">
        <v>552</v>
      </c>
      <c r="W1345" s="81">
        <f>SUMIF('O&amp;M'!$B$3:$B$89,TOTALCO!U1345,'O&amp;M'!$G$3:$G$89)+SUMIF('O&amp;M'!$B$3:$B$89,TOTALCO!V1345,'O&amp;M'!$G$3:$G$89)</f>
        <v>249049</v>
      </c>
      <c r="X1345" s="74">
        <f t="shared" ca="1" si="343"/>
        <v>0</v>
      </c>
      <c r="Y1345" s="39" t="s">
        <v>422</v>
      </c>
    </row>
    <row r="1346" spans="1:25" x14ac:dyDescent="0.2">
      <c r="A1346" s="49">
        <v>28</v>
      </c>
      <c r="B1346" s="59" t="s">
        <v>478</v>
      </c>
      <c r="C1346" s="40" t="s">
        <v>963</v>
      </c>
      <c r="D1346" s="55">
        <f t="shared" ca="1" si="336"/>
        <v>1712789.0000000002</v>
      </c>
      <c r="F1346" s="49">
        <f t="shared" ca="1" si="337"/>
        <v>1602565.3491385248</v>
      </c>
      <c r="H1346" s="49">
        <f t="shared" ca="1" si="338"/>
        <v>74427.589648209789</v>
      </c>
      <c r="I1346" s="49">
        <f t="shared" ca="1" si="339"/>
        <v>35796.061213265581</v>
      </c>
      <c r="L1346" s="49">
        <f t="shared" ca="1" si="340"/>
        <v>5.1173008911402293</v>
      </c>
      <c r="M1346" s="49"/>
      <c r="N1346" s="49">
        <f t="shared" ca="1" si="341"/>
        <v>35790.943912374438</v>
      </c>
      <c r="O1346" s="49">
        <f t="shared" ca="1" si="342"/>
        <v>18152.166492919267</v>
      </c>
      <c r="P1346" s="49">
        <f t="shared" ca="1" si="342"/>
        <v>17638.777419455171</v>
      </c>
      <c r="Q1346" s="49">
        <f t="shared" ca="1" si="342"/>
        <v>0</v>
      </c>
      <c r="T1346" s="274">
        <v>1712789</v>
      </c>
      <c r="U1346" s="81">
        <v>553</v>
      </c>
      <c r="W1346" s="81">
        <f>SUMIF('O&amp;M'!$B$3:$B$89,TOTALCO!U1346,'O&amp;M'!$G$3:$G$89)+SUMIF('O&amp;M'!$B$3:$B$89,TOTALCO!V1346,'O&amp;M'!$G$3:$G$89)</f>
        <v>1712789</v>
      </c>
      <c r="X1346" s="74">
        <f t="shared" ca="1" si="343"/>
        <v>0</v>
      </c>
      <c r="Y1346" s="39" t="s">
        <v>422</v>
      </c>
    </row>
    <row r="1347" spans="1:25" x14ac:dyDescent="0.2">
      <c r="A1347" s="49">
        <v>29</v>
      </c>
      <c r="B1347" s="59" t="s">
        <v>479</v>
      </c>
      <c r="C1347" s="40" t="s">
        <v>963</v>
      </c>
      <c r="D1347" s="55">
        <f t="shared" ca="1" si="336"/>
        <v>1532183.0000000002</v>
      </c>
      <c r="F1347" s="49">
        <f t="shared" ca="1" si="337"/>
        <v>1433581.9440334521</v>
      </c>
      <c r="H1347" s="49">
        <f t="shared" ca="1" si="338"/>
        <v>66579.530572629214</v>
      </c>
      <c r="I1347" s="49">
        <f t="shared" ca="1" si="339"/>
        <v>32021.525393918862</v>
      </c>
      <c r="L1347" s="49">
        <f t="shared" ca="1" si="340"/>
        <v>4.5777042188441834</v>
      </c>
      <c r="M1347" s="49"/>
      <c r="N1347" s="49">
        <f t="shared" ca="1" si="341"/>
        <v>32016.947689700017</v>
      </c>
      <c r="O1347" s="49">
        <f t="shared" ca="1" si="342"/>
        <v>16238.101081698051</v>
      </c>
      <c r="P1347" s="49">
        <f t="shared" ca="1" si="342"/>
        <v>15778.846608001966</v>
      </c>
      <c r="Q1347" s="49">
        <f t="shared" ca="1" si="342"/>
        <v>0</v>
      </c>
      <c r="T1347" s="274">
        <v>1532183</v>
      </c>
      <c r="U1347" s="81">
        <v>554</v>
      </c>
      <c r="W1347" s="81">
        <f>SUMIF('O&amp;M'!$B$3:$B$89,TOTALCO!U1347,'O&amp;M'!$G$3:$G$89)+SUMIF('O&amp;M'!$B$3:$B$89,TOTALCO!V1347,'O&amp;M'!$G$3:$G$89)</f>
        <v>1532183</v>
      </c>
      <c r="X1347" s="74">
        <f t="shared" ca="1" si="343"/>
        <v>0</v>
      </c>
      <c r="Y1347" s="39" t="s">
        <v>422</v>
      </c>
    </row>
    <row r="1348" spans="1:25" x14ac:dyDescent="0.2">
      <c r="A1348" s="49">
        <v>30</v>
      </c>
      <c r="B1348" s="59" t="s">
        <v>480</v>
      </c>
      <c r="C1348" s="40" t="s">
        <v>963</v>
      </c>
      <c r="D1348" s="55">
        <f t="shared" ca="1" si="336"/>
        <v>0</v>
      </c>
      <c r="F1348" s="49">
        <f t="shared" ca="1" si="337"/>
        <v>0</v>
      </c>
      <c r="H1348" s="49">
        <f t="shared" ca="1" si="338"/>
        <v>0</v>
      </c>
      <c r="I1348" s="49">
        <f t="shared" ca="1" si="339"/>
        <v>0</v>
      </c>
      <c r="L1348" s="49">
        <f t="shared" ca="1" si="340"/>
        <v>0</v>
      </c>
      <c r="M1348" s="49"/>
      <c r="N1348" s="49">
        <f t="shared" ca="1" si="341"/>
        <v>0</v>
      </c>
      <c r="O1348" s="49">
        <f t="shared" ca="1" si="342"/>
        <v>0</v>
      </c>
      <c r="P1348" s="49">
        <f t="shared" ca="1" si="342"/>
        <v>0</v>
      </c>
      <c r="Q1348" s="49">
        <f t="shared" ca="1" si="342"/>
        <v>0</v>
      </c>
      <c r="T1348" s="274">
        <v>0</v>
      </c>
      <c r="U1348" s="81">
        <v>555</v>
      </c>
      <c r="W1348" s="81">
        <f>SUMIF('O&amp;M'!$B$3:$B$89,TOTALCO!U1348,'O&amp;M'!$G$3:$G$89)+SUMIF('O&amp;M'!$B$3:$B$89,TOTALCO!V1348,'O&amp;M'!$G$3:$G$89)</f>
        <v>0</v>
      </c>
      <c r="X1348" s="74">
        <f t="shared" ca="1" si="343"/>
        <v>0</v>
      </c>
      <c r="Y1348" s="39" t="s">
        <v>422</v>
      </c>
    </row>
    <row r="1349" spans="1:25" x14ac:dyDescent="0.2">
      <c r="A1349" s="49">
        <v>31</v>
      </c>
      <c r="B1349" s="59" t="s">
        <v>481</v>
      </c>
      <c r="C1349" s="40" t="s">
        <v>963</v>
      </c>
      <c r="D1349" s="55">
        <f t="shared" ca="1" si="336"/>
        <v>1807958.0000000005</v>
      </c>
      <c r="F1349" s="49">
        <f t="shared" ca="1" si="337"/>
        <v>1691609.9084579533</v>
      </c>
      <c r="H1349" s="49">
        <f t="shared" ca="1" si="338"/>
        <v>78563.066510351287</v>
      </c>
      <c r="I1349" s="49">
        <f t="shared" ca="1" si="339"/>
        <v>37785.02503169579</v>
      </c>
      <c r="L1349" s="49">
        <f t="shared" ca="1" si="340"/>
        <v>5.4016373788856109</v>
      </c>
      <c r="M1349" s="49"/>
      <c r="N1349" s="49">
        <f t="shared" ca="1" si="341"/>
        <v>37779.623394316906</v>
      </c>
      <c r="O1349" s="49">
        <f t="shared" ca="1" si="342"/>
        <v>19160.769147983396</v>
      </c>
      <c r="P1349" s="49">
        <f t="shared" ca="1" si="342"/>
        <v>18618.854246333511</v>
      </c>
      <c r="Q1349" s="49">
        <f t="shared" ca="1" si="342"/>
        <v>0</v>
      </c>
      <c r="T1349" s="274">
        <v>1807958</v>
      </c>
      <c r="U1349" s="81">
        <v>556</v>
      </c>
      <c r="W1349" s="81">
        <f>SUMIF('O&amp;M'!$B$3:$B$89,TOTALCO!U1349,'O&amp;M'!$G$3:$G$89)+SUMIF('O&amp;M'!$B$3:$B$89,TOTALCO!V1349,'O&amp;M'!$G$3:$G$89)</f>
        <v>1807958</v>
      </c>
      <c r="X1349" s="74">
        <f t="shared" ca="1" si="343"/>
        <v>0</v>
      </c>
      <c r="Y1349" s="39" t="s">
        <v>422</v>
      </c>
    </row>
    <row r="1350" spans="1:25" x14ac:dyDescent="0.2">
      <c r="A1350" s="49">
        <v>32</v>
      </c>
      <c r="B1350" s="59" t="s">
        <v>482</v>
      </c>
      <c r="C1350" s="40" t="s">
        <v>963</v>
      </c>
      <c r="D1350" s="55">
        <f t="shared" ca="1" si="336"/>
        <v>0</v>
      </c>
      <c r="F1350" s="49">
        <f t="shared" ca="1" si="337"/>
        <v>0</v>
      </c>
      <c r="H1350" s="49">
        <f t="shared" ca="1" si="338"/>
        <v>0</v>
      </c>
      <c r="I1350" s="49">
        <f t="shared" ca="1" si="339"/>
        <v>0</v>
      </c>
      <c r="L1350" s="49">
        <f t="shared" ca="1" si="340"/>
        <v>0</v>
      </c>
      <c r="M1350" s="49"/>
      <c r="N1350" s="49">
        <f t="shared" ca="1" si="341"/>
        <v>0</v>
      </c>
      <c r="O1350" s="49">
        <f t="shared" ca="1" si="342"/>
        <v>0</v>
      </c>
      <c r="P1350" s="49">
        <f t="shared" ca="1" si="342"/>
        <v>0</v>
      </c>
      <c r="Q1350" s="49">
        <f t="shared" ca="1" si="342"/>
        <v>0</v>
      </c>
      <c r="T1350" s="274">
        <v>0</v>
      </c>
      <c r="U1350" s="81">
        <v>557</v>
      </c>
      <c r="W1350" s="81">
        <f>SUMIF('O&amp;M'!$B$3:$B$89,TOTALCO!U1350,'O&amp;M'!$G$3:$G$89)+SUMIF('O&amp;M'!$B$3:$B$89,TOTALCO!V1350,'O&amp;M'!$G$3:$G$89)</f>
        <v>0</v>
      </c>
      <c r="X1350" s="74">
        <f t="shared" ca="1" si="343"/>
        <v>0</v>
      </c>
      <c r="Y1350" s="39" t="s">
        <v>422</v>
      </c>
    </row>
    <row r="1351" spans="1:25" x14ac:dyDescent="0.2">
      <c r="A1351" s="49"/>
      <c r="B1351" s="37"/>
      <c r="C1351" s="40"/>
      <c r="D1351" s="55"/>
      <c r="F1351" s="49"/>
      <c r="H1351" s="49"/>
      <c r="I1351" s="49"/>
      <c r="L1351" s="49"/>
      <c r="M1351" s="49"/>
      <c r="N1351" s="49"/>
      <c r="O1351" s="49"/>
      <c r="P1351" s="49"/>
      <c r="Q1351" s="49"/>
      <c r="T1351" s="47"/>
      <c r="U1351" s="81"/>
      <c r="W1351" s="39"/>
      <c r="X1351" s="74"/>
      <c r="Y1351" s="39"/>
    </row>
    <row r="1352" spans="1:25" x14ac:dyDescent="0.2">
      <c r="A1352" s="49">
        <v>33</v>
      </c>
      <c r="B1352" s="59" t="s">
        <v>483</v>
      </c>
      <c r="C1352" s="40"/>
      <c r="D1352" s="55">
        <f ca="1">SUM(F1352:I1352)+K1352</f>
        <v>37521269.000000007</v>
      </c>
      <c r="F1352" s="49">
        <f ca="1">SUM(F1325:F1350)</f>
        <v>35106650.938968845</v>
      </c>
      <c r="H1352" s="49">
        <f ca="1">SUM(H1325:H1350)</f>
        <v>1630450.4595791399</v>
      </c>
      <c r="I1352" s="49">
        <f t="shared" ref="I1352:Q1352" ca="1" si="344">SUM(I1325:I1350)</f>
        <v>784167.60145202</v>
      </c>
      <c r="J1352" s="49"/>
      <c r="K1352" s="49"/>
      <c r="L1352" s="49">
        <f t="shared" ca="1" si="344"/>
        <v>112.10232158801362</v>
      </c>
      <c r="M1352" s="49"/>
      <c r="N1352" s="49">
        <f t="shared" ca="1" si="341"/>
        <v>784055.49913043226</v>
      </c>
      <c r="O1352" s="49">
        <f t="shared" ca="1" si="344"/>
        <v>397651.03694244323</v>
      </c>
      <c r="P1352" s="49">
        <f t="shared" ca="1" si="344"/>
        <v>386404.46218798897</v>
      </c>
      <c r="Q1352" s="49">
        <f t="shared" ca="1" si="344"/>
        <v>0</v>
      </c>
      <c r="T1352" s="47"/>
      <c r="U1352" s="81"/>
      <c r="W1352" s="39"/>
      <c r="X1352" s="74"/>
      <c r="Y1352" s="39"/>
    </row>
    <row r="1353" spans="1:25" x14ac:dyDescent="0.2">
      <c r="A1353" s="49"/>
      <c r="B1353" s="59"/>
      <c r="C1353" s="40"/>
      <c r="D1353" s="55"/>
      <c r="F1353" s="49"/>
      <c r="H1353" s="49"/>
      <c r="I1353" s="49"/>
      <c r="L1353" s="49"/>
      <c r="M1353" s="49"/>
      <c r="N1353" s="49"/>
      <c r="O1353" s="49"/>
      <c r="P1353" s="49"/>
      <c r="Q1353" s="49"/>
      <c r="T1353" s="47"/>
      <c r="U1353" s="81"/>
      <c r="W1353" s="39"/>
      <c r="X1353" s="74"/>
      <c r="Y1353" s="39"/>
    </row>
    <row r="1354" spans="1:25" x14ac:dyDescent="0.2">
      <c r="A1354" s="49">
        <v>34</v>
      </c>
      <c r="B1354" s="37" t="s">
        <v>408</v>
      </c>
      <c r="C1354" s="40"/>
      <c r="D1354" s="55">
        <f ca="1">SUM(F1354:I1354)+K1354</f>
        <v>62748605.000000007</v>
      </c>
      <c r="F1354" s="49">
        <f ca="1">F1352+F1322</f>
        <v>58845805.186552048</v>
      </c>
      <c r="H1354" s="49">
        <f ca="1">H1352+H1322</f>
        <v>2598899.6798917754</v>
      </c>
      <c r="I1354" s="49">
        <f t="shared" ref="I1354:Q1354" ca="1" si="345">I1352+I1322</f>
        <v>1303900.1335561888</v>
      </c>
      <c r="J1354" s="49"/>
      <c r="K1354" s="49"/>
      <c r="L1354" s="49">
        <f t="shared" ca="1" si="345"/>
        <v>218.34580300280453</v>
      </c>
      <c r="M1354" s="49"/>
      <c r="N1354" s="49">
        <f t="shared" ca="1" si="341"/>
        <v>1303681.7877531862</v>
      </c>
      <c r="O1354" s="49">
        <f t="shared" ca="1" si="345"/>
        <v>660793.76874278532</v>
      </c>
      <c r="P1354" s="49">
        <f t="shared" ca="1" si="345"/>
        <v>642888.01901040087</v>
      </c>
      <c r="Q1354" s="49">
        <f t="shared" ca="1" si="345"/>
        <v>0</v>
      </c>
      <c r="T1354" s="47"/>
      <c r="U1354" s="81"/>
      <c r="W1354" s="39"/>
      <c r="X1354" s="74"/>
      <c r="Y1354" s="39"/>
    </row>
    <row r="1355" spans="1:25" x14ac:dyDescent="0.2">
      <c r="A1355" s="49"/>
      <c r="B1355" s="37"/>
      <c r="C1355" s="40"/>
      <c r="D1355" s="55"/>
      <c r="F1355" s="49"/>
      <c r="H1355" s="49"/>
      <c r="I1355" s="49"/>
      <c r="L1355" s="49"/>
      <c r="M1355" s="49"/>
      <c r="N1355" s="49"/>
      <c r="O1355" s="49"/>
      <c r="P1355" s="49"/>
      <c r="Q1355" s="49"/>
      <c r="T1355" s="47"/>
      <c r="U1355" s="81"/>
      <c r="W1355" s="39"/>
      <c r="X1355" s="74"/>
      <c r="Y1355" s="39"/>
    </row>
    <row r="1356" spans="1:25" x14ac:dyDescent="0.2">
      <c r="A1356" s="49"/>
      <c r="B1356" s="37"/>
      <c r="C1356" s="40"/>
      <c r="D1356" s="55"/>
      <c r="F1356" s="49"/>
      <c r="H1356" s="49"/>
      <c r="I1356" s="49"/>
      <c r="L1356" s="49"/>
      <c r="M1356" s="49"/>
      <c r="N1356" s="49"/>
      <c r="O1356" s="49"/>
      <c r="P1356" s="49"/>
      <c r="Q1356" s="49"/>
      <c r="T1356" s="47"/>
      <c r="U1356" s="81"/>
      <c r="W1356" s="39"/>
      <c r="X1356" s="74"/>
      <c r="Y1356" s="39"/>
    </row>
    <row r="1357" spans="1:25" x14ac:dyDescent="0.2">
      <c r="A1357" s="49"/>
      <c r="B1357" s="37"/>
      <c r="C1357" s="40"/>
      <c r="D1357" s="55"/>
      <c r="F1357" s="49"/>
      <c r="H1357" s="49"/>
      <c r="I1357" s="49"/>
      <c r="L1357" s="49"/>
      <c r="M1357" s="49"/>
      <c r="N1357" s="49"/>
      <c r="O1357" s="49"/>
      <c r="P1357" s="49"/>
      <c r="Q1357" s="49"/>
      <c r="T1357" s="47"/>
      <c r="U1357" s="81"/>
      <c r="W1357" s="39"/>
      <c r="X1357" s="74"/>
      <c r="Y1357" s="39"/>
    </row>
    <row r="1358" spans="1:25" x14ac:dyDescent="0.2">
      <c r="A1358" s="49"/>
      <c r="B1358" s="37"/>
      <c r="C1358" s="40"/>
      <c r="D1358" s="55"/>
      <c r="F1358" s="49"/>
      <c r="H1358" s="49"/>
      <c r="I1358" s="49"/>
      <c r="L1358" s="49"/>
      <c r="M1358" s="49"/>
      <c r="N1358" s="49"/>
      <c r="O1358" s="49"/>
      <c r="P1358" s="49"/>
      <c r="Q1358" s="49"/>
      <c r="T1358" s="47"/>
      <c r="U1358" s="81"/>
      <c r="W1358" s="39"/>
      <c r="X1358" s="74"/>
      <c r="Y1358" s="39"/>
    </row>
    <row r="1359" spans="1:25" x14ac:dyDescent="0.2">
      <c r="A1359" s="49"/>
      <c r="B1359" s="37" t="s">
        <v>485</v>
      </c>
      <c r="C1359" s="40"/>
      <c r="D1359" s="55"/>
      <c r="F1359" s="49"/>
      <c r="H1359" s="49"/>
      <c r="I1359" s="49"/>
      <c r="L1359" s="49"/>
      <c r="M1359" s="49"/>
      <c r="N1359" s="49"/>
      <c r="O1359" s="49"/>
      <c r="P1359" s="49"/>
      <c r="Q1359" s="49"/>
      <c r="T1359" s="47"/>
      <c r="U1359" s="81"/>
      <c r="W1359" s="39"/>
      <c r="X1359" s="74"/>
      <c r="Y1359" s="39"/>
    </row>
    <row r="1360" spans="1:25" x14ac:dyDescent="0.2">
      <c r="A1360" s="49">
        <v>1</v>
      </c>
      <c r="B1360" s="37" t="s">
        <v>484</v>
      </c>
      <c r="C1360" s="40" t="s">
        <v>1369</v>
      </c>
      <c r="D1360" s="55">
        <f t="shared" ref="D1360:D1371" ca="1" si="346">SUM(F1360:I1360)+K1360</f>
        <v>1672042</v>
      </c>
      <c r="F1360" s="49">
        <f t="shared" ref="F1360:F1371" ca="1" si="347">INDEX(INDIRECT($C1360),1,F$12+1)*$T1360</f>
        <v>1514314.4137726326</v>
      </c>
      <c r="H1360" s="49">
        <f t="shared" ref="H1360:H1371" ca="1" si="348">INDEX(INDIRECT($C1360),1,H$12+1)*$T1360</f>
        <v>157722.73767624859</v>
      </c>
      <c r="I1360" s="49">
        <f t="shared" ref="I1360:I1367" ca="1" si="349">(L1360+M1360+N1360)</f>
        <v>4.8485511188055606</v>
      </c>
      <c r="L1360" s="49">
        <f t="shared" ref="L1360:L1371" ca="1" si="350">INDEX(INDIRECT($C1360),1,L$12+1)*$T1360</f>
        <v>4.8485511188055606</v>
      </c>
      <c r="M1360" s="49"/>
      <c r="N1360" s="49">
        <f t="shared" ref="N1360:N1367" ca="1" si="351">SUM(O1360:Q1360)</f>
        <v>0</v>
      </c>
      <c r="O1360" s="49">
        <f t="shared" ref="O1360:Q1371" ca="1" si="352">INDEX(INDIRECT($C1360),1,O$12+1)*$T1360</f>
        <v>0</v>
      </c>
      <c r="P1360" s="49">
        <f t="shared" ca="1" si="352"/>
        <v>0</v>
      </c>
      <c r="Q1360" s="49">
        <f t="shared" ca="1" si="352"/>
        <v>0</v>
      </c>
      <c r="T1360" s="274">
        <v>1672042</v>
      </c>
      <c r="U1360" s="81">
        <v>560</v>
      </c>
      <c r="W1360" s="81">
        <f>SUMIF('O&amp;M'!$B$3:$B$89,TOTALCO!U1360,'O&amp;M'!$G$3:$G$89)+SUMIF('O&amp;M'!$B$3:$B$89,TOTALCO!V1360,'O&amp;M'!$G$3:$G$89)</f>
        <v>1672042</v>
      </c>
      <c r="X1360" s="74">
        <f t="shared" ref="X1360:X1371" ca="1" si="353">D1360-T1360</f>
        <v>0</v>
      </c>
      <c r="Y1360" s="39" t="s">
        <v>422</v>
      </c>
    </row>
    <row r="1361" spans="1:25" x14ac:dyDescent="0.2">
      <c r="A1361" s="49">
        <v>2</v>
      </c>
      <c r="B1361" s="37" t="s">
        <v>486</v>
      </c>
      <c r="C1361" s="40" t="s">
        <v>1369</v>
      </c>
      <c r="D1361" s="55">
        <f t="shared" ca="1" si="346"/>
        <v>3437436</v>
      </c>
      <c r="F1361" s="49">
        <f t="shared" ca="1" si="347"/>
        <v>3113174.7176332553</v>
      </c>
      <c r="H1361" s="49">
        <f t="shared" ca="1" si="348"/>
        <v>324251.3145644028</v>
      </c>
      <c r="I1361" s="49">
        <f t="shared" ca="1" si="349"/>
        <v>9.9678023420598958</v>
      </c>
      <c r="L1361" s="49">
        <f t="shared" ca="1" si="350"/>
        <v>9.9678023420598958</v>
      </c>
      <c r="M1361" s="49"/>
      <c r="N1361" s="49">
        <f t="shared" ca="1" si="351"/>
        <v>0</v>
      </c>
      <c r="O1361" s="49">
        <f t="shared" ca="1" si="352"/>
        <v>0</v>
      </c>
      <c r="P1361" s="49">
        <f t="shared" ca="1" si="352"/>
        <v>0</v>
      </c>
      <c r="Q1361" s="49">
        <f t="shared" ca="1" si="352"/>
        <v>0</v>
      </c>
      <c r="T1361" s="274">
        <v>3437436</v>
      </c>
      <c r="U1361" s="81">
        <v>561</v>
      </c>
      <c r="W1361" s="81">
        <f>SUMIF('O&amp;M'!$B$3:$B$89,TOTALCO!U1361,'O&amp;M'!$G$3:$G$89)+SUMIF('O&amp;M'!$B$3:$B$89,TOTALCO!V1361,'O&amp;M'!$G$3:$G$89)</f>
        <v>3437436</v>
      </c>
      <c r="X1361" s="74">
        <f t="shared" ca="1" si="353"/>
        <v>0</v>
      </c>
      <c r="Y1361" s="39" t="s">
        <v>422</v>
      </c>
    </row>
    <row r="1362" spans="1:25" x14ac:dyDescent="0.2">
      <c r="A1362" s="49">
        <v>3</v>
      </c>
      <c r="B1362" s="37" t="s">
        <v>487</v>
      </c>
      <c r="C1362" s="40" t="s">
        <v>1369</v>
      </c>
      <c r="D1362" s="55">
        <f t="shared" ca="1" si="346"/>
        <v>527592</v>
      </c>
      <c r="F1362" s="49">
        <f t="shared" ca="1" si="347"/>
        <v>477823.02728707221</v>
      </c>
      <c r="H1362" s="49">
        <f t="shared" ca="1" si="348"/>
        <v>49767.44281309162</v>
      </c>
      <c r="I1362" s="49">
        <f t="shared" ca="1" si="349"/>
        <v>1.5298998361720959</v>
      </c>
      <c r="L1362" s="49">
        <f t="shared" ca="1" si="350"/>
        <v>1.5298998361720959</v>
      </c>
      <c r="M1362" s="49"/>
      <c r="N1362" s="49">
        <f t="shared" ca="1" si="351"/>
        <v>0</v>
      </c>
      <c r="O1362" s="49">
        <f t="shared" ca="1" si="352"/>
        <v>0</v>
      </c>
      <c r="P1362" s="49">
        <f t="shared" ca="1" si="352"/>
        <v>0</v>
      </c>
      <c r="Q1362" s="49">
        <f t="shared" ca="1" si="352"/>
        <v>0</v>
      </c>
      <c r="T1362" s="274">
        <v>527592</v>
      </c>
      <c r="U1362" s="81">
        <v>562</v>
      </c>
      <c r="W1362" s="81">
        <f>SUMIF('O&amp;M'!$B$3:$B$89,TOTALCO!U1362,'O&amp;M'!$G$3:$G$89)+SUMIF('O&amp;M'!$B$3:$B$89,TOTALCO!V1362,'O&amp;M'!$G$3:$G$89)</f>
        <v>527592</v>
      </c>
      <c r="X1362" s="74">
        <f t="shared" ca="1" si="353"/>
        <v>0</v>
      </c>
      <c r="Y1362" s="39" t="s">
        <v>422</v>
      </c>
    </row>
    <row r="1363" spans="1:25" x14ac:dyDescent="0.2">
      <c r="A1363" s="49">
        <v>4</v>
      </c>
      <c r="B1363" s="37" t="s">
        <v>488</v>
      </c>
      <c r="C1363" s="40" t="s">
        <v>1369</v>
      </c>
      <c r="D1363" s="55">
        <f t="shared" ca="1" si="346"/>
        <v>45680</v>
      </c>
      <c r="F1363" s="49">
        <f t="shared" ca="1" si="347"/>
        <v>41370.90002591673</v>
      </c>
      <c r="H1363" s="49">
        <f t="shared" ca="1" si="348"/>
        <v>4308.9675122102408</v>
      </c>
      <c r="I1363" s="49">
        <f t="shared" ca="1" si="349"/>
        <v>0.13246187303132217</v>
      </c>
      <c r="L1363" s="49">
        <f t="shared" ca="1" si="350"/>
        <v>0.13246187303132217</v>
      </c>
      <c r="M1363" s="49"/>
      <c r="N1363" s="49">
        <f t="shared" ca="1" si="351"/>
        <v>0</v>
      </c>
      <c r="O1363" s="49">
        <f t="shared" ca="1" si="352"/>
        <v>0</v>
      </c>
      <c r="P1363" s="49">
        <f t="shared" ca="1" si="352"/>
        <v>0</v>
      </c>
      <c r="Q1363" s="49">
        <f t="shared" ca="1" si="352"/>
        <v>0</v>
      </c>
      <c r="T1363" s="274">
        <v>45680</v>
      </c>
      <c r="U1363" s="81">
        <v>563</v>
      </c>
      <c r="W1363" s="81">
        <f>SUMIF('O&amp;M'!$B$3:$B$89,TOTALCO!U1363,'O&amp;M'!$G$3:$G$89)+SUMIF('O&amp;M'!$B$3:$B$89,TOTALCO!V1363,'O&amp;M'!$G$3:$G$89)</f>
        <v>45680</v>
      </c>
      <c r="X1363" s="74">
        <f t="shared" ca="1" si="353"/>
        <v>0</v>
      </c>
      <c r="Y1363" s="39" t="s">
        <v>422</v>
      </c>
    </row>
    <row r="1364" spans="1:25" x14ac:dyDescent="0.2">
      <c r="A1364" s="49">
        <v>5</v>
      </c>
      <c r="B1364" s="37" t="s">
        <v>489</v>
      </c>
      <c r="C1364" s="40" t="s">
        <v>1369</v>
      </c>
      <c r="D1364" s="55">
        <f t="shared" ca="1" si="346"/>
        <v>0</v>
      </c>
      <c r="F1364" s="49">
        <f t="shared" ca="1" si="347"/>
        <v>0</v>
      </c>
      <c r="H1364" s="49">
        <f t="shared" ca="1" si="348"/>
        <v>0</v>
      </c>
      <c r="I1364" s="49">
        <f t="shared" ca="1" si="349"/>
        <v>0</v>
      </c>
      <c r="L1364" s="49">
        <f t="shared" ca="1" si="350"/>
        <v>0</v>
      </c>
      <c r="M1364" s="49"/>
      <c r="N1364" s="49">
        <f t="shared" ca="1" si="351"/>
        <v>0</v>
      </c>
      <c r="O1364" s="49">
        <f t="shared" ca="1" si="352"/>
        <v>0</v>
      </c>
      <c r="P1364" s="49">
        <f t="shared" ca="1" si="352"/>
        <v>0</v>
      </c>
      <c r="Q1364" s="49">
        <f t="shared" ca="1" si="352"/>
        <v>0</v>
      </c>
      <c r="T1364" s="274">
        <v>0</v>
      </c>
      <c r="U1364" s="81">
        <v>565</v>
      </c>
      <c r="W1364" s="81">
        <f>SUMIF('O&amp;M'!$B$3:$B$89,TOTALCO!U1364,'O&amp;M'!$G$3:$G$89)+SUMIF('O&amp;M'!$B$3:$B$89,TOTALCO!V1364,'O&amp;M'!$G$3:$G$89)</f>
        <v>0</v>
      </c>
      <c r="X1364" s="74">
        <f t="shared" ca="1" si="353"/>
        <v>0</v>
      </c>
      <c r="Y1364" s="39" t="s">
        <v>422</v>
      </c>
    </row>
    <row r="1365" spans="1:25" x14ac:dyDescent="0.2">
      <c r="A1365" s="49">
        <v>6</v>
      </c>
      <c r="B1365" s="37" t="s">
        <v>490</v>
      </c>
      <c r="C1365" s="40" t="s">
        <v>1369</v>
      </c>
      <c r="D1365" s="55">
        <f t="shared" ca="1" si="346"/>
        <v>256224.00000000003</v>
      </c>
      <c r="F1365" s="49">
        <f t="shared" ca="1" si="347"/>
        <v>232053.79790368845</v>
      </c>
      <c r="H1365" s="49">
        <f t="shared" ca="1" si="348"/>
        <v>24169.459103514815</v>
      </c>
      <c r="I1365" s="49">
        <f t="shared" ca="1" si="349"/>
        <v>0.74299279675082086</v>
      </c>
      <c r="L1365" s="49">
        <f t="shared" ca="1" si="350"/>
        <v>0.74299279675082086</v>
      </c>
      <c r="M1365" s="49"/>
      <c r="N1365" s="49">
        <f t="shared" ca="1" si="351"/>
        <v>0</v>
      </c>
      <c r="O1365" s="49">
        <f t="shared" ca="1" si="352"/>
        <v>0</v>
      </c>
      <c r="P1365" s="49">
        <f t="shared" ca="1" si="352"/>
        <v>0</v>
      </c>
      <c r="Q1365" s="49">
        <f t="shared" ca="1" si="352"/>
        <v>0</v>
      </c>
      <c r="T1365" s="274">
        <v>256224</v>
      </c>
      <c r="U1365" s="81">
        <v>566</v>
      </c>
      <c r="W1365" s="81">
        <f>SUMIF('O&amp;M'!$B$3:$B$89,TOTALCO!U1365,'O&amp;M'!$G$3:$G$89)+SUMIF('O&amp;M'!$B$3:$B$89,TOTALCO!V1365,'O&amp;M'!$G$3:$G$89)</f>
        <v>256224</v>
      </c>
      <c r="X1365" s="74">
        <f t="shared" ca="1" si="353"/>
        <v>0</v>
      </c>
      <c r="Y1365" s="39" t="s">
        <v>422</v>
      </c>
    </row>
    <row r="1366" spans="1:25" x14ac:dyDescent="0.2">
      <c r="A1366" s="49">
        <v>7</v>
      </c>
      <c r="B1366" s="37" t="s">
        <v>491</v>
      </c>
      <c r="C1366" s="40" t="s">
        <v>1369</v>
      </c>
      <c r="D1366" s="55">
        <f t="shared" ca="1" si="346"/>
        <v>0</v>
      </c>
      <c r="F1366" s="49">
        <f t="shared" ca="1" si="347"/>
        <v>0</v>
      </c>
      <c r="H1366" s="49">
        <f t="shared" ca="1" si="348"/>
        <v>0</v>
      </c>
      <c r="I1366" s="49">
        <f t="shared" ca="1" si="349"/>
        <v>0</v>
      </c>
      <c r="L1366" s="49">
        <f t="shared" ca="1" si="350"/>
        <v>0</v>
      </c>
      <c r="M1366" s="49"/>
      <c r="N1366" s="49">
        <f t="shared" ca="1" si="351"/>
        <v>0</v>
      </c>
      <c r="O1366" s="49">
        <f t="shared" ca="1" si="352"/>
        <v>0</v>
      </c>
      <c r="P1366" s="49">
        <f t="shared" ca="1" si="352"/>
        <v>0</v>
      </c>
      <c r="Q1366" s="49">
        <f t="shared" ca="1" si="352"/>
        <v>0</v>
      </c>
      <c r="T1366" s="274">
        <v>0</v>
      </c>
      <c r="U1366" s="80">
        <v>567</v>
      </c>
      <c r="W1366" s="81">
        <f>SUMIF('O&amp;M'!$B$3:$B$89,TOTALCO!U1366,'O&amp;M'!$G$3:$G$89)+SUMIF('O&amp;M'!$B$3:$B$89,TOTALCO!V1366,'O&amp;M'!$G$3:$G$89)</f>
        <v>0</v>
      </c>
      <c r="X1366" s="74">
        <f t="shared" ca="1" si="353"/>
        <v>0</v>
      </c>
      <c r="Y1366" s="39" t="s">
        <v>422</v>
      </c>
    </row>
    <row r="1367" spans="1:25" x14ac:dyDescent="0.2">
      <c r="A1367" s="23">
        <v>8</v>
      </c>
      <c r="B1367" s="23" t="s">
        <v>492</v>
      </c>
      <c r="C1367" s="40" t="s">
        <v>1369</v>
      </c>
      <c r="D1367" s="55">
        <f t="shared" ca="1" si="346"/>
        <v>0</v>
      </c>
      <c r="F1367" s="49">
        <f t="shared" ca="1" si="347"/>
        <v>0</v>
      </c>
      <c r="H1367" s="49">
        <f t="shared" ca="1" si="348"/>
        <v>0</v>
      </c>
      <c r="I1367" s="49">
        <f t="shared" ca="1" si="349"/>
        <v>0</v>
      </c>
      <c r="L1367" s="49">
        <f t="shared" ca="1" si="350"/>
        <v>0</v>
      </c>
      <c r="M1367" s="49"/>
      <c r="N1367" s="49">
        <f t="shared" ca="1" si="351"/>
        <v>0</v>
      </c>
      <c r="O1367" s="49">
        <f t="shared" ca="1" si="352"/>
        <v>0</v>
      </c>
      <c r="P1367" s="49">
        <f t="shared" ca="1" si="352"/>
        <v>0</v>
      </c>
      <c r="Q1367" s="49">
        <f t="shared" ca="1" si="352"/>
        <v>0</v>
      </c>
      <c r="T1367" s="274">
        <v>0</v>
      </c>
      <c r="U1367" s="80">
        <v>569</v>
      </c>
      <c r="W1367" s="81">
        <f>SUMIF('O&amp;M'!$B$3:$B$89,TOTALCO!U1367,'O&amp;M'!$G$3:$G$89)+SUMIF('O&amp;M'!$B$3:$B$89,TOTALCO!V1367,'O&amp;M'!$G$3:$G$89)</f>
        <v>0</v>
      </c>
      <c r="X1367" s="74">
        <f t="shared" ca="1" si="353"/>
        <v>0</v>
      </c>
      <c r="Y1367" s="39" t="s">
        <v>422</v>
      </c>
    </row>
    <row r="1368" spans="1:25" x14ac:dyDescent="0.2">
      <c r="A1368" s="23">
        <v>9</v>
      </c>
      <c r="B1368" s="23" t="s">
        <v>494</v>
      </c>
      <c r="C1368" s="40" t="s">
        <v>1369</v>
      </c>
      <c r="D1368" s="55">
        <f t="shared" ca="1" si="346"/>
        <v>1149232</v>
      </c>
      <c r="F1368" s="49">
        <f t="shared" ca="1" si="347"/>
        <v>1040822.2893735626</v>
      </c>
      <c r="H1368" s="49">
        <f t="shared" ca="1" si="348"/>
        <v>108406.37810841504</v>
      </c>
      <c r="I1368" s="49">
        <f ca="1">(L1368+M1368+N1368)</f>
        <v>3.3325180224941433</v>
      </c>
      <c r="L1368" s="49">
        <f t="shared" ca="1" si="350"/>
        <v>3.3325180224941433</v>
      </c>
      <c r="M1368" s="49"/>
      <c r="N1368" s="49">
        <f ca="1">SUM(O1368:Q1368)</f>
        <v>0</v>
      </c>
      <c r="O1368" s="49">
        <f t="shared" ca="1" si="352"/>
        <v>0</v>
      </c>
      <c r="P1368" s="49">
        <f t="shared" ca="1" si="352"/>
        <v>0</v>
      </c>
      <c r="Q1368" s="49">
        <f t="shared" ca="1" si="352"/>
        <v>0</v>
      </c>
      <c r="T1368" s="274">
        <v>1149232</v>
      </c>
      <c r="U1368" s="81">
        <v>570</v>
      </c>
      <c r="W1368" s="81">
        <f>SUMIF('O&amp;M'!$B$3:$B$89,TOTALCO!U1368,'O&amp;M'!$G$3:$G$89)+SUMIF('O&amp;M'!$B$3:$B$89,TOTALCO!V1368,'O&amp;M'!$G$3:$G$89)</f>
        <v>1149232</v>
      </c>
      <c r="X1368" s="74">
        <f t="shared" ca="1" si="353"/>
        <v>0</v>
      </c>
      <c r="Y1368" s="39" t="s">
        <v>422</v>
      </c>
    </row>
    <row r="1369" spans="1:25" x14ac:dyDescent="0.2">
      <c r="A1369" s="23">
        <v>10</v>
      </c>
      <c r="B1369" s="23" t="s">
        <v>495</v>
      </c>
      <c r="C1369" s="40" t="s">
        <v>1369</v>
      </c>
      <c r="D1369" s="55">
        <f t="shared" ca="1" si="346"/>
        <v>321555</v>
      </c>
      <c r="F1369" s="49">
        <f t="shared" ca="1" si="347"/>
        <v>291221.97368287336</v>
      </c>
      <c r="H1369" s="49">
        <f t="shared" ca="1" si="348"/>
        <v>30332.093878913394</v>
      </c>
      <c r="I1369" s="49">
        <f ca="1">(L1369+M1369+N1369)</f>
        <v>0.93243821327904564</v>
      </c>
      <c r="L1369" s="49">
        <f t="shared" ca="1" si="350"/>
        <v>0.93243821327904564</v>
      </c>
      <c r="M1369" s="49"/>
      <c r="N1369" s="49">
        <f ca="1">SUM(O1369:Q1369)</f>
        <v>0</v>
      </c>
      <c r="O1369" s="49">
        <f t="shared" ca="1" si="352"/>
        <v>0</v>
      </c>
      <c r="P1369" s="49">
        <f t="shared" ca="1" si="352"/>
        <v>0</v>
      </c>
      <c r="Q1369" s="49">
        <f t="shared" ca="1" si="352"/>
        <v>0</v>
      </c>
      <c r="T1369" s="274">
        <v>321555</v>
      </c>
      <c r="U1369" s="81">
        <v>571</v>
      </c>
      <c r="W1369" s="81">
        <f>SUMIF('O&amp;M'!$B$3:$B$89,TOTALCO!U1369,'O&amp;M'!$G$3:$G$89)+SUMIF('O&amp;M'!$B$3:$B$89,TOTALCO!V1369,'O&amp;M'!$G$3:$G$89)</f>
        <v>321555</v>
      </c>
      <c r="X1369" s="74">
        <f t="shared" ca="1" si="353"/>
        <v>0</v>
      </c>
      <c r="Y1369" s="39" t="s">
        <v>422</v>
      </c>
    </row>
    <row r="1370" spans="1:25" x14ac:dyDescent="0.2">
      <c r="A1370" s="23">
        <v>11</v>
      </c>
      <c r="B1370" s="23" t="s">
        <v>496</v>
      </c>
      <c r="C1370" s="40" t="s">
        <v>1369</v>
      </c>
      <c r="D1370" s="55">
        <f t="shared" ca="1" si="346"/>
        <v>0</v>
      </c>
      <c r="F1370" s="49">
        <f t="shared" ca="1" si="347"/>
        <v>0</v>
      </c>
      <c r="H1370" s="49">
        <f t="shared" ca="1" si="348"/>
        <v>0</v>
      </c>
      <c r="I1370" s="49">
        <f ca="1">(L1370+M1370+N1370)</f>
        <v>0</v>
      </c>
      <c r="L1370" s="49">
        <f t="shared" ca="1" si="350"/>
        <v>0</v>
      </c>
      <c r="M1370" s="49"/>
      <c r="N1370" s="49">
        <f ca="1">SUM(O1370:Q1370)</f>
        <v>0</v>
      </c>
      <c r="O1370" s="49">
        <f t="shared" ca="1" si="352"/>
        <v>0</v>
      </c>
      <c r="P1370" s="49">
        <f t="shared" ca="1" si="352"/>
        <v>0</v>
      </c>
      <c r="Q1370" s="49">
        <f t="shared" ca="1" si="352"/>
        <v>0</v>
      </c>
      <c r="T1370" s="274">
        <v>0</v>
      </c>
      <c r="U1370" s="81">
        <v>572</v>
      </c>
      <c r="W1370" s="81">
        <f>SUMIF('O&amp;M'!$B$3:$B$89,TOTALCO!U1370,'O&amp;M'!$G$3:$G$89)+SUMIF('O&amp;M'!$B$3:$B$89,TOTALCO!V1370,'O&amp;M'!$G$3:$G$89)</f>
        <v>0</v>
      </c>
      <c r="X1370" s="74">
        <f t="shared" ca="1" si="353"/>
        <v>0</v>
      </c>
      <c r="Y1370" s="39" t="s">
        <v>422</v>
      </c>
    </row>
    <row r="1371" spans="1:25" x14ac:dyDescent="0.2">
      <c r="A1371" s="23">
        <v>12</v>
      </c>
      <c r="B1371" s="23" t="s">
        <v>497</v>
      </c>
      <c r="C1371" s="40" t="s">
        <v>1369</v>
      </c>
      <c r="D1371" s="55">
        <f t="shared" ca="1" si="346"/>
        <v>0</v>
      </c>
      <c r="F1371" s="49">
        <f t="shared" ca="1" si="347"/>
        <v>0</v>
      </c>
      <c r="H1371" s="49">
        <f t="shared" ca="1" si="348"/>
        <v>0</v>
      </c>
      <c r="I1371" s="49">
        <f ca="1">(L1371+M1371+N1371)</f>
        <v>0</v>
      </c>
      <c r="L1371" s="49">
        <f t="shared" ca="1" si="350"/>
        <v>0</v>
      </c>
      <c r="M1371" s="49"/>
      <c r="N1371" s="49">
        <f ca="1">SUM(O1371:Q1371)</f>
        <v>0</v>
      </c>
      <c r="O1371" s="49">
        <f t="shared" ca="1" si="352"/>
        <v>0</v>
      </c>
      <c r="P1371" s="49">
        <f t="shared" ca="1" si="352"/>
        <v>0</v>
      </c>
      <c r="Q1371" s="49">
        <f t="shared" ca="1" si="352"/>
        <v>0</v>
      </c>
      <c r="T1371" s="274">
        <v>0</v>
      </c>
      <c r="U1371" s="81">
        <v>573</v>
      </c>
      <c r="W1371" s="81">
        <f>SUMIF('O&amp;M'!$B$3:$B$89,TOTALCO!U1371,'O&amp;M'!$G$3:$G$89)+SUMIF('O&amp;M'!$B$3:$B$89,TOTALCO!V1371,'O&amp;M'!$G$3:$G$89)</f>
        <v>0</v>
      </c>
      <c r="X1371" s="74">
        <f t="shared" ca="1" si="353"/>
        <v>0</v>
      </c>
      <c r="Y1371" s="39" t="s">
        <v>422</v>
      </c>
    </row>
    <row r="1372" spans="1:25" x14ac:dyDescent="0.2">
      <c r="C1372" s="100"/>
      <c r="D1372" s="55"/>
      <c r="U1372" s="80"/>
      <c r="W1372" s="39"/>
    </row>
    <row r="1373" spans="1:25" x14ac:dyDescent="0.2">
      <c r="A1373" s="49">
        <v>13</v>
      </c>
      <c r="B1373" s="37" t="s">
        <v>409</v>
      </c>
      <c r="C1373" s="40" t="s">
        <v>1369</v>
      </c>
      <c r="D1373" s="55">
        <f ca="1">SUM(F1373:I1373)+K1373</f>
        <v>7409761.0000000009</v>
      </c>
      <c r="F1373" s="49">
        <f ca="1">SUM(F1360:F1371)</f>
        <v>6710781.1196790012</v>
      </c>
      <c r="H1373" s="49">
        <f ca="1">SUM(H1360:H1371)</f>
        <v>698958.39365679654</v>
      </c>
      <c r="I1373" s="49">
        <f ca="1">SUM(I1360:I1371)</f>
        <v>21.48666420259288</v>
      </c>
      <c r="J1373" s="49"/>
      <c r="K1373" s="49"/>
      <c r="L1373" s="49">
        <f t="shared" ref="L1373:Q1373" ca="1" si="354">SUM(L1360:L1371)</f>
        <v>21.48666420259288</v>
      </c>
      <c r="M1373" s="49"/>
      <c r="N1373" s="49">
        <f t="shared" ca="1" si="354"/>
        <v>0</v>
      </c>
      <c r="O1373" s="49">
        <f t="shared" ca="1" si="354"/>
        <v>0</v>
      </c>
      <c r="P1373" s="49">
        <f t="shared" ca="1" si="354"/>
        <v>0</v>
      </c>
      <c r="Q1373" s="49">
        <f t="shared" ca="1" si="354"/>
        <v>0</v>
      </c>
      <c r="T1373" s="47"/>
      <c r="U1373" s="81"/>
      <c r="W1373" s="39"/>
      <c r="X1373" s="74"/>
      <c r="Y1373" s="39"/>
    </row>
    <row r="1374" spans="1:25" x14ac:dyDescent="0.2">
      <c r="C1374" s="47"/>
      <c r="T1374" s="47"/>
      <c r="U1374" s="81"/>
      <c r="W1374" s="39"/>
      <c r="X1374" s="74"/>
      <c r="Y1374" s="39"/>
    </row>
    <row r="1375" spans="1:25" x14ac:dyDescent="0.2">
      <c r="B1375" s="23" t="s">
        <v>493</v>
      </c>
      <c r="C1375" s="47"/>
      <c r="T1375" s="47"/>
      <c r="U1375" s="81"/>
      <c r="W1375" s="39"/>
      <c r="X1375" s="74"/>
      <c r="Y1375" s="39"/>
    </row>
    <row r="1376" spans="1:25" x14ac:dyDescent="0.2">
      <c r="A1376" s="23">
        <v>1</v>
      </c>
      <c r="B1376" s="23" t="s">
        <v>498</v>
      </c>
      <c r="C1376" s="47" t="s">
        <v>954</v>
      </c>
      <c r="D1376" s="55">
        <f t="shared" ref="D1376:D1394" ca="1" si="355">SUM(F1376:I1376)+K1376</f>
        <v>1432223.0000000002</v>
      </c>
      <c r="F1376" s="49">
        <f t="shared" ref="F1376:F1394" ca="1" si="356">INDEX(INDIRECT($C1376),1,F$12+1)*$T1376</f>
        <v>1358901.2560498344</v>
      </c>
      <c r="H1376" s="49">
        <f t="shared" ref="H1376:H1394" ca="1" si="357">INDEX(INDIRECT($C1376),1,H$12+1)*$T1376</f>
        <v>70276.454229907074</v>
      </c>
      <c r="I1376" s="49">
        <f t="shared" ref="I1376:I1394" ca="1" si="358">(L1376+M1376+N1376)</f>
        <v>3045.2897202585636</v>
      </c>
      <c r="L1376" s="49">
        <f t="shared" ref="L1376:L1394" ca="1" si="359">INDEX(INDIRECT($C1376),1,L$12+1)*$T1376</f>
        <v>457.01019438654617</v>
      </c>
      <c r="M1376" s="49"/>
      <c r="N1376" s="49">
        <f t="shared" ref="N1376:N1394" ca="1" si="360">SUM(O1376:Q1376)</f>
        <v>2588.2795258720175</v>
      </c>
      <c r="O1376" s="49">
        <f t="shared" ref="O1376:Q1394" ca="1" si="361">INDEX(INDIRECT($C1376),1,O$12+1)*$T1376</f>
        <v>2569.3160223607333</v>
      </c>
      <c r="P1376" s="49">
        <f t="shared" ca="1" si="361"/>
        <v>18.963503511283999</v>
      </c>
      <c r="Q1376" s="49">
        <f t="shared" ca="1" si="361"/>
        <v>0</v>
      </c>
      <c r="T1376" s="274">
        <v>1432223</v>
      </c>
      <c r="U1376" s="81">
        <v>580</v>
      </c>
      <c r="W1376" s="81">
        <f>SUMIF('O&amp;M'!$B$3:$B$89,TOTALCO!U1376,'O&amp;M'!$G$3:$G$89)+SUMIF('O&amp;M'!$B$3:$B$89,TOTALCO!V1376,'O&amp;M'!$G$3:$G$89)</f>
        <v>1432223</v>
      </c>
      <c r="X1376" s="74">
        <f t="shared" ref="X1376:X1394" ca="1" si="362">D1376-T1376</f>
        <v>0</v>
      </c>
      <c r="Y1376" s="39" t="s">
        <v>422</v>
      </c>
    </row>
    <row r="1377" spans="1:25" x14ac:dyDescent="0.2">
      <c r="A1377" s="23">
        <v>2</v>
      </c>
      <c r="B1377" s="101" t="s">
        <v>856</v>
      </c>
      <c r="C1377" s="47" t="s">
        <v>954</v>
      </c>
      <c r="D1377" s="55">
        <f t="shared" ca="1" si="355"/>
        <v>352345.99999999994</v>
      </c>
      <c r="F1377" s="49">
        <f t="shared" ca="1" si="356"/>
        <v>334307.87102576549</v>
      </c>
      <c r="H1377" s="49">
        <f t="shared" ca="1" si="357"/>
        <v>17288.947002031695</v>
      </c>
      <c r="I1377" s="49">
        <f ca="1">(L1377+M1377+N1377)</f>
        <v>749.18197220280899</v>
      </c>
      <c r="L1377" s="49">
        <f t="shared" ca="1" si="359"/>
        <v>112.43061586870341</v>
      </c>
      <c r="M1377" s="49"/>
      <c r="N1377" s="49">
        <f ca="1">SUM(O1377:Q1377)</f>
        <v>636.75135633410559</v>
      </c>
      <c r="O1377" s="49">
        <f t="shared" ca="1" si="361"/>
        <v>632.08608101860875</v>
      </c>
      <c r="P1377" s="49">
        <f t="shared" ca="1" si="361"/>
        <v>4.6652753154968689</v>
      </c>
      <c r="Q1377" s="49">
        <f t="shared" ca="1" si="361"/>
        <v>0</v>
      </c>
      <c r="T1377" s="274">
        <v>352346</v>
      </c>
      <c r="U1377" s="81">
        <v>581</v>
      </c>
      <c r="W1377" s="81">
        <f>SUMIF('O&amp;M'!$B$3:$B$89,TOTALCO!U1377,'O&amp;M'!$G$3:$G$89)+SUMIF('O&amp;M'!$B$3:$B$89,TOTALCO!V1377,'O&amp;M'!$G$3:$G$89)</f>
        <v>352346</v>
      </c>
      <c r="X1377" s="74">
        <f t="shared" ca="1" si="362"/>
        <v>0</v>
      </c>
      <c r="Y1377" s="39" t="s">
        <v>422</v>
      </c>
    </row>
    <row r="1378" spans="1:25" x14ac:dyDescent="0.2">
      <c r="A1378" s="23">
        <v>3</v>
      </c>
      <c r="B1378" s="23" t="s">
        <v>499</v>
      </c>
      <c r="C1378" s="47" t="s">
        <v>954</v>
      </c>
      <c r="D1378" s="55">
        <f t="shared" ca="1" si="355"/>
        <v>1156139.9999999998</v>
      </c>
      <c r="F1378" s="49">
        <f t="shared" ca="1" si="356"/>
        <v>1096952.149329717</v>
      </c>
      <c r="H1378" s="49">
        <f t="shared" ca="1" si="357"/>
        <v>56729.587357111828</v>
      </c>
      <c r="I1378" s="49">
        <f t="shared" ca="1" si="358"/>
        <v>2458.2633131710181</v>
      </c>
      <c r="L1378" s="49">
        <f t="shared" ca="1" si="359"/>
        <v>368.91445406061871</v>
      </c>
      <c r="M1378" s="49"/>
      <c r="N1378" s="49">
        <f t="shared" ca="1" si="360"/>
        <v>2089.3488591103996</v>
      </c>
      <c r="O1378" s="49">
        <f t="shared" ca="1" si="361"/>
        <v>2074.040862416075</v>
      </c>
      <c r="P1378" s="49">
        <f t="shared" ca="1" si="361"/>
        <v>15.307996694324755</v>
      </c>
      <c r="Q1378" s="49">
        <f t="shared" ca="1" si="361"/>
        <v>0</v>
      </c>
      <c r="T1378" s="274">
        <v>1156140</v>
      </c>
      <c r="U1378" s="81">
        <v>582</v>
      </c>
      <c r="W1378" s="81">
        <f>SUMIF('O&amp;M'!$B$3:$B$89,TOTALCO!U1378,'O&amp;M'!$G$3:$G$89)+SUMIF('O&amp;M'!$B$3:$B$89,TOTALCO!V1378,'O&amp;M'!$G$3:$G$89)</f>
        <v>1156140</v>
      </c>
      <c r="X1378" s="74">
        <f t="shared" ca="1" si="362"/>
        <v>0</v>
      </c>
      <c r="Y1378" s="39" t="s">
        <v>422</v>
      </c>
    </row>
    <row r="1379" spans="1:25" x14ac:dyDescent="0.2">
      <c r="A1379" s="23">
        <v>4</v>
      </c>
      <c r="B1379" s="23" t="s">
        <v>500</v>
      </c>
      <c r="C1379" s="47" t="s">
        <v>954</v>
      </c>
      <c r="D1379" s="55">
        <f t="shared" ca="1" si="355"/>
        <v>2662524.9999999995</v>
      </c>
      <c r="F1379" s="49">
        <f t="shared" ca="1" si="356"/>
        <v>2526218.7290415564</v>
      </c>
      <c r="H1379" s="49">
        <f t="shared" ca="1" si="357"/>
        <v>130645.02964865342</v>
      </c>
      <c r="I1379" s="49">
        <f t="shared" ca="1" si="358"/>
        <v>5661.2413097900471</v>
      </c>
      <c r="L1379" s="49">
        <f t="shared" ca="1" si="359"/>
        <v>849.58911273526462</v>
      </c>
      <c r="M1379" s="49"/>
      <c r="N1379" s="49">
        <f t="shared" ca="1" si="360"/>
        <v>4811.6521970547828</v>
      </c>
      <c r="O1379" s="49">
        <f t="shared" ca="1" si="361"/>
        <v>4776.3987468683372</v>
      </c>
      <c r="P1379" s="49">
        <f t="shared" ca="1" si="361"/>
        <v>35.253450186445427</v>
      </c>
      <c r="Q1379" s="49">
        <f t="shared" ca="1" si="361"/>
        <v>0</v>
      </c>
      <c r="T1379" s="274">
        <v>2662525</v>
      </c>
      <c r="U1379" s="81">
        <v>583</v>
      </c>
      <c r="W1379" s="81">
        <f>SUMIF('O&amp;M'!$B$3:$B$89,TOTALCO!U1379,'O&amp;M'!$G$3:$G$89)+SUMIF('O&amp;M'!$B$3:$B$89,TOTALCO!V1379,'O&amp;M'!$G$3:$G$89)</f>
        <v>2662525</v>
      </c>
      <c r="X1379" s="74">
        <f t="shared" ca="1" si="362"/>
        <v>0</v>
      </c>
      <c r="Y1379" s="39" t="s">
        <v>422</v>
      </c>
    </row>
    <row r="1380" spans="1:25" x14ac:dyDescent="0.2">
      <c r="A1380" s="23">
        <v>5</v>
      </c>
      <c r="B1380" s="23" t="s">
        <v>501</v>
      </c>
      <c r="C1380" s="47" t="s">
        <v>954</v>
      </c>
      <c r="D1380" s="55">
        <f t="shared" ca="1" si="355"/>
        <v>0</v>
      </c>
      <c r="F1380" s="49">
        <f t="shared" ca="1" si="356"/>
        <v>0</v>
      </c>
      <c r="H1380" s="49">
        <f t="shared" ca="1" si="357"/>
        <v>0</v>
      </c>
      <c r="I1380" s="49">
        <f t="shared" ca="1" si="358"/>
        <v>0</v>
      </c>
      <c r="L1380" s="49">
        <f t="shared" ca="1" si="359"/>
        <v>0</v>
      </c>
      <c r="M1380" s="49"/>
      <c r="N1380" s="49">
        <f t="shared" ca="1" si="360"/>
        <v>0</v>
      </c>
      <c r="O1380" s="49">
        <f t="shared" ca="1" si="361"/>
        <v>0</v>
      </c>
      <c r="P1380" s="49">
        <f t="shared" ca="1" si="361"/>
        <v>0</v>
      </c>
      <c r="Q1380" s="49">
        <f t="shared" ca="1" si="361"/>
        <v>0</v>
      </c>
      <c r="T1380" s="274">
        <v>0</v>
      </c>
      <c r="U1380" s="81">
        <v>584</v>
      </c>
      <c r="W1380" s="81">
        <f>SUMIF('O&amp;M'!$B$3:$B$89,TOTALCO!U1380,'O&amp;M'!$G$3:$G$89)+SUMIF('O&amp;M'!$B$3:$B$89,TOTALCO!V1380,'O&amp;M'!$G$3:$G$89)</f>
        <v>0</v>
      </c>
      <c r="X1380" s="74">
        <f t="shared" ca="1" si="362"/>
        <v>0</v>
      </c>
      <c r="Y1380" s="39" t="s">
        <v>422</v>
      </c>
    </row>
    <row r="1381" spans="1:25" x14ac:dyDescent="0.2">
      <c r="A1381" s="23">
        <v>6</v>
      </c>
      <c r="B1381" s="23" t="s">
        <v>502</v>
      </c>
      <c r="C1381" s="47" t="s">
        <v>954</v>
      </c>
      <c r="D1381" s="55">
        <f t="shared" ca="1" si="355"/>
        <v>0</v>
      </c>
      <c r="F1381" s="49">
        <f t="shared" ca="1" si="356"/>
        <v>0</v>
      </c>
      <c r="H1381" s="49">
        <f t="shared" ca="1" si="357"/>
        <v>0</v>
      </c>
      <c r="I1381" s="49">
        <f t="shared" ca="1" si="358"/>
        <v>0</v>
      </c>
      <c r="L1381" s="49">
        <f t="shared" ca="1" si="359"/>
        <v>0</v>
      </c>
      <c r="M1381" s="49"/>
      <c r="N1381" s="49">
        <f t="shared" ca="1" si="360"/>
        <v>0</v>
      </c>
      <c r="O1381" s="49">
        <f t="shared" ca="1" si="361"/>
        <v>0</v>
      </c>
      <c r="P1381" s="49">
        <f t="shared" ca="1" si="361"/>
        <v>0</v>
      </c>
      <c r="Q1381" s="49">
        <f t="shared" ca="1" si="361"/>
        <v>0</v>
      </c>
      <c r="T1381" s="274">
        <v>0</v>
      </c>
      <c r="U1381" s="81">
        <v>585</v>
      </c>
      <c r="W1381" s="81">
        <f>SUMIF('O&amp;M'!$B$3:$B$89,TOTALCO!U1381,'O&amp;M'!$G$3:$G$89)+SUMIF('O&amp;M'!$B$3:$B$89,TOTALCO!V1381,'O&amp;M'!$G$3:$G$89)</f>
        <v>0</v>
      </c>
      <c r="X1381" s="74">
        <f t="shared" ca="1" si="362"/>
        <v>0</v>
      </c>
      <c r="Y1381" s="39" t="s">
        <v>422</v>
      </c>
    </row>
    <row r="1382" spans="1:25" x14ac:dyDescent="0.2">
      <c r="A1382" s="23">
        <v>7</v>
      </c>
      <c r="B1382" s="23" t="s">
        <v>503</v>
      </c>
      <c r="C1382" s="47" t="s">
        <v>954</v>
      </c>
      <c r="D1382" s="55">
        <f t="shared" ca="1" si="355"/>
        <v>5283131</v>
      </c>
      <c r="F1382" s="49">
        <f t="shared" ca="1" si="356"/>
        <v>5012664.4745795988</v>
      </c>
      <c r="H1382" s="49">
        <f t="shared" ca="1" si="357"/>
        <v>259233.17382286364</v>
      </c>
      <c r="I1382" s="49">
        <f t="shared" ca="1" si="358"/>
        <v>11233.351597537077</v>
      </c>
      <c r="L1382" s="49">
        <f t="shared" ca="1" si="359"/>
        <v>1685.8022286191383</v>
      </c>
      <c r="M1382" s="49"/>
      <c r="N1382" s="49">
        <f t="shared" ca="1" si="360"/>
        <v>9547.5493689179384</v>
      </c>
      <c r="O1382" s="49">
        <f t="shared" ca="1" si="361"/>
        <v>9477.5975015976437</v>
      </c>
      <c r="P1382" s="49">
        <f t="shared" ca="1" si="361"/>
        <v>69.951867320293942</v>
      </c>
      <c r="Q1382" s="49">
        <f t="shared" ca="1" si="361"/>
        <v>0</v>
      </c>
      <c r="T1382" s="274">
        <v>5283131</v>
      </c>
      <c r="U1382" s="81">
        <v>586</v>
      </c>
      <c r="W1382" s="81">
        <f>SUMIF('O&amp;M'!$B$3:$B$89,TOTALCO!U1382,'O&amp;M'!$G$3:$G$89)+SUMIF('O&amp;M'!$B$3:$B$89,TOTALCO!V1382,'O&amp;M'!$G$3:$G$89)</f>
        <v>5283131</v>
      </c>
      <c r="X1382" s="74">
        <f t="shared" ca="1" si="362"/>
        <v>0</v>
      </c>
      <c r="Y1382" s="39" t="s">
        <v>422</v>
      </c>
    </row>
    <row r="1383" spans="1:25" x14ac:dyDescent="0.2">
      <c r="A1383" s="23">
        <v>8</v>
      </c>
      <c r="B1383" s="23" t="s">
        <v>504</v>
      </c>
      <c r="C1383" s="47" t="s">
        <v>954</v>
      </c>
      <c r="D1383" s="55">
        <f t="shared" ca="1" si="355"/>
        <v>0</v>
      </c>
      <c r="F1383" s="49">
        <f t="shared" ca="1" si="356"/>
        <v>0</v>
      </c>
      <c r="H1383" s="49">
        <f t="shared" ca="1" si="357"/>
        <v>0</v>
      </c>
      <c r="I1383" s="49">
        <f t="shared" ca="1" si="358"/>
        <v>0</v>
      </c>
      <c r="L1383" s="49">
        <f t="shared" ca="1" si="359"/>
        <v>0</v>
      </c>
      <c r="M1383" s="49"/>
      <c r="N1383" s="49">
        <f t="shared" ca="1" si="360"/>
        <v>0</v>
      </c>
      <c r="O1383" s="49">
        <f t="shared" ca="1" si="361"/>
        <v>0</v>
      </c>
      <c r="P1383" s="49">
        <f t="shared" ca="1" si="361"/>
        <v>0</v>
      </c>
      <c r="Q1383" s="49">
        <f t="shared" ca="1" si="361"/>
        <v>0</v>
      </c>
      <c r="T1383" s="274">
        <v>0</v>
      </c>
      <c r="U1383" s="81">
        <v>587</v>
      </c>
      <c r="W1383" s="81">
        <f>SUMIF('O&amp;M'!$B$3:$B$89,TOTALCO!U1383,'O&amp;M'!$G$3:$G$89)+SUMIF('O&amp;M'!$B$3:$B$89,TOTALCO!V1383,'O&amp;M'!$G$3:$G$89)</f>
        <v>0</v>
      </c>
      <c r="X1383" s="74">
        <f t="shared" ca="1" si="362"/>
        <v>0</v>
      </c>
      <c r="Y1383" s="39" t="s">
        <v>422</v>
      </c>
    </row>
    <row r="1384" spans="1:25" x14ac:dyDescent="0.2">
      <c r="A1384" s="23">
        <v>9</v>
      </c>
      <c r="B1384" s="23" t="s">
        <v>505</v>
      </c>
      <c r="C1384" s="47" t="s">
        <v>954</v>
      </c>
      <c r="D1384" s="55">
        <f t="shared" ca="1" si="355"/>
        <v>3424186</v>
      </c>
      <c r="F1384" s="49">
        <f t="shared" ca="1" si="356"/>
        <v>3248886.979435645</v>
      </c>
      <c r="H1384" s="49">
        <f t="shared" ca="1" si="357"/>
        <v>168018.28395695964</v>
      </c>
      <c r="I1384" s="49">
        <f t="shared" ca="1" si="358"/>
        <v>7280.7366073951398</v>
      </c>
      <c r="L1384" s="49">
        <f t="shared" ca="1" si="359"/>
        <v>1092.6286684934469</v>
      </c>
      <c r="M1384" s="49"/>
      <c r="N1384" s="49">
        <f t="shared" ca="1" si="360"/>
        <v>6188.1079389016932</v>
      </c>
      <c r="O1384" s="49">
        <f t="shared" ca="1" si="361"/>
        <v>6142.7696338791584</v>
      </c>
      <c r="P1384" s="49">
        <f t="shared" ca="1" si="361"/>
        <v>45.338305022534556</v>
      </c>
      <c r="Q1384" s="49">
        <f t="shared" ca="1" si="361"/>
        <v>0</v>
      </c>
      <c r="T1384" s="274">
        <v>3424186</v>
      </c>
      <c r="U1384" s="81">
        <v>588</v>
      </c>
      <c r="W1384" s="81">
        <f>SUMIF('O&amp;M'!$B$3:$B$89,TOTALCO!U1384,'O&amp;M'!$G$3:$G$89)+SUMIF('O&amp;M'!$B$3:$B$89,TOTALCO!V1384,'O&amp;M'!$G$3:$G$89)</f>
        <v>3424186</v>
      </c>
      <c r="X1384" s="74">
        <f t="shared" ca="1" si="362"/>
        <v>0</v>
      </c>
      <c r="Y1384" s="39" t="s">
        <v>422</v>
      </c>
    </row>
    <row r="1385" spans="1:25" x14ac:dyDescent="0.2">
      <c r="A1385" s="23">
        <v>10</v>
      </c>
      <c r="B1385" s="23" t="s">
        <v>506</v>
      </c>
      <c r="C1385" s="47" t="s">
        <v>954</v>
      </c>
      <c r="D1385" s="55">
        <f t="shared" ca="1" si="355"/>
        <v>0</v>
      </c>
      <c r="F1385" s="49">
        <f t="shared" ca="1" si="356"/>
        <v>0</v>
      </c>
      <c r="H1385" s="49">
        <f t="shared" ca="1" si="357"/>
        <v>0</v>
      </c>
      <c r="I1385" s="49">
        <f t="shared" ca="1" si="358"/>
        <v>0</v>
      </c>
      <c r="L1385" s="49">
        <f t="shared" ca="1" si="359"/>
        <v>0</v>
      </c>
      <c r="M1385" s="49"/>
      <c r="N1385" s="49">
        <f t="shared" ca="1" si="360"/>
        <v>0</v>
      </c>
      <c r="O1385" s="49">
        <f t="shared" ca="1" si="361"/>
        <v>0</v>
      </c>
      <c r="P1385" s="49">
        <f t="shared" ca="1" si="361"/>
        <v>0</v>
      </c>
      <c r="Q1385" s="49">
        <f t="shared" ca="1" si="361"/>
        <v>0</v>
      </c>
      <c r="T1385" s="274">
        <v>0</v>
      </c>
      <c r="U1385" s="81">
        <v>589</v>
      </c>
      <c r="W1385" s="81">
        <f>SUMIF('O&amp;M'!$B$3:$B$89,TOTALCO!U1385,'O&amp;M'!$G$3:$G$89)+SUMIF('O&amp;M'!$B$3:$B$89,TOTALCO!V1385,'O&amp;M'!$G$3:$G$89)</f>
        <v>0</v>
      </c>
      <c r="X1385" s="74">
        <f t="shared" ca="1" si="362"/>
        <v>0</v>
      </c>
      <c r="Y1385" s="39" t="s">
        <v>422</v>
      </c>
    </row>
    <row r="1386" spans="1:25" x14ac:dyDescent="0.2">
      <c r="A1386" s="23">
        <v>11</v>
      </c>
      <c r="B1386" s="23" t="s">
        <v>507</v>
      </c>
      <c r="C1386" s="47" t="s">
        <v>954</v>
      </c>
      <c r="D1386" s="55">
        <f t="shared" ca="1" si="355"/>
        <v>0</v>
      </c>
      <c r="F1386" s="49">
        <f t="shared" ca="1" si="356"/>
        <v>0</v>
      </c>
      <c r="H1386" s="49">
        <f t="shared" ca="1" si="357"/>
        <v>0</v>
      </c>
      <c r="I1386" s="49">
        <f t="shared" ca="1" si="358"/>
        <v>0</v>
      </c>
      <c r="L1386" s="49">
        <f t="shared" ca="1" si="359"/>
        <v>0</v>
      </c>
      <c r="M1386" s="49"/>
      <c r="N1386" s="49">
        <f t="shared" ca="1" si="360"/>
        <v>0</v>
      </c>
      <c r="O1386" s="49">
        <f t="shared" ca="1" si="361"/>
        <v>0</v>
      </c>
      <c r="P1386" s="49">
        <f t="shared" ca="1" si="361"/>
        <v>0</v>
      </c>
      <c r="Q1386" s="49">
        <f t="shared" ca="1" si="361"/>
        <v>0</v>
      </c>
      <c r="T1386" s="274">
        <v>0</v>
      </c>
      <c r="U1386" s="81">
        <v>590</v>
      </c>
      <c r="W1386" s="81">
        <f>SUMIF('O&amp;M'!$B$3:$B$89,TOTALCO!U1386,'O&amp;M'!$G$3:$G$89)+SUMIF('O&amp;M'!$B$3:$B$89,TOTALCO!V1386,'O&amp;M'!$G$3:$G$89)</f>
        <v>0</v>
      </c>
      <c r="X1386" s="74">
        <f t="shared" ca="1" si="362"/>
        <v>0</v>
      </c>
      <c r="Y1386" s="39" t="s">
        <v>422</v>
      </c>
    </row>
    <row r="1387" spans="1:25" x14ac:dyDescent="0.2">
      <c r="A1387" s="23">
        <v>12</v>
      </c>
      <c r="B1387" s="101" t="s">
        <v>969</v>
      </c>
      <c r="C1387" s="47" t="s">
        <v>954</v>
      </c>
      <c r="D1387" s="55">
        <f ca="1">SUM(F1387:I1387)+K1387</f>
        <v>0</v>
      </c>
      <c r="F1387" s="49">
        <f t="shared" ca="1" si="356"/>
        <v>0</v>
      </c>
      <c r="H1387" s="49">
        <f t="shared" ca="1" si="357"/>
        <v>0</v>
      </c>
      <c r="I1387" s="49">
        <f ca="1">(L1387+M1387+N1387)</f>
        <v>0</v>
      </c>
      <c r="L1387" s="49">
        <f t="shared" ca="1" si="359"/>
        <v>0</v>
      </c>
      <c r="M1387" s="49"/>
      <c r="N1387" s="49">
        <f ca="1">SUM(O1387:Q1387)</f>
        <v>0</v>
      </c>
      <c r="O1387" s="49">
        <f t="shared" ca="1" si="361"/>
        <v>0</v>
      </c>
      <c r="P1387" s="49">
        <f t="shared" ca="1" si="361"/>
        <v>0</v>
      </c>
      <c r="Q1387" s="49">
        <f t="shared" ca="1" si="361"/>
        <v>0</v>
      </c>
      <c r="T1387" s="274">
        <v>0</v>
      </c>
      <c r="U1387" s="81">
        <v>591</v>
      </c>
      <c r="W1387" s="81">
        <f>SUMIF('O&amp;M'!$B$3:$B$89,TOTALCO!U1387,'O&amp;M'!$G$3:$G$89)+SUMIF('O&amp;M'!$B$3:$B$89,TOTALCO!V1387,'O&amp;M'!$G$3:$G$89)</f>
        <v>0</v>
      </c>
      <c r="X1387" s="74">
        <f t="shared" ca="1" si="362"/>
        <v>0</v>
      </c>
      <c r="Y1387" s="39" t="s">
        <v>422</v>
      </c>
    </row>
    <row r="1388" spans="1:25" x14ac:dyDescent="0.2">
      <c r="A1388" s="23">
        <v>13</v>
      </c>
      <c r="B1388" s="23" t="s">
        <v>508</v>
      </c>
      <c r="C1388" s="47" t="s">
        <v>954</v>
      </c>
      <c r="D1388" s="55">
        <f t="shared" ca="1" si="355"/>
        <v>634557.00000000012</v>
      </c>
      <c r="F1388" s="49">
        <f t="shared" ca="1" si="356"/>
        <v>602071.25869031204</v>
      </c>
      <c r="H1388" s="49">
        <f t="shared" ca="1" si="357"/>
        <v>31136.503161007153</v>
      </c>
      <c r="I1388" s="49">
        <f t="shared" ca="1" si="358"/>
        <v>1349.2381486808363</v>
      </c>
      <c r="L1388" s="49">
        <f t="shared" ca="1" si="359"/>
        <v>202.48174894506204</v>
      </c>
      <c r="M1388" s="49"/>
      <c r="N1388" s="49">
        <f t="shared" ca="1" si="360"/>
        <v>1146.7563997357743</v>
      </c>
      <c r="O1388" s="49">
        <f t="shared" ca="1" si="361"/>
        <v>1138.3544791566396</v>
      </c>
      <c r="P1388" s="49">
        <f t="shared" ca="1" si="361"/>
        <v>8.401920579134563</v>
      </c>
      <c r="Q1388" s="49">
        <f t="shared" ca="1" si="361"/>
        <v>0</v>
      </c>
      <c r="T1388" s="274">
        <v>634557</v>
      </c>
      <c r="U1388" s="81">
        <v>592</v>
      </c>
      <c r="W1388" s="81">
        <f>SUMIF('O&amp;M'!$B$3:$B$89,TOTALCO!U1388,'O&amp;M'!$G$3:$G$89)+SUMIF('O&amp;M'!$B$3:$B$89,TOTALCO!V1388,'O&amp;M'!$G$3:$G$89)</f>
        <v>634557</v>
      </c>
      <c r="X1388" s="74">
        <f t="shared" ca="1" si="362"/>
        <v>0</v>
      </c>
      <c r="Y1388" s="39" t="s">
        <v>422</v>
      </c>
    </row>
    <row r="1389" spans="1:25" x14ac:dyDescent="0.2">
      <c r="A1389" s="23">
        <v>14</v>
      </c>
      <c r="B1389" s="23" t="s">
        <v>509</v>
      </c>
      <c r="C1389" s="47" t="s">
        <v>954</v>
      </c>
      <c r="D1389" s="55">
        <f t="shared" ca="1" si="355"/>
        <v>7440115.9999999991</v>
      </c>
      <c r="F1389" s="49">
        <f t="shared" ca="1" si="356"/>
        <v>7059224.00181848</v>
      </c>
      <c r="H1389" s="49">
        <f t="shared" ca="1" si="357"/>
        <v>365072.3187235503</v>
      </c>
      <c r="I1389" s="49">
        <f t="shared" ca="1" si="358"/>
        <v>15819.679457969367</v>
      </c>
      <c r="L1389" s="49">
        <f t="shared" ca="1" si="359"/>
        <v>2374.0778212739583</v>
      </c>
      <c r="M1389" s="49"/>
      <c r="N1389" s="49">
        <f t="shared" ca="1" si="360"/>
        <v>13445.601636695408</v>
      </c>
      <c r="O1389" s="49">
        <f t="shared" ca="1" si="361"/>
        <v>13347.089976227478</v>
      </c>
      <c r="P1389" s="49">
        <f t="shared" ca="1" si="361"/>
        <v>98.511660467930113</v>
      </c>
      <c r="Q1389" s="49">
        <f t="shared" ca="1" si="361"/>
        <v>0</v>
      </c>
      <c r="T1389" s="274">
        <v>7440116</v>
      </c>
      <c r="U1389" s="81">
        <v>593</v>
      </c>
      <c r="W1389" s="81">
        <f>SUMIF('O&amp;M'!$B$3:$B$89,TOTALCO!U1389,'O&amp;M'!$G$3:$G$89)+SUMIF('O&amp;M'!$B$3:$B$89,TOTALCO!V1389,'O&amp;M'!$G$3:$G$89)</f>
        <v>7440116</v>
      </c>
      <c r="X1389" s="74">
        <f t="shared" ca="1" si="362"/>
        <v>0</v>
      </c>
      <c r="Y1389" s="39" t="s">
        <v>422</v>
      </c>
    </row>
    <row r="1390" spans="1:25" x14ac:dyDescent="0.2">
      <c r="A1390" s="23">
        <v>15</v>
      </c>
      <c r="B1390" s="23" t="s">
        <v>510</v>
      </c>
      <c r="C1390" s="47" t="s">
        <v>954</v>
      </c>
      <c r="D1390" s="55">
        <f t="shared" ca="1" si="355"/>
        <v>341755</v>
      </c>
      <c r="F1390" s="49">
        <f t="shared" ca="1" si="356"/>
        <v>324259.07052275457</v>
      </c>
      <c r="H1390" s="49">
        <f t="shared" ca="1" si="357"/>
        <v>16769.266807851775</v>
      </c>
      <c r="I1390" s="49">
        <f t="shared" ca="1" si="358"/>
        <v>726.66266939363857</v>
      </c>
      <c r="L1390" s="49">
        <f t="shared" ca="1" si="359"/>
        <v>109.05111772578299</v>
      </c>
      <c r="M1390" s="49"/>
      <c r="N1390" s="49">
        <f t="shared" ca="1" si="360"/>
        <v>617.61155166785557</v>
      </c>
      <c r="O1390" s="49">
        <f t="shared" ca="1" si="361"/>
        <v>613.08650763316348</v>
      </c>
      <c r="P1390" s="49">
        <f t="shared" ca="1" si="361"/>
        <v>4.5250440346921277</v>
      </c>
      <c r="Q1390" s="49">
        <f t="shared" ca="1" si="361"/>
        <v>0</v>
      </c>
      <c r="T1390" s="274">
        <v>341755</v>
      </c>
      <c r="U1390" s="81">
        <v>594</v>
      </c>
      <c r="W1390" s="81">
        <f>SUMIF('O&amp;M'!$B$3:$B$89,TOTALCO!U1390,'O&amp;M'!$G$3:$G$89)+SUMIF('O&amp;M'!$B$3:$B$89,TOTALCO!V1390,'O&amp;M'!$G$3:$G$89)</f>
        <v>341755</v>
      </c>
      <c r="X1390" s="74">
        <f t="shared" ca="1" si="362"/>
        <v>0</v>
      </c>
      <c r="Y1390" s="39" t="s">
        <v>422</v>
      </c>
    </row>
    <row r="1391" spans="1:25" x14ac:dyDescent="0.2">
      <c r="A1391" s="23">
        <v>16</v>
      </c>
      <c r="B1391" s="23" t="s">
        <v>511</v>
      </c>
      <c r="C1391" s="47" t="s">
        <v>954</v>
      </c>
      <c r="D1391" s="55">
        <f t="shared" ca="1" si="355"/>
        <v>57972</v>
      </c>
      <c r="F1391" s="49">
        <f t="shared" ca="1" si="356"/>
        <v>55004.160396614912</v>
      </c>
      <c r="H1391" s="49">
        <f t="shared" ca="1" si="357"/>
        <v>2844.5756035311351</v>
      </c>
      <c r="I1391" s="49">
        <f t="shared" ca="1" si="358"/>
        <v>123.26399985395392</v>
      </c>
      <c r="L1391" s="49">
        <f t="shared" ca="1" si="359"/>
        <v>18.498372801565715</v>
      </c>
      <c r="M1391" s="49"/>
      <c r="N1391" s="49">
        <f t="shared" ca="1" si="360"/>
        <v>104.7656270523882</v>
      </c>
      <c r="O1391" s="49">
        <f t="shared" ca="1" si="361"/>
        <v>103.99804251732895</v>
      </c>
      <c r="P1391" s="49">
        <f t="shared" ca="1" si="361"/>
        <v>0.76758453505924429</v>
      </c>
      <c r="Q1391" s="49">
        <f t="shared" ca="1" si="361"/>
        <v>0</v>
      </c>
      <c r="T1391" s="274">
        <v>57972</v>
      </c>
      <c r="U1391" s="81">
        <v>595</v>
      </c>
      <c r="W1391" s="81">
        <f>SUMIF('O&amp;M'!$B$3:$B$89,TOTALCO!U1391,'O&amp;M'!$G$3:$G$89)+SUMIF('O&amp;M'!$B$3:$B$89,TOTALCO!V1391,'O&amp;M'!$G$3:$G$89)</f>
        <v>57972</v>
      </c>
      <c r="X1391" s="74">
        <f t="shared" ca="1" si="362"/>
        <v>0</v>
      </c>
      <c r="Y1391" s="39" t="s">
        <v>422</v>
      </c>
    </row>
    <row r="1392" spans="1:25" x14ac:dyDescent="0.2">
      <c r="A1392" s="23">
        <v>17</v>
      </c>
      <c r="B1392" s="23" t="s">
        <v>512</v>
      </c>
      <c r="C1392" s="47" t="s">
        <v>954</v>
      </c>
      <c r="D1392" s="55">
        <f t="shared" ca="1" si="355"/>
        <v>0</v>
      </c>
      <c r="F1392" s="49">
        <f t="shared" ca="1" si="356"/>
        <v>0</v>
      </c>
      <c r="H1392" s="49">
        <f t="shared" ca="1" si="357"/>
        <v>0</v>
      </c>
      <c r="I1392" s="49">
        <f t="shared" ca="1" si="358"/>
        <v>0</v>
      </c>
      <c r="L1392" s="49">
        <f t="shared" ca="1" si="359"/>
        <v>0</v>
      </c>
      <c r="M1392" s="49"/>
      <c r="N1392" s="49">
        <f t="shared" ca="1" si="360"/>
        <v>0</v>
      </c>
      <c r="O1392" s="49">
        <f t="shared" ca="1" si="361"/>
        <v>0</v>
      </c>
      <c r="P1392" s="49">
        <f t="shared" ca="1" si="361"/>
        <v>0</v>
      </c>
      <c r="Q1392" s="49">
        <f t="shared" ca="1" si="361"/>
        <v>0</v>
      </c>
      <c r="T1392" s="274">
        <v>0</v>
      </c>
      <c r="U1392" s="81">
        <v>596</v>
      </c>
      <c r="W1392" s="81">
        <f>SUMIF('O&amp;M'!$B$3:$B$89,TOTALCO!U1392,'O&amp;M'!$G$3:$G$89)+SUMIF('O&amp;M'!$B$3:$B$89,TOTALCO!V1392,'O&amp;M'!$G$3:$G$89)</f>
        <v>0</v>
      </c>
      <c r="X1392" s="74">
        <f t="shared" ca="1" si="362"/>
        <v>0</v>
      </c>
      <c r="Y1392" s="39" t="s">
        <v>422</v>
      </c>
    </row>
    <row r="1393" spans="1:25" x14ac:dyDescent="0.2">
      <c r="A1393" s="23">
        <v>18</v>
      </c>
      <c r="B1393" s="23" t="s">
        <v>513</v>
      </c>
      <c r="C1393" s="47" t="s">
        <v>954</v>
      </c>
      <c r="D1393" s="55">
        <f t="shared" ca="1" si="355"/>
        <v>0</v>
      </c>
      <c r="F1393" s="49">
        <f t="shared" ca="1" si="356"/>
        <v>0</v>
      </c>
      <c r="H1393" s="49">
        <f t="shared" ca="1" si="357"/>
        <v>0</v>
      </c>
      <c r="I1393" s="49">
        <f t="shared" ca="1" si="358"/>
        <v>0</v>
      </c>
      <c r="L1393" s="49">
        <f t="shared" ca="1" si="359"/>
        <v>0</v>
      </c>
      <c r="M1393" s="49"/>
      <c r="N1393" s="49">
        <f t="shared" ca="1" si="360"/>
        <v>0</v>
      </c>
      <c r="O1393" s="49">
        <f t="shared" ca="1" si="361"/>
        <v>0</v>
      </c>
      <c r="P1393" s="49">
        <f t="shared" ca="1" si="361"/>
        <v>0</v>
      </c>
      <c r="Q1393" s="49">
        <f t="shared" ca="1" si="361"/>
        <v>0</v>
      </c>
      <c r="T1393" s="274">
        <v>0</v>
      </c>
      <c r="U1393" s="81">
        <v>597</v>
      </c>
      <c r="W1393" s="81">
        <f>SUMIF('O&amp;M'!$B$3:$B$89,TOTALCO!U1393,'O&amp;M'!$G$3:$G$89)+SUMIF('O&amp;M'!$B$3:$B$89,TOTALCO!V1393,'O&amp;M'!$G$3:$G$89)</f>
        <v>0</v>
      </c>
      <c r="X1393" s="74">
        <f t="shared" ca="1" si="362"/>
        <v>0</v>
      </c>
      <c r="Y1393" s="39" t="s">
        <v>422</v>
      </c>
    </row>
    <row r="1394" spans="1:25" x14ac:dyDescent="0.2">
      <c r="A1394" s="23">
        <v>19</v>
      </c>
      <c r="B1394" s="23" t="s">
        <v>514</v>
      </c>
      <c r="C1394" s="47" t="s">
        <v>954</v>
      </c>
      <c r="D1394" s="55">
        <f t="shared" ca="1" si="355"/>
        <v>9209</v>
      </c>
      <c r="F1394" s="49">
        <f t="shared" ca="1" si="356"/>
        <v>8737.5511124754485</v>
      </c>
      <c r="H1394" s="49">
        <f t="shared" ca="1" si="357"/>
        <v>451.86808688536235</v>
      </c>
      <c r="I1394" s="49">
        <f t="shared" ca="1" si="358"/>
        <v>19.580800639188944</v>
      </c>
      <c r="L1394" s="49">
        <f t="shared" ca="1" si="359"/>
        <v>2.9385136812533408</v>
      </c>
      <c r="M1394" s="49"/>
      <c r="N1394" s="49">
        <f t="shared" ca="1" si="360"/>
        <v>16.642286957935603</v>
      </c>
      <c r="O1394" s="49">
        <f t="shared" ca="1" si="361"/>
        <v>16.520354197579561</v>
      </c>
      <c r="P1394" s="49">
        <f t="shared" ca="1" si="361"/>
        <v>0.12193276035604396</v>
      </c>
      <c r="Q1394" s="49">
        <f t="shared" ca="1" si="361"/>
        <v>0</v>
      </c>
      <c r="T1394" s="274">
        <v>9209</v>
      </c>
      <c r="U1394" s="81">
        <v>598</v>
      </c>
      <c r="W1394" s="81">
        <f>SUMIF('O&amp;M'!$B$3:$B$89,TOTALCO!U1394,'O&amp;M'!$G$3:$G$89)+SUMIF('O&amp;M'!$B$3:$B$89,TOTALCO!V1394,'O&amp;M'!$G$3:$G$89)</f>
        <v>9209</v>
      </c>
      <c r="X1394" s="74">
        <f t="shared" ca="1" si="362"/>
        <v>0</v>
      </c>
      <c r="Y1394" s="39" t="s">
        <v>422</v>
      </c>
    </row>
    <row r="1395" spans="1:25" x14ac:dyDescent="0.2">
      <c r="C1395" s="47"/>
      <c r="T1395" s="47"/>
      <c r="U1395" s="81"/>
      <c r="W1395" s="39"/>
      <c r="X1395" s="74"/>
      <c r="Y1395" s="39"/>
    </row>
    <row r="1396" spans="1:25" x14ac:dyDescent="0.2">
      <c r="A1396" s="49">
        <v>20</v>
      </c>
      <c r="B1396" s="37" t="s">
        <v>410</v>
      </c>
      <c r="C1396" s="40" t="s">
        <v>954</v>
      </c>
      <c r="D1396" s="55">
        <f ca="1">SUM(F1396:I1396)+K1396</f>
        <v>22794160.000000004</v>
      </c>
      <c r="F1396" s="49">
        <f ca="1">SUM(F1376:F1394)</f>
        <v>21627227.502002757</v>
      </c>
      <c r="H1396" s="49">
        <f ca="1">SUM(H1376:H1394)</f>
        <v>1118466.0084003534</v>
      </c>
      <c r="I1396" s="49">
        <f ca="1">SUM(I1376:I1394)</f>
        <v>48466.489596891646</v>
      </c>
      <c r="L1396" s="49">
        <f ca="1">SUM(L1376:L1394)</f>
        <v>7273.4228485913409</v>
      </c>
      <c r="M1396" s="49"/>
      <c r="N1396" s="49">
        <f ca="1">SUM(O1396:Q1396)</f>
        <v>41193.066748300291</v>
      </c>
      <c r="O1396" s="49">
        <f ca="1">SUM(O1376:O1394)</f>
        <v>40891.258207872736</v>
      </c>
      <c r="P1396" s="49">
        <f ca="1">SUM(P1376:P1394)</f>
        <v>301.80854042755169</v>
      </c>
      <c r="Q1396" s="49">
        <f ca="1">SUM(Q1376:Q1394)</f>
        <v>0</v>
      </c>
      <c r="T1396" s="47"/>
      <c r="U1396" s="81"/>
      <c r="W1396" s="39"/>
      <c r="X1396" s="74"/>
      <c r="Y1396" s="39"/>
    </row>
    <row r="1397" spans="1:25" x14ac:dyDescent="0.2">
      <c r="C1397" s="47"/>
      <c r="T1397" s="47"/>
      <c r="U1397" s="81"/>
      <c r="W1397" s="39"/>
      <c r="X1397" s="74"/>
      <c r="Y1397" s="39"/>
    </row>
    <row r="1398" spans="1:25" x14ac:dyDescent="0.2">
      <c r="A1398" s="49">
        <v>21</v>
      </c>
      <c r="B1398" s="37" t="s">
        <v>411</v>
      </c>
      <c r="D1398" s="55">
        <f ca="1">SUM(F1398:I1398)+K1398</f>
        <v>92952526.000000015</v>
      </c>
      <c r="F1398" s="49">
        <f ca="1">F1354+F1373+F1396</f>
        <v>87183813.808233812</v>
      </c>
      <c r="H1398" s="49">
        <f ca="1">H1354+H1373+H1396</f>
        <v>4416324.0819489257</v>
      </c>
      <c r="I1398" s="49">
        <f ca="1">(L1398+M1398+N1398)</f>
        <v>1352388.1098172832</v>
      </c>
      <c r="L1398" s="49">
        <f ca="1">L1354+L1373+L1396</f>
        <v>7513.2553157967386</v>
      </c>
      <c r="M1398" s="49"/>
      <c r="N1398" s="49">
        <f ca="1">SUM(O1398:Q1398)</f>
        <v>1344874.8545014865</v>
      </c>
      <c r="O1398" s="49">
        <f ca="1">O1354+O1373+O1396</f>
        <v>701685.02695065807</v>
      </c>
      <c r="P1398" s="49">
        <f ca="1">P1354+P1373+P1396</f>
        <v>643189.82755082846</v>
      </c>
      <c r="Q1398" s="49">
        <f ca="1">Q1354+Q1373+Q1396</f>
        <v>0</v>
      </c>
      <c r="U1398" s="80"/>
      <c r="W1398" s="39"/>
    </row>
    <row r="1399" spans="1:25" x14ac:dyDescent="0.2">
      <c r="A1399" s="49"/>
      <c r="B1399" s="37"/>
      <c r="D1399" s="55"/>
      <c r="F1399" s="49"/>
      <c r="H1399" s="49"/>
      <c r="I1399" s="49"/>
      <c r="L1399" s="49"/>
      <c r="M1399" s="49"/>
      <c r="N1399" s="49"/>
      <c r="O1399" s="49"/>
      <c r="P1399" s="49"/>
      <c r="Q1399" s="49"/>
      <c r="U1399" s="80"/>
      <c r="W1399" s="39"/>
    </row>
    <row r="1400" spans="1:25" x14ac:dyDescent="0.2">
      <c r="A1400" s="49"/>
      <c r="B1400" s="37"/>
      <c r="D1400" s="55"/>
      <c r="F1400" s="49"/>
      <c r="H1400" s="49"/>
      <c r="I1400" s="49"/>
      <c r="L1400" s="49"/>
      <c r="M1400" s="49"/>
      <c r="N1400" s="49"/>
      <c r="O1400" s="49"/>
      <c r="P1400" s="49"/>
      <c r="Q1400" s="49"/>
      <c r="U1400" s="80"/>
      <c r="W1400" s="39"/>
    </row>
    <row r="1401" spans="1:25" x14ac:dyDescent="0.2">
      <c r="A1401" s="49"/>
      <c r="B1401" s="37"/>
      <c r="D1401" s="55"/>
      <c r="F1401" s="49"/>
      <c r="H1401" s="49"/>
      <c r="I1401" s="49"/>
      <c r="L1401" s="49"/>
      <c r="M1401" s="49"/>
      <c r="N1401" s="49"/>
      <c r="O1401" s="49"/>
      <c r="P1401" s="49"/>
      <c r="Q1401" s="49"/>
      <c r="U1401" s="80"/>
      <c r="W1401" s="39"/>
    </row>
    <row r="1402" spans="1:25" x14ac:dyDescent="0.2">
      <c r="A1402" s="49"/>
      <c r="B1402" s="37"/>
      <c r="D1402" s="55"/>
      <c r="F1402" s="49"/>
      <c r="H1402" s="49"/>
      <c r="I1402" s="49"/>
      <c r="L1402" s="49"/>
      <c r="M1402" s="49"/>
      <c r="N1402" s="49"/>
      <c r="O1402" s="49"/>
      <c r="P1402" s="49"/>
      <c r="Q1402" s="49"/>
      <c r="U1402" s="80"/>
      <c r="W1402" s="39"/>
    </row>
    <row r="1403" spans="1:25" x14ac:dyDescent="0.2">
      <c r="B1403" s="37" t="s">
        <v>412</v>
      </c>
      <c r="U1403" s="80"/>
      <c r="W1403" s="39"/>
    </row>
    <row r="1404" spans="1:25" x14ac:dyDescent="0.2">
      <c r="A1404" s="49">
        <v>1</v>
      </c>
      <c r="B1404" s="37" t="s">
        <v>515</v>
      </c>
      <c r="C1404" s="45" t="s">
        <v>1219</v>
      </c>
      <c r="D1404" s="55">
        <f ca="1">SUM(F1404:I1404)+K1404</f>
        <v>3641154</v>
      </c>
      <c r="F1404" s="49">
        <f ca="1">INDEX(INDIRECT($C1404),1,F$12+1)*$T1404</f>
        <v>3459212.6491932455</v>
      </c>
      <c r="H1404" s="49">
        <f ca="1">INDEX(INDIRECT($C1404),1,H$12+1)*$T1404</f>
        <v>180900.20544863981</v>
      </c>
      <c r="I1404" s="49">
        <f ca="1">(L1404+M1404+N1404)</f>
        <v>1041.145358114652</v>
      </c>
      <c r="L1404" s="49">
        <f ca="1">INDEX(INDIRECT($C1404),1,L$12+1)*$T1404</f>
        <v>23.989524380521935</v>
      </c>
      <c r="M1404" s="49"/>
      <c r="N1404" s="49">
        <f ca="1">SUM(O1404:Q1404)</f>
        <v>1017.1558337341302</v>
      </c>
      <c r="O1404" s="49">
        <f t="shared" ref="O1404:Q1408" ca="1" si="363">INDEX(INDIRECT($C1404),1,O$12+1)*$T1404</f>
        <v>407.82191446887293</v>
      </c>
      <c r="P1404" s="49">
        <f t="shared" ca="1" si="363"/>
        <v>609.33391926525724</v>
      </c>
      <c r="Q1404" s="49">
        <f t="shared" ca="1" si="363"/>
        <v>0</v>
      </c>
      <c r="T1404" s="274">
        <v>3641154</v>
      </c>
      <c r="U1404" s="81">
        <v>901</v>
      </c>
      <c r="W1404" s="81">
        <f>SUMIF('O&amp;M'!$B$3:$B$89,TOTALCO!U1404,'O&amp;M'!$G$3:$G$89)+SUMIF('O&amp;M'!$B$3:$B$89,TOTALCO!V1404,'O&amp;M'!$G$3:$G$89)</f>
        <v>3641154</v>
      </c>
      <c r="X1404" s="74">
        <f ca="1">D1404-T1404</f>
        <v>0</v>
      </c>
      <c r="Y1404" s="39" t="s">
        <v>422</v>
      </c>
    </row>
    <row r="1405" spans="1:25" x14ac:dyDescent="0.2">
      <c r="A1405" s="23">
        <v>2</v>
      </c>
      <c r="B1405" s="37" t="s">
        <v>516</v>
      </c>
      <c r="C1405" s="45" t="s">
        <v>1219</v>
      </c>
      <c r="D1405" s="55">
        <f ca="1">SUM(F1405:I1405)+K1405</f>
        <v>724506</v>
      </c>
      <c r="F1405" s="49">
        <f ca="1">INDEX(INDIRECT($C1405),1,F$12+1)*$T1405</f>
        <v>688303.85081663716</v>
      </c>
      <c r="H1405" s="49">
        <f ca="1">INDEX(INDIRECT($C1405),1,H$12+1)*$T1405</f>
        <v>35994.985174692483</v>
      </c>
      <c r="I1405" s="49">
        <f t="shared" ref="I1405:I1410" ca="1" si="364">(L1405+M1405+N1405)</f>
        <v>207.16400867038692</v>
      </c>
      <c r="L1405" s="49">
        <f ca="1">INDEX(INDIRECT($C1405),1,L$12+1)*$T1405</f>
        <v>4.7733642550780395</v>
      </c>
      <c r="M1405" s="49"/>
      <c r="N1405" s="49">
        <f t="shared" ref="N1405:N1410" ca="1" si="365">SUM(O1405:Q1405)</f>
        <v>202.39064441530888</v>
      </c>
      <c r="O1405" s="49">
        <f t="shared" ca="1" si="363"/>
        <v>81.147192336326682</v>
      </c>
      <c r="P1405" s="49">
        <f t="shared" ca="1" si="363"/>
        <v>121.24345207898222</v>
      </c>
      <c r="Q1405" s="49">
        <f t="shared" ca="1" si="363"/>
        <v>0</v>
      </c>
      <c r="T1405" s="274">
        <v>724506</v>
      </c>
      <c r="U1405" s="80">
        <v>902</v>
      </c>
      <c r="W1405" s="81">
        <f>SUMIF('O&amp;M'!$B$3:$B$89,TOTALCO!U1405,'O&amp;M'!$G$3:$G$89)+SUMIF('O&amp;M'!$B$3:$B$89,TOTALCO!V1405,'O&amp;M'!$G$3:$G$89)</f>
        <v>724506</v>
      </c>
      <c r="X1405" s="74">
        <f ca="1">D1405-T1405</f>
        <v>0</v>
      </c>
      <c r="Y1405" s="39" t="s">
        <v>422</v>
      </c>
    </row>
    <row r="1406" spans="1:25" x14ac:dyDescent="0.2">
      <c r="A1406" s="49">
        <v>3</v>
      </c>
      <c r="B1406" s="23" t="s">
        <v>517</v>
      </c>
      <c r="C1406" s="45" t="s">
        <v>1219</v>
      </c>
      <c r="D1406" s="55">
        <f ca="1">SUM(F1406:I1406)+K1406</f>
        <v>14347203</v>
      </c>
      <c r="F1406" s="49">
        <f ca="1">INDEX(INDIRECT($C1406),1,F$12+1)*$T1406</f>
        <v>13630301.29957241</v>
      </c>
      <c r="H1406" s="49">
        <f ca="1">INDEX(INDIRECT($C1406),1,H$12+1)*$T1406</f>
        <v>712799.28569715575</v>
      </c>
      <c r="I1406" s="49">
        <f t="shared" ca="1" si="364"/>
        <v>4102.4147304339804</v>
      </c>
      <c r="L1406" s="49">
        <f ca="1">INDEX(INDIRECT($C1406),1,L$12+1)*$T1406</f>
        <v>94.525685033041029</v>
      </c>
      <c r="M1406" s="49"/>
      <c r="N1406" s="49">
        <f t="shared" ca="1" si="365"/>
        <v>4007.8890454009393</v>
      </c>
      <c r="O1406" s="49">
        <f t="shared" ca="1" si="363"/>
        <v>1606.9366455616973</v>
      </c>
      <c r="P1406" s="49">
        <f t="shared" ca="1" si="363"/>
        <v>2400.9523998392419</v>
      </c>
      <c r="Q1406" s="49">
        <f t="shared" ca="1" si="363"/>
        <v>0</v>
      </c>
      <c r="T1406" s="274">
        <v>14347203</v>
      </c>
      <c r="U1406" s="81">
        <v>903</v>
      </c>
      <c r="W1406" s="81">
        <f>SUMIF('O&amp;M'!$B$3:$B$89,TOTALCO!U1406,'O&amp;M'!$G$3:$G$89)+SUMIF('O&amp;M'!$B$3:$B$89,TOTALCO!V1406,'O&amp;M'!$G$3:$G$89)</f>
        <v>14347203</v>
      </c>
      <c r="X1406" s="74">
        <f ca="1">D1406-T1406</f>
        <v>0</v>
      </c>
      <c r="Y1406" s="39" t="s">
        <v>422</v>
      </c>
    </row>
    <row r="1407" spans="1:25" x14ac:dyDescent="0.2">
      <c r="A1407" s="23">
        <v>4</v>
      </c>
      <c r="B1407" s="37" t="s">
        <v>518</v>
      </c>
      <c r="C1407" s="45" t="s">
        <v>1219</v>
      </c>
      <c r="D1407" s="55">
        <f ca="1">SUM(F1407:I1407)+K1407</f>
        <v>0</v>
      </c>
      <c r="F1407" s="49">
        <f ca="1">INDEX(INDIRECT($C1407),1,F$12+1)*$T1407</f>
        <v>0</v>
      </c>
      <c r="H1407" s="49">
        <f ca="1">INDEX(INDIRECT($C1407),1,H$12+1)*$T1407</f>
        <v>0</v>
      </c>
      <c r="I1407" s="49">
        <f t="shared" ca="1" si="364"/>
        <v>0</v>
      </c>
      <c r="L1407" s="49">
        <f ca="1">INDEX(INDIRECT($C1407),1,L$12+1)*$T1407</f>
        <v>0</v>
      </c>
      <c r="M1407" s="49"/>
      <c r="N1407" s="49">
        <f t="shared" ca="1" si="365"/>
        <v>0</v>
      </c>
      <c r="O1407" s="49">
        <f t="shared" ca="1" si="363"/>
        <v>0</v>
      </c>
      <c r="P1407" s="49">
        <f t="shared" ca="1" si="363"/>
        <v>0</v>
      </c>
      <c r="Q1407" s="49">
        <f t="shared" ca="1" si="363"/>
        <v>0</v>
      </c>
      <c r="T1407" s="274">
        <v>0</v>
      </c>
      <c r="U1407" s="80">
        <v>904</v>
      </c>
      <c r="W1407" s="81">
        <f>SUMIF('O&amp;M'!$B$3:$B$89,TOTALCO!U1407,'O&amp;M'!$G$3:$G$89)+SUMIF('O&amp;M'!$B$3:$B$89,TOTALCO!V1407,'O&amp;M'!$G$3:$G$89)</f>
        <v>0</v>
      </c>
      <c r="X1407" s="74">
        <f ca="1">D1407-T1407</f>
        <v>0</v>
      </c>
      <c r="Y1407" s="39" t="s">
        <v>422</v>
      </c>
    </row>
    <row r="1408" spans="1:25" x14ac:dyDescent="0.2">
      <c r="A1408" s="49">
        <v>5</v>
      </c>
      <c r="B1408" s="23" t="s">
        <v>519</v>
      </c>
      <c r="C1408" s="45" t="s">
        <v>1219</v>
      </c>
      <c r="D1408" s="55">
        <f ca="1">SUM(F1408:I1408)+K1408</f>
        <v>0</v>
      </c>
      <c r="F1408" s="49">
        <f ca="1">INDEX(INDIRECT($C1408),1,F$12+1)*$T1408</f>
        <v>0</v>
      </c>
      <c r="H1408" s="49">
        <f ca="1">INDEX(INDIRECT($C1408),1,H$12+1)*$T1408</f>
        <v>0</v>
      </c>
      <c r="I1408" s="49">
        <f t="shared" ca="1" si="364"/>
        <v>0</v>
      </c>
      <c r="L1408" s="49">
        <f ca="1">INDEX(INDIRECT($C1408),1,L$12+1)*$T1408</f>
        <v>0</v>
      </c>
      <c r="M1408" s="49"/>
      <c r="N1408" s="49">
        <f t="shared" ca="1" si="365"/>
        <v>0</v>
      </c>
      <c r="O1408" s="49">
        <f t="shared" ca="1" si="363"/>
        <v>0</v>
      </c>
      <c r="P1408" s="49">
        <f t="shared" ca="1" si="363"/>
        <v>0</v>
      </c>
      <c r="Q1408" s="49">
        <f t="shared" ca="1" si="363"/>
        <v>0</v>
      </c>
      <c r="T1408" s="274">
        <v>0</v>
      </c>
      <c r="U1408" s="81">
        <v>905</v>
      </c>
      <c r="W1408" s="81">
        <f>SUMIF('O&amp;M'!$B$3:$B$89,TOTALCO!U1408,'O&amp;M'!$G$3:$G$89)+SUMIF('O&amp;M'!$B$3:$B$89,TOTALCO!V1408,'O&amp;M'!$G$3:$G$89)</f>
        <v>0</v>
      </c>
      <c r="X1408" s="74">
        <f ca="1">D1408-T1408</f>
        <v>0</v>
      </c>
      <c r="Y1408" s="39" t="s">
        <v>422</v>
      </c>
    </row>
    <row r="1409" spans="1:25" x14ac:dyDescent="0.2">
      <c r="B1409" s="37"/>
      <c r="C1409" s="40"/>
      <c r="D1409" s="55"/>
      <c r="F1409" s="49"/>
      <c r="H1409" s="49"/>
      <c r="I1409" s="49"/>
      <c r="L1409" s="49"/>
      <c r="M1409" s="49"/>
      <c r="N1409" s="49"/>
      <c r="O1409" s="49"/>
      <c r="P1409" s="49"/>
      <c r="Q1409" s="49"/>
      <c r="T1409" s="47"/>
      <c r="U1409" s="80"/>
      <c r="W1409" s="39"/>
    </row>
    <row r="1410" spans="1:25" x14ac:dyDescent="0.2">
      <c r="A1410" s="49">
        <v>6</v>
      </c>
      <c r="B1410" s="23" t="s">
        <v>520</v>
      </c>
      <c r="C1410" s="47"/>
      <c r="D1410" s="55">
        <f ca="1">SUM(F1410:I1410)+K1410</f>
        <v>18712862.999999996</v>
      </c>
      <c r="F1410" s="23">
        <f ca="1">SUM(F1404:F1408)</f>
        <v>17777817.799582291</v>
      </c>
      <c r="H1410" s="23">
        <f ca="1">SUM(H1404:H1408)</f>
        <v>929694.47632048803</v>
      </c>
      <c r="I1410" s="49">
        <f t="shared" ca="1" si="364"/>
        <v>5350.7240972190202</v>
      </c>
      <c r="L1410" s="23">
        <f ca="1">SUM(L1404:L1408)</f>
        <v>123.28857366864101</v>
      </c>
      <c r="N1410" s="49">
        <f t="shared" ca="1" si="365"/>
        <v>5227.435523550379</v>
      </c>
      <c r="O1410" s="23">
        <f ca="1">SUM(O1404:O1408)</f>
        <v>2095.9057523668971</v>
      </c>
      <c r="P1410" s="23">
        <f ca="1">SUM(P1404:P1408)</f>
        <v>3131.5297711834814</v>
      </c>
      <c r="Q1410" s="23">
        <f ca="1">SUM(Q1404:Q1408)</f>
        <v>0</v>
      </c>
      <c r="T1410" s="47"/>
      <c r="U1410" s="80"/>
      <c r="W1410" s="39"/>
    </row>
    <row r="1411" spans="1:25" x14ac:dyDescent="0.2">
      <c r="A1411" s="49"/>
      <c r="C1411" s="47"/>
      <c r="T1411" s="47"/>
      <c r="U1411" s="80"/>
      <c r="W1411" s="39"/>
    </row>
    <row r="1412" spans="1:25" x14ac:dyDescent="0.2">
      <c r="B1412" s="37" t="s">
        <v>414</v>
      </c>
      <c r="D1412" s="55"/>
      <c r="F1412" s="49"/>
      <c r="H1412" s="49"/>
      <c r="I1412" s="49"/>
      <c r="L1412" s="49"/>
      <c r="M1412" s="49"/>
      <c r="N1412" s="49"/>
      <c r="O1412" s="49"/>
      <c r="P1412" s="49"/>
      <c r="Q1412" s="49"/>
      <c r="U1412" s="80"/>
      <c r="W1412" s="39"/>
    </row>
    <row r="1413" spans="1:25" x14ac:dyDescent="0.2">
      <c r="A1413" s="23">
        <v>7</v>
      </c>
      <c r="B1413" s="23" t="s">
        <v>521</v>
      </c>
      <c r="C1413" s="45" t="s">
        <v>1220</v>
      </c>
      <c r="D1413" s="55">
        <f t="shared" ref="D1413:D1419" ca="1" si="366">SUM(F1413:I1413)+K1413</f>
        <v>624043.99999999988</v>
      </c>
      <c r="F1413" s="49">
        <f t="shared" ref="F1413:F1419" ca="1" si="367">INDEX(INDIRECT($C1413),1,F$12+1)*$T1413</f>
        <v>616104.90533865418</v>
      </c>
      <c r="H1413" s="49">
        <f t="shared" ref="H1413:H1419" ca="1" si="368">INDEX(INDIRECT($C1413),1,H$12+1)*$T1413</f>
        <v>7938.2478546905377</v>
      </c>
      <c r="I1413" s="49">
        <f ca="1">(L1413+M1413+N1413)</f>
        <v>0.84680665519580456</v>
      </c>
      <c r="L1413" s="49">
        <f t="shared" ref="L1413:L1419" ca="1" si="369">INDEX(INDIRECT($C1413),1,L$12+1)*$T1413</f>
        <v>0.84680665519580456</v>
      </c>
      <c r="M1413" s="49"/>
      <c r="N1413" s="49">
        <f ca="1">SUM(O1413:Q1413)</f>
        <v>0</v>
      </c>
      <c r="O1413" s="49">
        <f t="shared" ref="O1413:Q1419" ca="1" si="370">INDEX(INDIRECT($C1413),1,O$12+1)*$T1413</f>
        <v>0</v>
      </c>
      <c r="P1413" s="49">
        <f t="shared" ca="1" si="370"/>
        <v>0</v>
      </c>
      <c r="Q1413" s="49">
        <f t="shared" ca="1" si="370"/>
        <v>0</v>
      </c>
      <c r="T1413" s="293">
        <v>624044</v>
      </c>
      <c r="U1413" s="80">
        <v>907</v>
      </c>
      <c r="W1413" s="81">
        <f>SUMIF('O&amp;M'!$B$3:$B$89,TOTALCO!U1413,'O&amp;M'!$G$3:$G$89)+SUMIF('O&amp;M'!$B$3:$B$89,TOTALCO!V1413,'O&amp;M'!$G$3:$G$89)</f>
        <v>624044</v>
      </c>
      <c r="X1413" s="74">
        <f t="shared" ref="X1413:X1419" ca="1" si="371">D1413-T1413</f>
        <v>0</v>
      </c>
      <c r="Y1413" s="39" t="s">
        <v>422</v>
      </c>
    </row>
    <row r="1414" spans="1:25" x14ac:dyDescent="0.2">
      <c r="A1414" s="23">
        <v>8</v>
      </c>
      <c r="B1414" s="37" t="s">
        <v>522</v>
      </c>
      <c r="C1414" s="45" t="s">
        <v>1220</v>
      </c>
      <c r="D1414" s="55">
        <f t="shared" ca="1" si="366"/>
        <v>1077180.9999999998</v>
      </c>
      <c r="F1414" s="49">
        <f t="shared" ca="1" si="367"/>
        <v>1063477.0914191897</v>
      </c>
      <c r="H1414" s="49">
        <f t="shared" ca="1" si="368"/>
        <v>13702.446882532975</v>
      </c>
      <c r="I1414" s="49">
        <f ca="1">(L1414+M1414+N1414)</f>
        <v>1.4616982771254461</v>
      </c>
      <c r="L1414" s="49">
        <f t="shared" ca="1" si="369"/>
        <v>1.4616982771254461</v>
      </c>
      <c r="M1414" s="49"/>
      <c r="N1414" s="49">
        <f ca="1">SUM(O1414:Q1414)</f>
        <v>0</v>
      </c>
      <c r="O1414" s="49">
        <f t="shared" ca="1" si="370"/>
        <v>0</v>
      </c>
      <c r="P1414" s="49">
        <f t="shared" ca="1" si="370"/>
        <v>0</v>
      </c>
      <c r="Q1414" s="49">
        <f t="shared" ca="1" si="370"/>
        <v>0</v>
      </c>
      <c r="T1414" s="293">
        <v>1077181</v>
      </c>
      <c r="U1414" s="80">
        <v>908</v>
      </c>
      <c r="W1414" s="81">
        <f>SUMIF('O&amp;M'!$B$3:$B$89,TOTALCO!U1414,'O&amp;M'!$G$3:$G$89)+SUMIF('O&amp;M'!$B$3:$B$89,TOTALCO!V1414,'O&amp;M'!$G$3:$G$89)</f>
        <v>1077181</v>
      </c>
      <c r="X1414" s="74">
        <f t="shared" ca="1" si="371"/>
        <v>0</v>
      </c>
      <c r="Y1414" s="39" t="s">
        <v>422</v>
      </c>
    </row>
    <row r="1415" spans="1:25" x14ac:dyDescent="0.2">
      <c r="A1415" s="23">
        <v>9</v>
      </c>
      <c r="B1415" s="23" t="s">
        <v>523</v>
      </c>
      <c r="C1415" s="45" t="s">
        <v>1220</v>
      </c>
      <c r="D1415" s="55">
        <f t="shared" ca="1" si="366"/>
        <v>0</v>
      </c>
      <c r="F1415" s="49">
        <f t="shared" ca="1" si="367"/>
        <v>0</v>
      </c>
      <c r="H1415" s="49">
        <f t="shared" ca="1" si="368"/>
        <v>0</v>
      </c>
      <c r="I1415" s="49">
        <f t="shared" ref="I1415:I1421" ca="1" si="372">(L1415+M1415+N1415)</f>
        <v>0</v>
      </c>
      <c r="L1415" s="49">
        <f t="shared" ca="1" si="369"/>
        <v>0</v>
      </c>
      <c r="M1415" s="49"/>
      <c r="N1415" s="49">
        <f t="shared" ref="N1415:N1421" ca="1" si="373">SUM(O1415:Q1415)</f>
        <v>0</v>
      </c>
      <c r="O1415" s="49">
        <f t="shared" ca="1" si="370"/>
        <v>0</v>
      </c>
      <c r="P1415" s="49">
        <f t="shared" ca="1" si="370"/>
        <v>0</v>
      </c>
      <c r="Q1415" s="49">
        <f t="shared" ca="1" si="370"/>
        <v>0</v>
      </c>
      <c r="T1415" s="293">
        <v>0</v>
      </c>
      <c r="U1415" s="80">
        <v>909</v>
      </c>
      <c r="W1415" s="81">
        <f>SUMIF('O&amp;M'!$B$3:$B$89,TOTALCO!U1415,'O&amp;M'!$G$3:$G$89)+SUMIF('O&amp;M'!$B$3:$B$89,TOTALCO!V1415,'O&amp;M'!$G$3:$G$89)</f>
        <v>0</v>
      </c>
      <c r="X1415" s="74">
        <f t="shared" ca="1" si="371"/>
        <v>0</v>
      </c>
      <c r="Y1415" s="39" t="s">
        <v>422</v>
      </c>
    </row>
    <row r="1416" spans="1:25" x14ac:dyDescent="0.2">
      <c r="A1416" s="23">
        <v>10</v>
      </c>
      <c r="B1416" s="37" t="s">
        <v>524</v>
      </c>
      <c r="C1416" s="45" t="s">
        <v>1220</v>
      </c>
      <c r="D1416" s="55">
        <f t="shared" ca="1" si="366"/>
        <v>0</v>
      </c>
      <c r="F1416" s="49">
        <f t="shared" ca="1" si="367"/>
        <v>0</v>
      </c>
      <c r="H1416" s="49">
        <f t="shared" ca="1" si="368"/>
        <v>0</v>
      </c>
      <c r="I1416" s="49">
        <f t="shared" ca="1" si="372"/>
        <v>0</v>
      </c>
      <c r="L1416" s="49">
        <f t="shared" ca="1" si="369"/>
        <v>0</v>
      </c>
      <c r="M1416" s="49"/>
      <c r="N1416" s="49">
        <f t="shared" ca="1" si="373"/>
        <v>0</v>
      </c>
      <c r="O1416" s="49">
        <f t="shared" ca="1" si="370"/>
        <v>0</v>
      </c>
      <c r="P1416" s="49">
        <f t="shared" ca="1" si="370"/>
        <v>0</v>
      </c>
      <c r="Q1416" s="49">
        <f t="shared" ca="1" si="370"/>
        <v>0</v>
      </c>
      <c r="T1416" s="293">
        <v>0</v>
      </c>
      <c r="U1416" s="80">
        <v>910</v>
      </c>
      <c r="W1416" s="81">
        <f>SUMIF('O&amp;M'!$B$3:$B$89,TOTALCO!U1416,'O&amp;M'!$G$3:$G$89)+SUMIF('O&amp;M'!$B$3:$B$89,TOTALCO!V1416,'O&amp;M'!$G$3:$G$89)</f>
        <v>0</v>
      </c>
      <c r="X1416" s="74">
        <f t="shared" ca="1" si="371"/>
        <v>0</v>
      </c>
      <c r="Y1416" s="39" t="s">
        <v>422</v>
      </c>
    </row>
    <row r="1417" spans="1:25" x14ac:dyDescent="0.2">
      <c r="A1417" s="23">
        <v>11</v>
      </c>
      <c r="B1417" s="23" t="s">
        <v>525</v>
      </c>
      <c r="C1417" s="45" t="s">
        <v>1220</v>
      </c>
      <c r="D1417" s="55">
        <f t="shared" ca="1" si="366"/>
        <v>0</v>
      </c>
      <c r="F1417" s="49">
        <f t="shared" ca="1" si="367"/>
        <v>0</v>
      </c>
      <c r="H1417" s="49">
        <f t="shared" ca="1" si="368"/>
        <v>0</v>
      </c>
      <c r="I1417" s="49">
        <f t="shared" ca="1" si="372"/>
        <v>0</v>
      </c>
      <c r="L1417" s="49">
        <f t="shared" ca="1" si="369"/>
        <v>0</v>
      </c>
      <c r="M1417" s="49"/>
      <c r="N1417" s="49">
        <f t="shared" ca="1" si="373"/>
        <v>0</v>
      </c>
      <c r="O1417" s="49">
        <f t="shared" ca="1" si="370"/>
        <v>0</v>
      </c>
      <c r="P1417" s="49">
        <f t="shared" ca="1" si="370"/>
        <v>0</v>
      </c>
      <c r="Q1417" s="49">
        <f t="shared" ca="1" si="370"/>
        <v>0</v>
      </c>
      <c r="T1417" s="293">
        <v>0</v>
      </c>
      <c r="U1417" s="80">
        <v>912</v>
      </c>
      <c r="W1417" s="81">
        <f>SUMIF('O&amp;M'!$B$3:$B$89,TOTALCO!U1417,'O&amp;M'!$G$3:$G$89)+SUMIF('O&amp;M'!$B$3:$B$89,TOTALCO!V1417,'O&amp;M'!$G$3:$G$89)</f>
        <v>0</v>
      </c>
      <c r="X1417" s="74">
        <f t="shared" ca="1" si="371"/>
        <v>0</v>
      </c>
      <c r="Y1417" s="39" t="s">
        <v>422</v>
      </c>
    </row>
    <row r="1418" spans="1:25" x14ac:dyDescent="0.2">
      <c r="A1418" s="23">
        <v>12</v>
      </c>
      <c r="B1418" s="37" t="s">
        <v>526</v>
      </c>
      <c r="C1418" s="45" t="s">
        <v>1220</v>
      </c>
      <c r="D1418" s="55">
        <f t="shared" ca="1" si="366"/>
        <v>0</v>
      </c>
      <c r="F1418" s="49">
        <f t="shared" ca="1" si="367"/>
        <v>0</v>
      </c>
      <c r="H1418" s="49">
        <f t="shared" ca="1" si="368"/>
        <v>0</v>
      </c>
      <c r="I1418" s="49">
        <f t="shared" ca="1" si="372"/>
        <v>0</v>
      </c>
      <c r="L1418" s="49">
        <f t="shared" ca="1" si="369"/>
        <v>0</v>
      </c>
      <c r="M1418" s="49"/>
      <c r="N1418" s="49">
        <f t="shared" ca="1" si="373"/>
        <v>0</v>
      </c>
      <c r="O1418" s="49">
        <f t="shared" ca="1" si="370"/>
        <v>0</v>
      </c>
      <c r="P1418" s="49">
        <f t="shared" ca="1" si="370"/>
        <v>0</v>
      </c>
      <c r="Q1418" s="49">
        <f t="shared" ca="1" si="370"/>
        <v>0</v>
      </c>
      <c r="T1418" s="293">
        <v>0</v>
      </c>
      <c r="U1418" s="80">
        <v>913</v>
      </c>
      <c r="W1418" s="81">
        <f>SUMIF('O&amp;M'!$B$3:$B$89,TOTALCO!U1418,'O&amp;M'!$G$3:$G$89)+SUMIF('O&amp;M'!$B$3:$B$89,TOTALCO!V1418,'O&amp;M'!$G$3:$G$89)</f>
        <v>0</v>
      </c>
      <c r="X1418" s="74">
        <f t="shared" ca="1" si="371"/>
        <v>0</v>
      </c>
      <c r="Y1418" s="39" t="s">
        <v>422</v>
      </c>
    </row>
    <row r="1419" spans="1:25" x14ac:dyDescent="0.2">
      <c r="A1419" s="23">
        <v>13</v>
      </c>
      <c r="B1419" s="23" t="s">
        <v>527</v>
      </c>
      <c r="C1419" s="45" t="s">
        <v>1220</v>
      </c>
      <c r="D1419" s="55">
        <f t="shared" ca="1" si="366"/>
        <v>0</v>
      </c>
      <c r="F1419" s="49">
        <f t="shared" ca="1" si="367"/>
        <v>0</v>
      </c>
      <c r="H1419" s="49">
        <f t="shared" ca="1" si="368"/>
        <v>0</v>
      </c>
      <c r="I1419" s="49">
        <f t="shared" ca="1" si="372"/>
        <v>0</v>
      </c>
      <c r="L1419" s="49">
        <f t="shared" ca="1" si="369"/>
        <v>0</v>
      </c>
      <c r="M1419" s="49"/>
      <c r="N1419" s="49">
        <f t="shared" ca="1" si="373"/>
        <v>0</v>
      </c>
      <c r="O1419" s="49">
        <f t="shared" ca="1" si="370"/>
        <v>0</v>
      </c>
      <c r="P1419" s="49">
        <f t="shared" ca="1" si="370"/>
        <v>0</v>
      </c>
      <c r="Q1419" s="49">
        <f t="shared" ca="1" si="370"/>
        <v>0</v>
      </c>
      <c r="T1419" s="293">
        <v>0</v>
      </c>
      <c r="U1419" s="80">
        <v>916</v>
      </c>
      <c r="W1419" s="81">
        <f>SUMIF('O&amp;M'!$B$3:$B$89,TOTALCO!U1419,'O&amp;M'!$G$3:$G$89)+SUMIF('O&amp;M'!$B$3:$B$89,TOTALCO!V1419,'O&amp;M'!$G$3:$G$89)</f>
        <v>0</v>
      </c>
      <c r="X1419" s="74">
        <f t="shared" ca="1" si="371"/>
        <v>0</v>
      </c>
      <c r="Y1419" s="39" t="s">
        <v>422</v>
      </c>
    </row>
    <row r="1420" spans="1:25" x14ac:dyDescent="0.2">
      <c r="B1420" s="37"/>
      <c r="D1420" s="55"/>
      <c r="F1420" s="49"/>
      <c r="H1420" s="49"/>
      <c r="I1420" s="49"/>
      <c r="L1420" s="49"/>
      <c r="M1420" s="49"/>
      <c r="N1420" s="49"/>
      <c r="O1420" s="49"/>
      <c r="P1420" s="49"/>
      <c r="Q1420" s="49"/>
      <c r="T1420" s="69"/>
      <c r="U1420" s="80"/>
      <c r="W1420" s="39"/>
    </row>
    <row r="1421" spans="1:25" x14ac:dyDescent="0.2">
      <c r="A1421" s="23">
        <v>14</v>
      </c>
      <c r="B1421" s="101" t="s">
        <v>543</v>
      </c>
      <c r="D1421" s="55">
        <f ca="1">SUM(F1421:I1421)+K1421</f>
        <v>1701224.9999999998</v>
      </c>
      <c r="F1421" s="23">
        <f ca="1">SUM(F1413:F1419)</f>
        <v>1679581.996757844</v>
      </c>
      <c r="H1421" s="23">
        <f ca="1">SUM(H1413:H1419)</f>
        <v>21640.694737223512</v>
      </c>
      <c r="I1421" s="49">
        <f t="shared" ca="1" si="372"/>
        <v>2.3085049323212505</v>
      </c>
      <c r="L1421" s="23">
        <f ca="1">SUM(L1413:L1419)</f>
        <v>2.3085049323212505</v>
      </c>
      <c r="N1421" s="49">
        <f t="shared" ca="1" si="373"/>
        <v>0</v>
      </c>
      <c r="O1421" s="23">
        <f ca="1">SUM(O1413:O1419)</f>
        <v>0</v>
      </c>
      <c r="P1421" s="23">
        <f ca="1">SUM(P1413:P1419)</f>
        <v>0</v>
      </c>
      <c r="Q1421" s="23">
        <f ca="1">SUM(Q1413:Q1419)</f>
        <v>0</v>
      </c>
      <c r="T1421" s="100"/>
      <c r="U1421" s="80"/>
      <c r="W1421" s="39"/>
    </row>
    <row r="1422" spans="1:25" x14ac:dyDescent="0.2">
      <c r="T1422" s="100"/>
      <c r="U1422" s="80"/>
      <c r="W1422" s="39"/>
    </row>
    <row r="1423" spans="1:25" x14ac:dyDescent="0.2">
      <c r="A1423" s="23">
        <v>15</v>
      </c>
      <c r="B1423" s="102" t="s">
        <v>685</v>
      </c>
      <c r="D1423" s="55">
        <f ca="1">SUM(F1423:I1423)+K1423</f>
        <v>113366614.00000001</v>
      </c>
      <c r="F1423" s="23">
        <f ca="1">F1421+F1410+F1398</f>
        <v>106641213.60457395</v>
      </c>
      <c r="H1423" s="23">
        <f ca="1">H1421+H1410+H1398</f>
        <v>5367659.2530066371</v>
      </c>
      <c r="I1423" s="49">
        <f ca="1">(L1423+M1423+N1423)</f>
        <v>1357741.1424194344</v>
      </c>
      <c r="L1423" s="23">
        <f ca="1">L1421+L1410+L1398</f>
        <v>7638.8523943977007</v>
      </c>
      <c r="N1423" s="49">
        <f ca="1">SUM(O1423:Q1423)</f>
        <v>1350102.2900250368</v>
      </c>
      <c r="O1423" s="23">
        <f ca="1">O1421+O1410+O1398</f>
        <v>703780.93270302494</v>
      </c>
      <c r="P1423" s="23">
        <f ca="1">P1421+P1410+P1398</f>
        <v>646321.35732201196</v>
      </c>
      <c r="T1423" s="100"/>
      <c r="U1423" s="80"/>
      <c r="W1423" s="39"/>
    </row>
    <row r="1424" spans="1:25" x14ac:dyDescent="0.2">
      <c r="T1424" s="100"/>
      <c r="U1424" s="80"/>
      <c r="W1424" s="39"/>
    </row>
    <row r="1425" spans="1:25" x14ac:dyDescent="0.2">
      <c r="B1425" s="23" t="s">
        <v>528</v>
      </c>
      <c r="T1425" s="100"/>
      <c r="U1425" s="80"/>
      <c r="W1425" s="39"/>
    </row>
    <row r="1426" spans="1:25" x14ac:dyDescent="0.2">
      <c r="A1426" s="23">
        <v>16</v>
      </c>
      <c r="B1426" s="23" t="s">
        <v>529</v>
      </c>
      <c r="C1426" s="45" t="s">
        <v>684</v>
      </c>
      <c r="D1426" s="55">
        <f t="shared" ref="D1426:D1437" ca="1" si="374">SUM(F1426:I1426)+K1426</f>
        <v>37810562</v>
      </c>
      <c r="F1426" s="49">
        <f t="shared" ref="F1426:F1437" ca="1" si="375">INDEX(INDIRECT($C1426),1,F$12+1)*$T1426</f>
        <v>35567475.08354608</v>
      </c>
      <c r="H1426" s="49">
        <f t="shared" ref="H1426:H1437" ca="1" si="376">INDEX(INDIRECT($C1426),1,H$12+1)*$T1426</f>
        <v>1790246.7562511931</v>
      </c>
      <c r="I1426" s="49">
        <f t="shared" ref="I1426:I1437" ca="1" si="377">(L1426+M1426+N1426)</f>
        <v>452840.16020272824</v>
      </c>
      <c r="L1426" s="49">
        <f t="shared" ref="L1426:L1437" ca="1" si="378">INDEX(INDIRECT($C1426),1,L$12+1)*$T1426</f>
        <v>2547.7456887547391</v>
      </c>
      <c r="M1426" s="49"/>
      <c r="N1426" s="49">
        <f t="shared" ref="N1426:N1437" ca="1" si="379">SUM(O1426:Q1426)</f>
        <v>450292.41451397352</v>
      </c>
      <c r="O1426" s="49">
        <f t="shared" ref="O1426:Q1437" ca="1" si="380">INDEX(INDIRECT($C1426),1,O$12+1)*$T1426</f>
        <v>234728.30008299928</v>
      </c>
      <c r="P1426" s="49">
        <f t="shared" ca="1" si="380"/>
        <v>215564.11443097421</v>
      </c>
      <c r="Q1426" s="49">
        <f t="shared" ca="1" si="380"/>
        <v>0</v>
      </c>
      <c r="T1426" s="274">
        <v>37810562</v>
      </c>
      <c r="U1426" s="80">
        <v>920</v>
      </c>
      <c r="W1426" s="81">
        <f>SUMIF('O&amp;M'!$B$3:$B$89,TOTALCO!U1426,'O&amp;M'!$G$3:$G$89)+SUMIF('O&amp;M'!$B$3:$B$89,TOTALCO!V1426,'O&amp;M'!$G$3:$G$89)</f>
        <v>37810562</v>
      </c>
      <c r="X1426" s="74">
        <f t="shared" ref="X1426:X1437" ca="1" si="381">D1426-T1426</f>
        <v>0</v>
      </c>
      <c r="Y1426" s="39" t="s">
        <v>422</v>
      </c>
    </row>
    <row r="1427" spans="1:25" x14ac:dyDescent="0.2">
      <c r="A1427" s="23">
        <v>17</v>
      </c>
      <c r="B1427" s="23" t="s">
        <v>530</v>
      </c>
      <c r="C1427" s="45" t="s">
        <v>684</v>
      </c>
      <c r="D1427" s="55">
        <f t="shared" ca="1" si="374"/>
        <v>76625.000000000015</v>
      </c>
      <c r="F1427" s="49">
        <f t="shared" ca="1" si="375"/>
        <v>72079.271878495711</v>
      </c>
      <c r="H1427" s="49">
        <f t="shared" ca="1" si="376"/>
        <v>3628.0248280294718</v>
      </c>
      <c r="I1427" s="49">
        <f t="shared" ca="1" si="377"/>
        <v>917.7032934748247</v>
      </c>
      <c r="L1427" s="49">
        <f t="shared" ca="1" si="378"/>
        <v>5.1631344014625302</v>
      </c>
      <c r="M1427" s="49"/>
      <c r="N1427" s="49">
        <f t="shared" ca="1" si="379"/>
        <v>912.54015907336213</v>
      </c>
      <c r="O1427" s="49">
        <f t="shared" ca="1" si="380"/>
        <v>475.6886711670623</v>
      </c>
      <c r="P1427" s="49">
        <f t="shared" ca="1" si="380"/>
        <v>436.85148790629984</v>
      </c>
      <c r="Q1427" s="49">
        <f t="shared" ca="1" si="380"/>
        <v>0</v>
      </c>
      <c r="T1427" s="274">
        <v>76625</v>
      </c>
      <c r="U1427" s="80">
        <v>921</v>
      </c>
      <c r="W1427" s="81">
        <f>SUMIF('O&amp;M'!$B$3:$B$89,TOTALCO!U1427,'O&amp;M'!$G$3:$G$89)+SUMIF('O&amp;M'!$B$3:$B$89,TOTALCO!V1427,'O&amp;M'!$G$3:$G$89)</f>
        <v>76625</v>
      </c>
      <c r="X1427" s="74">
        <f t="shared" ca="1" si="381"/>
        <v>0</v>
      </c>
      <c r="Y1427" s="39" t="s">
        <v>422</v>
      </c>
    </row>
    <row r="1428" spans="1:25" x14ac:dyDescent="0.2">
      <c r="A1428" s="23">
        <v>18</v>
      </c>
      <c r="B1428" s="23" t="s">
        <v>531</v>
      </c>
      <c r="C1428" s="45" t="s">
        <v>684</v>
      </c>
      <c r="D1428" s="55">
        <f t="shared" ca="1" si="374"/>
        <v>-4521751</v>
      </c>
      <c r="F1428" s="49">
        <f t="shared" ca="1" si="375"/>
        <v>-4253501.0727029014</v>
      </c>
      <c r="H1428" s="49">
        <f t="shared" ca="1" si="376"/>
        <v>-214094.94152257216</v>
      </c>
      <c r="I1428" s="49">
        <f t="shared" ca="1" si="377"/>
        <v>-54154.985774526351</v>
      </c>
      <c r="L1428" s="49">
        <f t="shared" ca="1" si="378"/>
        <v>-304.68395618854942</v>
      </c>
      <c r="M1428" s="49"/>
      <c r="N1428" s="49">
        <f t="shared" ca="1" si="379"/>
        <v>-53850.301818337801</v>
      </c>
      <c r="O1428" s="49">
        <f t="shared" ca="1" si="380"/>
        <v>-28071.069814529656</v>
      </c>
      <c r="P1428" s="49">
        <f t="shared" ca="1" si="380"/>
        <v>-25779.232003808145</v>
      </c>
      <c r="Q1428" s="49">
        <f t="shared" ca="1" si="380"/>
        <v>0</v>
      </c>
      <c r="T1428" s="274">
        <v>-4521751</v>
      </c>
      <c r="U1428" s="80">
        <v>922</v>
      </c>
      <c r="W1428" s="81">
        <f>SUMIF('O&amp;M'!$B$3:$B$89,TOTALCO!U1428,'O&amp;M'!$G$3:$G$89)+SUMIF('O&amp;M'!$B$3:$B$89,TOTALCO!V1428,'O&amp;M'!$G$3:$G$89)</f>
        <v>-4521751</v>
      </c>
      <c r="X1428" s="74">
        <f t="shared" ca="1" si="381"/>
        <v>0</v>
      </c>
      <c r="Y1428" s="39" t="s">
        <v>422</v>
      </c>
    </row>
    <row r="1429" spans="1:25" x14ac:dyDescent="0.2">
      <c r="A1429" s="23">
        <v>19</v>
      </c>
      <c r="B1429" s="23" t="s">
        <v>532</v>
      </c>
      <c r="C1429" s="45" t="s">
        <v>684</v>
      </c>
      <c r="D1429" s="55">
        <f t="shared" ca="1" si="374"/>
        <v>0</v>
      </c>
      <c r="F1429" s="49">
        <f t="shared" ca="1" si="375"/>
        <v>0</v>
      </c>
      <c r="H1429" s="49">
        <f t="shared" ca="1" si="376"/>
        <v>0</v>
      </c>
      <c r="I1429" s="49">
        <f t="shared" ca="1" si="377"/>
        <v>0</v>
      </c>
      <c r="L1429" s="49">
        <f t="shared" ca="1" si="378"/>
        <v>0</v>
      </c>
      <c r="M1429" s="49"/>
      <c r="N1429" s="49">
        <f t="shared" ca="1" si="379"/>
        <v>0</v>
      </c>
      <c r="O1429" s="49">
        <f t="shared" ca="1" si="380"/>
        <v>0</v>
      </c>
      <c r="P1429" s="49">
        <f t="shared" ca="1" si="380"/>
        <v>0</v>
      </c>
      <c r="Q1429" s="49">
        <f t="shared" ca="1" si="380"/>
        <v>0</v>
      </c>
      <c r="T1429" s="274">
        <v>0</v>
      </c>
      <c r="U1429" s="80">
        <v>923</v>
      </c>
      <c r="W1429" s="81">
        <f>SUMIF('O&amp;M'!$B$3:$B$89,TOTALCO!U1429,'O&amp;M'!$G$3:$G$89)+SUMIF('O&amp;M'!$B$3:$B$89,TOTALCO!V1429,'O&amp;M'!$G$3:$G$89)</f>
        <v>0</v>
      </c>
      <c r="X1429" s="74">
        <f t="shared" ca="1" si="381"/>
        <v>0</v>
      </c>
      <c r="Y1429" s="39" t="s">
        <v>422</v>
      </c>
    </row>
    <row r="1430" spans="1:25" x14ac:dyDescent="0.2">
      <c r="A1430" s="23">
        <v>20</v>
      </c>
      <c r="B1430" s="23" t="s">
        <v>533</v>
      </c>
      <c r="C1430" s="45" t="s">
        <v>684</v>
      </c>
      <c r="D1430" s="55">
        <f t="shared" ca="1" si="374"/>
        <v>0</v>
      </c>
      <c r="F1430" s="49">
        <f t="shared" ca="1" si="375"/>
        <v>0</v>
      </c>
      <c r="H1430" s="49">
        <f t="shared" ca="1" si="376"/>
        <v>0</v>
      </c>
      <c r="I1430" s="49">
        <f t="shared" ca="1" si="377"/>
        <v>0</v>
      </c>
      <c r="L1430" s="49">
        <f t="shared" ca="1" si="378"/>
        <v>0</v>
      </c>
      <c r="M1430" s="49"/>
      <c r="N1430" s="49">
        <f t="shared" ca="1" si="379"/>
        <v>0</v>
      </c>
      <c r="O1430" s="49">
        <f t="shared" ca="1" si="380"/>
        <v>0</v>
      </c>
      <c r="P1430" s="49">
        <f t="shared" ca="1" si="380"/>
        <v>0</v>
      </c>
      <c r="Q1430" s="49">
        <f t="shared" ca="1" si="380"/>
        <v>0</v>
      </c>
      <c r="T1430" s="274">
        <v>0</v>
      </c>
      <c r="U1430" s="80">
        <v>924</v>
      </c>
      <c r="W1430" s="81">
        <f>SUMIF('O&amp;M'!$B$3:$B$89,TOTALCO!U1430,'O&amp;M'!$G$3:$G$89)+SUMIF('O&amp;M'!$B$3:$B$89,TOTALCO!V1430,'O&amp;M'!$G$3:$G$89)</f>
        <v>0</v>
      </c>
      <c r="X1430" s="74">
        <f t="shared" ca="1" si="381"/>
        <v>0</v>
      </c>
      <c r="Y1430" s="39" t="s">
        <v>422</v>
      </c>
    </row>
    <row r="1431" spans="1:25" x14ac:dyDescent="0.2">
      <c r="A1431" s="23">
        <v>21</v>
      </c>
      <c r="B1431" s="23" t="s">
        <v>534</v>
      </c>
      <c r="C1431" s="45" t="s">
        <v>684</v>
      </c>
      <c r="D1431" s="55">
        <f t="shared" ca="1" si="374"/>
        <v>757233</v>
      </c>
      <c r="F1431" s="49">
        <f t="shared" ca="1" si="375"/>
        <v>712310.64642569574</v>
      </c>
      <c r="H1431" s="49">
        <f t="shared" ca="1" si="376"/>
        <v>35853.313208525164</v>
      </c>
      <c r="I1431" s="49">
        <f t="shared" ca="1" si="377"/>
        <v>9069.0403657790794</v>
      </c>
      <c r="L1431" s="49">
        <f t="shared" ca="1" si="378"/>
        <v>51.023761856087127</v>
      </c>
      <c r="M1431" s="49"/>
      <c r="N1431" s="49">
        <f t="shared" ca="1" si="379"/>
        <v>9018.0166039229916</v>
      </c>
      <c r="O1431" s="49">
        <f t="shared" ca="1" si="380"/>
        <v>4700.9090966896974</v>
      </c>
      <c r="P1431" s="49">
        <f t="shared" ca="1" si="380"/>
        <v>4317.1075072332942</v>
      </c>
      <c r="Q1431" s="49">
        <f t="shared" ca="1" si="380"/>
        <v>0</v>
      </c>
      <c r="T1431" s="274">
        <v>757233</v>
      </c>
      <c r="U1431" s="80">
        <v>925</v>
      </c>
      <c r="W1431" s="81">
        <f>SUMIF('O&amp;M'!$B$3:$B$89,TOTALCO!U1431,'O&amp;M'!$G$3:$G$89)+SUMIF('O&amp;M'!$B$3:$B$89,TOTALCO!V1431,'O&amp;M'!$G$3:$G$89)</f>
        <v>757233</v>
      </c>
      <c r="X1431" s="74">
        <f t="shared" ca="1" si="381"/>
        <v>0</v>
      </c>
      <c r="Y1431" s="39" t="s">
        <v>422</v>
      </c>
    </row>
    <row r="1432" spans="1:25" x14ac:dyDescent="0.2">
      <c r="A1432" s="23">
        <v>22</v>
      </c>
      <c r="B1432" s="23" t="s">
        <v>535</v>
      </c>
      <c r="C1432" s="45" t="s">
        <v>684</v>
      </c>
      <c r="D1432" s="55">
        <f t="shared" ca="1" si="374"/>
        <v>30537150</v>
      </c>
      <c r="F1432" s="49">
        <f t="shared" ca="1" si="375"/>
        <v>28725553.504005287</v>
      </c>
      <c r="H1432" s="49">
        <f t="shared" ca="1" si="376"/>
        <v>1445866.732492792</v>
      </c>
      <c r="I1432" s="49">
        <f t="shared" ca="1" si="377"/>
        <v>365729.76350192155</v>
      </c>
      <c r="L1432" s="49">
        <f t="shared" ca="1" si="378"/>
        <v>2057.6497185986491</v>
      </c>
      <c r="M1432" s="49"/>
      <c r="N1432" s="49">
        <f t="shared" ca="1" si="379"/>
        <v>363672.11378332291</v>
      </c>
      <c r="O1432" s="49">
        <f t="shared" ca="1" si="380"/>
        <v>189574.89467835895</v>
      </c>
      <c r="P1432" s="49">
        <f t="shared" ca="1" si="380"/>
        <v>174097.21910496397</v>
      </c>
      <c r="Q1432" s="49">
        <f t="shared" ca="1" si="380"/>
        <v>0</v>
      </c>
      <c r="T1432" s="274">
        <v>30537150</v>
      </c>
      <c r="U1432" s="80">
        <v>926</v>
      </c>
      <c r="W1432" s="81">
        <f>SUMIF('O&amp;M'!$B$3:$B$89,TOTALCO!U1432,'O&amp;M'!$G$3:$G$89)+SUMIF('O&amp;M'!$B$3:$B$89,TOTALCO!V1432,'O&amp;M'!$G$3:$G$89)</f>
        <v>30537150</v>
      </c>
      <c r="X1432" s="74">
        <f t="shared" ca="1" si="381"/>
        <v>0</v>
      </c>
      <c r="Y1432" s="39" t="s">
        <v>422</v>
      </c>
    </row>
    <row r="1433" spans="1:25" x14ac:dyDescent="0.2">
      <c r="A1433" s="23">
        <v>23</v>
      </c>
      <c r="B1433" s="23" t="s">
        <v>536</v>
      </c>
      <c r="C1433" s="45" t="s">
        <v>684</v>
      </c>
      <c r="D1433" s="55">
        <f t="shared" ca="1" si="374"/>
        <v>0</v>
      </c>
      <c r="F1433" s="49">
        <f t="shared" ca="1" si="375"/>
        <v>0</v>
      </c>
      <c r="H1433" s="49">
        <f t="shared" ca="1" si="376"/>
        <v>0</v>
      </c>
      <c r="I1433" s="49">
        <f t="shared" ca="1" si="377"/>
        <v>0</v>
      </c>
      <c r="L1433" s="49">
        <f t="shared" ca="1" si="378"/>
        <v>0</v>
      </c>
      <c r="M1433" s="49"/>
      <c r="N1433" s="49">
        <f t="shared" ca="1" si="379"/>
        <v>0</v>
      </c>
      <c r="O1433" s="49">
        <f t="shared" ca="1" si="380"/>
        <v>0</v>
      </c>
      <c r="P1433" s="49">
        <f t="shared" ca="1" si="380"/>
        <v>0</v>
      </c>
      <c r="Q1433" s="49">
        <f t="shared" ca="1" si="380"/>
        <v>0</v>
      </c>
      <c r="T1433" s="274">
        <v>0</v>
      </c>
      <c r="U1433" s="80">
        <v>927</v>
      </c>
      <c r="W1433" s="81">
        <f>SUMIF('O&amp;M'!$B$3:$B$89,TOTALCO!U1433,'O&amp;M'!$G$3:$G$89)+SUMIF('O&amp;M'!$B$3:$B$89,TOTALCO!V1433,'O&amp;M'!$G$3:$G$89)</f>
        <v>0</v>
      </c>
      <c r="X1433" s="74">
        <f t="shared" ca="1" si="381"/>
        <v>0</v>
      </c>
      <c r="Y1433" s="39" t="s">
        <v>422</v>
      </c>
    </row>
    <row r="1434" spans="1:25" x14ac:dyDescent="0.2">
      <c r="A1434" s="23">
        <v>24</v>
      </c>
      <c r="B1434" s="23" t="s">
        <v>537</v>
      </c>
      <c r="C1434" s="45" t="s">
        <v>684</v>
      </c>
      <c r="D1434" s="55">
        <f t="shared" ca="1" si="374"/>
        <v>0</v>
      </c>
      <c r="F1434" s="49">
        <f t="shared" ca="1" si="375"/>
        <v>0</v>
      </c>
      <c r="H1434" s="49">
        <f t="shared" ca="1" si="376"/>
        <v>0</v>
      </c>
      <c r="I1434" s="49">
        <f t="shared" ca="1" si="377"/>
        <v>0</v>
      </c>
      <c r="L1434" s="49">
        <f t="shared" ca="1" si="378"/>
        <v>0</v>
      </c>
      <c r="M1434" s="49"/>
      <c r="N1434" s="49">
        <f t="shared" ca="1" si="379"/>
        <v>0</v>
      </c>
      <c r="O1434" s="49">
        <f t="shared" ca="1" si="380"/>
        <v>0</v>
      </c>
      <c r="P1434" s="49">
        <f t="shared" ca="1" si="380"/>
        <v>0</v>
      </c>
      <c r="Q1434" s="49">
        <f t="shared" ca="1" si="380"/>
        <v>0</v>
      </c>
      <c r="T1434" s="274">
        <v>0</v>
      </c>
      <c r="U1434" s="80">
        <v>929</v>
      </c>
      <c r="W1434" s="81">
        <f>SUMIF('O&amp;M'!$B$3:$B$89,TOTALCO!U1434,'O&amp;M'!$G$3:$G$89)+SUMIF('O&amp;M'!$B$3:$B$89,TOTALCO!V1434,'O&amp;M'!$G$3:$G$89)</f>
        <v>0</v>
      </c>
      <c r="X1434" s="74">
        <f t="shared" ca="1" si="381"/>
        <v>0</v>
      </c>
      <c r="Y1434" s="39" t="s">
        <v>422</v>
      </c>
    </row>
    <row r="1435" spans="1:25" x14ac:dyDescent="0.2">
      <c r="A1435" s="23">
        <v>25</v>
      </c>
      <c r="B1435" s="23" t="s">
        <v>538</v>
      </c>
      <c r="C1435" s="45" t="s">
        <v>684</v>
      </c>
      <c r="D1435" s="55">
        <f t="shared" ca="1" si="374"/>
        <v>0</v>
      </c>
      <c r="F1435" s="49">
        <f t="shared" ca="1" si="375"/>
        <v>0</v>
      </c>
      <c r="H1435" s="49">
        <f t="shared" ca="1" si="376"/>
        <v>0</v>
      </c>
      <c r="I1435" s="49">
        <f t="shared" ca="1" si="377"/>
        <v>0</v>
      </c>
      <c r="L1435" s="49">
        <f t="shared" ca="1" si="378"/>
        <v>0</v>
      </c>
      <c r="M1435" s="49"/>
      <c r="N1435" s="49">
        <f t="shared" ca="1" si="379"/>
        <v>0</v>
      </c>
      <c r="O1435" s="49">
        <f t="shared" ca="1" si="380"/>
        <v>0</v>
      </c>
      <c r="P1435" s="49">
        <f t="shared" ca="1" si="380"/>
        <v>0</v>
      </c>
      <c r="Q1435" s="49">
        <f t="shared" ca="1" si="380"/>
        <v>0</v>
      </c>
      <c r="T1435" s="274">
        <v>0</v>
      </c>
      <c r="U1435" s="305">
        <v>930.1</v>
      </c>
      <c r="V1435" s="306">
        <v>930.2</v>
      </c>
      <c r="W1435" s="81">
        <f>SUMIF('O&amp;M'!$B$3:$B$89,TOTALCO!U1435,'O&amp;M'!$G$3:$G$89)+SUMIF('O&amp;M'!$B$3:$B$89,TOTALCO!V1435,'O&amp;M'!$G$3:$G$89)</f>
        <v>0</v>
      </c>
      <c r="X1435" s="74">
        <f t="shared" ca="1" si="381"/>
        <v>0</v>
      </c>
      <c r="Y1435" s="39" t="s">
        <v>422</v>
      </c>
    </row>
    <row r="1436" spans="1:25" x14ac:dyDescent="0.2">
      <c r="A1436" s="23">
        <v>26</v>
      </c>
      <c r="B1436" s="23" t="s">
        <v>539</v>
      </c>
      <c r="C1436" s="45" t="s">
        <v>684</v>
      </c>
      <c r="D1436" s="55">
        <f t="shared" ca="1" si="374"/>
        <v>0</v>
      </c>
      <c r="F1436" s="49">
        <f t="shared" ca="1" si="375"/>
        <v>0</v>
      </c>
      <c r="H1436" s="49">
        <f t="shared" ca="1" si="376"/>
        <v>0</v>
      </c>
      <c r="I1436" s="49">
        <f t="shared" ca="1" si="377"/>
        <v>0</v>
      </c>
      <c r="L1436" s="49">
        <f t="shared" ca="1" si="378"/>
        <v>0</v>
      </c>
      <c r="M1436" s="49"/>
      <c r="N1436" s="49">
        <f t="shared" ca="1" si="379"/>
        <v>0</v>
      </c>
      <c r="O1436" s="49">
        <f t="shared" ca="1" si="380"/>
        <v>0</v>
      </c>
      <c r="P1436" s="49">
        <f t="shared" ca="1" si="380"/>
        <v>0</v>
      </c>
      <c r="Q1436" s="49">
        <f t="shared" ca="1" si="380"/>
        <v>0</v>
      </c>
      <c r="T1436" s="274">
        <v>0</v>
      </c>
      <c r="U1436" s="80">
        <v>931</v>
      </c>
      <c r="W1436" s="81">
        <f>SUMIF('O&amp;M'!$B$3:$B$89,TOTALCO!U1436,'O&amp;M'!$G$3:$G$89)+SUMIF('O&amp;M'!$B$3:$B$89,TOTALCO!V1436,'O&amp;M'!$G$3:$G$89)</f>
        <v>0</v>
      </c>
      <c r="X1436" s="74">
        <f t="shared" ca="1" si="381"/>
        <v>0</v>
      </c>
      <c r="Y1436" s="39" t="s">
        <v>422</v>
      </c>
    </row>
    <row r="1437" spans="1:25" x14ac:dyDescent="0.2">
      <c r="A1437" s="23">
        <v>27</v>
      </c>
      <c r="B1437" s="23" t="s">
        <v>540</v>
      </c>
      <c r="C1437" s="45" t="s">
        <v>684</v>
      </c>
      <c r="D1437" s="55">
        <f t="shared" ca="1" si="374"/>
        <v>840740.99999999988</v>
      </c>
      <c r="F1437" s="49">
        <f t="shared" ca="1" si="375"/>
        <v>790864.58882085944</v>
      </c>
      <c r="H1437" s="49">
        <f t="shared" ca="1" si="376"/>
        <v>39807.232912787287</v>
      </c>
      <c r="I1437" s="49">
        <f t="shared" ca="1" si="377"/>
        <v>10069.178266353247</v>
      </c>
      <c r="L1437" s="49">
        <f t="shared" ca="1" si="378"/>
        <v>56.650685544143677</v>
      </c>
      <c r="M1437" s="49"/>
      <c r="N1437" s="49">
        <f t="shared" ca="1" si="379"/>
        <v>10012.527580809103</v>
      </c>
      <c r="O1437" s="49">
        <f t="shared" ca="1" si="380"/>
        <v>5219.3274921457369</v>
      </c>
      <c r="P1437" s="49">
        <f t="shared" ca="1" si="380"/>
        <v>4793.2000886633659</v>
      </c>
      <c r="Q1437" s="49">
        <f t="shared" ca="1" si="380"/>
        <v>0</v>
      </c>
      <c r="T1437" s="274">
        <v>840741</v>
      </c>
      <c r="U1437" s="305">
        <v>935</v>
      </c>
      <c r="V1437" s="306"/>
      <c r="W1437" s="81">
        <f>SUMIF('O&amp;M'!$B$3:$B$89,TOTALCO!U1437,'O&amp;M'!$G$3:$G$89)+SUMIF('O&amp;M'!$B$3:$B$89,TOTALCO!V1437,'O&amp;M'!$G$3:$G$89)</f>
        <v>840741</v>
      </c>
      <c r="X1437" s="74">
        <f t="shared" ca="1" si="381"/>
        <v>0</v>
      </c>
      <c r="Y1437" s="39" t="s">
        <v>422</v>
      </c>
    </row>
    <row r="1438" spans="1:25" x14ac:dyDescent="0.2">
      <c r="W1438" s="39"/>
    </row>
    <row r="1439" spans="1:25" x14ac:dyDescent="0.2">
      <c r="A1439" s="23">
        <v>28</v>
      </c>
      <c r="B1439" s="23" t="s">
        <v>541</v>
      </c>
      <c r="D1439" s="55">
        <f ca="1">SUM(F1439:I1439)+K1439</f>
        <v>65500560.000000007</v>
      </c>
      <c r="F1439" s="23">
        <f ca="1">SUM(F1426:F1437)</f>
        <v>61614782.021973521</v>
      </c>
      <c r="H1439" s="23">
        <f ca="1">SUM(H1426:H1437)</f>
        <v>3101307.118170755</v>
      </c>
      <c r="I1439" s="49">
        <f ca="1">(L1439+M1439+N1439)</f>
        <v>784470.85985573067</v>
      </c>
      <c r="L1439" s="23">
        <f ca="1">SUM(L1426:L1437)</f>
        <v>4413.5490329665326</v>
      </c>
      <c r="N1439" s="49">
        <f ca="1">SUM(O1439:Q1439)</f>
        <v>780057.31082276418</v>
      </c>
      <c r="O1439" s="23">
        <f ca="1">SUM(O1426:O1437)</f>
        <v>406628.05020683113</v>
      </c>
      <c r="P1439" s="23">
        <f ca="1">SUM(P1426:P1437)</f>
        <v>373429.26061593299</v>
      </c>
      <c r="Q1439" s="23">
        <f ca="1">SUM(Q1426:Q1437)</f>
        <v>0</v>
      </c>
      <c r="W1439" s="39"/>
    </row>
    <row r="1440" spans="1:25" x14ac:dyDescent="0.2">
      <c r="W1440" s="39"/>
    </row>
    <row r="1441" spans="1:23" x14ac:dyDescent="0.2">
      <c r="A1441" s="23">
        <v>29</v>
      </c>
      <c r="B1441" s="23" t="s">
        <v>415</v>
      </c>
      <c r="D1441" s="55">
        <f ca="1">SUM(F1441:I1441)+K1441</f>
        <v>178867174.00000003</v>
      </c>
      <c r="F1441" s="23">
        <f ca="1">F1439+F1421+F1410+F1398</f>
        <v>168255995.62654746</v>
      </c>
      <c r="H1441" s="23">
        <f ca="1">H1439+H1421+H1410+H1398</f>
        <v>8468966.3711773921</v>
      </c>
      <c r="I1441" s="49">
        <f ca="1">(L1441+M1441+N1441)</f>
        <v>2142212.0022751656</v>
      </c>
      <c r="L1441" s="23">
        <f ca="1">L1439+L1421+L1410+L1398</f>
        <v>12052.401427364233</v>
      </c>
      <c r="N1441" s="49">
        <f ca="1">SUM(O1441:Q1441)</f>
        <v>2130159.6008478012</v>
      </c>
      <c r="O1441" s="23">
        <f ca="1">O1439+O1421+O1410+O1398</f>
        <v>1110408.9829098561</v>
      </c>
      <c r="P1441" s="23">
        <f ca="1">P1439+P1421+P1410+P1398</f>
        <v>1019750.6179379449</v>
      </c>
      <c r="Q1441" s="23">
        <f ca="1">Q1439+Q1421+Q1410+Q1398</f>
        <v>0</v>
      </c>
      <c r="U1441" s="24" t="str">
        <f ca="1">IF(ROUND(D1441,0)=ROUND('O&amp;M'!G92,0),"ok","err")</f>
        <v>ok</v>
      </c>
      <c r="W1441" s="39">
        <f ca="1">D1441-'O&amp;M'!G92</f>
        <v>0</v>
      </c>
    </row>
    <row r="1442" spans="1:23" x14ac:dyDescent="0.2">
      <c r="W1442" s="39"/>
    </row>
    <row r="1443" spans="1:23" x14ac:dyDescent="0.2">
      <c r="W1443" s="39"/>
    </row>
    <row r="1444" spans="1:23" x14ac:dyDescent="0.2">
      <c r="W1444" s="39"/>
    </row>
    <row r="1445" spans="1:23" x14ac:dyDescent="0.2">
      <c r="W1445" s="39"/>
    </row>
    <row r="1446" spans="1:23" x14ac:dyDescent="0.2">
      <c r="W1446" s="39"/>
    </row>
    <row r="1447" spans="1:23" x14ac:dyDescent="0.2">
      <c r="W1447" s="39"/>
    </row>
    <row r="1448" spans="1:23" x14ac:dyDescent="0.2">
      <c r="W1448" s="39"/>
    </row>
    <row r="1449" spans="1:23" x14ac:dyDescent="0.2">
      <c r="W1449" s="39"/>
    </row>
    <row r="1450" spans="1:23" x14ac:dyDescent="0.2">
      <c r="W1450" s="39"/>
    </row>
    <row r="1451" spans="1:23" x14ac:dyDescent="0.2">
      <c r="W1451" s="39"/>
    </row>
    <row r="1452" spans="1:23" x14ac:dyDescent="0.2">
      <c r="W1452" s="39"/>
    </row>
    <row r="1453" spans="1:23" x14ac:dyDescent="0.2">
      <c r="W1453" s="39"/>
    </row>
    <row r="1454" spans="1:23" x14ac:dyDescent="0.2">
      <c r="W1454" s="39"/>
    </row>
    <row r="1455" spans="1:23" x14ac:dyDescent="0.2">
      <c r="W1455" s="39"/>
    </row>
    <row r="1456" spans="1:23" x14ac:dyDescent="0.2">
      <c r="W1456" s="39"/>
    </row>
    <row r="1457" spans="23:23" x14ac:dyDescent="0.2">
      <c r="W1457" s="39"/>
    </row>
    <row r="1458" spans="23:23" x14ac:dyDescent="0.2">
      <c r="W1458" s="39"/>
    </row>
    <row r="1459" spans="23:23" x14ac:dyDescent="0.2">
      <c r="W1459" s="39"/>
    </row>
    <row r="1460" spans="23:23" x14ac:dyDescent="0.2">
      <c r="W1460" s="39"/>
    </row>
    <row r="1461" spans="23:23" x14ac:dyDescent="0.2">
      <c r="W1461" s="39"/>
    </row>
    <row r="1462" spans="23:23" x14ac:dyDescent="0.2">
      <c r="W1462" s="39"/>
    </row>
    <row r="1463" spans="23:23" x14ac:dyDescent="0.2">
      <c r="W1463" s="39"/>
    </row>
    <row r="1464" spans="23:23" x14ac:dyDescent="0.2">
      <c r="W1464" s="39"/>
    </row>
    <row r="1465" spans="23:23" x14ac:dyDescent="0.2">
      <c r="W1465" s="39"/>
    </row>
    <row r="1466" spans="23:23" x14ac:dyDescent="0.2">
      <c r="W1466" s="39"/>
    </row>
    <row r="1467" spans="23:23" x14ac:dyDescent="0.2">
      <c r="W1467" s="39"/>
    </row>
    <row r="1468" spans="23:23" x14ac:dyDescent="0.2">
      <c r="W1468" s="39"/>
    </row>
    <row r="1469" spans="23:23" x14ac:dyDescent="0.2">
      <c r="W1469" s="39"/>
    </row>
    <row r="1470" spans="23:23" x14ac:dyDescent="0.2">
      <c r="W1470" s="39"/>
    </row>
    <row r="1471" spans="23:23" x14ac:dyDescent="0.2">
      <c r="W1471" s="39"/>
    </row>
    <row r="1472" spans="23:23" x14ac:dyDescent="0.2">
      <c r="W1472" s="39"/>
    </row>
    <row r="1473" spans="23:23" x14ac:dyDescent="0.2">
      <c r="W1473" s="39"/>
    </row>
    <row r="1474" spans="23:23" x14ac:dyDescent="0.2">
      <c r="W1474" s="39"/>
    </row>
    <row r="1475" spans="23:23" x14ac:dyDescent="0.2">
      <c r="W1475" s="39"/>
    </row>
    <row r="1476" spans="23:23" x14ac:dyDescent="0.2">
      <c r="W1476" s="39"/>
    </row>
    <row r="1477" spans="23:23" x14ac:dyDescent="0.2">
      <c r="W1477" s="39"/>
    </row>
    <row r="1478" spans="23:23" x14ac:dyDescent="0.2">
      <c r="W1478" s="39"/>
    </row>
    <row r="1479" spans="23:23" x14ac:dyDescent="0.2">
      <c r="W1479" s="39"/>
    </row>
    <row r="1480" spans="23:23" x14ac:dyDescent="0.2">
      <c r="W1480" s="39"/>
    </row>
    <row r="1481" spans="23:23" x14ac:dyDescent="0.2">
      <c r="W1481" s="39"/>
    </row>
    <row r="1482" spans="23:23" x14ac:dyDescent="0.2">
      <c r="W1482" s="39"/>
    </row>
    <row r="1483" spans="23:23" x14ac:dyDescent="0.2">
      <c r="W1483" s="39"/>
    </row>
    <row r="1484" spans="23:23" x14ac:dyDescent="0.2">
      <c r="W1484" s="39"/>
    </row>
    <row r="1485" spans="23:23" x14ac:dyDescent="0.2">
      <c r="W1485" s="39"/>
    </row>
    <row r="1486" spans="23:23" x14ac:dyDescent="0.2">
      <c r="W1486" s="39"/>
    </row>
    <row r="1487" spans="23:23" x14ac:dyDescent="0.2">
      <c r="W1487" s="39"/>
    </row>
    <row r="1488" spans="23:23" x14ac:dyDescent="0.2">
      <c r="W1488" s="39"/>
    </row>
    <row r="1489" spans="23:23" x14ac:dyDescent="0.2">
      <c r="W1489" s="39"/>
    </row>
    <row r="1490" spans="23:23" x14ac:dyDescent="0.2">
      <c r="W1490" s="39"/>
    </row>
    <row r="1491" spans="23:23" x14ac:dyDescent="0.2">
      <c r="W1491" s="39"/>
    </row>
    <row r="1492" spans="23:23" x14ac:dyDescent="0.2">
      <c r="W1492" s="39"/>
    </row>
    <row r="1493" spans="23:23" x14ac:dyDescent="0.2">
      <c r="W1493" s="39"/>
    </row>
    <row r="1494" spans="23:23" x14ac:dyDescent="0.2">
      <c r="W1494" s="39"/>
    </row>
    <row r="1495" spans="23:23" x14ac:dyDescent="0.2">
      <c r="W1495" s="39"/>
    </row>
    <row r="1496" spans="23:23" x14ac:dyDescent="0.2">
      <c r="W1496" s="39"/>
    </row>
    <row r="1497" spans="23:23" x14ac:dyDescent="0.2">
      <c r="W1497" s="39"/>
    </row>
    <row r="1498" spans="23:23" x14ac:dyDescent="0.2">
      <c r="W1498" s="39"/>
    </row>
    <row r="1499" spans="23:23" x14ac:dyDescent="0.2">
      <c r="W1499" s="39"/>
    </row>
    <row r="1500" spans="23:23" x14ac:dyDescent="0.2">
      <c r="W1500" s="39"/>
    </row>
    <row r="1501" spans="23:23" x14ac:dyDescent="0.2">
      <c r="W1501" s="39"/>
    </row>
    <row r="1502" spans="23:23" x14ac:dyDescent="0.2">
      <c r="W1502" s="39"/>
    </row>
    <row r="1503" spans="23:23" x14ac:dyDescent="0.2">
      <c r="W1503" s="39"/>
    </row>
    <row r="1504" spans="23:23" x14ac:dyDescent="0.2">
      <c r="W1504" s="39"/>
    </row>
    <row r="1505" spans="23:23" x14ac:dyDescent="0.2">
      <c r="W1505" s="39"/>
    </row>
    <row r="1506" spans="23:23" x14ac:dyDescent="0.2">
      <c r="W1506" s="39"/>
    </row>
    <row r="1507" spans="23:23" x14ac:dyDescent="0.2">
      <c r="W1507" s="39"/>
    </row>
    <row r="1508" spans="23:23" x14ac:dyDescent="0.2">
      <c r="W1508" s="39"/>
    </row>
    <row r="1509" spans="23:23" x14ac:dyDescent="0.2">
      <c r="W1509" s="39"/>
    </row>
    <row r="1510" spans="23:23" x14ac:dyDescent="0.2">
      <c r="W1510" s="39"/>
    </row>
    <row r="1511" spans="23:23" x14ac:dyDescent="0.2">
      <c r="W1511" s="39"/>
    </row>
    <row r="1512" spans="23:23" x14ac:dyDescent="0.2">
      <c r="W1512" s="39"/>
    </row>
    <row r="1513" spans="23:23" x14ac:dyDescent="0.2">
      <c r="W1513" s="39"/>
    </row>
    <row r="1514" spans="23:23" x14ac:dyDescent="0.2">
      <c r="W1514" s="39"/>
    </row>
    <row r="1515" spans="23:23" x14ac:dyDescent="0.2">
      <c r="W1515" s="39"/>
    </row>
    <row r="1516" spans="23:23" x14ac:dyDescent="0.2">
      <c r="W1516" s="39"/>
    </row>
    <row r="1517" spans="23:23" x14ac:dyDescent="0.2">
      <c r="W1517" s="39"/>
    </row>
    <row r="1518" spans="23:23" x14ac:dyDescent="0.2">
      <c r="W1518" s="39"/>
    </row>
    <row r="1519" spans="23:23" x14ac:dyDescent="0.2">
      <c r="W1519" s="39"/>
    </row>
    <row r="1520" spans="23:23" x14ac:dyDescent="0.2">
      <c r="W1520" s="39"/>
    </row>
    <row r="1521" spans="23:23" x14ac:dyDescent="0.2">
      <c r="W1521" s="39"/>
    </row>
    <row r="1522" spans="23:23" x14ac:dyDescent="0.2">
      <c r="W1522" s="39"/>
    </row>
    <row r="1523" spans="23:23" x14ac:dyDescent="0.2">
      <c r="W1523" s="39"/>
    </row>
    <row r="1524" spans="23:23" x14ac:dyDescent="0.2">
      <c r="W1524" s="39"/>
    </row>
    <row r="1525" spans="23:23" x14ac:dyDescent="0.2">
      <c r="W1525" s="39"/>
    </row>
    <row r="1526" spans="23:23" x14ac:dyDescent="0.2">
      <c r="W1526" s="39"/>
    </row>
    <row r="1527" spans="23:23" x14ac:dyDescent="0.2">
      <c r="W1527" s="39"/>
    </row>
    <row r="1528" spans="23:23" x14ac:dyDescent="0.2">
      <c r="W1528" s="39"/>
    </row>
    <row r="1529" spans="23:23" x14ac:dyDescent="0.2">
      <c r="W1529" s="39"/>
    </row>
    <row r="1530" spans="23:23" x14ac:dyDescent="0.2">
      <c r="W1530" s="39"/>
    </row>
    <row r="1531" spans="23:23" x14ac:dyDescent="0.2">
      <c r="W1531" s="39"/>
    </row>
    <row r="1532" spans="23:23" x14ac:dyDescent="0.2">
      <c r="W1532" s="39"/>
    </row>
    <row r="1533" spans="23:23" x14ac:dyDescent="0.2">
      <c r="W1533" s="39"/>
    </row>
    <row r="1534" spans="23:23" x14ac:dyDescent="0.2">
      <c r="W1534" s="39"/>
    </row>
    <row r="1535" spans="23:23" x14ac:dyDescent="0.2">
      <c r="W1535" s="39"/>
    </row>
    <row r="1536" spans="23:23" x14ac:dyDescent="0.2">
      <c r="W1536" s="39"/>
    </row>
    <row r="1537" spans="23:23" x14ac:dyDescent="0.2">
      <c r="W1537" s="39"/>
    </row>
    <row r="1538" spans="23:23" x14ac:dyDescent="0.2">
      <c r="W1538" s="39"/>
    </row>
    <row r="1539" spans="23:23" x14ac:dyDescent="0.2">
      <c r="W1539" s="39"/>
    </row>
    <row r="1540" spans="23:23" x14ac:dyDescent="0.2">
      <c r="W1540" s="39"/>
    </row>
    <row r="1541" spans="23:23" x14ac:dyDescent="0.2">
      <c r="W1541" s="39"/>
    </row>
    <row r="1542" spans="23:23" x14ac:dyDescent="0.2">
      <c r="W1542" s="39"/>
    </row>
    <row r="1543" spans="23:23" x14ac:dyDescent="0.2">
      <c r="W1543" s="39"/>
    </row>
    <row r="1544" spans="23:23" x14ac:dyDescent="0.2">
      <c r="W1544" s="39"/>
    </row>
    <row r="1545" spans="23:23" x14ac:dyDescent="0.2">
      <c r="W1545" s="39"/>
    </row>
    <row r="1546" spans="23:23" x14ac:dyDescent="0.2">
      <c r="W1546" s="39"/>
    </row>
    <row r="1547" spans="23:23" x14ac:dyDescent="0.2">
      <c r="W1547" s="39"/>
    </row>
    <row r="1548" spans="23:23" x14ac:dyDescent="0.2">
      <c r="W1548" s="39"/>
    </row>
    <row r="1549" spans="23:23" x14ac:dyDescent="0.2">
      <c r="W1549" s="39"/>
    </row>
    <row r="1550" spans="23:23" x14ac:dyDescent="0.2">
      <c r="W1550" s="39"/>
    </row>
    <row r="1551" spans="23:23" x14ac:dyDescent="0.2">
      <c r="W1551" s="39"/>
    </row>
    <row r="1552" spans="23:23" x14ac:dyDescent="0.2">
      <c r="W1552" s="39"/>
    </row>
    <row r="1553" spans="23:23" x14ac:dyDescent="0.2">
      <c r="W1553" s="39"/>
    </row>
    <row r="1554" spans="23:23" x14ac:dyDescent="0.2">
      <c r="W1554" s="39"/>
    </row>
    <row r="1555" spans="23:23" x14ac:dyDescent="0.2">
      <c r="W1555" s="39"/>
    </row>
    <row r="1556" spans="23:23" x14ac:dyDescent="0.2">
      <c r="W1556" s="39"/>
    </row>
    <row r="1557" spans="23:23" x14ac:dyDescent="0.2">
      <c r="W1557" s="39"/>
    </row>
    <row r="1558" spans="23:23" x14ac:dyDescent="0.2">
      <c r="W1558" s="39"/>
    </row>
    <row r="1559" spans="23:23" x14ac:dyDescent="0.2">
      <c r="W1559" s="39"/>
    </row>
    <row r="1560" spans="23:23" x14ac:dyDescent="0.2">
      <c r="W1560" s="39"/>
    </row>
    <row r="1561" spans="23:23" x14ac:dyDescent="0.2">
      <c r="W1561" s="39"/>
    </row>
    <row r="1562" spans="23:23" x14ac:dyDescent="0.2">
      <c r="W1562" s="39"/>
    </row>
    <row r="1563" spans="23:23" x14ac:dyDescent="0.2">
      <c r="W1563" s="39"/>
    </row>
    <row r="1564" spans="23:23" x14ac:dyDescent="0.2">
      <c r="W1564" s="39"/>
    </row>
    <row r="1565" spans="23:23" x14ac:dyDescent="0.2">
      <c r="W1565" s="39"/>
    </row>
    <row r="1566" spans="23:23" x14ac:dyDescent="0.2">
      <c r="W1566" s="39"/>
    </row>
    <row r="1567" spans="23:23" x14ac:dyDescent="0.2">
      <c r="W1567" s="39"/>
    </row>
    <row r="1568" spans="23:23" x14ac:dyDescent="0.2">
      <c r="W1568" s="39"/>
    </row>
    <row r="1569" spans="23:23" x14ac:dyDescent="0.2">
      <c r="W1569" s="39"/>
    </row>
    <row r="1570" spans="23:23" x14ac:dyDescent="0.2">
      <c r="W1570" s="39"/>
    </row>
    <row r="1571" spans="23:23" x14ac:dyDescent="0.2">
      <c r="W1571" s="39"/>
    </row>
    <row r="1572" spans="23:23" x14ac:dyDescent="0.2">
      <c r="W1572" s="39"/>
    </row>
    <row r="1573" spans="23:23" x14ac:dyDescent="0.2">
      <c r="W1573" s="39"/>
    </row>
    <row r="1574" spans="23:23" x14ac:dyDescent="0.2">
      <c r="W1574" s="39"/>
    </row>
    <row r="1575" spans="23:23" x14ac:dyDescent="0.2">
      <c r="W1575" s="39"/>
    </row>
    <row r="1576" spans="23:23" x14ac:dyDescent="0.2">
      <c r="W1576" s="39"/>
    </row>
    <row r="1577" spans="23:23" x14ac:dyDescent="0.2">
      <c r="W1577" s="39"/>
    </row>
    <row r="1578" spans="23:23" x14ac:dyDescent="0.2">
      <c r="W1578" s="39"/>
    </row>
    <row r="1579" spans="23:23" x14ac:dyDescent="0.2">
      <c r="W1579" s="39"/>
    </row>
    <row r="1580" spans="23:23" x14ac:dyDescent="0.2">
      <c r="W1580" s="39"/>
    </row>
    <row r="1581" spans="23:23" x14ac:dyDescent="0.2">
      <c r="W1581" s="39"/>
    </row>
    <row r="1582" spans="23:23" x14ac:dyDescent="0.2">
      <c r="W1582" s="39"/>
    </row>
    <row r="1583" spans="23:23" x14ac:dyDescent="0.2">
      <c r="W1583" s="39"/>
    </row>
    <row r="1584" spans="23:23" x14ac:dyDescent="0.2">
      <c r="W1584" s="39"/>
    </row>
    <row r="1585" spans="23:23" x14ac:dyDescent="0.2">
      <c r="W1585" s="39"/>
    </row>
    <row r="1586" spans="23:23" x14ac:dyDescent="0.2">
      <c r="W1586" s="39"/>
    </row>
    <row r="1587" spans="23:23" x14ac:dyDescent="0.2">
      <c r="W1587" s="39"/>
    </row>
    <row r="1588" spans="23:23" x14ac:dyDescent="0.2">
      <c r="W1588" s="39"/>
    </row>
    <row r="1589" spans="23:23" x14ac:dyDescent="0.2">
      <c r="W1589" s="39"/>
    </row>
    <row r="1590" spans="23:23" x14ac:dyDescent="0.2">
      <c r="W1590" s="39"/>
    </row>
    <row r="1591" spans="23:23" x14ac:dyDescent="0.2">
      <c r="W1591" s="39"/>
    </row>
    <row r="1592" spans="23:23" x14ac:dyDescent="0.2">
      <c r="W1592" s="39"/>
    </row>
    <row r="1593" spans="23:23" x14ac:dyDescent="0.2">
      <c r="W1593" s="39"/>
    </row>
    <row r="1594" spans="23:23" x14ac:dyDescent="0.2">
      <c r="W1594" s="39"/>
    </row>
    <row r="1595" spans="23:23" x14ac:dyDescent="0.2">
      <c r="W1595" s="39"/>
    </row>
    <row r="1596" spans="23:23" x14ac:dyDescent="0.2">
      <c r="W1596" s="39"/>
    </row>
    <row r="1597" spans="23:23" x14ac:dyDescent="0.2">
      <c r="W1597" s="39"/>
    </row>
    <row r="1598" spans="23:23" x14ac:dyDescent="0.2">
      <c r="W1598" s="39"/>
    </row>
    <row r="1599" spans="23:23" x14ac:dyDescent="0.2">
      <c r="W1599" s="39"/>
    </row>
    <row r="1600" spans="23:23" x14ac:dyDescent="0.2">
      <c r="W1600" s="39"/>
    </row>
    <row r="1601" spans="23:23" x14ac:dyDescent="0.2">
      <c r="W1601" s="39"/>
    </row>
    <row r="1602" spans="23:23" x14ac:dyDescent="0.2">
      <c r="W1602" s="39"/>
    </row>
    <row r="1603" spans="23:23" x14ac:dyDescent="0.2">
      <c r="W1603" s="39"/>
    </row>
    <row r="1604" spans="23:23" x14ac:dyDescent="0.2">
      <c r="W1604" s="39"/>
    </row>
    <row r="1605" spans="23:23" x14ac:dyDescent="0.2">
      <c r="W1605" s="39"/>
    </row>
    <row r="1606" spans="23:23" x14ac:dyDescent="0.2">
      <c r="W1606" s="39"/>
    </row>
    <row r="1607" spans="23:23" x14ac:dyDescent="0.2">
      <c r="W1607" s="39"/>
    </row>
    <row r="1608" spans="23:23" x14ac:dyDescent="0.2">
      <c r="W1608" s="39"/>
    </row>
    <row r="1609" spans="23:23" x14ac:dyDescent="0.2">
      <c r="W1609" s="39"/>
    </row>
    <row r="1610" spans="23:23" x14ac:dyDescent="0.2">
      <c r="W1610" s="39"/>
    </row>
    <row r="1611" spans="23:23" x14ac:dyDescent="0.2">
      <c r="W1611" s="39"/>
    </row>
    <row r="1612" spans="23:23" x14ac:dyDescent="0.2">
      <c r="W1612" s="39"/>
    </row>
    <row r="1613" spans="23:23" x14ac:dyDescent="0.2">
      <c r="W1613" s="39"/>
    </row>
    <row r="1614" spans="23:23" x14ac:dyDescent="0.2">
      <c r="W1614" s="39"/>
    </row>
    <row r="1615" spans="23:23" x14ac:dyDescent="0.2">
      <c r="W1615" s="39"/>
    </row>
    <row r="1616" spans="23:23" x14ac:dyDescent="0.2">
      <c r="W1616" s="39"/>
    </row>
    <row r="1617" spans="23:23" x14ac:dyDescent="0.2">
      <c r="W1617" s="39"/>
    </row>
    <row r="1618" spans="23:23" x14ac:dyDescent="0.2">
      <c r="W1618" s="39"/>
    </row>
    <row r="1619" spans="23:23" x14ac:dyDescent="0.2">
      <c r="W1619" s="39"/>
    </row>
    <row r="1620" spans="23:23" x14ac:dyDescent="0.2">
      <c r="W1620" s="39"/>
    </row>
    <row r="1621" spans="23:23" x14ac:dyDescent="0.2">
      <c r="W1621" s="39"/>
    </row>
    <row r="1622" spans="23:23" x14ac:dyDescent="0.2">
      <c r="W1622" s="39"/>
    </row>
    <row r="1623" spans="23:23" x14ac:dyDescent="0.2">
      <c r="W1623" s="39"/>
    </row>
    <row r="1624" spans="23:23" x14ac:dyDescent="0.2">
      <c r="W1624" s="39"/>
    </row>
    <row r="1625" spans="23:23" x14ac:dyDescent="0.2">
      <c r="W1625" s="39"/>
    </row>
    <row r="1626" spans="23:23" x14ac:dyDescent="0.2">
      <c r="W1626" s="39"/>
    </row>
    <row r="1627" spans="23:23" x14ac:dyDescent="0.2">
      <c r="W1627" s="39"/>
    </row>
    <row r="1628" spans="23:23" x14ac:dyDescent="0.2">
      <c r="W1628" s="39"/>
    </row>
    <row r="1629" spans="23:23" x14ac:dyDescent="0.2">
      <c r="W1629" s="39"/>
    </row>
    <row r="1630" spans="23:23" x14ac:dyDescent="0.2">
      <c r="W1630" s="39"/>
    </row>
    <row r="1631" spans="23:23" x14ac:dyDescent="0.2">
      <c r="W1631" s="39"/>
    </row>
    <row r="1632" spans="23:23" x14ac:dyDescent="0.2">
      <c r="W1632" s="39"/>
    </row>
    <row r="1633" spans="23:23" x14ac:dyDescent="0.2">
      <c r="W1633" s="39"/>
    </row>
    <row r="1634" spans="23:23" x14ac:dyDescent="0.2">
      <c r="W1634" s="39"/>
    </row>
    <row r="1635" spans="23:23" x14ac:dyDescent="0.2">
      <c r="W1635" s="39"/>
    </row>
    <row r="1636" spans="23:23" x14ac:dyDescent="0.2">
      <c r="W1636" s="39"/>
    </row>
    <row r="1637" spans="23:23" x14ac:dyDescent="0.2">
      <c r="W1637" s="39"/>
    </row>
    <row r="1638" spans="23:23" x14ac:dyDescent="0.2">
      <c r="W1638" s="39"/>
    </row>
    <row r="1639" spans="23:23" x14ac:dyDescent="0.2">
      <c r="W1639" s="39"/>
    </row>
    <row r="1640" spans="23:23" x14ac:dyDescent="0.2">
      <c r="W1640" s="39"/>
    </row>
    <row r="1641" spans="23:23" x14ac:dyDescent="0.2">
      <c r="W1641" s="39"/>
    </row>
    <row r="1642" spans="23:23" x14ac:dyDescent="0.2">
      <c r="W1642" s="39"/>
    </row>
    <row r="1643" spans="23:23" x14ac:dyDescent="0.2">
      <c r="W1643" s="39"/>
    </row>
    <row r="1644" spans="23:23" x14ac:dyDescent="0.2">
      <c r="W1644" s="39"/>
    </row>
    <row r="1645" spans="23:23" x14ac:dyDescent="0.2">
      <c r="W1645" s="39"/>
    </row>
    <row r="1646" spans="23:23" x14ac:dyDescent="0.2">
      <c r="W1646" s="39"/>
    </row>
    <row r="1647" spans="23:23" x14ac:dyDescent="0.2">
      <c r="W1647" s="39"/>
    </row>
    <row r="1648" spans="23:23" x14ac:dyDescent="0.2">
      <c r="W1648" s="39"/>
    </row>
    <row r="1649" spans="23:23" x14ac:dyDescent="0.2">
      <c r="W1649" s="39"/>
    </row>
    <row r="1650" spans="23:23" x14ac:dyDescent="0.2">
      <c r="W1650" s="39"/>
    </row>
    <row r="1651" spans="23:23" x14ac:dyDescent="0.2">
      <c r="W1651" s="39"/>
    </row>
    <row r="1652" spans="23:23" x14ac:dyDescent="0.2">
      <c r="W1652" s="39"/>
    </row>
    <row r="1653" spans="23:23" x14ac:dyDescent="0.2">
      <c r="W1653" s="39"/>
    </row>
    <row r="1654" spans="23:23" x14ac:dyDescent="0.2">
      <c r="W1654" s="39"/>
    </row>
    <row r="1655" spans="23:23" x14ac:dyDescent="0.2">
      <c r="W1655" s="39"/>
    </row>
    <row r="1656" spans="23:23" x14ac:dyDescent="0.2">
      <c r="W1656" s="39"/>
    </row>
    <row r="1657" spans="23:23" x14ac:dyDescent="0.2">
      <c r="W1657" s="39"/>
    </row>
    <row r="1658" spans="23:23" x14ac:dyDescent="0.2">
      <c r="W1658" s="39"/>
    </row>
    <row r="1659" spans="23:23" x14ac:dyDescent="0.2">
      <c r="W1659" s="39"/>
    </row>
    <row r="1660" spans="23:23" x14ac:dyDescent="0.2">
      <c r="W1660" s="39"/>
    </row>
    <row r="1661" spans="23:23" x14ac:dyDescent="0.2">
      <c r="W1661" s="39"/>
    </row>
    <row r="1662" spans="23:23" x14ac:dyDescent="0.2">
      <c r="W1662" s="39"/>
    </row>
    <row r="1663" spans="23:23" x14ac:dyDescent="0.2">
      <c r="W1663" s="39"/>
    </row>
    <row r="1664" spans="23:23" x14ac:dyDescent="0.2">
      <c r="W1664" s="39"/>
    </row>
    <row r="1665" spans="23:23" x14ac:dyDescent="0.2">
      <c r="W1665" s="39"/>
    </row>
    <row r="1666" spans="23:23" x14ac:dyDescent="0.2">
      <c r="W1666" s="39"/>
    </row>
    <row r="1667" spans="23:23" x14ac:dyDescent="0.2">
      <c r="W1667" s="39"/>
    </row>
    <row r="1668" spans="23:23" x14ac:dyDescent="0.2">
      <c r="W1668" s="39"/>
    </row>
    <row r="1669" spans="23:23" x14ac:dyDescent="0.2">
      <c r="W1669" s="39"/>
    </row>
    <row r="1670" spans="23:23" x14ac:dyDescent="0.2">
      <c r="W1670" s="39"/>
    </row>
    <row r="1671" spans="23:23" x14ac:dyDescent="0.2">
      <c r="W1671" s="39"/>
    </row>
    <row r="1672" spans="23:23" x14ac:dyDescent="0.2">
      <c r="W1672" s="39"/>
    </row>
    <row r="1673" spans="23:23" x14ac:dyDescent="0.2">
      <c r="W1673" s="39"/>
    </row>
    <row r="1674" spans="23:23" x14ac:dyDescent="0.2">
      <c r="W1674" s="39"/>
    </row>
    <row r="1675" spans="23:23" x14ac:dyDescent="0.2">
      <c r="W1675" s="39"/>
    </row>
    <row r="1676" spans="23:23" x14ac:dyDescent="0.2">
      <c r="W1676" s="39"/>
    </row>
    <row r="1677" spans="23:23" x14ac:dyDescent="0.2">
      <c r="W1677" s="39"/>
    </row>
    <row r="1678" spans="23:23" x14ac:dyDescent="0.2">
      <c r="W1678" s="39"/>
    </row>
    <row r="1679" spans="23:23" x14ac:dyDescent="0.2">
      <c r="W1679" s="39"/>
    </row>
    <row r="1680" spans="23:23" x14ac:dyDescent="0.2">
      <c r="W1680" s="39"/>
    </row>
    <row r="1681" spans="23:23" x14ac:dyDescent="0.2">
      <c r="W1681" s="39"/>
    </row>
    <row r="1682" spans="23:23" x14ac:dyDescent="0.2">
      <c r="W1682" s="39"/>
    </row>
    <row r="1683" spans="23:23" x14ac:dyDescent="0.2">
      <c r="W1683" s="39"/>
    </row>
    <row r="1684" spans="23:23" x14ac:dyDescent="0.2">
      <c r="W1684" s="39"/>
    </row>
    <row r="1685" spans="23:23" x14ac:dyDescent="0.2">
      <c r="W1685" s="39"/>
    </row>
    <row r="1686" spans="23:23" x14ac:dyDescent="0.2">
      <c r="W1686" s="39"/>
    </row>
    <row r="1687" spans="23:23" x14ac:dyDescent="0.2">
      <c r="W1687" s="39"/>
    </row>
    <row r="1688" spans="23:23" x14ac:dyDescent="0.2">
      <c r="W1688" s="39"/>
    </row>
    <row r="1689" spans="23:23" x14ac:dyDescent="0.2">
      <c r="W1689" s="39"/>
    </row>
    <row r="1690" spans="23:23" x14ac:dyDescent="0.2">
      <c r="W1690" s="39"/>
    </row>
    <row r="1691" spans="23:23" x14ac:dyDescent="0.2">
      <c r="W1691" s="39"/>
    </row>
    <row r="1692" spans="23:23" x14ac:dyDescent="0.2">
      <c r="W1692" s="39"/>
    </row>
    <row r="1693" spans="23:23" x14ac:dyDescent="0.2">
      <c r="W1693" s="39"/>
    </row>
    <row r="1694" spans="23:23" x14ac:dyDescent="0.2">
      <c r="W1694" s="39"/>
    </row>
    <row r="1695" spans="23:23" x14ac:dyDescent="0.2">
      <c r="W1695" s="39"/>
    </row>
    <row r="1696" spans="23:23" x14ac:dyDescent="0.2">
      <c r="W1696" s="39"/>
    </row>
    <row r="1697" spans="23:23" x14ac:dyDescent="0.2">
      <c r="W1697" s="39"/>
    </row>
    <row r="1698" spans="23:23" x14ac:dyDescent="0.2">
      <c r="W1698" s="39"/>
    </row>
    <row r="1699" spans="23:23" x14ac:dyDescent="0.2">
      <c r="W1699" s="39"/>
    </row>
    <row r="1700" spans="23:23" x14ac:dyDescent="0.2">
      <c r="W1700" s="39"/>
    </row>
    <row r="1701" spans="23:23" x14ac:dyDescent="0.2">
      <c r="W1701" s="39"/>
    </row>
    <row r="1702" spans="23:23" x14ac:dyDescent="0.2">
      <c r="W1702" s="39"/>
    </row>
    <row r="1703" spans="23:23" x14ac:dyDescent="0.2">
      <c r="W1703" s="39"/>
    </row>
    <row r="1704" spans="23:23" x14ac:dyDescent="0.2">
      <c r="W1704" s="39"/>
    </row>
    <row r="1705" spans="23:23" x14ac:dyDescent="0.2">
      <c r="W1705" s="39"/>
    </row>
    <row r="1706" spans="23:23" x14ac:dyDescent="0.2">
      <c r="W1706" s="39"/>
    </row>
    <row r="1707" spans="23:23" x14ac:dyDescent="0.2">
      <c r="W1707" s="39"/>
    </row>
    <row r="1708" spans="23:23" x14ac:dyDescent="0.2">
      <c r="W1708" s="39"/>
    </row>
    <row r="1709" spans="23:23" x14ac:dyDescent="0.2">
      <c r="W1709" s="39"/>
    </row>
    <row r="1710" spans="23:23" x14ac:dyDescent="0.2">
      <c r="W1710" s="39"/>
    </row>
    <row r="1711" spans="23:23" x14ac:dyDescent="0.2">
      <c r="W1711" s="39"/>
    </row>
    <row r="1712" spans="23:23" x14ac:dyDescent="0.2">
      <c r="W1712" s="39"/>
    </row>
    <row r="1713" spans="23:23" x14ac:dyDescent="0.2">
      <c r="W1713" s="39"/>
    </row>
    <row r="1714" spans="23:23" x14ac:dyDescent="0.2">
      <c r="W1714" s="39"/>
    </row>
    <row r="1715" spans="23:23" x14ac:dyDescent="0.2">
      <c r="W1715" s="39"/>
    </row>
    <row r="1716" spans="23:23" x14ac:dyDescent="0.2">
      <c r="W1716" s="39"/>
    </row>
    <row r="1717" spans="23:23" x14ac:dyDescent="0.2">
      <c r="W1717" s="39"/>
    </row>
    <row r="1718" spans="23:23" x14ac:dyDescent="0.2">
      <c r="W1718" s="39"/>
    </row>
    <row r="1719" spans="23:23" x14ac:dyDescent="0.2">
      <c r="W1719" s="39"/>
    </row>
    <row r="1720" spans="23:23" x14ac:dyDescent="0.2">
      <c r="W1720" s="39"/>
    </row>
    <row r="1721" spans="23:23" x14ac:dyDescent="0.2">
      <c r="W1721" s="39"/>
    </row>
    <row r="1722" spans="23:23" x14ac:dyDescent="0.2">
      <c r="W1722" s="39"/>
    </row>
    <row r="1723" spans="23:23" x14ac:dyDescent="0.2">
      <c r="W1723" s="39"/>
    </row>
    <row r="1724" spans="23:23" x14ac:dyDescent="0.2">
      <c r="W1724" s="39"/>
    </row>
    <row r="1725" spans="23:23" x14ac:dyDescent="0.2">
      <c r="W1725" s="39"/>
    </row>
    <row r="1726" spans="23:23" x14ac:dyDescent="0.2">
      <c r="W1726" s="39"/>
    </row>
    <row r="1727" spans="23:23" x14ac:dyDescent="0.2">
      <c r="W1727" s="39"/>
    </row>
    <row r="1728" spans="23:23" x14ac:dyDescent="0.2">
      <c r="W1728" s="39"/>
    </row>
    <row r="1729" spans="23:23" x14ac:dyDescent="0.2">
      <c r="W1729" s="39"/>
    </row>
    <row r="1730" spans="23:23" x14ac:dyDescent="0.2">
      <c r="W1730" s="39"/>
    </row>
    <row r="1731" spans="23:23" x14ac:dyDescent="0.2">
      <c r="W1731" s="39"/>
    </row>
    <row r="1732" spans="23:23" x14ac:dyDescent="0.2">
      <c r="W1732" s="39"/>
    </row>
    <row r="1733" spans="23:23" x14ac:dyDescent="0.2">
      <c r="W1733" s="39"/>
    </row>
    <row r="1734" spans="23:23" x14ac:dyDescent="0.2">
      <c r="W1734" s="39"/>
    </row>
    <row r="1735" spans="23:23" x14ac:dyDescent="0.2">
      <c r="W1735" s="39"/>
    </row>
    <row r="1736" spans="23:23" x14ac:dyDescent="0.2">
      <c r="W1736" s="39"/>
    </row>
    <row r="1737" spans="23:23" x14ac:dyDescent="0.2">
      <c r="W1737" s="39"/>
    </row>
    <row r="1738" spans="23:23" x14ac:dyDescent="0.2">
      <c r="W1738" s="39"/>
    </row>
    <row r="1739" spans="23:23" x14ac:dyDescent="0.2">
      <c r="W1739" s="39"/>
    </row>
    <row r="1740" spans="23:23" x14ac:dyDescent="0.2">
      <c r="W1740" s="39"/>
    </row>
    <row r="1741" spans="23:23" x14ac:dyDescent="0.2">
      <c r="W1741" s="39"/>
    </row>
    <row r="1742" spans="23:23" x14ac:dyDescent="0.2">
      <c r="W1742" s="39"/>
    </row>
    <row r="1743" spans="23:23" x14ac:dyDescent="0.2">
      <c r="W1743" s="39"/>
    </row>
    <row r="1744" spans="23:23" x14ac:dyDescent="0.2">
      <c r="W1744" s="39"/>
    </row>
    <row r="1745" spans="23:23" x14ac:dyDescent="0.2">
      <c r="W1745" s="39"/>
    </row>
    <row r="1746" spans="23:23" x14ac:dyDescent="0.2">
      <c r="W1746" s="39"/>
    </row>
    <row r="1747" spans="23:23" x14ac:dyDescent="0.2">
      <c r="W1747" s="39"/>
    </row>
    <row r="1748" spans="23:23" x14ac:dyDescent="0.2">
      <c r="W1748" s="39"/>
    </row>
    <row r="1749" spans="23:23" x14ac:dyDescent="0.2">
      <c r="W1749" s="39"/>
    </row>
    <row r="1750" spans="23:23" x14ac:dyDescent="0.2">
      <c r="W1750" s="39"/>
    </row>
    <row r="1751" spans="23:23" x14ac:dyDescent="0.2">
      <c r="W1751" s="39"/>
    </row>
    <row r="1752" spans="23:23" x14ac:dyDescent="0.2">
      <c r="W1752" s="39"/>
    </row>
    <row r="1753" spans="23:23" x14ac:dyDescent="0.2">
      <c r="W1753" s="39"/>
    </row>
    <row r="1754" spans="23:23" x14ac:dyDescent="0.2">
      <c r="W1754" s="39"/>
    </row>
    <row r="1755" spans="23:23" x14ac:dyDescent="0.2">
      <c r="W1755" s="39"/>
    </row>
    <row r="1756" spans="23:23" x14ac:dyDescent="0.2">
      <c r="W1756" s="39"/>
    </row>
    <row r="1757" spans="23:23" x14ac:dyDescent="0.2">
      <c r="W1757" s="39"/>
    </row>
    <row r="1758" spans="23:23" x14ac:dyDescent="0.2">
      <c r="W1758" s="39"/>
    </row>
    <row r="1759" spans="23:23" x14ac:dyDescent="0.2">
      <c r="W1759" s="39"/>
    </row>
    <row r="1760" spans="23:23" x14ac:dyDescent="0.2">
      <c r="W1760" s="39"/>
    </row>
    <row r="1761" spans="23:23" x14ac:dyDescent="0.2">
      <c r="W1761" s="39"/>
    </row>
    <row r="1762" spans="23:23" x14ac:dyDescent="0.2">
      <c r="W1762" s="39"/>
    </row>
    <row r="1763" spans="23:23" x14ac:dyDescent="0.2">
      <c r="W1763" s="39"/>
    </row>
    <row r="1764" spans="23:23" x14ac:dyDescent="0.2">
      <c r="W1764" s="39"/>
    </row>
    <row r="1765" spans="23:23" x14ac:dyDescent="0.2">
      <c r="W1765" s="39"/>
    </row>
    <row r="1766" spans="23:23" x14ac:dyDescent="0.2">
      <c r="W1766" s="39"/>
    </row>
    <row r="1767" spans="23:23" x14ac:dyDescent="0.2">
      <c r="W1767" s="39"/>
    </row>
    <row r="1768" spans="23:23" x14ac:dyDescent="0.2">
      <c r="W1768" s="39"/>
    </row>
    <row r="1769" spans="23:23" x14ac:dyDescent="0.2">
      <c r="W1769" s="39"/>
    </row>
    <row r="1770" spans="23:23" x14ac:dyDescent="0.2">
      <c r="W1770" s="39"/>
    </row>
    <row r="1771" spans="23:23" x14ac:dyDescent="0.2">
      <c r="W1771" s="39"/>
    </row>
    <row r="1772" spans="23:23" x14ac:dyDescent="0.2">
      <c r="W1772" s="39"/>
    </row>
    <row r="1773" spans="23:23" x14ac:dyDescent="0.2">
      <c r="W1773" s="39"/>
    </row>
    <row r="1774" spans="23:23" x14ac:dyDescent="0.2">
      <c r="W1774" s="39"/>
    </row>
    <row r="1775" spans="23:23" x14ac:dyDescent="0.2">
      <c r="W1775" s="39"/>
    </row>
    <row r="1776" spans="23:23" x14ac:dyDescent="0.2">
      <c r="W1776" s="39"/>
    </row>
    <row r="1777" spans="23:23" x14ac:dyDescent="0.2">
      <c r="W1777" s="39"/>
    </row>
    <row r="1778" spans="23:23" x14ac:dyDescent="0.2">
      <c r="W1778" s="39"/>
    </row>
    <row r="1779" spans="23:23" x14ac:dyDescent="0.2">
      <c r="W1779" s="39"/>
    </row>
    <row r="1780" spans="23:23" x14ac:dyDescent="0.2">
      <c r="W1780" s="39"/>
    </row>
    <row r="1781" spans="23:23" x14ac:dyDescent="0.2">
      <c r="W1781" s="39"/>
    </row>
    <row r="1782" spans="23:23" x14ac:dyDescent="0.2">
      <c r="W1782" s="39"/>
    </row>
    <row r="1783" spans="23:23" x14ac:dyDescent="0.2">
      <c r="W1783" s="39"/>
    </row>
    <row r="1784" spans="23:23" x14ac:dyDescent="0.2">
      <c r="W1784" s="39"/>
    </row>
    <row r="1785" spans="23:23" x14ac:dyDescent="0.2">
      <c r="W1785" s="39"/>
    </row>
    <row r="1786" spans="23:23" x14ac:dyDescent="0.2">
      <c r="W1786" s="39"/>
    </row>
    <row r="1787" spans="23:23" x14ac:dyDescent="0.2">
      <c r="W1787" s="39"/>
    </row>
    <row r="1788" spans="23:23" x14ac:dyDescent="0.2">
      <c r="W1788" s="39"/>
    </row>
    <row r="1789" spans="23:23" x14ac:dyDescent="0.2">
      <c r="W1789" s="39"/>
    </row>
    <row r="1790" spans="23:23" x14ac:dyDescent="0.2">
      <c r="W1790" s="39"/>
    </row>
    <row r="1791" spans="23:23" x14ac:dyDescent="0.2">
      <c r="W1791" s="39"/>
    </row>
    <row r="1792" spans="23:23" x14ac:dyDescent="0.2">
      <c r="W1792" s="39"/>
    </row>
    <row r="1793" spans="23:23" x14ac:dyDescent="0.2">
      <c r="W1793" s="39"/>
    </row>
    <row r="1794" spans="23:23" x14ac:dyDescent="0.2">
      <c r="W1794" s="39"/>
    </row>
    <row r="1795" spans="23:23" x14ac:dyDescent="0.2">
      <c r="W1795" s="39"/>
    </row>
    <row r="1796" spans="23:23" x14ac:dyDescent="0.2">
      <c r="W1796" s="39"/>
    </row>
    <row r="1797" spans="23:23" x14ac:dyDescent="0.2">
      <c r="W1797" s="39"/>
    </row>
    <row r="1798" spans="23:23" x14ac:dyDescent="0.2">
      <c r="W1798" s="39"/>
    </row>
    <row r="1799" spans="23:23" x14ac:dyDescent="0.2">
      <c r="W1799" s="39"/>
    </row>
    <row r="1800" spans="23:23" x14ac:dyDescent="0.2">
      <c r="W1800" s="39"/>
    </row>
    <row r="1801" spans="23:23" x14ac:dyDescent="0.2">
      <c r="W1801" s="39"/>
    </row>
    <row r="1802" spans="23:23" x14ac:dyDescent="0.2">
      <c r="W1802" s="39"/>
    </row>
    <row r="1803" spans="23:23" x14ac:dyDescent="0.2">
      <c r="W1803" s="39"/>
    </row>
    <row r="1804" spans="23:23" x14ac:dyDescent="0.2">
      <c r="W1804" s="39"/>
    </row>
    <row r="1805" spans="23:23" x14ac:dyDescent="0.2">
      <c r="W1805" s="39"/>
    </row>
    <row r="1806" spans="23:23" x14ac:dyDescent="0.2">
      <c r="W1806" s="39"/>
    </row>
    <row r="1807" spans="23:23" x14ac:dyDescent="0.2">
      <c r="W1807" s="39"/>
    </row>
    <row r="1808" spans="23:23" x14ac:dyDescent="0.2">
      <c r="W1808" s="39"/>
    </row>
    <row r="1809" spans="23:23" x14ac:dyDescent="0.2">
      <c r="W1809" s="39"/>
    </row>
    <row r="1810" spans="23:23" x14ac:dyDescent="0.2">
      <c r="W1810" s="39"/>
    </row>
    <row r="1811" spans="23:23" x14ac:dyDescent="0.2">
      <c r="W1811" s="39"/>
    </row>
    <row r="1812" spans="23:23" x14ac:dyDescent="0.2">
      <c r="W1812" s="39"/>
    </row>
    <row r="1813" spans="23:23" x14ac:dyDescent="0.2">
      <c r="W1813" s="39"/>
    </row>
    <row r="1814" spans="23:23" x14ac:dyDescent="0.2">
      <c r="W1814" s="39"/>
    </row>
    <row r="1815" spans="23:23" x14ac:dyDescent="0.2">
      <c r="W1815" s="39"/>
    </row>
    <row r="1816" spans="23:23" x14ac:dyDescent="0.2">
      <c r="W1816" s="39"/>
    </row>
    <row r="1817" spans="23:23" x14ac:dyDescent="0.2">
      <c r="W1817" s="39"/>
    </row>
    <row r="1818" spans="23:23" x14ac:dyDescent="0.2">
      <c r="W1818" s="39"/>
    </row>
    <row r="1819" spans="23:23" x14ac:dyDescent="0.2">
      <c r="W1819" s="39"/>
    </row>
    <row r="1820" spans="23:23" x14ac:dyDescent="0.2">
      <c r="W1820" s="39"/>
    </row>
    <row r="1821" spans="23:23" x14ac:dyDescent="0.2">
      <c r="W1821" s="39"/>
    </row>
    <row r="1822" spans="23:23" x14ac:dyDescent="0.2">
      <c r="W1822" s="39"/>
    </row>
    <row r="1823" spans="23:23" x14ac:dyDescent="0.2">
      <c r="W1823" s="39"/>
    </row>
    <row r="1824" spans="23:23" x14ac:dyDescent="0.2">
      <c r="W1824" s="39"/>
    </row>
    <row r="1825" spans="23:23" x14ac:dyDescent="0.2">
      <c r="W1825" s="39"/>
    </row>
    <row r="1826" spans="23:23" x14ac:dyDescent="0.2">
      <c r="W1826" s="39"/>
    </row>
    <row r="1827" spans="23:23" x14ac:dyDescent="0.2">
      <c r="W1827" s="39"/>
    </row>
    <row r="1828" spans="23:23" x14ac:dyDescent="0.2">
      <c r="W1828" s="39"/>
    </row>
    <row r="1829" spans="23:23" x14ac:dyDescent="0.2">
      <c r="W1829" s="39"/>
    </row>
    <row r="1830" spans="23:23" x14ac:dyDescent="0.2">
      <c r="W1830" s="39"/>
    </row>
    <row r="1831" spans="23:23" x14ac:dyDescent="0.2">
      <c r="W1831" s="39"/>
    </row>
    <row r="1832" spans="23:23" x14ac:dyDescent="0.2">
      <c r="W1832" s="39"/>
    </row>
    <row r="1833" spans="23:23" x14ac:dyDescent="0.2">
      <c r="W1833" s="39"/>
    </row>
    <row r="1834" spans="23:23" x14ac:dyDescent="0.2">
      <c r="W1834" s="39"/>
    </row>
    <row r="1835" spans="23:23" x14ac:dyDescent="0.2">
      <c r="W1835" s="39"/>
    </row>
    <row r="1836" spans="23:23" x14ac:dyDescent="0.2">
      <c r="W1836" s="39"/>
    </row>
    <row r="1837" spans="23:23" x14ac:dyDescent="0.2">
      <c r="W1837" s="39"/>
    </row>
    <row r="1838" spans="23:23" x14ac:dyDescent="0.2">
      <c r="W1838" s="39"/>
    </row>
    <row r="1839" spans="23:23" x14ac:dyDescent="0.2">
      <c r="W1839" s="39"/>
    </row>
    <row r="1840" spans="23:23" x14ac:dyDescent="0.2">
      <c r="W1840" s="39"/>
    </row>
    <row r="1841" spans="23:23" x14ac:dyDescent="0.2">
      <c r="W1841" s="39"/>
    </row>
    <row r="1842" spans="23:23" x14ac:dyDescent="0.2">
      <c r="W1842" s="39"/>
    </row>
    <row r="1843" spans="23:23" x14ac:dyDescent="0.2">
      <c r="W1843" s="39"/>
    </row>
    <row r="1844" spans="23:23" x14ac:dyDescent="0.2">
      <c r="W1844" s="39"/>
    </row>
    <row r="1845" spans="23:23" x14ac:dyDescent="0.2">
      <c r="W1845" s="39"/>
    </row>
    <row r="1846" spans="23:23" x14ac:dyDescent="0.2">
      <c r="W1846" s="39"/>
    </row>
    <row r="1847" spans="23:23" x14ac:dyDescent="0.2">
      <c r="W1847" s="39"/>
    </row>
    <row r="1848" spans="23:23" x14ac:dyDescent="0.2">
      <c r="W1848" s="39"/>
    </row>
    <row r="1849" spans="23:23" x14ac:dyDescent="0.2">
      <c r="W1849" s="39"/>
    </row>
    <row r="1850" spans="23:23" x14ac:dyDescent="0.2">
      <c r="W1850" s="39"/>
    </row>
    <row r="1851" spans="23:23" x14ac:dyDescent="0.2">
      <c r="W1851" s="39"/>
    </row>
    <row r="1852" spans="23:23" x14ac:dyDescent="0.2">
      <c r="W1852" s="39"/>
    </row>
    <row r="1853" spans="23:23" x14ac:dyDescent="0.2">
      <c r="W1853" s="39"/>
    </row>
    <row r="1854" spans="23:23" x14ac:dyDescent="0.2">
      <c r="W1854" s="39"/>
    </row>
    <row r="1855" spans="23:23" x14ac:dyDescent="0.2">
      <c r="W1855" s="39"/>
    </row>
    <row r="1856" spans="23:23" x14ac:dyDescent="0.2">
      <c r="W1856" s="39"/>
    </row>
    <row r="1857" spans="23:23" x14ac:dyDescent="0.2">
      <c r="W1857" s="39"/>
    </row>
    <row r="1858" spans="23:23" x14ac:dyDescent="0.2">
      <c r="W1858" s="39"/>
    </row>
    <row r="1859" spans="23:23" x14ac:dyDescent="0.2">
      <c r="W1859" s="39"/>
    </row>
    <row r="1860" spans="23:23" x14ac:dyDescent="0.2">
      <c r="W1860" s="39"/>
    </row>
    <row r="1861" spans="23:23" x14ac:dyDescent="0.2">
      <c r="W1861" s="39"/>
    </row>
    <row r="1862" spans="23:23" x14ac:dyDescent="0.2">
      <c r="W1862" s="39"/>
    </row>
    <row r="1863" spans="23:23" x14ac:dyDescent="0.2">
      <c r="W1863" s="39"/>
    </row>
    <row r="1864" spans="23:23" x14ac:dyDescent="0.2">
      <c r="W1864" s="39"/>
    </row>
    <row r="1865" spans="23:23" x14ac:dyDescent="0.2">
      <c r="W1865" s="39"/>
    </row>
    <row r="1866" spans="23:23" x14ac:dyDescent="0.2">
      <c r="W1866" s="39"/>
    </row>
    <row r="1867" spans="23:23" x14ac:dyDescent="0.2">
      <c r="W1867" s="39"/>
    </row>
    <row r="1868" spans="23:23" x14ac:dyDescent="0.2">
      <c r="W1868" s="39"/>
    </row>
    <row r="1869" spans="23:23" x14ac:dyDescent="0.2">
      <c r="W1869" s="39"/>
    </row>
    <row r="1870" spans="23:23" x14ac:dyDescent="0.2">
      <c r="W1870" s="39"/>
    </row>
    <row r="1871" spans="23:23" x14ac:dyDescent="0.2">
      <c r="W1871" s="39"/>
    </row>
    <row r="1872" spans="23:23" x14ac:dyDescent="0.2">
      <c r="W1872" s="39"/>
    </row>
    <row r="1873" spans="23:23" x14ac:dyDescent="0.2">
      <c r="W1873" s="39"/>
    </row>
    <row r="1874" spans="23:23" x14ac:dyDescent="0.2">
      <c r="W1874" s="39"/>
    </row>
    <row r="1875" spans="23:23" x14ac:dyDescent="0.2">
      <c r="W1875" s="39"/>
    </row>
    <row r="1876" spans="23:23" x14ac:dyDescent="0.2">
      <c r="W1876" s="39"/>
    </row>
    <row r="1877" spans="23:23" x14ac:dyDescent="0.2">
      <c r="W1877" s="39"/>
    </row>
    <row r="1878" spans="23:23" x14ac:dyDescent="0.2">
      <c r="W1878" s="39"/>
    </row>
    <row r="1879" spans="23:23" x14ac:dyDescent="0.2">
      <c r="W1879" s="39"/>
    </row>
    <row r="1880" spans="23:23" x14ac:dyDescent="0.2">
      <c r="W1880" s="39"/>
    </row>
    <row r="1881" spans="23:23" x14ac:dyDescent="0.2">
      <c r="W1881" s="39"/>
    </row>
    <row r="1882" spans="23:23" x14ac:dyDescent="0.2">
      <c r="W1882" s="39"/>
    </row>
    <row r="1883" spans="23:23" x14ac:dyDescent="0.2">
      <c r="W1883" s="39"/>
    </row>
    <row r="1884" spans="23:23" x14ac:dyDescent="0.2">
      <c r="W1884" s="39"/>
    </row>
    <row r="1885" spans="23:23" x14ac:dyDescent="0.2">
      <c r="W1885" s="39"/>
    </row>
    <row r="1886" spans="23:23" x14ac:dyDescent="0.2">
      <c r="W1886" s="39"/>
    </row>
    <row r="1887" spans="23:23" x14ac:dyDescent="0.2">
      <c r="W1887" s="39"/>
    </row>
    <row r="1888" spans="23:23" x14ac:dyDescent="0.2">
      <c r="W1888" s="39"/>
    </row>
    <row r="1889" spans="23:23" x14ac:dyDescent="0.2">
      <c r="W1889" s="39"/>
    </row>
    <row r="1890" spans="23:23" x14ac:dyDescent="0.2">
      <c r="W1890" s="39"/>
    </row>
    <row r="1891" spans="23:23" x14ac:dyDescent="0.2">
      <c r="W1891" s="39"/>
    </row>
    <row r="1892" spans="23:23" x14ac:dyDescent="0.2">
      <c r="W1892" s="39"/>
    </row>
    <row r="1893" spans="23:23" x14ac:dyDescent="0.2">
      <c r="W1893" s="39"/>
    </row>
    <row r="1894" spans="23:23" x14ac:dyDescent="0.2">
      <c r="W1894" s="39"/>
    </row>
    <row r="1895" spans="23:23" x14ac:dyDescent="0.2">
      <c r="W1895" s="39"/>
    </row>
    <row r="1896" spans="23:23" x14ac:dyDescent="0.2">
      <c r="W1896" s="39"/>
    </row>
    <row r="1897" spans="23:23" x14ac:dyDescent="0.2">
      <c r="W1897" s="39"/>
    </row>
    <row r="1898" spans="23:23" x14ac:dyDescent="0.2">
      <c r="W1898" s="39"/>
    </row>
    <row r="1899" spans="23:23" x14ac:dyDescent="0.2">
      <c r="W1899" s="39"/>
    </row>
    <row r="1900" spans="23:23" x14ac:dyDescent="0.2">
      <c r="W1900" s="39"/>
    </row>
    <row r="1901" spans="23:23" x14ac:dyDescent="0.2">
      <c r="W1901" s="39"/>
    </row>
    <row r="1902" spans="23:23" x14ac:dyDescent="0.2">
      <c r="W1902" s="39"/>
    </row>
    <row r="1903" spans="23:23" x14ac:dyDescent="0.2">
      <c r="W1903" s="39"/>
    </row>
    <row r="1904" spans="23:23" x14ac:dyDescent="0.2">
      <c r="W1904" s="39"/>
    </row>
    <row r="1905" spans="23:23" x14ac:dyDescent="0.2">
      <c r="W1905" s="39"/>
    </row>
    <row r="1906" spans="23:23" x14ac:dyDescent="0.2">
      <c r="W1906" s="39"/>
    </row>
    <row r="1907" spans="23:23" x14ac:dyDescent="0.2">
      <c r="W1907" s="39"/>
    </row>
    <row r="1908" spans="23:23" x14ac:dyDescent="0.2">
      <c r="W1908" s="39"/>
    </row>
    <row r="1909" spans="23:23" x14ac:dyDescent="0.2">
      <c r="W1909" s="39"/>
    </row>
    <row r="1910" spans="23:23" x14ac:dyDescent="0.2">
      <c r="W1910" s="39"/>
    </row>
    <row r="1911" spans="23:23" x14ac:dyDescent="0.2">
      <c r="W1911" s="39"/>
    </row>
    <row r="1912" spans="23:23" x14ac:dyDescent="0.2">
      <c r="W1912" s="39"/>
    </row>
    <row r="1913" spans="23:23" x14ac:dyDescent="0.2">
      <c r="W1913" s="39"/>
    </row>
    <row r="1914" spans="23:23" x14ac:dyDescent="0.2">
      <c r="W1914" s="39"/>
    </row>
    <row r="1915" spans="23:23" x14ac:dyDescent="0.2">
      <c r="W1915" s="39"/>
    </row>
    <row r="1916" spans="23:23" x14ac:dyDescent="0.2">
      <c r="W1916" s="39"/>
    </row>
    <row r="1917" spans="23:23" x14ac:dyDescent="0.2">
      <c r="W1917" s="39"/>
    </row>
    <row r="1918" spans="23:23" x14ac:dyDescent="0.2">
      <c r="W1918" s="39"/>
    </row>
    <row r="1919" spans="23:23" x14ac:dyDescent="0.2">
      <c r="W1919" s="39"/>
    </row>
    <row r="1920" spans="23:23" x14ac:dyDescent="0.2">
      <c r="W1920" s="39"/>
    </row>
    <row r="1921" spans="23:23" x14ac:dyDescent="0.2">
      <c r="W1921" s="39"/>
    </row>
    <row r="1922" spans="23:23" x14ac:dyDescent="0.2">
      <c r="W1922" s="39"/>
    </row>
    <row r="1923" spans="23:23" x14ac:dyDescent="0.2">
      <c r="W1923" s="39"/>
    </row>
    <row r="1924" spans="23:23" x14ac:dyDescent="0.2">
      <c r="W1924" s="39"/>
    </row>
    <row r="1925" spans="23:23" x14ac:dyDescent="0.2">
      <c r="W1925" s="39"/>
    </row>
    <row r="1926" spans="23:23" x14ac:dyDescent="0.2">
      <c r="W1926" s="39"/>
    </row>
    <row r="1927" spans="23:23" x14ac:dyDescent="0.2">
      <c r="W1927" s="39"/>
    </row>
    <row r="1928" spans="23:23" x14ac:dyDescent="0.2">
      <c r="W1928" s="39"/>
    </row>
    <row r="1929" spans="23:23" x14ac:dyDescent="0.2">
      <c r="W1929" s="39"/>
    </row>
    <row r="1930" spans="23:23" x14ac:dyDescent="0.2">
      <c r="W1930" s="39"/>
    </row>
    <row r="1931" spans="23:23" x14ac:dyDescent="0.2">
      <c r="W1931" s="39"/>
    </row>
    <row r="1932" spans="23:23" x14ac:dyDescent="0.2">
      <c r="W1932" s="39"/>
    </row>
    <row r="1933" spans="23:23" x14ac:dyDescent="0.2">
      <c r="W1933" s="39"/>
    </row>
    <row r="1934" spans="23:23" x14ac:dyDescent="0.2">
      <c r="W1934" s="39"/>
    </row>
    <row r="1935" spans="23:23" x14ac:dyDescent="0.2">
      <c r="W1935" s="39"/>
    </row>
    <row r="1936" spans="23:23" x14ac:dyDescent="0.2">
      <c r="W1936" s="39"/>
    </row>
    <row r="1937" spans="23:23" x14ac:dyDescent="0.2">
      <c r="W1937" s="39"/>
    </row>
    <row r="1938" spans="23:23" x14ac:dyDescent="0.2">
      <c r="W1938" s="39"/>
    </row>
    <row r="1939" spans="23:23" x14ac:dyDescent="0.2">
      <c r="W1939" s="39"/>
    </row>
    <row r="1940" spans="23:23" x14ac:dyDescent="0.2">
      <c r="W1940" s="39"/>
    </row>
    <row r="1941" spans="23:23" x14ac:dyDescent="0.2">
      <c r="W1941" s="39"/>
    </row>
    <row r="1942" spans="23:23" x14ac:dyDescent="0.2">
      <c r="W1942" s="39"/>
    </row>
    <row r="1943" spans="23:23" x14ac:dyDescent="0.2">
      <c r="W1943" s="39"/>
    </row>
    <row r="1944" spans="23:23" x14ac:dyDescent="0.2">
      <c r="W1944" s="39"/>
    </row>
    <row r="1945" spans="23:23" x14ac:dyDescent="0.2">
      <c r="W1945" s="39"/>
    </row>
    <row r="1946" spans="23:23" x14ac:dyDescent="0.2">
      <c r="W1946" s="39"/>
    </row>
    <row r="1947" spans="23:23" x14ac:dyDescent="0.2">
      <c r="W1947" s="39"/>
    </row>
    <row r="1948" spans="23:23" x14ac:dyDescent="0.2">
      <c r="W1948" s="39"/>
    </row>
    <row r="1949" spans="23:23" x14ac:dyDescent="0.2">
      <c r="W1949" s="39"/>
    </row>
    <row r="1950" spans="23:23" x14ac:dyDescent="0.2">
      <c r="W1950" s="39"/>
    </row>
    <row r="1951" spans="23:23" x14ac:dyDescent="0.2">
      <c r="W1951" s="39"/>
    </row>
    <row r="1952" spans="23:23" x14ac:dyDescent="0.2">
      <c r="W1952" s="39"/>
    </row>
    <row r="1953" spans="23:23" x14ac:dyDescent="0.2">
      <c r="W1953" s="39"/>
    </row>
    <row r="1954" spans="23:23" x14ac:dyDescent="0.2">
      <c r="W1954" s="39"/>
    </row>
    <row r="1955" spans="23:23" x14ac:dyDescent="0.2">
      <c r="W1955" s="39"/>
    </row>
    <row r="1956" spans="23:23" x14ac:dyDescent="0.2">
      <c r="W1956" s="39"/>
    </row>
    <row r="1957" spans="23:23" x14ac:dyDescent="0.2">
      <c r="W1957" s="39"/>
    </row>
    <row r="1958" spans="23:23" x14ac:dyDescent="0.2">
      <c r="W1958" s="39"/>
    </row>
    <row r="1959" spans="23:23" x14ac:dyDescent="0.2">
      <c r="W1959" s="39"/>
    </row>
    <row r="1960" spans="23:23" x14ac:dyDescent="0.2">
      <c r="W1960" s="39"/>
    </row>
    <row r="1961" spans="23:23" x14ac:dyDescent="0.2">
      <c r="W1961" s="39"/>
    </row>
    <row r="1962" spans="23:23" x14ac:dyDescent="0.2">
      <c r="W1962" s="39"/>
    </row>
    <row r="1963" spans="23:23" x14ac:dyDescent="0.2">
      <c r="W1963" s="39"/>
    </row>
    <row r="1964" spans="23:23" x14ac:dyDescent="0.2">
      <c r="W1964" s="39"/>
    </row>
    <row r="1965" spans="23:23" x14ac:dyDescent="0.2">
      <c r="W1965" s="39"/>
    </row>
    <row r="1966" spans="23:23" x14ac:dyDescent="0.2">
      <c r="W1966" s="39"/>
    </row>
    <row r="1967" spans="23:23" x14ac:dyDescent="0.2">
      <c r="W1967" s="39"/>
    </row>
    <row r="1968" spans="23:23" x14ac:dyDescent="0.2">
      <c r="W1968" s="39"/>
    </row>
    <row r="1969" spans="23:23" x14ac:dyDescent="0.2">
      <c r="W1969" s="39"/>
    </row>
    <row r="1970" spans="23:23" x14ac:dyDescent="0.2">
      <c r="W1970" s="39"/>
    </row>
    <row r="1971" spans="23:23" x14ac:dyDescent="0.2">
      <c r="W1971" s="39"/>
    </row>
    <row r="1972" spans="23:23" x14ac:dyDescent="0.2">
      <c r="W1972" s="39"/>
    </row>
    <row r="1973" spans="23:23" x14ac:dyDescent="0.2">
      <c r="W1973" s="39"/>
    </row>
    <row r="1974" spans="23:23" x14ac:dyDescent="0.2">
      <c r="W1974" s="39"/>
    </row>
    <row r="1975" spans="23:23" x14ac:dyDescent="0.2">
      <c r="W1975" s="39"/>
    </row>
    <row r="1976" spans="23:23" x14ac:dyDescent="0.2">
      <c r="W1976" s="39"/>
    </row>
    <row r="1977" spans="23:23" x14ac:dyDescent="0.2">
      <c r="W1977" s="39"/>
    </row>
    <row r="1978" spans="23:23" x14ac:dyDescent="0.2">
      <c r="W1978" s="39"/>
    </row>
    <row r="1979" spans="23:23" x14ac:dyDescent="0.2">
      <c r="W1979" s="39"/>
    </row>
    <row r="1980" spans="23:23" x14ac:dyDescent="0.2">
      <c r="W1980" s="39"/>
    </row>
    <row r="1981" spans="23:23" x14ac:dyDescent="0.2">
      <c r="W1981" s="39"/>
    </row>
    <row r="1982" spans="23:23" x14ac:dyDescent="0.2">
      <c r="W1982" s="39"/>
    </row>
    <row r="1983" spans="23:23" x14ac:dyDescent="0.2">
      <c r="W1983" s="39"/>
    </row>
    <row r="1984" spans="23:23" x14ac:dyDescent="0.2">
      <c r="W1984" s="39"/>
    </row>
    <row r="1985" spans="23:23" x14ac:dyDescent="0.2">
      <c r="W1985" s="39"/>
    </row>
    <row r="1986" spans="23:23" x14ac:dyDescent="0.2">
      <c r="W1986" s="39"/>
    </row>
    <row r="1987" spans="23:23" x14ac:dyDescent="0.2">
      <c r="W1987" s="39"/>
    </row>
    <row r="1988" spans="23:23" x14ac:dyDescent="0.2">
      <c r="W1988" s="39"/>
    </row>
    <row r="1989" spans="23:23" x14ac:dyDescent="0.2">
      <c r="W1989" s="39"/>
    </row>
    <row r="1990" spans="23:23" x14ac:dyDescent="0.2">
      <c r="W1990" s="39"/>
    </row>
    <row r="1991" spans="23:23" x14ac:dyDescent="0.2">
      <c r="W1991" s="39"/>
    </row>
    <row r="1992" spans="23:23" x14ac:dyDescent="0.2">
      <c r="W1992" s="39"/>
    </row>
    <row r="1993" spans="23:23" x14ac:dyDescent="0.2">
      <c r="W1993" s="39"/>
    </row>
    <row r="1994" spans="23:23" x14ac:dyDescent="0.2">
      <c r="W1994" s="39"/>
    </row>
    <row r="1995" spans="23:23" x14ac:dyDescent="0.2">
      <c r="W1995" s="39"/>
    </row>
    <row r="1996" spans="23:23" x14ac:dyDescent="0.2">
      <c r="W1996" s="39"/>
    </row>
    <row r="1997" spans="23:23" x14ac:dyDescent="0.2">
      <c r="W1997" s="39"/>
    </row>
    <row r="1998" spans="23:23" x14ac:dyDescent="0.2">
      <c r="W1998" s="39"/>
    </row>
    <row r="1999" spans="23:23" x14ac:dyDescent="0.2">
      <c r="W1999" s="39"/>
    </row>
    <row r="2000" spans="23:23" x14ac:dyDescent="0.2">
      <c r="W2000" s="39"/>
    </row>
    <row r="2001" spans="23:23" x14ac:dyDescent="0.2">
      <c r="W2001" s="39"/>
    </row>
    <row r="2002" spans="23:23" x14ac:dyDescent="0.2">
      <c r="W2002" s="39"/>
    </row>
    <row r="2003" spans="23:23" x14ac:dyDescent="0.2">
      <c r="W2003" s="39"/>
    </row>
    <row r="2004" spans="23:23" x14ac:dyDescent="0.2">
      <c r="W2004" s="39"/>
    </row>
    <row r="2005" spans="23:23" x14ac:dyDescent="0.2">
      <c r="W2005" s="39"/>
    </row>
    <row r="2006" spans="23:23" x14ac:dyDescent="0.2">
      <c r="W2006" s="39"/>
    </row>
    <row r="2007" spans="23:23" x14ac:dyDescent="0.2">
      <c r="W2007" s="39"/>
    </row>
    <row r="2008" spans="23:23" x14ac:dyDescent="0.2">
      <c r="W2008" s="39"/>
    </row>
    <row r="2009" spans="23:23" x14ac:dyDescent="0.2">
      <c r="W2009" s="39"/>
    </row>
    <row r="2010" spans="23:23" x14ac:dyDescent="0.2">
      <c r="W2010" s="39"/>
    </row>
    <row r="2011" spans="23:23" x14ac:dyDescent="0.2">
      <c r="W2011" s="39"/>
    </row>
    <row r="2012" spans="23:23" x14ac:dyDescent="0.2">
      <c r="W2012" s="39"/>
    </row>
    <row r="2013" spans="23:23" x14ac:dyDescent="0.2">
      <c r="W2013" s="39"/>
    </row>
    <row r="2014" spans="23:23" x14ac:dyDescent="0.2">
      <c r="W2014" s="39"/>
    </row>
    <row r="2015" spans="23:23" x14ac:dyDescent="0.2">
      <c r="W2015" s="39"/>
    </row>
    <row r="2016" spans="23:23" x14ac:dyDescent="0.2">
      <c r="W2016" s="39"/>
    </row>
    <row r="2017" spans="23:23" x14ac:dyDescent="0.2">
      <c r="W2017" s="39"/>
    </row>
    <row r="2018" spans="23:23" x14ac:dyDescent="0.2">
      <c r="W2018" s="39"/>
    </row>
    <row r="2019" spans="23:23" x14ac:dyDescent="0.2">
      <c r="W2019" s="39"/>
    </row>
    <row r="2020" spans="23:23" x14ac:dyDescent="0.2">
      <c r="W2020" s="39"/>
    </row>
    <row r="2021" spans="23:23" x14ac:dyDescent="0.2">
      <c r="W2021" s="39"/>
    </row>
    <row r="2022" spans="23:23" x14ac:dyDescent="0.2">
      <c r="W2022" s="39"/>
    </row>
    <row r="2023" spans="23:23" x14ac:dyDescent="0.2">
      <c r="W2023" s="39"/>
    </row>
    <row r="2024" spans="23:23" x14ac:dyDescent="0.2">
      <c r="W2024" s="39"/>
    </row>
    <row r="2025" spans="23:23" x14ac:dyDescent="0.2">
      <c r="W2025" s="39"/>
    </row>
    <row r="2026" spans="23:23" x14ac:dyDescent="0.2">
      <c r="W2026" s="39"/>
    </row>
    <row r="2027" spans="23:23" x14ac:dyDescent="0.2">
      <c r="W2027" s="39"/>
    </row>
    <row r="2028" spans="23:23" x14ac:dyDescent="0.2">
      <c r="W2028" s="39"/>
    </row>
    <row r="2029" spans="23:23" x14ac:dyDescent="0.2">
      <c r="W2029" s="39"/>
    </row>
    <row r="2030" spans="23:23" x14ac:dyDescent="0.2">
      <c r="W2030" s="39"/>
    </row>
    <row r="2031" spans="23:23" x14ac:dyDescent="0.2">
      <c r="W2031" s="39"/>
    </row>
    <row r="2032" spans="23:23" x14ac:dyDescent="0.2">
      <c r="W2032" s="39"/>
    </row>
    <row r="2033" spans="23:23" x14ac:dyDescent="0.2">
      <c r="W2033" s="39"/>
    </row>
    <row r="2034" spans="23:23" x14ac:dyDescent="0.2">
      <c r="W2034" s="39"/>
    </row>
    <row r="2035" spans="23:23" x14ac:dyDescent="0.2">
      <c r="W2035" s="39"/>
    </row>
    <row r="2036" spans="23:23" x14ac:dyDescent="0.2">
      <c r="W2036" s="39"/>
    </row>
    <row r="2037" spans="23:23" x14ac:dyDescent="0.2">
      <c r="W2037" s="39"/>
    </row>
    <row r="2038" spans="23:23" x14ac:dyDescent="0.2">
      <c r="W2038" s="39"/>
    </row>
    <row r="2039" spans="23:23" x14ac:dyDescent="0.2">
      <c r="W2039" s="39"/>
    </row>
    <row r="2040" spans="23:23" x14ac:dyDescent="0.2">
      <c r="W2040" s="39"/>
    </row>
    <row r="2041" spans="23:23" x14ac:dyDescent="0.2">
      <c r="W2041" s="39"/>
    </row>
    <row r="2042" spans="23:23" x14ac:dyDescent="0.2">
      <c r="W2042" s="39"/>
    </row>
    <row r="2043" spans="23:23" x14ac:dyDescent="0.2">
      <c r="W2043" s="39"/>
    </row>
    <row r="2044" spans="23:23" x14ac:dyDescent="0.2">
      <c r="W2044" s="39"/>
    </row>
    <row r="2045" spans="23:23" x14ac:dyDescent="0.2">
      <c r="W2045" s="39"/>
    </row>
    <row r="2046" spans="23:23" x14ac:dyDescent="0.2">
      <c r="W2046" s="39"/>
    </row>
    <row r="2047" spans="23:23" x14ac:dyDescent="0.2">
      <c r="W2047" s="39"/>
    </row>
    <row r="2048" spans="23:23" x14ac:dyDescent="0.2">
      <c r="W2048" s="39"/>
    </row>
    <row r="2049" spans="23:23" x14ac:dyDescent="0.2">
      <c r="W2049" s="39"/>
    </row>
    <row r="2050" spans="23:23" x14ac:dyDescent="0.2">
      <c r="W2050" s="39"/>
    </row>
    <row r="2051" spans="23:23" x14ac:dyDescent="0.2">
      <c r="W2051" s="39"/>
    </row>
    <row r="2052" spans="23:23" x14ac:dyDescent="0.2">
      <c r="W2052" s="39"/>
    </row>
    <row r="2053" spans="23:23" x14ac:dyDescent="0.2">
      <c r="W2053" s="39"/>
    </row>
    <row r="2054" spans="23:23" x14ac:dyDescent="0.2">
      <c r="W2054" s="39"/>
    </row>
    <row r="2055" spans="23:23" x14ac:dyDescent="0.2">
      <c r="W2055" s="39"/>
    </row>
    <row r="2056" spans="23:23" x14ac:dyDescent="0.2">
      <c r="W2056" s="39"/>
    </row>
    <row r="2057" spans="23:23" x14ac:dyDescent="0.2">
      <c r="W2057" s="39"/>
    </row>
    <row r="2058" spans="23:23" x14ac:dyDescent="0.2">
      <c r="W2058" s="39"/>
    </row>
    <row r="2059" spans="23:23" x14ac:dyDescent="0.2">
      <c r="W2059" s="39"/>
    </row>
    <row r="2060" spans="23:23" x14ac:dyDescent="0.2">
      <c r="W2060" s="39"/>
    </row>
    <row r="2061" spans="23:23" x14ac:dyDescent="0.2">
      <c r="W2061" s="39"/>
    </row>
    <row r="2062" spans="23:23" x14ac:dyDescent="0.2">
      <c r="W2062" s="39"/>
    </row>
    <row r="2063" spans="23:23" x14ac:dyDescent="0.2">
      <c r="W2063" s="39"/>
    </row>
    <row r="2064" spans="23:23" x14ac:dyDescent="0.2">
      <c r="W2064" s="39"/>
    </row>
    <row r="2065" spans="23:23" x14ac:dyDescent="0.2">
      <c r="W2065" s="39"/>
    </row>
    <row r="2066" spans="23:23" x14ac:dyDescent="0.2">
      <c r="W2066" s="39"/>
    </row>
    <row r="2067" spans="23:23" x14ac:dyDescent="0.2">
      <c r="W2067" s="39"/>
    </row>
    <row r="2068" spans="23:23" x14ac:dyDescent="0.2">
      <c r="W2068" s="39"/>
    </row>
    <row r="2069" spans="23:23" x14ac:dyDescent="0.2">
      <c r="W2069" s="39"/>
    </row>
    <row r="2070" spans="23:23" x14ac:dyDescent="0.2">
      <c r="W2070" s="39"/>
    </row>
    <row r="2071" spans="23:23" x14ac:dyDescent="0.2">
      <c r="W2071" s="39"/>
    </row>
    <row r="2072" spans="23:23" x14ac:dyDescent="0.2">
      <c r="W2072" s="39"/>
    </row>
    <row r="2073" spans="23:23" x14ac:dyDescent="0.2">
      <c r="W2073" s="39"/>
    </row>
    <row r="2074" spans="23:23" x14ac:dyDescent="0.2">
      <c r="W2074" s="39"/>
    </row>
    <row r="2075" spans="23:23" x14ac:dyDescent="0.2">
      <c r="W2075" s="39"/>
    </row>
    <row r="2076" spans="23:23" x14ac:dyDescent="0.2">
      <c r="W2076" s="39"/>
    </row>
    <row r="2077" spans="23:23" x14ac:dyDescent="0.2">
      <c r="W2077" s="39"/>
    </row>
    <row r="2078" spans="23:23" x14ac:dyDescent="0.2">
      <c r="W2078" s="39"/>
    </row>
    <row r="2079" spans="23:23" x14ac:dyDescent="0.2">
      <c r="W2079" s="39"/>
    </row>
    <row r="2080" spans="23:23" x14ac:dyDescent="0.2">
      <c r="W2080" s="39"/>
    </row>
    <row r="2081" spans="23:23" x14ac:dyDescent="0.2">
      <c r="W2081" s="39"/>
    </row>
    <row r="2082" spans="23:23" x14ac:dyDescent="0.2">
      <c r="W2082" s="39"/>
    </row>
    <row r="2083" spans="23:23" x14ac:dyDescent="0.2">
      <c r="W2083" s="39"/>
    </row>
    <row r="2084" spans="23:23" x14ac:dyDescent="0.2">
      <c r="W2084" s="39"/>
    </row>
    <row r="2085" spans="23:23" x14ac:dyDescent="0.2">
      <c r="W2085" s="39"/>
    </row>
    <row r="2086" spans="23:23" x14ac:dyDescent="0.2">
      <c r="W2086" s="39"/>
    </row>
    <row r="2087" spans="23:23" x14ac:dyDescent="0.2">
      <c r="W2087" s="39"/>
    </row>
    <row r="2088" spans="23:23" x14ac:dyDescent="0.2">
      <c r="W2088" s="39"/>
    </row>
    <row r="2089" spans="23:23" x14ac:dyDescent="0.2">
      <c r="W2089" s="39"/>
    </row>
    <row r="2090" spans="23:23" x14ac:dyDescent="0.2">
      <c r="W2090" s="39"/>
    </row>
    <row r="2091" spans="23:23" x14ac:dyDescent="0.2">
      <c r="W2091" s="39"/>
    </row>
    <row r="2092" spans="23:23" x14ac:dyDescent="0.2">
      <c r="W2092" s="39"/>
    </row>
    <row r="2093" spans="23:23" x14ac:dyDescent="0.2">
      <c r="W2093" s="39"/>
    </row>
    <row r="2094" spans="23:23" x14ac:dyDescent="0.2">
      <c r="W2094" s="39"/>
    </row>
    <row r="2095" spans="23:23" x14ac:dyDescent="0.2">
      <c r="W2095" s="39"/>
    </row>
    <row r="2096" spans="23:23" x14ac:dyDescent="0.2">
      <c r="W2096" s="39"/>
    </row>
    <row r="2097" spans="23:23" x14ac:dyDescent="0.2">
      <c r="W2097" s="39"/>
    </row>
    <row r="2098" spans="23:23" x14ac:dyDescent="0.2">
      <c r="W2098" s="39"/>
    </row>
    <row r="2099" spans="23:23" x14ac:dyDescent="0.2">
      <c r="W2099" s="39"/>
    </row>
    <row r="2100" spans="23:23" x14ac:dyDescent="0.2">
      <c r="W2100" s="39"/>
    </row>
    <row r="2101" spans="23:23" x14ac:dyDescent="0.2">
      <c r="W2101" s="39"/>
    </row>
    <row r="2102" spans="23:23" x14ac:dyDescent="0.2">
      <c r="W2102" s="39"/>
    </row>
    <row r="2103" spans="23:23" x14ac:dyDescent="0.2">
      <c r="W2103" s="39"/>
    </row>
    <row r="2104" spans="23:23" x14ac:dyDescent="0.2">
      <c r="W2104" s="39"/>
    </row>
    <row r="2105" spans="23:23" x14ac:dyDescent="0.2">
      <c r="W2105" s="39"/>
    </row>
    <row r="2106" spans="23:23" x14ac:dyDescent="0.2">
      <c r="W2106" s="39"/>
    </row>
    <row r="2107" spans="23:23" x14ac:dyDescent="0.2">
      <c r="W2107" s="39"/>
    </row>
    <row r="2108" spans="23:23" x14ac:dyDescent="0.2">
      <c r="W2108" s="39"/>
    </row>
    <row r="2109" spans="23:23" x14ac:dyDescent="0.2">
      <c r="W2109" s="39"/>
    </row>
    <row r="2110" spans="23:23" x14ac:dyDescent="0.2">
      <c r="W2110" s="39"/>
    </row>
    <row r="2111" spans="23:23" x14ac:dyDescent="0.2">
      <c r="W2111" s="39"/>
    </row>
    <row r="2112" spans="23:23" x14ac:dyDescent="0.2">
      <c r="W2112" s="39"/>
    </row>
    <row r="2113" spans="23:23" x14ac:dyDescent="0.2">
      <c r="W2113" s="39"/>
    </row>
    <row r="2114" spans="23:23" x14ac:dyDescent="0.2">
      <c r="W2114" s="39"/>
    </row>
    <row r="2115" spans="23:23" x14ac:dyDescent="0.2">
      <c r="W2115" s="39"/>
    </row>
    <row r="2116" spans="23:23" x14ac:dyDescent="0.2">
      <c r="W2116" s="39"/>
    </row>
    <row r="2117" spans="23:23" x14ac:dyDescent="0.2">
      <c r="W2117" s="39"/>
    </row>
    <row r="2118" spans="23:23" x14ac:dyDescent="0.2">
      <c r="W2118" s="39"/>
    </row>
    <row r="2119" spans="23:23" x14ac:dyDescent="0.2">
      <c r="W2119" s="39"/>
    </row>
    <row r="2120" spans="23:23" x14ac:dyDescent="0.2">
      <c r="W2120" s="39"/>
    </row>
    <row r="2121" spans="23:23" x14ac:dyDescent="0.2">
      <c r="W2121" s="39"/>
    </row>
    <row r="2122" spans="23:23" x14ac:dyDescent="0.2">
      <c r="W2122" s="39"/>
    </row>
    <row r="2123" spans="23:23" x14ac:dyDescent="0.2">
      <c r="W2123" s="39"/>
    </row>
    <row r="2124" spans="23:23" x14ac:dyDescent="0.2">
      <c r="W2124" s="39"/>
    </row>
    <row r="2125" spans="23:23" x14ac:dyDescent="0.2">
      <c r="W2125" s="39"/>
    </row>
    <row r="2126" spans="23:23" x14ac:dyDescent="0.2">
      <c r="W2126" s="39"/>
    </row>
    <row r="2127" spans="23:23" x14ac:dyDescent="0.2">
      <c r="W2127" s="39"/>
    </row>
    <row r="2128" spans="23:23" x14ac:dyDescent="0.2">
      <c r="W2128" s="39"/>
    </row>
    <row r="2129" spans="23:23" x14ac:dyDescent="0.2">
      <c r="W2129" s="39"/>
    </row>
    <row r="2130" spans="23:23" x14ac:dyDescent="0.2">
      <c r="W2130" s="39"/>
    </row>
    <row r="2131" spans="23:23" x14ac:dyDescent="0.2">
      <c r="W2131" s="39"/>
    </row>
    <row r="2132" spans="23:23" x14ac:dyDescent="0.2">
      <c r="W2132" s="39"/>
    </row>
    <row r="2133" spans="23:23" x14ac:dyDescent="0.2">
      <c r="W2133" s="39"/>
    </row>
    <row r="2134" spans="23:23" x14ac:dyDescent="0.2">
      <c r="W2134" s="39"/>
    </row>
    <row r="2135" spans="23:23" x14ac:dyDescent="0.2">
      <c r="W2135" s="39"/>
    </row>
    <row r="2136" spans="23:23" x14ac:dyDescent="0.2">
      <c r="W2136" s="39"/>
    </row>
    <row r="2137" spans="23:23" x14ac:dyDescent="0.2">
      <c r="W2137" s="39"/>
    </row>
    <row r="2138" spans="23:23" x14ac:dyDescent="0.2">
      <c r="W2138" s="39"/>
    </row>
    <row r="2139" spans="23:23" x14ac:dyDescent="0.2">
      <c r="W2139" s="39"/>
    </row>
    <row r="2140" spans="23:23" x14ac:dyDescent="0.2">
      <c r="W2140" s="39"/>
    </row>
    <row r="2141" spans="23:23" x14ac:dyDescent="0.2">
      <c r="W2141" s="39"/>
    </row>
    <row r="2142" spans="23:23" x14ac:dyDescent="0.2">
      <c r="W2142" s="39"/>
    </row>
    <row r="2143" spans="23:23" x14ac:dyDescent="0.2">
      <c r="W2143" s="39"/>
    </row>
    <row r="2144" spans="23:23" x14ac:dyDescent="0.2">
      <c r="W2144" s="39"/>
    </row>
    <row r="2145" spans="23:23" x14ac:dyDescent="0.2">
      <c r="W2145" s="39"/>
    </row>
    <row r="2146" spans="23:23" x14ac:dyDescent="0.2">
      <c r="W2146" s="39"/>
    </row>
    <row r="2147" spans="23:23" x14ac:dyDescent="0.2">
      <c r="W2147" s="39"/>
    </row>
    <row r="2148" spans="23:23" x14ac:dyDescent="0.2">
      <c r="W2148" s="39"/>
    </row>
    <row r="2149" spans="23:23" x14ac:dyDescent="0.2">
      <c r="W2149" s="39"/>
    </row>
    <row r="2150" spans="23:23" x14ac:dyDescent="0.2">
      <c r="W2150" s="39"/>
    </row>
    <row r="2151" spans="23:23" x14ac:dyDescent="0.2">
      <c r="W2151" s="39"/>
    </row>
    <row r="2152" spans="23:23" x14ac:dyDescent="0.2">
      <c r="W2152" s="39"/>
    </row>
    <row r="2153" spans="23:23" x14ac:dyDescent="0.2">
      <c r="W2153" s="39"/>
    </row>
    <row r="2154" spans="23:23" x14ac:dyDescent="0.2">
      <c r="W2154" s="39"/>
    </row>
    <row r="2155" spans="23:23" x14ac:dyDescent="0.2">
      <c r="W2155" s="39"/>
    </row>
    <row r="2156" spans="23:23" x14ac:dyDescent="0.2">
      <c r="W2156" s="39"/>
    </row>
    <row r="2157" spans="23:23" x14ac:dyDescent="0.2">
      <c r="W2157" s="39"/>
    </row>
    <row r="2158" spans="23:23" x14ac:dyDescent="0.2">
      <c r="W2158" s="39"/>
    </row>
    <row r="2159" spans="23:23" x14ac:dyDescent="0.2">
      <c r="W2159" s="39"/>
    </row>
    <row r="2160" spans="23:23" x14ac:dyDescent="0.2">
      <c r="W2160" s="39"/>
    </row>
    <row r="2161" spans="23:23" x14ac:dyDescent="0.2">
      <c r="W2161" s="39"/>
    </row>
    <row r="2162" spans="23:23" x14ac:dyDescent="0.2">
      <c r="W2162" s="39"/>
    </row>
    <row r="2163" spans="23:23" x14ac:dyDescent="0.2">
      <c r="W2163" s="39"/>
    </row>
    <row r="2164" spans="23:23" x14ac:dyDescent="0.2">
      <c r="W2164" s="39"/>
    </row>
    <row r="2165" spans="23:23" x14ac:dyDescent="0.2">
      <c r="W2165" s="39"/>
    </row>
    <row r="2166" spans="23:23" x14ac:dyDescent="0.2">
      <c r="W2166" s="39"/>
    </row>
    <row r="2167" spans="23:23" x14ac:dyDescent="0.2">
      <c r="W2167" s="39"/>
    </row>
    <row r="2168" spans="23:23" x14ac:dyDescent="0.2">
      <c r="W2168" s="39"/>
    </row>
    <row r="2169" spans="23:23" x14ac:dyDescent="0.2">
      <c r="W2169" s="39"/>
    </row>
    <row r="2170" spans="23:23" x14ac:dyDescent="0.2">
      <c r="W2170" s="39"/>
    </row>
    <row r="2171" spans="23:23" x14ac:dyDescent="0.2">
      <c r="W2171" s="39"/>
    </row>
    <row r="2172" spans="23:23" x14ac:dyDescent="0.2">
      <c r="W2172" s="39"/>
    </row>
    <row r="2173" spans="23:23" x14ac:dyDescent="0.2">
      <c r="W2173" s="39"/>
    </row>
    <row r="2174" spans="23:23" x14ac:dyDescent="0.2">
      <c r="W2174" s="39"/>
    </row>
    <row r="2175" spans="23:23" x14ac:dyDescent="0.2">
      <c r="W2175" s="39"/>
    </row>
    <row r="2176" spans="23:23" x14ac:dyDescent="0.2">
      <c r="W2176" s="39"/>
    </row>
    <row r="2177" spans="23:23" x14ac:dyDescent="0.2">
      <c r="W2177" s="39"/>
    </row>
    <row r="2178" spans="23:23" x14ac:dyDescent="0.2">
      <c r="W2178" s="39"/>
    </row>
    <row r="2179" spans="23:23" x14ac:dyDescent="0.2">
      <c r="W2179" s="39"/>
    </row>
    <row r="2180" spans="23:23" x14ac:dyDescent="0.2">
      <c r="W2180" s="39"/>
    </row>
    <row r="2181" spans="23:23" x14ac:dyDescent="0.2">
      <c r="W2181" s="39"/>
    </row>
    <row r="2182" spans="23:23" x14ac:dyDescent="0.2">
      <c r="W2182" s="39"/>
    </row>
    <row r="2183" spans="23:23" x14ac:dyDescent="0.2">
      <c r="W2183" s="39"/>
    </row>
    <row r="2184" spans="23:23" x14ac:dyDescent="0.2">
      <c r="W2184" s="39"/>
    </row>
    <row r="2185" spans="23:23" x14ac:dyDescent="0.2">
      <c r="W2185" s="39"/>
    </row>
    <row r="2186" spans="23:23" x14ac:dyDescent="0.2">
      <c r="W2186" s="39"/>
    </row>
    <row r="2187" spans="23:23" x14ac:dyDescent="0.2">
      <c r="W2187" s="39"/>
    </row>
    <row r="2188" spans="23:23" x14ac:dyDescent="0.2">
      <c r="W2188" s="39"/>
    </row>
    <row r="2189" spans="23:23" x14ac:dyDescent="0.2">
      <c r="W2189" s="39"/>
    </row>
    <row r="2190" spans="23:23" x14ac:dyDescent="0.2">
      <c r="W2190" s="39"/>
    </row>
    <row r="2191" spans="23:23" x14ac:dyDescent="0.2">
      <c r="W2191" s="39"/>
    </row>
    <row r="2192" spans="23:23" x14ac:dyDescent="0.2">
      <c r="W2192" s="39"/>
    </row>
    <row r="2193" spans="23:23" x14ac:dyDescent="0.2">
      <c r="W2193" s="39"/>
    </row>
    <row r="2194" spans="23:23" x14ac:dyDescent="0.2">
      <c r="W2194" s="39"/>
    </row>
    <row r="2195" spans="23:23" x14ac:dyDescent="0.2">
      <c r="W2195" s="39"/>
    </row>
    <row r="2196" spans="23:23" x14ac:dyDescent="0.2">
      <c r="W2196" s="39"/>
    </row>
    <row r="2197" spans="23:23" x14ac:dyDescent="0.2">
      <c r="W2197" s="39"/>
    </row>
    <row r="2198" spans="23:23" x14ac:dyDescent="0.2">
      <c r="W2198" s="39"/>
    </row>
    <row r="2199" spans="23:23" x14ac:dyDescent="0.2">
      <c r="W2199" s="39"/>
    </row>
    <row r="2200" spans="23:23" x14ac:dyDescent="0.2">
      <c r="W2200" s="39"/>
    </row>
    <row r="2201" spans="23:23" x14ac:dyDescent="0.2">
      <c r="W2201" s="39"/>
    </row>
    <row r="2202" spans="23:23" x14ac:dyDescent="0.2">
      <c r="W2202" s="39"/>
    </row>
    <row r="2203" spans="23:23" x14ac:dyDescent="0.2">
      <c r="W2203" s="39"/>
    </row>
    <row r="2204" spans="23:23" x14ac:dyDescent="0.2">
      <c r="W2204" s="39"/>
    </row>
    <row r="2205" spans="23:23" x14ac:dyDescent="0.2">
      <c r="W2205" s="39"/>
    </row>
    <row r="2206" spans="23:23" x14ac:dyDescent="0.2">
      <c r="W2206" s="39"/>
    </row>
    <row r="2207" spans="23:23" x14ac:dyDescent="0.2">
      <c r="W2207" s="39"/>
    </row>
    <row r="2208" spans="23:23" x14ac:dyDescent="0.2">
      <c r="W2208" s="39"/>
    </row>
    <row r="2209" spans="23:23" x14ac:dyDescent="0.2">
      <c r="W2209" s="39"/>
    </row>
    <row r="2210" spans="23:23" x14ac:dyDescent="0.2">
      <c r="W2210" s="39"/>
    </row>
    <row r="2211" spans="23:23" x14ac:dyDescent="0.2">
      <c r="W2211" s="39"/>
    </row>
    <row r="2212" spans="23:23" x14ac:dyDescent="0.2">
      <c r="W2212" s="39"/>
    </row>
    <row r="2213" spans="23:23" x14ac:dyDescent="0.2">
      <c r="W2213" s="39"/>
    </row>
    <row r="2214" spans="23:23" x14ac:dyDescent="0.2">
      <c r="W2214" s="39"/>
    </row>
    <row r="2215" spans="23:23" x14ac:dyDescent="0.2">
      <c r="W2215" s="39"/>
    </row>
    <row r="2216" spans="23:23" x14ac:dyDescent="0.2">
      <c r="W2216" s="39"/>
    </row>
    <row r="2217" spans="23:23" x14ac:dyDescent="0.2">
      <c r="W2217" s="39"/>
    </row>
    <row r="2218" spans="23:23" x14ac:dyDescent="0.2">
      <c r="W2218" s="39"/>
    </row>
    <row r="2219" spans="23:23" x14ac:dyDescent="0.2">
      <c r="W2219" s="39"/>
    </row>
    <row r="2220" spans="23:23" x14ac:dyDescent="0.2">
      <c r="W2220" s="39"/>
    </row>
    <row r="2221" spans="23:23" x14ac:dyDescent="0.2">
      <c r="W2221" s="39"/>
    </row>
    <row r="2222" spans="23:23" x14ac:dyDescent="0.2">
      <c r="W2222" s="39"/>
    </row>
    <row r="2223" spans="23:23" x14ac:dyDescent="0.2">
      <c r="W2223" s="39"/>
    </row>
    <row r="2224" spans="23:23" x14ac:dyDescent="0.2">
      <c r="W2224" s="39"/>
    </row>
    <row r="2225" spans="23:23" x14ac:dyDescent="0.2">
      <c r="W2225" s="39"/>
    </row>
    <row r="2226" spans="23:23" x14ac:dyDescent="0.2">
      <c r="W2226" s="39"/>
    </row>
    <row r="2227" spans="23:23" x14ac:dyDescent="0.2">
      <c r="W2227" s="39"/>
    </row>
    <row r="2228" spans="23:23" x14ac:dyDescent="0.2">
      <c r="W2228" s="39"/>
    </row>
    <row r="2229" spans="23:23" x14ac:dyDescent="0.2">
      <c r="W2229" s="39"/>
    </row>
    <row r="2230" spans="23:23" x14ac:dyDescent="0.2">
      <c r="W2230" s="39"/>
    </row>
    <row r="2231" spans="23:23" x14ac:dyDescent="0.2">
      <c r="W2231" s="39"/>
    </row>
    <row r="2232" spans="23:23" x14ac:dyDescent="0.2">
      <c r="W2232" s="39"/>
    </row>
    <row r="2233" spans="23:23" x14ac:dyDescent="0.2">
      <c r="W2233" s="39"/>
    </row>
    <row r="2234" spans="23:23" x14ac:dyDescent="0.2">
      <c r="W2234" s="39"/>
    </row>
    <row r="2235" spans="23:23" x14ac:dyDescent="0.2">
      <c r="W2235" s="39"/>
    </row>
    <row r="2236" spans="23:23" x14ac:dyDescent="0.2">
      <c r="W2236" s="39"/>
    </row>
    <row r="2237" spans="23:23" x14ac:dyDescent="0.2">
      <c r="W2237" s="39"/>
    </row>
    <row r="2238" spans="23:23" x14ac:dyDescent="0.2">
      <c r="W2238" s="39"/>
    </row>
    <row r="2239" spans="23:23" x14ac:dyDescent="0.2">
      <c r="W2239" s="39"/>
    </row>
    <row r="2240" spans="23:23" x14ac:dyDescent="0.2">
      <c r="W2240" s="39"/>
    </row>
    <row r="2241" spans="23:23" x14ac:dyDescent="0.2">
      <c r="W2241" s="39"/>
    </row>
    <row r="2242" spans="23:23" x14ac:dyDescent="0.2">
      <c r="W2242" s="39"/>
    </row>
    <row r="2243" spans="23:23" x14ac:dyDescent="0.2">
      <c r="W2243" s="39"/>
    </row>
    <row r="2244" spans="23:23" x14ac:dyDescent="0.2">
      <c r="W2244" s="39"/>
    </row>
    <row r="2245" spans="23:23" x14ac:dyDescent="0.2">
      <c r="W2245" s="39"/>
    </row>
    <row r="2246" spans="23:23" x14ac:dyDescent="0.2">
      <c r="W2246" s="39"/>
    </row>
    <row r="2247" spans="23:23" x14ac:dyDescent="0.2">
      <c r="W2247" s="39"/>
    </row>
    <row r="2248" spans="23:23" x14ac:dyDescent="0.2">
      <c r="W2248" s="39"/>
    </row>
    <row r="2249" spans="23:23" x14ac:dyDescent="0.2">
      <c r="W2249" s="39"/>
    </row>
    <row r="2250" spans="23:23" x14ac:dyDescent="0.2">
      <c r="W2250" s="39"/>
    </row>
    <row r="2251" spans="23:23" x14ac:dyDescent="0.2">
      <c r="W2251" s="39"/>
    </row>
    <row r="2252" spans="23:23" x14ac:dyDescent="0.2">
      <c r="W2252" s="39"/>
    </row>
    <row r="2253" spans="23:23" x14ac:dyDescent="0.2">
      <c r="W2253" s="39"/>
    </row>
    <row r="2254" spans="23:23" x14ac:dyDescent="0.2">
      <c r="W2254" s="39"/>
    </row>
    <row r="2255" spans="23:23" x14ac:dyDescent="0.2">
      <c r="W2255" s="39"/>
    </row>
    <row r="2256" spans="23:23" x14ac:dyDescent="0.2">
      <c r="W2256" s="39"/>
    </row>
    <row r="2257" spans="23:23" x14ac:dyDescent="0.2">
      <c r="W2257" s="39"/>
    </row>
    <row r="2258" spans="23:23" x14ac:dyDescent="0.2">
      <c r="W2258" s="39"/>
    </row>
    <row r="2259" spans="23:23" x14ac:dyDescent="0.2">
      <c r="W2259" s="39"/>
    </row>
    <row r="2260" spans="23:23" x14ac:dyDescent="0.2">
      <c r="W2260" s="39"/>
    </row>
    <row r="2261" spans="23:23" x14ac:dyDescent="0.2">
      <c r="W2261" s="39"/>
    </row>
    <row r="2262" spans="23:23" x14ac:dyDescent="0.2">
      <c r="W2262" s="39"/>
    </row>
    <row r="2263" spans="23:23" x14ac:dyDescent="0.2">
      <c r="W2263" s="39"/>
    </row>
    <row r="2264" spans="23:23" x14ac:dyDescent="0.2">
      <c r="W2264" s="39"/>
    </row>
    <row r="2265" spans="23:23" x14ac:dyDescent="0.2">
      <c r="W2265" s="39"/>
    </row>
    <row r="2266" spans="23:23" x14ac:dyDescent="0.2">
      <c r="W2266" s="39"/>
    </row>
    <row r="2267" spans="23:23" x14ac:dyDescent="0.2">
      <c r="W2267" s="39"/>
    </row>
    <row r="2268" spans="23:23" x14ac:dyDescent="0.2">
      <c r="W2268" s="39"/>
    </row>
    <row r="2269" spans="23:23" x14ac:dyDescent="0.2">
      <c r="W2269" s="39"/>
    </row>
    <row r="2270" spans="23:23" x14ac:dyDescent="0.2">
      <c r="W2270" s="39"/>
    </row>
    <row r="2271" spans="23:23" x14ac:dyDescent="0.2">
      <c r="W2271" s="39"/>
    </row>
    <row r="2272" spans="23:23" x14ac:dyDescent="0.2">
      <c r="W2272" s="39"/>
    </row>
    <row r="2273" spans="23:23" x14ac:dyDescent="0.2">
      <c r="W2273" s="39"/>
    </row>
    <row r="2274" spans="23:23" x14ac:dyDescent="0.2">
      <c r="W2274" s="39"/>
    </row>
    <row r="2275" spans="23:23" x14ac:dyDescent="0.2">
      <c r="W2275" s="39"/>
    </row>
    <row r="2276" spans="23:23" x14ac:dyDescent="0.2">
      <c r="W2276" s="39"/>
    </row>
    <row r="2277" spans="23:23" x14ac:dyDescent="0.2">
      <c r="W2277" s="39"/>
    </row>
    <row r="2278" spans="23:23" x14ac:dyDescent="0.2">
      <c r="W2278" s="39"/>
    </row>
    <row r="2279" spans="23:23" x14ac:dyDescent="0.2">
      <c r="W2279" s="39"/>
    </row>
    <row r="2280" spans="23:23" x14ac:dyDescent="0.2">
      <c r="W2280" s="39"/>
    </row>
    <row r="2281" spans="23:23" x14ac:dyDescent="0.2">
      <c r="W2281" s="39"/>
    </row>
    <row r="2282" spans="23:23" x14ac:dyDescent="0.2">
      <c r="W2282" s="39"/>
    </row>
    <row r="2283" spans="23:23" x14ac:dyDescent="0.2">
      <c r="W2283" s="39"/>
    </row>
    <row r="2284" spans="23:23" x14ac:dyDescent="0.2">
      <c r="W2284" s="39"/>
    </row>
    <row r="2285" spans="23:23" x14ac:dyDescent="0.2">
      <c r="W2285" s="39"/>
    </row>
    <row r="2286" spans="23:23" x14ac:dyDescent="0.2">
      <c r="W2286" s="39"/>
    </row>
    <row r="2287" spans="23:23" x14ac:dyDescent="0.2">
      <c r="W2287" s="39"/>
    </row>
    <row r="2288" spans="23:23" x14ac:dyDescent="0.2">
      <c r="W2288" s="39"/>
    </row>
    <row r="2289" spans="23:23" x14ac:dyDescent="0.2">
      <c r="W2289" s="39"/>
    </row>
    <row r="2290" spans="23:23" x14ac:dyDescent="0.2">
      <c r="W2290" s="39"/>
    </row>
    <row r="2291" spans="23:23" x14ac:dyDescent="0.2">
      <c r="W2291" s="39"/>
    </row>
    <row r="2292" spans="23:23" x14ac:dyDescent="0.2">
      <c r="W2292" s="39"/>
    </row>
    <row r="2293" spans="23:23" x14ac:dyDescent="0.2">
      <c r="W2293" s="39"/>
    </row>
    <row r="2294" spans="23:23" x14ac:dyDescent="0.2">
      <c r="W2294" s="39"/>
    </row>
    <row r="2295" spans="23:23" x14ac:dyDescent="0.2">
      <c r="W2295" s="39"/>
    </row>
    <row r="2296" spans="23:23" x14ac:dyDescent="0.2">
      <c r="W2296" s="39"/>
    </row>
    <row r="2297" spans="23:23" x14ac:dyDescent="0.2">
      <c r="W2297" s="39"/>
    </row>
    <row r="2298" spans="23:23" x14ac:dyDescent="0.2">
      <c r="W2298" s="39"/>
    </row>
    <row r="2299" spans="23:23" x14ac:dyDescent="0.2">
      <c r="W2299" s="39"/>
    </row>
    <row r="2300" spans="23:23" x14ac:dyDescent="0.2">
      <c r="W2300" s="39"/>
    </row>
    <row r="2301" spans="23:23" x14ac:dyDescent="0.2">
      <c r="W2301" s="39"/>
    </row>
    <row r="2302" spans="23:23" x14ac:dyDescent="0.2">
      <c r="W2302" s="39"/>
    </row>
    <row r="2303" spans="23:23" x14ac:dyDescent="0.2">
      <c r="W2303" s="39"/>
    </row>
    <row r="2304" spans="23:23" x14ac:dyDescent="0.2">
      <c r="W2304" s="39"/>
    </row>
    <row r="2305" spans="23:23" x14ac:dyDescent="0.2">
      <c r="W2305" s="39"/>
    </row>
    <row r="2306" spans="23:23" x14ac:dyDescent="0.2">
      <c r="W2306" s="39"/>
    </row>
    <row r="2307" spans="23:23" x14ac:dyDescent="0.2">
      <c r="W2307" s="39"/>
    </row>
    <row r="2308" spans="23:23" x14ac:dyDescent="0.2">
      <c r="W2308" s="39"/>
    </row>
    <row r="2309" spans="23:23" x14ac:dyDescent="0.2">
      <c r="W2309" s="39"/>
    </row>
    <row r="2310" spans="23:23" x14ac:dyDescent="0.2">
      <c r="W2310" s="39"/>
    </row>
    <row r="2311" spans="23:23" x14ac:dyDescent="0.2">
      <c r="W2311" s="39"/>
    </row>
    <row r="2312" spans="23:23" x14ac:dyDescent="0.2">
      <c r="W2312" s="39"/>
    </row>
    <row r="2313" spans="23:23" x14ac:dyDescent="0.2">
      <c r="W2313" s="39"/>
    </row>
    <row r="2314" spans="23:23" x14ac:dyDescent="0.2">
      <c r="W2314" s="39"/>
    </row>
    <row r="2315" spans="23:23" x14ac:dyDescent="0.2">
      <c r="W2315" s="39"/>
    </row>
    <row r="2316" spans="23:23" x14ac:dyDescent="0.2">
      <c r="W2316" s="39"/>
    </row>
    <row r="2317" spans="23:23" x14ac:dyDescent="0.2">
      <c r="W2317" s="39"/>
    </row>
    <row r="2318" spans="23:23" x14ac:dyDescent="0.2">
      <c r="W2318" s="39"/>
    </row>
    <row r="2319" spans="23:23" x14ac:dyDescent="0.2">
      <c r="W2319" s="39"/>
    </row>
    <row r="2320" spans="23:23" x14ac:dyDescent="0.2">
      <c r="W2320" s="39"/>
    </row>
    <row r="2321" spans="23:23" x14ac:dyDescent="0.2">
      <c r="W2321" s="39"/>
    </row>
    <row r="2322" spans="23:23" x14ac:dyDescent="0.2">
      <c r="W2322" s="39"/>
    </row>
    <row r="2323" spans="23:23" x14ac:dyDescent="0.2">
      <c r="W2323" s="39"/>
    </row>
    <row r="2324" spans="23:23" x14ac:dyDescent="0.2">
      <c r="W2324" s="39"/>
    </row>
    <row r="2325" spans="23:23" x14ac:dyDescent="0.2">
      <c r="W2325" s="39"/>
    </row>
    <row r="2326" spans="23:23" x14ac:dyDescent="0.2">
      <c r="W2326" s="39"/>
    </row>
    <row r="2327" spans="23:23" x14ac:dyDescent="0.2">
      <c r="W2327" s="39"/>
    </row>
    <row r="2328" spans="23:23" x14ac:dyDescent="0.2">
      <c r="W2328" s="39"/>
    </row>
    <row r="2329" spans="23:23" x14ac:dyDescent="0.2">
      <c r="W2329" s="39"/>
    </row>
    <row r="2330" spans="23:23" x14ac:dyDescent="0.2">
      <c r="W2330" s="39"/>
    </row>
    <row r="2331" spans="23:23" x14ac:dyDescent="0.2">
      <c r="W2331" s="39"/>
    </row>
    <row r="2332" spans="23:23" x14ac:dyDescent="0.2">
      <c r="W2332" s="39"/>
    </row>
    <row r="2333" spans="23:23" x14ac:dyDescent="0.2">
      <c r="W2333" s="39"/>
    </row>
    <row r="2334" spans="23:23" x14ac:dyDescent="0.2">
      <c r="W2334" s="39"/>
    </row>
    <row r="2335" spans="23:23" x14ac:dyDescent="0.2">
      <c r="W2335" s="39"/>
    </row>
    <row r="2336" spans="23:23" x14ac:dyDescent="0.2">
      <c r="W2336" s="39"/>
    </row>
    <row r="2337" spans="23:23" x14ac:dyDescent="0.2">
      <c r="W2337" s="39"/>
    </row>
    <row r="2338" spans="23:23" x14ac:dyDescent="0.2">
      <c r="W2338" s="39"/>
    </row>
    <row r="2339" spans="23:23" x14ac:dyDescent="0.2">
      <c r="W2339" s="39"/>
    </row>
    <row r="2340" spans="23:23" x14ac:dyDescent="0.2">
      <c r="W2340" s="39"/>
    </row>
    <row r="2341" spans="23:23" x14ac:dyDescent="0.2">
      <c r="W2341" s="39"/>
    </row>
    <row r="2342" spans="23:23" x14ac:dyDescent="0.2">
      <c r="W2342" s="39"/>
    </row>
    <row r="2343" spans="23:23" x14ac:dyDescent="0.2">
      <c r="W2343" s="39"/>
    </row>
    <row r="2344" spans="23:23" x14ac:dyDescent="0.2">
      <c r="W2344" s="39"/>
    </row>
    <row r="2345" spans="23:23" x14ac:dyDescent="0.2">
      <c r="W2345" s="39"/>
    </row>
    <row r="2346" spans="23:23" x14ac:dyDescent="0.2">
      <c r="W2346" s="39"/>
    </row>
    <row r="2347" spans="23:23" x14ac:dyDescent="0.2">
      <c r="W2347" s="39"/>
    </row>
    <row r="2348" spans="23:23" x14ac:dyDescent="0.2">
      <c r="W2348" s="39"/>
    </row>
    <row r="2349" spans="23:23" x14ac:dyDescent="0.2">
      <c r="W2349" s="39"/>
    </row>
    <row r="2350" spans="23:23" x14ac:dyDescent="0.2">
      <c r="W2350" s="39"/>
    </row>
    <row r="2351" spans="23:23" x14ac:dyDescent="0.2">
      <c r="W2351" s="39"/>
    </row>
    <row r="2352" spans="23:23" x14ac:dyDescent="0.2">
      <c r="W2352" s="39"/>
    </row>
    <row r="2353" spans="23:23" x14ac:dyDescent="0.2">
      <c r="W2353" s="39"/>
    </row>
    <row r="2354" spans="23:23" x14ac:dyDescent="0.2">
      <c r="W2354" s="39"/>
    </row>
    <row r="2355" spans="23:23" x14ac:dyDescent="0.2">
      <c r="W2355" s="39"/>
    </row>
    <row r="2356" spans="23:23" x14ac:dyDescent="0.2">
      <c r="W2356" s="39"/>
    </row>
    <row r="2357" spans="23:23" x14ac:dyDescent="0.2">
      <c r="W2357" s="39"/>
    </row>
    <row r="2358" spans="23:23" x14ac:dyDescent="0.2">
      <c r="W2358" s="39"/>
    </row>
    <row r="2359" spans="23:23" x14ac:dyDescent="0.2">
      <c r="W2359" s="39"/>
    </row>
    <row r="2360" spans="23:23" x14ac:dyDescent="0.2">
      <c r="W2360" s="39"/>
    </row>
    <row r="2361" spans="23:23" x14ac:dyDescent="0.2">
      <c r="W2361" s="39"/>
    </row>
    <row r="2362" spans="23:23" x14ac:dyDescent="0.2">
      <c r="W2362" s="39"/>
    </row>
    <row r="2363" spans="23:23" x14ac:dyDescent="0.2">
      <c r="W2363" s="39"/>
    </row>
    <row r="2364" spans="23:23" x14ac:dyDescent="0.2">
      <c r="W2364" s="39"/>
    </row>
    <row r="2365" spans="23:23" x14ac:dyDescent="0.2">
      <c r="W2365" s="39"/>
    </row>
    <row r="2366" spans="23:23" x14ac:dyDescent="0.2">
      <c r="W2366" s="39"/>
    </row>
    <row r="2367" spans="23:23" x14ac:dyDescent="0.2">
      <c r="W2367" s="39"/>
    </row>
    <row r="2368" spans="23:23" x14ac:dyDescent="0.2">
      <c r="W2368" s="39"/>
    </row>
    <row r="2369" spans="23:23" x14ac:dyDescent="0.2">
      <c r="W2369" s="39"/>
    </row>
    <row r="2370" spans="23:23" x14ac:dyDescent="0.2">
      <c r="W2370" s="39"/>
    </row>
    <row r="2371" spans="23:23" x14ac:dyDescent="0.2">
      <c r="W2371" s="39"/>
    </row>
    <row r="2372" spans="23:23" x14ac:dyDescent="0.2">
      <c r="W2372" s="39"/>
    </row>
    <row r="2373" spans="23:23" x14ac:dyDescent="0.2">
      <c r="W2373" s="39"/>
    </row>
    <row r="2374" spans="23:23" x14ac:dyDescent="0.2">
      <c r="W2374" s="39"/>
    </row>
    <row r="2375" spans="23:23" x14ac:dyDescent="0.2">
      <c r="W2375" s="39"/>
    </row>
    <row r="2376" spans="23:23" x14ac:dyDescent="0.2">
      <c r="W2376" s="39"/>
    </row>
    <row r="2377" spans="23:23" x14ac:dyDescent="0.2">
      <c r="W2377" s="39"/>
    </row>
    <row r="2378" spans="23:23" x14ac:dyDescent="0.2">
      <c r="W2378" s="39"/>
    </row>
    <row r="2379" spans="23:23" x14ac:dyDescent="0.2">
      <c r="W2379" s="39"/>
    </row>
    <row r="2380" spans="23:23" x14ac:dyDescent="0.2">
      <c r="W2380" s="39"/>
    </row>
    <row r="2381" spans="23:23" x14ac:dyDescent="0.2">
      <c r="W2381" s="39"/>
    </row>
    <row r="2382" spans="23:23" x14ac:dyDescent="0.2">
      <c r="W2382" s="39"/>
    </row>
    <row r="2383" spans="23:23" x14ac:dyDescent="0.2">
      <c r="W2383" s="39"/>
    </row>
    <row r="2384" spans="23:23" x14ac:dyDescent="0.2">
      <c r="W2384" s="39"/>
    </row>
    <row r="2385" spans="23:23" x14ac:dyDescent="0.2">
      <c r="W2385" s="39"/>
    </row>
    <row r="2386" spans="23:23" x14ac:dyDescent="0.2">
      <c r="W2386" s="39"/>
    </row>
    <row r="2387" spans="23:23" x14ac:dyDescent="0.2">
      <c r="W2387" s="39"/>
    </row>
    <row r="2388" spans="23:23" x14ac:dyDescent="0.2">
      <c r="W2388" s="39"/>
    </row>
    <row r="2389" spans="23:23" x14ac:dyDescent="0.2">
      <c r="W2389" s="39"/>
    </row>
    <row r="2390" spans="23:23" x14ac:dyDescent="0.2">
      <c r="W2390" s="39"/>
    </row>
    <row r="2391" spans="23:23" x14ac:dyDescent="0.2">
      <c r="W2391" s="39"/>
    </row>
    <row r="2392" spans="23:23" x14ac:dyDescent="0.2">
      <c r="W2392" s="39"/>
    </row>
    <row r="2393" spans="23:23" x14ac:dyDescent="0.2">
      <c r="W2393" s="39"/>
    </row>
    <row r="2394" spans="23:23" x14ac:dyDescent="0.2">
      <c r="W2394" s="39"/>
    </row>
    <row r="2395" spans="23:23" x14ac:dyDescent="0.2">
      <c r="W2395" s="39"/>
    </row>
    <row r="2396" spans="23:23" x14ac:dyDescent="0.2">
      <c r="W2396" s="39"/>
    </row>
    <row r="2397" spans="23:23" x14ac:dyDescent="0.2">
      <c r="W2397" s="39"/>
    </row>
    <row r="2398" spans="23:23" x14ac:dyDescent="0.2">
      <c r="W2398" s="39"/>
    </row>
    <row r="2399" spans="23:23" x14ac:dyDescent="0.2">
      <c r="W2399" s="39"/>
    </row>
    <row r="2400" spans="23:23" x14ac:dyDescent="0.2">
      <c r="W2400" s="39"/>
    </row>
    <row r="2401" spans="23:23" x14ac:dyDescent="0.2">
      <c r="W2401" s="39"/>
    </row>
    <row r="2402" spans="23:23" x14ac:dyDescent="0.2">
      <c r="W2402" s="39"/>
    </row>
    <row r="2403" spans="23:23" x14ac:dyDescent="0.2">
      <c r="W2403" s="39"/>
    </row>
    <row r="2404" spans="23:23" x14ac:dyDescent="0.2">
      <c r="W2404" s="39"/>
    </row>
    <row r="2405" spans="23:23" x14ac:dyDescent="0.2">
      <c r="W2405" s="39"/>
    </row>
    <row r="2406" spans="23:23" x14ac:dyDescent="0.2">
      <c r="W2406" s="39"/>
    </row>
    <row r="2407" spans="23:23" x14ac:dyDescent="0.2">
      <c r="W2407" s="39"/>
    </row>
    <row r="2408" spans="23:23" x14ac:dyDescent="0.2">
      <c r="W2408" s="39"/>
    </row>
    <row r="2409" spans="23:23" x14ac:dyDescent="0.2">
      <c r="W2409" s="39"/>
    </row>
    <row r="2410" spans="23:23" x14ac:dyDescent="0.2">
      <c r="W2410" s="39"/>
    </row>
    <row r="2411" spans="23:23" x14ac:dyDescent="0.2">
      <c r="W2411" s="39"/>
    </row>
    <row r="2412" spans="23:23" x14ac:dyDescent="0.2">
      <c r="W2412" s="39"/>
    </row>
    <row r="2413" spans="23:23" x14ac:dyDescent="0.2">
      <c r="W2413" s="39"/>
    </row>
    <row r="2414" spans="23:23" x14ac:dyDescent="0.2">
      <c r="W2414" s="39"/>
    </row>
    <row r="2415" spans="23:23" x14ac:dyDescent="0.2">
      <c r="W2415" s="39"/>
    </row>
    <row r="2416" spans="23:23" x14ac:dyDescent="0.2">
      <c r="W2416" s="39"/>
    </row>
    <row r="2417" spans="23:23" x14ac:dyDescent="0.2">
      <c r="W2417" s="39"/>
    </row>
    <row r="2418" spans="23:23" x14ac:dyDescent="0.2">
      <c r="W2418" s="39"/>
    </row>
    <row r="2419" spans="23:23" x14ac:dyDescent="0.2">
      <c r="W2419" s="39"/>
    </row>
    <row r="2420" spans="23:23" x14ac:dyDescent="0.2">
      <c r="W2420" s="39"/>
    </row>
    <row r="2421" spans="23:23" x14ac:dyDescent="0.2">
      <c r="W2421" s="39"/>
    </row>
    <row r="2422" spans="23:23" x14ac:dyDescent="0.2">
      <c r="W2422" s="39"/>
    </row>
    <row r="2423" spans="23:23" x14ac:dyDescent="0.2">
      <c r="W2423" s="39"/>
    </row>
    <row r="2424" spans="23:23" x14ac:dyDescent="0.2">
      <c r="W2424" s="39"/>
    </row>
    <row r="2425" spans="23:23" x14ac:dyDescent="0.2">
      <c r="W2425" s="39"/>
    </row>
    <row r="2426" spans="23:23" x14ac:dyDescent="0.2">
      <c r="W2426" s="39"/>
    </row>
    <row r="2427" spans="23:23" x14ac:dyDescent="0.2">
      <c r="W2427" s="39"/>
    </row>
    <row r="2428" spans="23:23" x14ac:dyDescent="0.2">
      <c r="W2428" s="39"/>
    </row>
    <row r="2429" spans="23:23" x14ac:dyDescent="0.2">
      <c r="W2429" s="39"/>
    </row>
    <row r="2430" spans="23:23" x14ac:dyDescent="0.2">
      <c r="W2430" s="39"/>
    </row>
    <row r="2431" spans="23:23" x14ac:dyDescent="0.2">
      <c r="W2431" s="39"/>
    </row>
    <row r="2432" spans="23:23" x14ac:dyDescent="0.2">
      <c r="W2432" s="39"/>
    </row>
    <row r="2433" spans="23:23" x14ac:dyDescent="0.2">
      <c r="W2433" s="39"/>
    </row>
    <row r="2434" spans="23:23" x14ac:dyDescent="0.2">
      <c r="W2434" s="39"/>
    </row>
    <row r="2435" spans="23:23" x14ac:dyDescent="0.2">
      <c r="W2435" s="39"/>
    </row>
    <row r="2436" spans="23:23" x14ac:dyDescent="0.2">
      <c r="W2436" s="39"/>
    </row>
    <row r="2437" spans="23:23" x14ac:dyDescent="0.2">
      <c r="W2437" s="39"/>
    </row>
    <row r="2438" spans="23:23" x14ac:dyDescent="0.2">
      <c r="W2438" s="39"/>
    </row>
    <row r="2439" spans="23:23" x14ac:dyDescent="0.2">
      <c r="W2439" s="39"/>
    </row>
    <row r="2440" spans="23:23" x14ac:dyDescent="0.2">
      <c r="W2440" s="39"/>
    </row>
    <row r="2441" spans="23:23" x14ac:dyDescent="0.2">
      <c r="W2441" s="39"/>
    </row>
    <row r="2442" spans="23:23" x14ac:dyDescent="0.2">
      <c r="W2442" s="39"/>
    </row>
    <row r="2443" spans="23:23" x14ac:dyDescent="0.2">
      <c r="W2443" s="39"/>
    </row>
    <row r="2444" spans="23:23" x14ac:dyDescent="0.2">
      <c r="W2444" s="39"/>
    </row>
    <row r="2445" spans="23:23" x14ac:dyDescent="0.2">
      <c r="W2445" s="39"/>
    </row>
    <row r="2446" spans="23:23" x14ac:dyDescent="0.2">
      <c r="W2446" s="39"/>
    </row>
    <row r="2447" spans="23:23" x14ac:dyDescent="0.2">
      <c r="W2447" s="39"/>
    </row>
    <row r="2448" spans="23:23" x14ac:dyDescent="0.2">
      <c r="W2448" s="39"/>
    </row>
    <row r="2449" spans="23:23" x14ac:dyDescent="0.2">
      <c r="W2449" s="39"/>
    </row>
    <row r="2450" spans="23:23" x14ac:dyDescent="0.2">
      <c r="W2450" s="39"/>
    </row>
    <row r="2451" spans="23:23" x14ac:dyDescent="0.2">
      <c r="W2451" s="39"/>
    </row>
    <row r="2452" spans="23:23" x14ac:dyDescent="0.2">
      <c r="W2452" s="39"/>
    </row>
    <row r="2453" spans="23:23" x14ac:dyDescent="0.2">
      <c r="W2453" s="39"/>
    </row>
    <row r="2454" spans="23:23" x14ac:dyDescent="0.2">
      <c r="W2454" s="39"/>
    </row>
    <row r="2455" spans="23:23" x14ac:dyDescent="0.2">
      <c r="W2455" s="39"/>
    </row>
    <row r="2456" spans="23:23" x14ac:dyDescent="0.2">
      <c r="W2456" s="39"/>
    </row>
    <row r="2457" spans="23:23" x14ac:dyDescent="0.2">
      <c r="W2457" s="39"/>
    </row>
    <row r="2458" spans="23:23" x14ac:dyDescent="0.2">
      <c r="W2458" s="39"/>
    </row>
    <row r="2459" spans="23:23" x14ac:dyDescent="0.2">
      <c r="W2459" s="39"/>
    </row>
    <row r="2460" spans="23:23" x14ac:dyDescent="0.2">
      <c r="W2460" s="39"/>
    </row>
    <row r="2461" spans="23:23" x14ac:dyDescent="0.2">
      <c r="W2461" s="39"/>
    </row>
    <row r="2462" spans="23:23" x14ac:dyDescent="0.2">
      <c r="W2462" s="39"/>
    </row>
    <row r="2463" spans="23:23" x14ac:dyDescent="0.2">
      <c r="W2463" s="39"/>
    </row>
    <row r="2464" spans="23:23" x14ac:dyDescent="0.2">
      <c r="W2464" s="39"/>
    </row>
    <row r="2465" spans="23:23" x14ac:dyDescent="0.2">
      <c r="W2465" s="39"/>
    </row>
    <row r="2466" spans="23:23" x14ac:dyDescent="0.2">
      <c r="W2466" s="39"/>
    </row>
    <row r="2467" spans="23:23" x14ac:dyDescent="0.2">
      <c r="W2467" s="39"/>
    </row>
    <row r="2468" spans="23:23" x14ac:dyDescent="0.2">
      <c r="W2468" s="39"/>
    </row>
    <row r="2469" spans="23:23" x14ac:dyDescent="0.2">
      <c r="W2469" s="39"/>
    </row>
    <row r="2470" spans="23:23" x14ac:dyDescent="0.2">
      <c r="W2470" s="39"/>
    </row>
    <row r="2471" spans="23:23" x14ac:dyDescent="0.2">
      <c r="W2471" s="39"/>
    </row>
    <row r="2472" spans="23:23" x14ac:dyDescent="0.2">
      <c r="W2472" s="39"/>
    </row>
    <row r="2473" spans="23:23" x14ac:dyDescent="0.2">
      <c r="W2473" s="39"/>
    </row>
    <row r="2474" spans="23:23" x14ac:dyDescent="0.2">
      <c r="W2474" s="39"/>
    </row>
    <row r="2475" spans="23:23" x14ac:dyDescent="0.2">
      <c r="W2475" s="39"/>
    </row>
    <row r="2476" spans="23:23" x14ac:dyDescent="0.2">
      <c r="W2476" s="39"/>
    </row>
    <row r="2477" spans="23:23" x14ac:dyDescent="0.2">
      <c r="W2477" s="39"/>
    </row>
    <row r="2478" spans="23:23" x14ac:dyDescent="0.2">
      <c r="W2478" s="39"/>
    </row>
    <row r="2479" spans="23:23" x14ac:dyDescent="0.2">
      <c r="W2479" s="39"/>
    </row>
    <row r="2480" spans="23:23" x14ac:dyDescent="0.2">
      <c r="W2480" s="39"/>
    </row>
    <row r="2481" spans="23:23" x14ac:dyDescent="0.2">
      <c r="W2481" s="39"/>
    </row>
    <row r="2482" spans="23:23" x14ac:dyDescent="0.2">
      <c r="W2482" s="39"/>
    </row>
    <row r="2483" spans="23:23" x14ac:dyDescent="0.2">
      <c r="W2483" s="39"/>
    </row>
    <row r="2484" spans="23:23" x14ac:dyDescent="0.2">
      <c r="W2484" s="39"/>
    </row>
    <row r="2485" spans="23:23" x14ac:dyDescent="0.2">
      <c r="W2485" s="39"/>
    </row>
    <row r="2486" spans="23:23" x14ac:dyDescent="0.2">
      <c r="W2486" s="39"/>
    </row>
    <row r="2487" spans="23:23" x14ac:dyDescent="0.2">
      <c r="W2487" s="39"/>
    </row>
    <row r="2488" spans="23:23" x14ac:dyDescent="0.2">
      <c r="W2488" s="39"/>
    </row>
    <row r="2489" spans="23:23" x14ac:dyDescent="0.2">
      <c r="W2489" s="39"/>
    </row>
    <row r="2490" spans="23:23" x14ac:dyDescent="0.2">
      <c r="W2490" s="39"/>
    </row>
    <row r="2491" spans="23:23" x14ac:dyDescent="0.2">
      <c r="W2491" s="39"/>
    </row>
    <row r="2492" spans="23:23" x14ac:dyDescent="0.2">
      <c r="W2492" s="39"/>
    </row>
    <row r="2493" spans="23:23" x14ac:dyDescent="0.2">
      <c r="W2493" s="39"/>
    </row>
    <row r="2494" spans="23:23" x14ac:dyDescent="0.2">
      <c r="W2494" s="39"/>
    </row>
    <row r="2495" spans="23:23" x14ac:dyDescent="0.2">
      <c r="W2495" s="39"/>
    </row>
    <row r="2496" spans="23:23" x14ac:dyDescent="0.2">
      <c r="W2496" s="39"/>
    </row>
    <row r="2497" spans="23:23" x14ac:dyDescent="0.2">
      <c r="W2497" s="39"/>
    </row>
    <row r="2498" spans="23:23" x14ac:dyDescent="0.2">
      <c r="W2498" s="39"/>
    </row>
    <row r="2499" spans="23:23" x14ac:dyDescent="0.2">
      <c r="W2499" s="39"/>
    </row>
    <row r="2500" spans="23:23" x14ac:dyDescent="0.2">
      <c r="W2500" s="39"/>
    </row>
    <row r="2501" spans="23:23" x14ac:dyDescent="0.2">
      <c r="W2501" s="39"/>
    </row>
    <row r="2502" spans="23:23" x14ac:dyDescent="0.2">
      <c r="W2502" s="39"/>
    </row>
    <row r="2503" spans="23:23" x14ac:dyDescent="0.2">
      <c r="W2503" s="39"/>
    </row>
    <row r="2504" spans="23:23" x14ac:dyDescent="0.2">
      <c r="W2504" s="39"/>
    </row>
    <row r="2505" spans="23:23" x14ac:dyDescent="0.2">
      <c r="W2505" s="39"/>
    </row>
    <row r="2506" spans="23:23" x14ac:dyDescent="0.2">
      <c r="W2506" s="39"/>
    </row>
    <row r="2507" spans="23:23" x14ac:dyDescent="0.2">
      <c r="W2507" s="39"/>
    </row>
    <row r="2508" spans="23:23" x14ac:dyDescent="0.2">
      <c r="W2508" s="39"/>
    </row>
    <row r="2509" spans="23:23" x14ac:dyDescent="0.2">
      <c r="W2509" s="39"/>
    </row>
    <row r="2510" spans="23:23" x14ac:dyDescent="0.2">
      <c r="W2510" s="39"/>
    </row>
    <row r="2511" spans="23:23" x14ac:dyDescent="0.2">
      <c r="W2511" s="39"/>
    </row>
    <row r="2512" spans="23:23" x14ac:dyDescent="0.2">
      <c r="W2512" s="39"/>
    </row>
    <row r="2513" spans="23:23" x14ac:dyDescent="0.2">
      <c r="W2513" s="39"/>
    </row>
    <row r="2514" spans="23:23" x14ac:dyDescent="0.2">
      <c r="W2514" s="39"/>
    </row>
    <row r="2515" spans="23:23" x14ac:dyDescent="0.2">
      <c r="W2515" s="39"/>
    </row>
    <row r="2516" spans="23:23" x14ac:dyDescent="0.2">
      <c r="W2516" s="39"/>
    </row>
    <row r="2517" spans="23:23" x14ac:dyDescent="0.2">
      <c r="W2517" s="39"/>
    </row>
    <row r="2518" spans="23:23" x14ac:dyDescent="0.2">
      <c r="W2518" s="39"/>
    </row>
    <row r="2519" spans="23:23" x14ac:dyDescent="0.2">
      <c r="W2519" s="39"/>
    </row>
    <row r="2520" spans="23:23" x14ac:dyDescent="0.2">
      <c r="W2520" s="39"/>
    </row>
    <row r="2521" spans="23:23" x14ac:dyDescent="0.2">
      <c r="W2521" s="39"/>
    </row>
    <row r="2522" spans="23:23" x14ac:dyDescent="0.2">
      <c r="W2522" s="39"/>
    </row>
    <row r="2523" spans="23:23" x14ac:dyDescent="0.2">
      <c r="W2523" s="39"/>
    </row>
    <row r="2524" spans="23:23" x14ac:dyDescent="0.2">
      <c r="W2524" s="39"/>
    </row>
    <row r="2525" spans="23:23" x14ac:dyDescent="0.2">
      <c r="W2525" s="39"/>
    </row>
    <row r="2526" spans="23:23" x14ac:dyDescent="0.2">
      <c r="W2526" s="39"/>
    </row>
    <row r="2527" spans="23:23" x14ac:dyDescent="0.2">
      <c r="W2527" s="39"/>
    </row>
    <row r="2528" spans="23:23" x14ac:dyDescent="0.2">
      <c r="W2528" s="39"/>
    </row>
    <row r="2529" spans="23:23" x14ac:dyDescent="0.2">
      <c r="W2529" s="39"/>
    </row>
    <row r="2530" spans="23:23" x14ac:dyDescent="0.2">
      <c r="W2530" s="39"/>
    </row>
    <row r="2531" spans="23:23" x14ac:dyDescent="0.2">
      <c r="W2531" s="39"/>
    </row>
    <row r="2532" spans="23:23" x14ac:dyDescent="0.2">
      <c r="W2532" s="39"/>
    </row>
    <row r="2533" spans="23:23" x14ac:dyDescent="0.2">
      <c r="W2533" s="39"/>
    </row>
    <row r="2534" spans="23:23" x14ac:dyDescent="0.2">
      <c r="W2534" s="39"/>
    </row>
    <row r="2535" spans="23:23" x14ac:dyDescent="0.2">
      <c r="W2535" s="39"/>
    </row>
    <row r="2536" spans="23:23" x14ac:dyDescent="0.2">
      <c r="W2536" s="39"/>
    </row>
    <row r="2537" spans="23:23" x14ac:dyDescent="0.2">
      <c r="W2537" s="39"/>
    </row>
    <row r="2538" spans="23:23" x14ac:dyDescent="0.2">
      <c r="W2538" s="39"/>
    </row>
    <row r="2539" spans="23:23" x14ac:dyDescent="0.2">
      <c r="W2539" s="39"/>
    </row>
    <row r="2540" spans="23:23" x14ac:dyDescent="0.2">
      <c r="W2540" s="39"/>
    </row>
    <row r="2541" spans="23:23" x14ac:dyDescent="0.2">
      <c r="W2541" s="39"/>
    </row>
    <row r="2542" spans="23:23" x14ac:dyDescent="0.2">
      <c r="W2542" s="39"/>
    </row>
    <row r="2543" spans="23:23" x14ac:dyDescent="0.2">
      <c r="W2543" s="39"/>
    </row>
    <row r="2544" spans="23:23" x14ac:dyDescent="0.2">
      <c r="W2544" s="39"/>
    </row>
    <row r="2545" spans="23:23" x14ac:dyDescent="0.2">
      <c r="W2545" s="39"/>
    </row>
    <row r="2546" spans="23:23" x14ac:dyDescent="0.2">
      <c r="W2546" s="39"/>
    </row>
    <row r="2547" spans="23:23" x14ac:dyDescent="0.2">
      <c r="W2547" s="39"/>
    </row>
    <row r="2548" spans="23:23" x14ac:dyDescent="0.2">
      <c r="W2548" s="39"/>
    </row>
    <row r="2549" spans="23:23" x14ac:dyDescent="0.2">
      <c r="W2549" s="39"/>
    </row>
    <row r="2550" spans="23:23" x14ac:dyDescent="0.2">
      <c r="W2550" s="39"/>
    </row>
    <row r="2551" spans="23:23" x14ac:dyDescent="0.2">
      <c r="W2551" s="39"/>
    </row>
    <row r="2552" spans="23:23" x14ac:dyDescent="0.2">
      <c r="W2552" s="39"/>
    </row>
    <row r="2553" spans="23:23" x14ac:dyDescent="0.2">
      <c r="W2553" s="39"/>
    </row>
    <row r="2554" spans="23:23" x14ac:dyDescent="0.2">
      <c r="W2554" s="39"/>
    </row>
    <row r="2555" spans="23:23" x14ac:dyDescent="0.2">
      <c r="W2555" s="39"/>
    </row>
    <row r="2556" spans="23:23" x14ac:dyDescent="0.2">
      <c r="W2556" s="39"/>
    </row>
    <row r="2557" spans="23:23" x14ac:dyDescent="0.2">
      <c r="W2557" s="39"/>
    </row>
    <row r="2558" spans="23:23" x14ac:dyDescent="0.2">
      <c r="W2558" s="39"/>
    </row>
    <row r="2559" spans="23:23" x14ac:dyDescent="0.2">
      <c r="W2559" s="39"/>
    </row>
    <row r="2560" spans="23:23" x14ac:dyDescent="0.2">
      <c r="W2560" s="39"/>
    </row>
    <row r="2561" spans="23:23" x14ac:dyDescent="0.2">
      <c r="W2561" s="39"/>
    </row>
    <row r="2562" spans="23:23" x14ac:dyDescent="0.2">
      <c r="W2562" s="39"/>
    </row>
    <row r="2563" spans="23:23" x14ac:dyDescent="0.2">
      <c r="W2563" s="39"/>
    </row>
    <row r="2564" spans="23:23" x14ac:dyDescent="0.2">
      <c r="W2564" s="39"/>
    </row>
    <row r="2565" spans="23:23" x14ac:dyDescent="0.2">
      <c r="W2565" s="39"/>
    </row>
    <row r="2566" spans="23:23" x14ac:dyDescent="0.2">
      <c r="W2566" s="39"/>
    </row>
    <row r="2567" spans="23:23" x14ac:dyDescent="0.2">
      <c r="W2567" s="39"/>
    </row>
    <row r="2568" spans="23:23" x14ac:dyDescent="0.2">
      <c r="W2568" s="39"/>
    </row>
    <row r="2569" spans="23:23" x14ac:dyDescent="0.2">
      <c r="W2569" s="39"/>
    </row>
    <row r="2570" spans="23:23" x14ac:dyDescent="0.2">
      <c r="W2570" s="39"/>
    </row>
    <row r="2571" spans="23:23" x14ac:dyDescent="0.2">
      <c r="W2571" s="39"/>
    </row>
    <row r="2572" spans="23:23" x14ac:dyDescent="0.2">
      <c r="W2572" s="39"/>
    </row>
    <row r="2573" spans="23:23" x14ac:dyDescent="0.2">
      <c r="W2573" s="39"/>
    </row>
    <row r="2574" spans="23:23" x14ac:dyDescent="0.2">
      <c r="W2574" s="39"/>
    </row>
    <row r="2575" spans="23:23" x14ac:dyDescent="0.2">
      <c r="W2575" s="39"/>
    </row>
    <row r="2576" spans="23:23" x14ac:dyDescent="0.2">
      <c r="W2576" s="39"/>
    </row>
    <row r="2577" spans="23:23" x14ac:dyDescent="0.2">
      <c r="W2577" s="39"/>
    </row>
    <row r="2578" spans="23:23" x14ac:dyDescent="0.2">
      <c r="W2578" s="39"/>
    </row>
    <row r="2579" spans="23:23" x14ac:dyDescent="0.2">
      <c r="W2579" s="39"/>
    </row>
    <row r="2580" spans="23:23" x14ac:dyDescent="0.2">
      <c r="W2580" s="39"/>
    </row>
    <row r="2581" spans="23:23" x14ac:dyDescent="0.2">
      <c r="W2581" s="39"/>
    </row>
    <row r="2582" spans="23:23" x14ac:dyDescent="0.2">
      <c r="W2582" s="39"/>
    </row>
    <row r="2583" spans="23:23" x14ac:dyDescent="0.2">
      <c r="W2583" s="39"/>
    </row>
    <row r="2584" spans="23:23" x14ac:dyDescent="0.2">
      <c r="W2584" s="39"/>
    </row>
    <row r="2585" spans="23:23" x14ac:dyDescent="0.2">
      <c r="W2585" s="39"/>
    </row>
    <row r="2586" spans="23:23" x14ac:dyDescent="0.2">
      <c r="W2586" s="39"/>
    </row>
    <row r="2587" spans="23:23" x14ac:dyDescent="0.2">
      <c r="W2587" s="39"/>
    </row>
    <row r="2588" spans="23:23" x14ac:dyDescent="0.2">
      <c r="W2588" s="39"/>
    </row>
    <row r="2589" spans="23:23" x14ac:dyDescent="0.2">
      <c r="W2589" s="39"/>
    </row>
    <row r="2590" spans="23:23" x14ac:dyDescent="0.2">
      <c r="W2590" s="39"/>
    </row>
    <row r="2591" spans="23:23" x14ac:dyDescent="0.2">
      <c r="W2591" s="39"/>
    </row>
    <row r="2592" spans="23:23" x14ac:dyDescent="0.2">
      <c r="W2592" s="39"/>
    </row>
    <row r="2593" spans="23:23" x14ac:dyDescent="0.2">
      <c r="W2593" s="39"/>
    </row>
    <row r="2594" spans="23:23" x14ac:dyDescent="0.2">
      <c r="W2594" s="39"/>
    </row>
    <row r="2595" spans="23:23" x14ac:dyDescent="0.2">
      <c r="W2595" s="39"/>
    </row>
    <row r="2596" spans="23:23" x14ac:dyDescent="0.2">
      <c r="W2596" s="39"/>
    </row>
    <row r="2597" spans="23:23" x14ac:dyDescent="0.2">
      <c r="W2597" s="39"/>
    </row>
    <row r="2598" spans="23:23" x14ac:dyDescent="0.2">
      <c r="W2598" s="39"/>
    </row>
    <row r="2599" spans="23:23" x14ac:dyDescent="0.2">
      <c r="W2599" s="39"/>
    </row>
    <row r="2600" spans="23:23" x14ac:dyDescent="0.2">
      <c r="W2600" s="39"/>
    </row>
    <row r="2601" spans="23:23" x14ac:dyDescent="0.2">
      <c r="W2601" s="39"/>
    </row>
    <row r="2602" spans="23:23" x14ac:dyDescent="0.2">
      <c r="W2602" s="39"/>
    </row>
    <row r="2603" spans="23:23" x14ac:dyDescent="0.2">
      <c r="W2603" s="39"/>
    </row>
    <row r="2604" spans="23:23" x14ac:dyDescent="0.2">
      <c r="W2604" s="39"/>
    </row>
    <row r="2605" spans="23:23" x14ac:dyDescent="0.2">
      <c r="W2605" s="39"/>
    </row>
    <row r="2606" spans="23:23" x14ac:dyDescent="0.2">
      <c r="W2606" s="39"/>
    </row>
    <row r="2607" spans="23:23" x14ac:dyDescent="0.2">
      <c r="W2607" s="39"/>
    </row>
    <row r="2608" spans="23:23" x14ac:dyDescent="0.2">
      <c r="W2608" s="39"/>
    </row>
    <row r="2609" spans="23:23" x14ac:dyDescent="0.2">
      <c r="W2609" s="39"/>
    </row>
    <row r="2610" spans="23:23" x14ac:dyDescent="0.2">
      <c r="W2610" s="39"/>
    </row>
    <row r="2611" spans="23:23" x14ac:dyDescent="0.2">
      <c r="W2611" s="39"/>
    </row>
    <row r="2612" spans="23:23" x14ac:dyDescent="0.2">
      <c r="W2612" s="39"/>
    </row>
    <row r="2613" spans="23:23" x14ac:dyDescent="0.2">
      <c r="W2613" s="39"/>
    </row>
    <row r="2614" spans="23:23" x14ac:dyDescent="0.2">
      <c r="W2614" s="39"/>
    </row>
    <row r="2615" spans="23:23" x14ac:dyDescent="0.2">
      <c r="W2615" s="39"/>
    </row>
    <row r="2616" spans="23:23" x14ac:dyDescent="0.2">
      <c r="W2616" s="39"/>
    </row>
    <row r="2617" spans="23:23" x14ac:dyDescent="0.2">
      <c r="W2617" s="39"/>
    </row>
    <row r="2618" spans="23:23" x14ac:dyDescent="0.2">
      <c r="W2618" s="39"/>
    </row>
    <row r="2619" spans="23:23" x14ac:dyDescent="0.2">
      <c r="W2619" s="39"/>
    </row>
    <row r="2620" spans="23:23" x14ac:dyDescent="0.2">
      <c r="W2620" s="39"/>
    </row>
    <row r="2621" spans="23:23" x14ac:dyDescent="0.2">
      <c r="W2621" s="39"/>
    </row>
    <row r="2622" spans="23:23" x14ac:dyDescent="0.2">
      <c r="W2622" s="39"/>
    </row>
    <row r="2623" spans="23:23" x14ac:dyDescent="0.2">
      <c r="W2623" s="39"/>
    </row>
    <row r="2624" spans="23:23" x14ac:dyDescent="0.2">
      <c r="W2624" s="39"/>
    </row>
    <row r="2625" spans="23:23" x14ac:dyDescent="0.2">
      <c r="W2625" s="39"/>
    </row>
    <row r="2626" spans="23:23" x14ac:dyDescent="0.2">
      <c r="W2626" s="39"/>
    </row>
    <row r="2627" spans="23:23" x14ac:dyDescent="0.2">
      <c r="W2627" s="39"/>
    </row>
    <row r="2628" spans="23:23" x14ac:dyDescent="0.2">
      <c r="W2628" s="39"/>
    </row>
    <row r="2629" spans="23:23" x14ac:dyDescent="0.2">
      <c r="W2629" s="39"/>
    </row>
    <row r="2630" spans="23:23" x14ac:dyDescent="0.2">
      <c r="W2630" s="39"/>
    </row>
    <row r="2631" spans="23:23" x14ac:dyDescent="0.2">
      <c r="W2631" s="39"/>
    </row>
    <row r="2632" spans="23:23" x14ac:dyDescent="0.2">
      <c r="W2632" s="39"/>
    </row>
    <row r="2633" spans="23:23" x14ac:dyDescent="0.2">
      <c r="W2633" s="39"/>
    </row>
    <row r="2634" spans="23:23" x14ac:dyDescent="0.2">
      <c r="W2634" s="39"/>
    </row>
    <row r="2635" spans="23:23" x14ac:dyDescent="0.2">
      <c r="W2635" s="39"/>
    </row>
    <row r="2636" spans="23:23" x14ac:dyDescent="0.2">
      <c r="W2636" s="39"/>
    </row>
    <row r="2637" spans="23:23" x14ac:dyDescent="0.2">
      <c r="W2637" s="39"/>
    </row>
    <row r="2638" spans="23:23" x14ac:dyDescent="0.2">
      <c r="W2638" s="39"/>
    </row>
    <row r="2639" spans="23:23" x14ac:dyDescent="0.2">
      <c r="W2639" s="39"/>
    </row>
    <row r="2640" spans="23:23" x14ac:dyDescent="0.2">
      <c r="W2640" s="39"/>
    </row>
    <row r="2641" spans="23:23" x14ac:dyDescent="0.2">
      <c r="W2641" s="39"/>
    </row>
    <row r="2642" spans="23:23" x14ac:dyDescent="0.2">
      <c r="W2642" s="39"/>
    </row>
    <row r="2643" spans="23:23" x14ac:dyDescent="0.2">
      <c r="W2643" s="39"/>
    </row>
    <row r="2644" spans="23:23" x14ac:dyDescent="0.2">
      <c r="W2644" s="39"/>
    </row>
    <row r="2645" spans="23:23" x14ac:dyDescent="0.2">
      <c r="W2645" s="39"/>
    </row>
    <row r="2646" spans="23:23" x14ac:dyDescent="0.2">
      <c r="W2646" s="39"/>
    </row>
    <row r="2647" spans="23:23" x14ac:dyDescent="0.2">
      <c r="W2647" s="39"/>
    </row>
    <row r="2648" spans="23:23" x14ac:dyDescent="0.2">
      <c r="W2648" s="39"/>
    </row>
    <row r="2649" spans="23:23" x14ac:dyDescent="0.2">
      <c r="W2649" s="39"/>
    </row>
    <row r="2650" spans="23:23" x14ac:dyDescent="0.2">
      <c r="W2650" s="39"/>
    </row>
    <row r="2651" spans="23:23" x14ac:dyDescent="0.2">
      <c r="W2651" s="39"/>
    </row>
    <row r="2652" spans="23:23" x14ac:dyDescent="0.2">
      <c r="W2652" s="39"/>
    </row>
    <row r="2653" spans="23:23" x14ac:dyDescent="0.2">
      <c r="W2653" s="39"/>
    </row>
    <row r="2654" spans="23:23" x14ac:dyDescent="0.2">
      <c r="W2654" s="39"/>
    </row>
    <row r="2655" spans="23:23" x14ac:dyDescent="0.2">
      <c r="W2655" s="39"/>
    </row>
    <row r="2656" spans="23:23" x14ac:dyDescent="0.2">
      <c r="W2656" s="39"/>
    </row>
    <row r="2657" spans="23:23" x14ac:dyDescent="0.2">
      <c r="W2657" s="39"/>
    </row>
    <row r="2658" spans="23:23" x14ac:dyDescent="0.2">
      <c r="W2658" s="39"/>
    </row>
    <row r="2659" spans="23:23" x14ac:dyDescent="0.2">
      <c r="W2659" s="39"/>
    </row>
    <row r="2660" spans="23:23" x14ac:dyDescent="0.2">
      <c r="W2660" s="39"/>
    </row>
    <row r="2661" spans="23:23" x14ac:dyDescent="0.2">
      <c r="W2661" s="39"/>
    </row>
    <row r="2662" spans="23:23" x14ac:dyDescent="0.2">
      <c r="W2662" s="39"/>
    </row>
    <row r="2663" spans="23:23" x14ac:dyDescent="0.2">
      <c r="W2663" s="39"/>
    </row>
    <row r="2664" spans="23:23" x14ac:dyDescent="0.2">
      <c r="W2664" s="39"/>
    </row>
    <row r="2665" spans="23:23" x14ac:dyDescent="0.2">
      <c r="W2665" s="39"/>
    </row>
    <row r="2666" spans="23:23" x14ac:dyDescent="0.2">
      <c r="W2666" s="39"/>
    </row>
    <row r="2667" spans="23:23" x14ac:dyDescent="0.2">
      <c r="W2667" s="39"/>
    </row>
    <row r="2668" spans="23:23" x14ac:dyDescent="0.2">
      <c r="W2668" s="39"/>
    </row>
    <row r="2669" spans="23:23" x14ac:dyDescent="0.2">
      <c r="W2669" s="39"/>
    </row>
    <row r="2670" spans="23:23" x14ac:dyDescent="0.2">
      <c r="W2670" s="39"/>
    </row>
    <row r="2671" spans="23:23" x14ac:dyDescent="0.2">
      <c r="W2671" s="39"/>
    </row>
    <row r="2672" spans="23:23" x14ac:dyDescent="0.2">
      <c r="W2672" s="39"/>
    </row>
    <row r="2673" spans="23:23" x14ac:dyDescent="0.2">
      <c r="W2673" s="39"/>
    </row>
    <row r="2674" spans="23:23" x14ac:dyDescent="0.2">
      <c r="W2674" s="39"/>
    </row>
    <row r="2675" spans="23:23" x14ac:dyDescent="0.2">
      <c r="W2675" s="39"/>
    </row>
    <row r="2676" spans="23:23" x14ac:dyDescent="0.2">
      <c r="W2676" s="39"/>
    </row>
    <row r="2677" spans="23:23" x14ac:dyDescent="0.2">
      <c r="W2677" s="39"/>
    </row>
    <row r="2678" spans="23:23" x14ac:dyDescent="0.2">
      <c r="W2678" s="39"/>
    </row>
    <row r="2679" spans="23:23" x14ac:dyDescent="0.2">
      <c r="W2679" s="39"/>
    </row>
    <row r="2680" spans="23:23" x14ac:dyDescent="0.2">
      <c r="W2680" s="39"/>
    </row>
    <row r="2681" spans="23:23" x14ac:dyDescent="0.2">
      <c r="W2681" s="39"/>
    </row>
    <row r="2682" spans="23:23" x14ac:dyDescent="0.2">
      <c r="W2682" s="39"/>
    </row>
    <row r="2683" spans="23:23" x14ac:dyDescent="0.2">
      <c r="W2683" s="39"/>
    </row>
    <row r="2684" spans="23:23" x14ac:dyDescent="0.2">
      <c r="W2684" s="39"/>
    </row>
    <row r="2685" spans="23:23" x14ac:dyDescent="0.2">
      <c r="W2685" s="39"/>
    </row>
    <row r="2686" spans="23:23" x14ac:dyDescent="0.2">
      <c r="W2686" s="39"/>
    </row>
    <row r="2687" spans="23:23" x14ac:dyDescent="0.2">
      <c r="W2687" s="39"/>
    </row>
    <row r="2688" spans="23:23" x14ac:dyDescent="0.2">
      <c r="W2688" s="39"/>
    </row>
    <row r="2689" spans="23:23" x14ac:dyDescent="0.2">
      <c r="W2689" s="39"/>
    </row>
    <row r="2690" spans="23:23" x14ac:dyDescent="0.2">
      <c r="W2690" s="39"/>
    </row>
    <row r="2691" spans="23:23" x14ac:dyDescent="0.2">
      <c r="W2691" s="39"/>
    </row>
    <row r="2692" spans="23:23" x14ac:dyDescent="0.2">
      <c r="W2692" s="39"/>
    </row>
    <row r="2693" spans="23:23" x14ac:dyDescent="0.2">
      <c r="W2693" s="39"/>
    </row>
    <row r="2694" spans="23:23" x14ac:dyDescent="0.2">
      <c r="W2694" s="39"/>
    </row>
    <row r="2695" spans="23:23" x14ac:dyDescent="0.2">
      <c r="W2695" s="39"/>
    </row>
    <row r="2696" spans="23:23" x14ac:dyDescent="0.2">
      <c r="W2696" s="39"/>
    </row>
    <row r="2697" spans="23:23" x14ac:dyDescent="0.2">
      <c r="W2697" s="39"/>
    </row>
    <row r="2698" spans="23:23" x14ac:dyDescent="0.2">
      <c r="W2698" s="39"/>
    </row>
    <row r="2699" spans="23:23" x14ac:dyDescent="0.2">
      <c r="W2699" s="39"/>
    </row>
    <row r="2700" spans="23:23" x14ac:dyDescent="0.2">
      <c r="W2700" s="39"/>
    </row>
    <row r="2701" spans="23:23" x14ac:dyDescent="0.2">
      <c r="W2701" s="39"/>
    </row>
    <row r="2702" spans="23:23" x14ac:dyDescent="0.2">
      <c r="W2702" s="39"/>
    </row>
    <row r="2703" spans="23:23" x14ac:dyDescent="0.2">
      <c r="W2703" s="39"/>
    </row>
    <row r="2704" spans="23:23" x14ac:dyDescent="0.2">
      <c r="W2704" s="39"/>
    </row>
    <row r="2705" spans="23:23" x14ac:dyDescent="0.2">
      <c r="W2705" s="39"/>
    </row>
    <row r="2706" spans="23:23" x14ac:dyDescent="0.2">
      <c r="W2706" s="39"/>
    </row>
    <row r="2707" spans="23:23" x14ac:dyDescent="0.2">
      <c r="W2707" s="39"/>
    </row>
    <row r="2708" spans="23:23" x14ac:dyDescent="0.2">
      <c r="W2708" s="39"/>
    </row>
    <row r="2709" spans="23:23" x14ac:dyDescent="0.2">
      <c r="W2709" s="39"/>
    </row>
    <row r="2710" spans="23:23" x14ac:dyDescent="0.2">
      <c r="W2710" s="39"/>
    </row>
    <row r="2711" spans="23:23" x14ac:dyDescent="0.2">
      <c r="W2711" s="39"/>
    </row>
    <row r="2712" spans="23:23" x14ac:dyDescent="0.2">
      <c r="W2712" s="39"/>
    </row>
    <row r="2713" spans="23:23" x14ac:dyDescent="0.2">
      <c r="W2713" s="39"/>
    </row>
    <row r="2714" spans="23:23" x14ac:dyDescent="0.2">
      <c r="W2714" s="39"/>
    </row>
    <row r="2715" spans="23:23" x14ac:dyDescent="0.2">
      <c r="W2715" s="39"/>
    </row>
    <row r="2716" spans="23:23" x14ac:dyDescent="0.2">
      <c r="W2716" s="39"/>
    </row>
    <row r="2717" spans="23:23" x14ac:dyDescent="0.2">
      <c r="W2717" s="39"/>
    </row>
    <row r="2718" spans="23:23" x14ac:dyDescent="0.2">
      <c r="W2718" s="39"/>
    </row>
    <row r="2719" spans="23:23" x14ac:dyDescent="0.2">
      <c r="W2719" s="39"/>
    </row>
    <row r="2720" spans="23:23" x14ac:dyDescent="0.2">
      <c r="W2720" s="39"/>
    </row>
    <row r="2721" spans="23:23" x14ac:dyDescent="0.2">
      <c r="W2721" s="39"/>
    </row>
    <row r="2722" spans="23:23" x14ac:dyDescent="0.2">
      <c r="W2722" s="39"/>
    </row>
    <row r="2723" spans="23:23" x14ac:dyDescent="0.2">
      <c r="W2723" s="39"/>
    </row>
    <row r="2724" spans="23:23" x14ac:dyDescent="0.2">
      <c r="W2724" s="39"/>
    </row>
    <row r="2725" spans="23:23" x14ac:dyDescent="0.2">
      <c r="W2725" s="39"/>
    </row>
    <row r="2726" spans="23:23" x14ac:dyDescent="0.2">
      <c r="W2726" s="39"/>
    </row>
    <row r="2727" spans="23:23" x14ac:dyDescent="0.2">
      <c r="W2727" s="39"/>
    </row>
    <row r="2728" spans="23:23" x14ac:dyDescent="0.2">
      <c r="W2728" s="39"/>
    </row>
    <row r="2729" spans="23:23" x14ac:dyDescent="0.2">
      <c r="W2729" s="39"/>
    </row>
    <row r="2730" spans="23:23" x14ac:dyDescent="0.2">
      <c r="W2730" s="39"/>
    </row>
    <row r="2731" spans="23:23" x14ac:dyDescent="0.2">
      <c r="W2731" s="39"/>
    </row>
    <row r="2732" spans="23:23" x14ac:dyDescent="0.2">
      <c r="W2732" s="39"/>
    </row>
    <row r="2733" spans="23:23" x14ac:dyDescent="0.2">
      <c r="W2733" s="39"/>
    </row>
    <row r="2734" spans="23:23" x14ac:dyDescent="0.2">
      <c r="W2734" s="39"/>
    </row>
    <row r="2735" spans="23:23" x14ac:dyDescent="0.2">
      <c r="W2735" s="39"/>
    </row>
    <row r="2736" spans="23:23" x14ac:dyDescent="0.2">
      <c r="W2736" s="39"/>
    </row>
    <row r="2737" spans="23:23" x14ac:dyDescent="0.2">
      <c r="W2737" s="39"/>
    </row>
    <row r="2738" spans="23:23" x14ac:dyDescent="0.2">
      <c r="W2738" s="39"/>
    </row>
    <row r="2739" spans="23:23" x14ac:dyDescent="0.2">
      <c r="W2739" s="39"/>
    </row>
    <row r="2740" spans="23:23" x14ac:dyDescent="0.2">
      <c r="W2740" s="39"/>
    </row>
    <row r="2741" spans="23:23" x14ac:dyDescent="0.2">
      <c r="W2741" s="39"/>
    </row>
    <row r="2742" spans="23:23" x14ac:dyDescent="0.2">
      <c r="W2742" s="39"/>
    </row>
    <row r="2743" spans="23:23" x14ac:dyDescent="0.2">
      <c r="W2743" s="39"/>
    </row>
    <row r="2744" spans="23:23" x14ac:dyDescent="0.2">
      <c r="W2744" s="39"/>
    </row>
    <row r="2745" spans="23:23" x14ac:dyDescent="0.2">
      <c r="W2745" s="39"/>
    </row>
    <row r="2746" spans="23:23" x14ac:dyDescent="0.2">
      <c r="W2746" s="39"/>
    </row>
    <row r="2747" spans="23:23" x14ac:dyDescent="0.2">
      <c r="W2747" s="39"/>
    </row>
    <row r="2748" spans="23:23" x14ac:dyDescent="0.2">
      <c r="W2748" s="39"/>
    </row>
    <row r="2749" spans="23:23" x14ac:dyDescent="0.2">
      <c r="W2749" s="39"/>
    </row>
    <row r="2750" spans="23:23" x14ac:dyDescent="0.2">
      <c r="W2750" s="39"/>
    </row>
    <row r="2751" spans="23:23" x14ac:dyDescent="0.2">
      <c r="W2751" s="39"/>
    </row>
    <row r="2752" spans="23:23" x14ac:dyDescent="0.2">
      <c r="W2752" s="39"/>
    </row>
    <row r="2753" spans="23:23" x14ac:dyDescent="0.2">
      <c r="W2753" s="39"/>
    </row>
    <row r="2754" spans="23:23" x14ac:dyDescent="0.2">
      <c r="W2754" s="39"/>
    </row>
    <row r="2755" spans="23:23" x14ac:dyDescent="0.2">
      <c r="W2755" s="39"/>
    </row>
    <row r="2756" spans="23:23" x14ac:dyDescent="0.2">
      <c r="W2756" s="39"/>
    </row>
    <row r="2757" spans="23:23" x14ac:dyDescent="0.2">
      <c r="W2757" s="39"/>
    </row>
    <row r="2758" spans="23:23" x14ac:dyDescent="0.2">
      <c r="W2758" s="39"/>
    </row>
    <row r="2759" spans="23:23" x14ac:dyDescent="0.2">
      <c r="W2759" s="39"/>
    </row>
    <row r="2760" spans="23:23" x14ac:dyDescent="0.2">
      <c r="W2760" s="39"/>
    </row>
    <row r="2761" spans="23:23" x14ac:dyDescent="0.2">
      <c r="W2761" s="39"/>
    </row>
    <row r="2762" spans="23:23" x14ac:dyDescent="0.2">
      <c r="W2762" s="39"/>
    </row>
    <row r="2763" spans="23:23" x14ac:dyDescent="0.2">
      <c r="W2763" s="39"/>
    </row>
    <row r="2764" spans="23:23" x14ac:dyDescent="0.2">
      <c r="W2764" s="39"/>
    </row>
    <row r="2765" spans="23:23" x14ac:dyDescent="0.2">
      <c r="W2765" s="39"/>
    </row>
    <row r="2766" spans="23:23" x14ac:dyDescent="0.2">
      <c r="W2766" s="39"/>
    </row>
    <row r="2767" spans="23:23" x14ac:dyDescent="0.2">
      <c r="W2767" s="39"/>
    </row>
    <row r="2768" spans="23:23" x14ac:dyDescent="0.2">
      <c r="W2768" s="39"/>
    </row>
    <row r="2769" spans="23:23" x14ac:dyDescent="0.2">
      <c r="W2769" s="39"/>
    </row>
    <row r="2770" spans="23:23" x14ac:dyDescent="0.2">
      <c r="W2770" s="39"/>
    </row>
    <row r="2771" spans="23:23" x14ac:dyDescent="0.2">
      <c r="W2771" s="39"/>
    </row>
    <row r="2772" spans="23:23" x14ac:dyDescent="0.2">
      <c r="W2772" s="39"/>
    </row>
    <row r="2773" spans="23:23" x14ac:dyDescent="0.2">
      <c r="W2773" s="39"/>
    </row>
    <row r="2774" spans="23:23" x14ac:dyDescent="0.2">
      <c r="W2774" s="39"/>
    </row>
    <row r="2775" spans="23:23" x14ac:dyDescent="0.2">
      <c r="W2775" s="39"/>
    </row>
    <row r="2776" spans="23:23" x14ac:dyDescent="0.2">
      <c r="W2776" s="39"/>
    </row>
    <row r="2777" spans="23:23" x14ac:dyDescent="0.2">
      <c r="W2777" s="39"/>
    </row>
    <row r="2778" spans="23:23" x14ac:dyDescent="0.2">
      <c r="W2778" s="39"/>
    </row>
    <row r="2779" spans="23:23" x14ac:dyDescent="0.2">
      <c r="W2779" s="39"/>
    </row>
    <row r="2780" spans="23:23" x14ac:dyDescent="0.2">
      <c r="W2780" s="39"/>
    </row>
    <row r="2781" spans="23:23" x14ac:dyDescent="0.2">
      <c r="W2781" s="39"/>
    </row>
    <row r="2782" spans="23:23" x14ac:dyDescent="0.2">
      <c r="W2782" s="39"/>
    </row>
    <row r="2783" spans="23:23" x14ac:dyDescent="0.2">
      <c r="W2783" s="39"/>
    </row>
    <row r="2784" spans="23:23" x14ac:dyDescent="0.2">
      <c r="W2784" s="39"/>
    </row>
    <row r="2785" spans="23:23" x14ac:dyDescent="0.2">
      <c r="W2785" s="39"/>
    </row>
    <row r="2786" spans="23:23" x14ac:dyDescent="0.2">
      <c r="W2786" s="39"/>
    </row>
    <row r="2787" spans="23:23" x14ac:dyDescent="0.2">
      <c r="W2787" s="39"/>
    </row>
    <row r="2788" spans="23:23" x14ac:dyDescent="0.2">
      <c r="W2788" s="39"/>
    </row>
    <row r="2789" spans="23:23" x14ac:dyDescent="0.2">
      <c r="W2789" s="39"/>
    </row>
    <row r="2790" spans="23:23" x14ac:dyDescent="0.2">
      <c r="W2790" s="39"/>
    </row>
    <row r="2791" spans="23:23" x14ac:dyDescent="0.2">
      <c r="W2791" s="39"/>
    </row>
    <row r="2792" spans="23:23" x14ac:dyDescent="0.2">
      <c r="W2792" s="39"/>
    </row>
    <row r="2793" spans="23:23" x14ac:dyDescent="0.2">
      <c r="W2793" s="39"/>
    </row>
    <row r="2794" spans="23:23" x14ac:dyDescent="0.2">
      <c r="W2794" s="39"/>
    </row>
    <row r="2795" spans="23:23" x14ac:dyDescent="0.2">
      <c r="W2795" s="39"/>
    </row>
    <row r="2796" spans="23:23" x14ac:dyDescent="0.2">
      <c r="W2796" s="39"/>
    </row>
    <row r="2797" spans="23:23" x14ac:dyDescent="0.2">
      <c r="W2797" s="39"/>
    </row>
    <row r="2798" spans="23:23" x14ac:dyDescent="0.2">
      <c r="W2798" s="39"/>
    </row>
    <row r="2799" spans="23:23" x14ac:dyDescent="0.2">
      <c r="W2799" s="39"/>
    </row>
    <row r="2800" spans="23:23" x14ac:dyDescent="0.2">
      <c r="W2800" s="39"/>
    </row>
    <row r="2801" spans="23:23" x14ac:dyDescent="0.2">
      <c r="W2801" s="39"/>
    </row>
    <row r="2802" spans="23:23" x14ac:dyDescent="0.2">
      <c r="W2802" s="39"/>
    </row>
    <row r="2803" spans="23:23" x14ac:dyDescent="0.2">
      <c r="W2803" s="39"/>
    </row>
    <row r="2804" spans="23:23" x14ac:dyDescent="0.2">
      <c r="W2804" s="39"/>
    </row>
    <row r="2805" spans="23:23" x14ac:dyDescent="0.2">
      <c r="W2805" s="39"/>
    </row>
    <row r="2806" spans="23:23" x14ac:dyDescent="0.2">
      <c r="W2806" s="39"/>
    </row>
    <row r="2807" spans="23:23" x14ac:dyDescent="0.2">
      <c r="W2807" s="39"/>
    </row>
    <row r="2808" spans="23:23" x14ac:dyDescent="0.2">
      <c r="W2808" s="39"/>
    </row>
    <row r="2809" spans="23:23" x14ac:dyDescent="0.2">
      <c r="W2809" s="39"/>
    </row>
    <row r="2810" spans="23:23" x14ac:dyDescent="0.2">
      <c r="W2810" s="39"/>
    </row>
    <row r="2811" spans="23:23" x14ac:dyDescent="0.2">
      <c r="W2811" s="39"/>
    </row>
    <row r="2812" spans="23:23" x14ac:dyDescent="0.2">
      <c r="W2812" s="39"/>
    </row>
    <row r="2813" spans="23:23" x14ac:dyDescent="0.2">
      <c r="W2813" s="39"/>
    </row>
    <row r="2814" spans="23:23" x14ac:dyDescent="0.2">
      <c r="W2814" s="39"/>
    </row>
    <row r="2815" spans="23:23" x14ac:dyDescent="0.2">
      <c r="W2815" s="39"/>
    </row>
    <row r="2816" spans="23:23" x14ac:dyDescent="0.2">
      <c r="W2816" s="39"/>
    </row>
    <row r="2817" spans="23:23" x14ac:dyDescent="0.2">
      <c r="W2817" s="39"/>
    </row>
    <row r="2818" spans="23:23" x14ac:dyDescent="0.2">
      <c r="W2818" s="39"/>
    </row>
    <row r="2819" spans="23:23" x14ac:dyDescent="0.2">
      <c r="W2819" s="39"/>
    </row>
    <row r="2820" spans="23:23" x14ac:dyDescent="0.2">
      <c r="W2820" s="39"/>
    </row>
    <row r="2821" spans="23:23" x14ac:dyDescent="0.2">
      <c r="W2821" s="39"/>
    </row>
    <row r="2822" spans="23:23" x14ac:dyDescent="0.2">
      <c r="W2822" s="39"/>
    </row>
    <row r="2823" spans="23:23" x14ac:dyDescent="0.2">
      <c r="W2823" s="39"/>
    </row>
    <row r="2824" spans="23:23" x14ac:dyDescent="0.2">
      <c r="W2824" s="39"/>
    </row>
    <row r="2825" spans="23:23" x14ac:dyDescent="0.2">
      <c r="W2825" s="39"/>
    </row>
    <row r="2826" spans="23:23" x14ac:dyDescent="0.2">
      <c r="W2826" s="39"/>
    </row>
    <row r="2827" spans="23:23" x14ac:dyDescent="0.2">
      <c r="W2827" s="39"/>
    </row>
    <row r="2828" spans="23:23" x14ac:dyDescent="0.2">
      <c r="W2828" s="39"/>
    </row>
    <row r="2829" spans="23:23" x14ac:dyDescent="0.2">
      <c r="W2829" s="39"/>
    </row>
    <row r="2830" spans="23:23" x14ac:dyDescent="0.2">
      <c r="W2830" s="39"/>
    </row>
    <row r="2831" spans="23:23" x14ac:dyDescent="0.2">
      <c r="W2831" s="39"/>
    </row>
    <row r="2832" spans="23:23" x14ac:dyDescent="0.2">
      <c r="W2832" s="39"/>
    </row>
    <row r="2833" spans="23:23" x14ac:dyDescent="0.2">
      <c r="W2833" s="39"/>
    </row>
    <row r="2834" spans="23:23" x14ac:dyDescent="0.2">
      <c r="W2834" s="39"/>
    </row>
    <row r="2835" spans="23:23" x14ac:dyDescent="0.2">
      <c r="W2835" s="39"/>
    </row>
    <row r="2836" spans="23:23" x14ac:dyDescent="0.2">
      <c r="W2836" s="39"/>
    </row>
    <row r="2837" spans="23:23" x14ac:dyDescent="0.2">
      <c r="W2837" s="39"/>
    </row>
    <row r="2838" spans="23:23" x14ac:dyDescent="0.2">
      <c r="W2838" s="39"/>
    </row>
    <row r="2839" spans="23:23" x14ac:dyDescent="0.2">
      <c r="W2839" s="39"/>
    </row>
    <row r="2840" spans="23:23" x14ac:dyDescent="0.2">
      <c r="W2840" s="39"/>
    </row>
    <row r="2841" spans="23:23" x14ac:dyDescent="0.2">
      <c r="W2841" s="39"/>
    </row>
    <row r="2842" spans="23:23" x14ac:dyDescent="0.2">
      <c r="W2842" s="39"/>
    </row>
    <row r="2843" spans="23:23" x14ac:dyDescent="0.2">
      <c r="W2843" s="39"/>
    </row>
    <row r="2844" spans="23:23" x14ac:dyDescent="0.2">
      <c r="W2844" s="39"/>
    </row>
    <row r="2845" spans="23:23" x14ac:dyDescent="0.2">
      <c r="W2845" s="39"/>
    </row>
    <row r="2846" spans="23:23" x14ac:dyDescent="0.2">
      <c r="W2846" s="39"/>
    </row>
    <row r="2847" spans="23:23" x14ac:dyDescent="0.2">
      <c r="W2847" s="39"/>
    </row>
    <row r="2848" spans="23:23" x14ac:dyDescent="0.2">
      <c r="W2848" s="39"/>
    </row>
    <row r="2849" spans="23:23" x14ac:dyDescent="0.2">
      <c r="W2849" s="39"/>
    </row>
    <row r="2850" spans="23:23" x14ac:dyDescent="0.2">
      <c r="W2850" s="39"/>
    </row>
    <row r="2851" spans="23:23" x14ac:dyDescent="0.2">
      <c r="W2851" s="39"/>
    </row>
    <row r="2852" spans="23:23" x14ac:dyDescent="0.2">
      <c r="W2852" s="39"/>
    </row>
    <row r="2853" spans="23:23" x14ac:dyDescent="0.2">
      <c r="W2853" s="39"/>
    </row>
    <row r="2854" spans="23:23" x14ac:dyDescent="0.2">
      <c r="W2854" s="39"/>
    </row>
    <row r="2855" spans="23:23" x14ac:dyDescent="0.2">
      <c r="W2855" s="39"/>
    </row>
    <row r="2856" spans="23:23" x14ac:dyDescent="0.2">
      <c r="W2856" s="39"/>
    </row>
    <row r="2857" spans="23:23" x14ac:dyDescent="0.2">
      <c r="W2857" s="39"/>
    </row>
    <row r="2858" spans="23:23" x14ac:dyDescent="0.2">
      <c r="W2858" s="39"/>
    </row>
    <row r="2859" spans="23:23" x14ac:dyDescent="0.2">
      <c r="W2859" s="39"/>
    </row>
    <row r="2860" spans="23:23" x14ac:dyDescent="0.2">
      <c r="W2860" s="39"/>
    </row>
    <row r="2861" spans="23:23" x14ac:dyDescent="0.2">
      <c r="W2861" s="39"/>
    </row>
    <row r="2862" spans="23:23" x14ac:dyDescent="0.2">
      <c r="W2862" s="39"/>
    </row>
    <row r="2863" spans="23:23" x14ac:dyDescent="0.2">
      <c r="W2863" s="39"/>
    </row>
    <row r="2864" spans="23:23" x14ac:dyDescent="0.2">
      <c r="W2864" s="39"/>
    </row>
    <row r="2865" spans="23:23" x14ac:dyDescent="0.2">
      <c r="W2865" s="39"/>
    </row>
    <row r="2866" spans="23:23" x14ac:dyDescent="0.2">
      <c r="W2866" s="39"/>
    </row>
    <row r="2867" spans="23:23" x14ac:dyDescent="0.2">
      <c r="W2867" s="39"/>
    </row>
    <row r="2868" spans="23:23" x14ac:dyDescent="0.2">
      <c r="W2868" s="39"/>
    </row>
    <row r="2869" spans="23:23" x14ac:dyDescent="0.2">
      <c r="W2869" s="39"/>
    </row>
    <row r="2870" spans="23:23" x14ac:dyDescent="0.2">
      <c r="W2870" s="39"/>
    </row>
    <row r="2871" spans="23:23" x14ac:dyDescent="0.2">
      <c r="W2871" s="39"/>
    </row>
    <row r="2872" spans="23:23" x14ac:dyDescent="0.2">
      <c r="W2872" s="39"/>
    </row>
    <row r="2873" spans="23:23" x14ac:dyDescent="0.2">
      <c r="W2873" s="39"/>
    </row>
    <row r="2874" spans="23:23" x14ac:dyDescent="0.2">
      <c r="W2874" s="39"/>
    </row>
    <row r="2875" spans="23:23" x14ac:dyDescent="0.2">
      <c r="W2875" s="39"/>
    </row>
    <row r="2876" spans="23:23" x14ac:dyDescent="0.2">
      <c r="W2876" s="39"/>
    </row>
    <row r="2877" spans="23:23" x14ac:dyDescent="0.2">
      <c r="W2877" s="39"/>
    </row>
    <row r="2878" spans="23:23" x14ac:dyDescent="0.2">
      <c r="W2878" s="39"/>
    </row>
    <row r="2879" spans="23:23" x14ac:dyDescent="0.2">
      <c r="W2879" s="39"/>
    </row>
    <row r="2880" spans="23:23" x14ac:dyDescent="0.2">
      <c r="W2880" s="39"/>
    </row>
    <row r="2881" spans="23:23" x14ac:dyDescent="0.2">
      <c r="W2881" s="39"/>
    </row>
    <row r="2882" spans="23:23" x14ac:dyDescent="0.2">
      <c r="W2882" s="39"/>
    </row>
    <row r="2883" spans="23:23" x14ac:dyDescent="0.2">
      <c r="W2883" s="39"/>
    </row>
    <row r="2884" spans="23:23" x14ac:dyDescent="0.2">
      <c r="W2884" s="39"/>
    </row>
    <row r="2885" spans="23:23" x14ac:dyDescent="0.2">
      <c r="W2885" s="39"/>
    </row>
    <row r="2886" spans="23:23" x14ac:dyDescent="0.2">
      <c r="W2886" s="39"/>
    </row>
    <row r="2887" spans="23:23" x14ac:dyDescent="0.2">
      <c r="W2887" s="39"/>
    </row>
    <row r="2888" spans="23:23" x14ac:dyDescent="0.2">
      <c r="W2888" s="39"/>
    </row>
    <row r="2889" spans="23:23" x14ac:dyDescent="0.2">
      <c r="W2889" s="39"/>
    </row>
    <row r="2890" spans="23:23" x14ac:dyDescent="0.2">
      <c r="W2890" s="39"/>
    </row>
    <row r="2891" spans="23:23" x14ac:dyDescent="0.2">
      <c r="W2891" s="39"/>
    </row>
    <row r="2892" spans="23:23" x14ac:dyDescent="0.2">
      <c r="W2892" s="39"/>
    </row>
    <row r="2893" spans="23:23" x14ac:dyDescent="0.2">
      <c r="W2893" s="39"/>
    </row>
    <row r="2894" spans="23:23" x14ac:dyDescent="0.2">
      <c r="W2894" s="39"/>
    </row>
    <row r="2895" spans="23:23" x14ac:dyDescent="0.2">
      <c r="W2895" s="39"/>
    </row>
    <row r="2896" spans="23:23" x14ac:dyDescent="0.2">
      <c r="W2896" s="39"/>
    </row>
    <row r="2897" spans="23:23" x14ac:dyDescent="0.2">
      <c r="W2897" s="39"/>
    </row>
    <row r="2898" spans="23:23" x14ac:dyDescent="0.2">
      <c r="W2898" s="39"/>
    </row>
    <row r="2899" spans="23:23" x14ac:dyDescent="0.2">
      <c r="W2899" s="39"/>
    </row>
    <row r="2900" spans="23:23" x14ac:dyDescent="0.2">
      <c r="W2900" s="39"/>
    </row>
    <row r="2901" spans="23:23" x14ac:dyDescent="0.2">
      <c r="W2901" s="39"/>
    </row>
    <row r="2902" spans="23:23" x14ac:dyDescent="0.2">
      <c r="W2902" s="39"/>
    </row>
    <row r="2903" spans="23:23" x14ac:dyDescent="0.2">
      <c r="W2903" s="39"/>
    </row>
    <row r="2904" spans="23:23" x14ac:dyDescent="0.2">
      <c r="W2904" s="39"/>
    </row>
    <row r="2905" spans="23:23" x14ac:dyDescent="0.2">
      <c r="W2905" s="39"/>
    </row>
    <row r="2906" spans="23:23" x14ac:dyDescent="0.2">
      <c r="W2906" s="39"/>
    </row>
    <row r="2907" spans="23:23" x14ac:dyDescent="0.2">
      <c r="W2907" s="39"/>
    </row>
    <row r="2908" spans="23:23" x14ac:dyDescent="0.2">
      <c r="W2908" s="39"/>
    </row>
    <row r="2909" spans="23:23" x14ac:dyDescent="0.2">
      <c r="W2909" s="39"/>
    </row>
    <row r="2910" spans="23:23" x14ac:dyDescent="0.2">
      <c r="W2910" s="39"/>
    </row>
    <row r="2911" spans="23:23" x14ac:dyDescent="0.2">
      <c r="W2911" s="39"/>
    </row>
    <row r="2912" spans="23:23" x14ac:dyDescent="0.2">
      <c r="W2912" s="39"/>
    </row>
    <row r="2913" spans="23:23" x14ac:dyDescent="0.2">
      <c r="W2913" s="39"/>
    </row>
    <row r="2914" spans="23:23" x14ac:dyDescent="0.2">
      <c r="W2914" s="39"/>
    </row>
    <row r="2915" spans="23:23" x14ac:dyDescent="0.2">
      <c r="W2915" s="39"/>
    </row>
    <row r="2916" spans="23:23" x14ac:dyDescent="0.2">
      <c r="W2916" s="39"/>
    </row>
    <row r="2917" spans="23:23" x14ac:dyDescent="0.2">
      <c r="W2917" s="39"/>
    </row>
    <row r="2918" spans="23:23" x14ac:dyDescent="0.2">
      <c r="W2918" s="39"/>
    </row>
    <row r="2919" spans="23:23" x14ac:dyDescent="0.2">
      <c r="W2919" s="39"/>
    </row>
    <row r="2920" spans="23:23" x14ac:dyDescent="0.2">
      <c r="W2920" s="39"/>
    </row>
    <row r="2921" spans="23:23" x14ac:dyDescent="0.2">
      <c r="W2921" s="39"/>
    </row>
    <row r="2922" spans="23:23" x14ac:dyDescent="0.2">
      <c r="W2922" s="39"/>
    </row>
    <row r="2923" spans="23:23" x14ac:dyDescent="0.2">
      <c r="W2923" s="39"/>
    </row>
    <row r="2924" spans="23:23" x14ac:dyDescent="0.2">
      <c r="W2924" s="39"/>
    </row>
    <row r="2925" spans="23:23" x14ac:dyDescent="0.2">
      <c r="W2925" s="39"/>
    </row>
    <row r="2926" spans="23:23" x14ac:dyDescent="0.2">
      <c r="W2926" s="39"/>
    </row>
    <row r="2927" spans="23:23" x14ac:dyDescent="0.2">
      <c r="W2927" s="39"/>
    </row>
    <row r="2928" spans="23:23" x14ac:dyDescent="0.2">
      <c r="W2928" s="39"/>
    </row>
    <row r="2929" spans="23:23" x14ac:dyDescent="0.2">
      <c r="W2929" s="39"/>
    </row>
    <row r="2930" spans="23:23" x14ac:dyDescent="0.2">
      <c r="W2930" s="39"/>
    </row>
    <row r="2931" spans="23:23" x14ac:dyDescent="0.2">
      <c r="W2931" s="39"/>
    </row>
    <row r="2932" spans="23:23" x14ac:dyDescent="0.2">
      <c r="W2932" s="39"/>
    </row>
    <row r="2933" spans="23:23" x14ac:dyDescent="0.2">
      <c r="W2933" s="39"/>
    </row>
    <row r="2934" spans="23:23" x14ac:dyDescent="0.2">
      <c r="W2934" s="39"/>
    </row>
    <row r="2935" spans="23:23" x14ac:dyDescent="0.2">
      <c r="W2935" s="39"/>
    </row>
    <row r="2936" spans="23:23" x14ac:dyDescent="0.2">
      <c r="W2936" s="39"/>
    </row>
    <row r="2937" spans="23:23" x14ac:dyDescent="0.2">
      <c r="W2937" s="39"/>
    </row>
    <row r="2938" spans="23:23" x14ac:dyDescent="0.2">
      <c r="W2938" s="39"/>
    </row>
    <row r="2939" spans="23:23" x14ac:dyDescent="0.2">
      <c r="W2939" s="39"/>
    </row>
    <row r="2940" spans="23:23" x14ac:dyDescent="0.2">
      <c r="W2940" s="39"/>
    </row>
    <row r="2941" spans="23:23" x14ac:dyDescent="0.2">
      <c r="W2941" s="39"/>
    </row>
    <row r="2942" spans="23:23" x14ac:dyDescent="0.2">
      <c r="W2942" s="39"/>
    </row>
    <row r="2943" spans="23:23" x14ac:dyDescent="0.2">
      <c r="W2943" s="39"/>
    </row>
    <row r="2944" spans="23:23" x14ac:dyDescent="0.2">
      <c r="W2944" s="39"/>
    </row>
    <row r="2945" spans="23:23" x14ac:dyDescent="0.2">
      <c r="W2945" s="39"/>
    </row>
    <row r="2946" spans="23:23" x14ac:dyDescent="0.2">
      <c r="W2946" s="39"/>
    </row>
    <row r="2947" spans="23:23" x14ac:dyDescent="0.2">
      <c r="W2947" s="39"/>
    </row>
    <row r="2948" spans="23:23" x14ac:dyDescent="0.2">
      <c r="W2948" s="39"/>
    </row>
    <row r="2949" spans="23:23" x14ac:dyDescent="0.2">
      <c r="W2949" s="39"/>
    </row>
    <row r="2950" spans="23:23" x14ac:dyDescent="0.2">
      <c r="W2950" s="39"/>
    </row>
    <row r="2951" spans="23:23" x14ac:dyDescent="0.2">
      <c r="W2951" s="39"/>
    </row>
    <row r="2952" spans="23:23" x14ac:dyDescent="0.2">
      <c r="W2952" s="39"/>
    </row>
    <row r="2953" spans="23:23" x14ac:dyDescent="0.2">
      <c r="W2953" s="39"/>
    </row>
    <row r="2954" spans="23:23" x14ac:dyDescent="0.2">
      <c r="W2954" s="39"/>
    </row>
    <row r="2955" spans="23:23" x14ac:dyDescent="0.2">
      <c r="W2955" s="39"/>
    </row>
    <row r="2956" spans="23:23" x14ac:dyDescent="0.2">
      <c r="W2956" s="39"/>
    </row>
    <row r="2957" spans="23:23" x14ac:dyDescent="0.2">
      <c r="W2957" s="39"/>
    </row>
    <row r="2958" spans="23:23" x14ac:dyDescent="0.2">
      <c r="W2958" s="39"/>
    </row>
    <row r="2959" spans="23:23" x14ac:dyDescent="0.2">
      <c r="W2959" s="39"/>
    </row>
    <row r="2960" spans="23:23" x14ac:dyDescent="0.2">
      <c r="W2960" s="39"/>
    </row>
    <row r="2961" spans="23:23" x14ac:dyDescent="0.2">
      <c r="W2961" s="39"/>
    </row>
    <row r="2962" spans="23:23" x14ac:dyDescent="0.2">
      <c r="W2962" s="39"/>
    </row>
    <row r="2963" spans="23:23" x14ac:dyDescent="0.2">
      <c r="W2963" s="39"/>
    </row>
    <row r="2964" spans="23:23" x14ac:dyDescent="0.2">
      <c r="W2964" s="39"/>
    </row>
    <row r="2965" spans="23:23" x14ac:dyDescent="0.2">
      <c r="W2965" s="39"/>
    </row>
    <row r="2966" spans="23:23" x14ac:dyDescent="0.2">
      <c r="W2966" s="39"/>
    </row>
    <row r="2967" spans="23:23" x14ac:dyDescent="0.2">
      <c r="W2967" s="39"/>
    </row>
    <row r="2968" spans="23:23" x14ac:dyDescent="0.2">
      <c r="W2968" s="39"/>
    </row>
    <row r="2969" spans="23:23" x14ac:dyDescent="0.2">
      <c r="W2969" s="39"/>
    </row>
    <row r="2970" spans="23:23" x14ac:dyDescent="0.2">
      <c r="W2970" s="39"/>
    </row>
    <row r="2971" spans="23:23" x14ac:dyDescent="0.2">
      <c r="W2971" s="39"/>
    </row>
    <row r="2972" spans="23:23" x14ac:dyDescent="0.2">
      <c r="W2972" s="39"/>
    </row>
    <row r="2973" spans="23:23" x14ac:dyDescent="0.2">
      <c r="W2973" s="39"/>
    </row>
    <row r="2974" spans="23:23" x14ac:dyDescent="0.2">
      <c r="W2974" s="39"/>
    </row>
    <row r="2975" spans="23:23" x14ac:dyDescent="0.2">
      <c r="W2975" s="39"/>
    </row>
    <row r="2976" spans="23:23" x14ac:dyDescent="0.2">
      <c r="W2976" s="39"/>
    </row>
    <row r="2977" spans="23:23" x14ac:dyDescent="0.2">
      <c r="W2977" s="39"/>
    </row>
    <row r="2978" spans="23:23" x14ac:dyDescent="0.2">
      <c r="W2978" s="39"/>
    </row>
    <row r="2979" spans="23:23" x14ac:dyDescent="0.2">
      <c r="W2979" s="39"/>
    </row>
    <row r="2980" spans="23:23" x14ac:dyDescent="0.2">
      <c r="W2980" s="39"/>
    </row>
    <row r="2981" spans="23:23" x14ac:dyDescent="0.2">
      <c r="W2981" s="39"/>
    </row>
    <row r="2982" spans="23:23" x14ac:dyDescent="0.2">
      <c r="W2982" s="39"/>
    </row>
    <row r="2983" spans="23:23" x14ac:dyDescent="0.2">
      <c r="W2983" s="39"/>
    </row>
    <row r="2984" spans="23:23" x14ac:dyDescent="0.2">
      <c r="W2984" s="39"/>
    </row>
    <row r="2985" spans="23:23" x14ac:dyDescent="0.2">
      <c r="W2985" s="39"/>
    </row>
    <row r="2986" spans="23:23" x14ac:dyDescent="0.2">
      <c r="W2986" s="39"/>
    </row>
    <row r="2987" spans="23:23" x14ac:dyDescent="0.2">
      <c r="W2987" s="39"/>
    </row>
    <row r="2988" spans="23:23" x14ac:dyDescent="0.2">
      <c r="W2988" s="39"/>
    </row>
    <row r="2989" spans="23:23" x14ac:dyDescent="0.2">
      <c r="W2989" s="39"/>
    </row>
    <row r="2990" spans="23:23" x14ac:dyDescent="0.2">
      <c r="W2990" s="39"/>
    </row>
    <row r="2991" spans="23:23" x14ac:dyDescent="0.2">
      <c r="W2991" s="39"/>
    </row>
    <row r="2992" spans="23:23" x14ac:dyDescent="0.2">
      <c r="W2992" s="39"/>
    </row>
    <row r="2993" spans="23:23" x14ac:dyDescent="0.2">
      <c r="W2993" s="39"/>
    </row>
    <row r="2994" spans="23:23" x14ac:dyDescent="0.2">
      <c r="W2994" s="39"/>
    </row>
    <row r="2995" spans="23:23" x14ac:dyDescent="0.2">
      <c r="W2995" s="39"/>
    </row>
    <row r="2996" spans="23:23" x14ac:dyDescent="0.2">
      <c r="W2996" s="39"/>
    </row>
    <row r="2997" spans="23:23" x14ac:dyDescent="0.2">
      <c r="W2997" s="39"/>
    </row>
    <row r="2998" spans="23:23" x14ac:dyDescent="0.2">
      <c r="W2998" s="39"/>
    </row>
    <row r="2999" spans="23:23" x14ac:dyDescent="0.2">
      <c r="W2999" s="39"/>
    </row>
    <row r="3000" spans="23:23" x14ac:dyDescent="0.2">
      <c r="W3000" s="39"/>
    </row>
    <row r="3001" spans="23:23" x14ac:dyDescent="0.2">
      <c r="W3001" s="39"/>
    </row>
    <row r="3002" spans="23:23" x14ac:dyDescent="0.2">
      <c r="W3002" s="39"/>
    </row>
    <row r="3003" spans="23:23" x14ac:dyDescent="0.2">
      <c r="W3003" s="39"/>
    </row>
    <row r="3004" spans="23:23" x14ac:dyDescent="0.2">
      <c r="W3004" s="39"/>
    </row>
    <row r="3005" spans="23:23" x14ac:dyDescent="0.2">
      <c r="W3005" s="39"/>
    </row>
    <row r="3006" spans="23:23" x14ac:dyDescent="0.2">
      <c r="W3006" s="39"/>
    </row>
    <row r="3007" spans="23:23" x14ac:dyDescent="0.2">
      <c r="W3007" s="39"/>
    </row>
    <row r="3008" spans="23:23" x14ac:dyDescent="0.2">
      <c r="W3008" s="39"/>
    </row>
    <row r="3009" spans="23:23" x14ac:dyDescent="0.2">
      <c r="W3009" s="39"/>
    </row>
    <row r="3010" spans="23:23" x14ac:dyDescent="0.2">
      <c r="W3010" s="39"/>
    </row>
    <row r="3011" spans="23:23" x14ac:dyDescent="0.2">
      <c r="W3011" s="39"/>
    </row>
    <row r="3012" spans="23:23" x14ac:dyDescent="0.2">
      <c r="W3012" s="39"/>
    </row>
    <row r="3013" spans="23:23" x14ac:dyDescent="0.2">
      <c r="W3013" s="39"/>
    </row>
    <row r="3014" spans="23:23" x14ac:dyDescent="0.2">
      <c r="W3014" s="39"/>
    </row>
    <row r="3015" spans="23:23" x14ac:dyDescent="0.2">
      <c r="W3015" s="39"/>
    </row>
    <row r="3016" spans="23:23" x14ac:dyDescent="0.2">
      <c r="W3016" s="39"/>
    </row>
    <row r="3017" spans="23:23" x14ac:dyDescent="0.2">
      <c r="W3017" s="39"/>
    </row>
    <row r="3018" spans="23:23" x14ac:dyDescent="0.2">
      <c r="W3018" s="39"/>
    </row>
    <row r="3019" spans="23:23" x14ac:dyDescent="0.2">
      <c r="W3019" s="39"/>
    </row>
    <row r="3020" spans="23:23" x14ac:dyDescent="0.2">
      <c r="W3020" s="39"/>
    </row>
    <row r="3021" spans="23:23" x14ac:dyDescent="0.2">
      <c r="W3021" s="39"/>
    </row>
    <row r="3022" spans="23:23" x14ac:dyDescent="0.2">
      <c r="W3022" s="39"/>
    </row>
    <row r="3023" spans="23:23" x14ac:dyDescent="0.2">
      <c r="W3023" s="39"/>
    </row>
    <row r="3024" spans="23:23" x14ac:dyDescent="0.2">
      <c r="W3024" s="39"/>
    </row>
    <row r="3025" spans="23:23" x14ac:dyDescent="0.2">
      <c r="W3025" s="39"/>
    </row>
    <row r="3026" spans="23:23" x14ac:dyDescent="0.2">
      <c r="W3026" s="39"/>
    </row>
    <row r="3027" spans="23:23" x14ac:dyDescent="0.2">
      <c r="W3027" s="39"/>
    </row>
    <row r="3028" spans="23:23" x14ac:dyDescent="0.2">
      <c r="W3028" s="39"/>
    </row>
    <row r="3029" spans="23:23" x14ac:dyDescent="0.2">
      <c r="W3029" s="39"/>
    </row>
    <row r="3030" spans="23:23" x14ac:dyDescent="0.2">
      <c r="W3030" s="39"/>
    </row>
    <row r="3031" spans="23:23" x14ac:dyDescent="0.2">
      <c r="W3031" s="39"/>
    </row>
    <row r="3032" spans="23:23" x14ac:dyDescent="0.2">
      <c r="W3032" s="39"/>
    </row>
    <row r="3033" spans="23:23" x14ac:dyDescent="0.2">
      <c r="W3033" s="39"/>
    </row>
    <row r="3034" spans="23:23" x14ac:dyDescent="0.2">
      <c r="W3034" s="39"/>
    </row>
    <row r="3035" spans="23:23" x14ac:dyDescent="0.2">
      <c r="W3035" s="39"/>
    </row>
    <row r="3036" spans="23:23" x14ac:dyDescent="0.2">
      <c r="W3036" s="39"/>
    </row>
    <row r="3037" spans="23:23" x14ac:dyDescent="0.2">
      <c r="W3037" s="39"/>
    </row>
    <row r="3038" spans="23:23" x14ac:dyDescent="0.2">
      <c r="W3038" s="39"/>
    </row>
    <row r="3039" spans="23:23" x14ac:dyDescent="0.2">
      <c r="W3039" s="39"/>
    </row>
    <row r="3040" spans="23:23" x14ac:dyDescent="0.2">
      <c r="W3040" s="39"/>
    </row>
    <row r="3041" spans="23:23" x14ac:dyDescent="0.2">
      <c r="W3041" s="39"/>
    </row>
    <row r="3042" spans="23:23" x14ac:dyDescent="0.2">
      <c r="W3042" s="39"/>
    </row>
    <row r="3043" spans="23:23" x14ac:dyDescent="0.2">
      <c r="W3043" s="39"/>
    </row>
    <row r="3044" spans="23:23" x14ac:dyDescent="0.2">
      <c r="W3044" s="39"/>
    </row>
    <row r="3045" spans="23:23" x14ac:dyDescent="0.2">
      <c r="W3045" s="39"/>
    </row>
    <row r="3046" spans="23:23" x14ac:dyDescent="0.2">
      <c r="W3046" s="39"/>
    </row>
    <row r="3047" spans="23:23" x14ac:dyDescent="0.2">
      <c r="W3047" s="39"/>
    </row>
    <row r="3048" spans="23:23" x14ac:dyDescent="0.2">
      <c r="W3048" s="39"/>
    </row>
    <row r="3049" spans="23:23" x14ac:dyDescent="0.2">
      <c r="W3049" s="39"/>
    </row>
    <row r="3050" spans="23:23" x14ac:dyDescent="0.2">
      <c r="W3050" s="39"/>
    </row>
    <row r="3051" spans="23:23" x14ac:dyDescent="0.2">
      <c r="W3051" s="39"/>
    </row>
    <row r="3052" spans="23:23" x14ac:dyDescent="0.2">
      <c r="W3052" s="39"/>
    </row>
    <row r="3053" spans="23:23" x14ac:dyDescent="0.2">
      <c r="W3053" s="39"/>
    </row>
    <row r="3054" spans="23:23" x14ac:dyDescent="0.2">
      <c r="W3054" s="39"/>
    </row>
    <row r="3055" spans="23:23" x14ac:dyDescent="0.2">
      <c r="W3055" s="39"/>
    </row>
    <row r="3056" spans="23:23" x14ac:dyDescent="0.2">
      <c r="W3056" s="39"/>
    </row>
    <row r="3057" spans="23:23" x14ac:dyDescent="0.2">
      <c r="W3057" s="39"/>
    </row>
    <row r="3058" spans="23:23" x14ac:dyDescent="0.2">
      <c r="W3058" s="39"/>
    </row>
    <row r="3059" spans="23:23" x14ac:dyDescent="0.2">
      <c r="W3059" s="39"/>
    </row>
    <row r="3060" spans="23:23" x14ac:dyDescent="0.2">
      <c r="W3060" s="39"/>
    </row>
    <row r="3061" spans="23:23" x14ac:dyDescent="0.2">
      <c r="W3061" s="39"/>
    </row>
    <row r="3062" spans="23:23" x14ac:dyDescent="0.2">
      <c r="W3062" s="39"/>
    </row>
    <row r="3063" spans="23:23" x14ac:dyDescent="0.2">
      <c r="W3063" s="39"/>
    </row>
    <row r="3064" spans="23:23" x14ac:dyDescent="0.2">
      <c r="W3064" s="39"/>
    </row>
    <row r="3065" spans="23:23" x14ac:dyDescent="0.2">
      <c r="W3065" s="39"/>
    </row>
    <row r="3066" spans="23:23" x14ac:dyDescent="0.2">
      <c r="W3066" s="39"/>
    </row>
    <row r="3067" spans="23:23" x14ac:dyDescent="0.2">
      <c r="W3067" s="39"/>
    </row>
    <row r="3068" spans="23:23" x14ac:dyDescent="0.2">
      <c r="W3068" s="39"/>
    </row>
    <row r="3069" spans="23:23" x14ac:dyDescent="0.2">
      <c r="W3069" s="39"/>
    </row>
    <row r="3070" spans="23:23" x14ac:dyDescent="0.2">
      <c r="W3070" s="39"/>
    </row>
    <row r="3071" spans="23:23" x14ac:dyDescent="0.2">
      <c r="W3071" s="39"/>
    </row>
    <row r="3072" spans="23:23" x14ac:dyDescent="0.2">
      <c r="W3072" s="39"/>
    </row>
    <row r="3073" spans="23:23" x14ac:dyDescent="0.2">
      <c r="W3073" s="39"/>
    </row>
    <row r="3074" spans="23:23" x14ac:dyDescent="0.2">
      <c r="W3074" s="39"/>
    </row>
    <row r="3075" spans="23:23" x14ac:dyDescent="0.2">
      <c r="W3075" s="39"/>
    </row>
    <row r="3076" spans="23:23" x14ac:dyDescent="0.2">
      <c r="W3076" s="39"/>
    </row>
    <row r="3077" spans="23:23" x14ac:dyDescent="0.2">
      <c r="W3077" s="39"/>
    </row>
    <row r="3078" spans="23:23" x14ac:dyDescent="0.2">
      <c r="W3078" s="39"/>
    </row>
    <row r="3079" spans="23:23" x14ac:dyDescent="0.2">
      <c r="W3079" s="39"/>
    </row>
    <row r="3080" spans="23:23" x14ac:dyDescent="0.2">
      <c r="W3080" s="39"/>
    </row>
    <row r="3081" spans="23:23" x14ac:dyDescent="0.2">
      <c r="W3081" s="39"/>
    </row>
    <row r="3082" spans="23:23" x14ac:dyDescent="0.2">
      <c r="W3082" s="39"/>
    </row>
    <row r="3083" spans="23:23" x14ac:dyDescent="0.2">
      <c r="W3083" s="39"/>
    </row>
    <row r="3084" spans="23:23" x14ac:dyDescent="0.2">
      <c r="W3084" s="39"/>
    </row>
    <row r="3085" spans="23:23" x14ac:dyDescent="0.2">
      <c r="W3085" s="39"/>
    </row>
    <row r="3086" spans="23:23" x14ac:dyDescent="0.2">
      <c r="W3086" s="39"/>
    </row>
    <row r="3087" spans="23:23" x14ac:dyDescent="0.2">
      <c r="W3087" s="39"/>
    </row>
    <row r="3088" spans="23:23" x14ac:dyDescent="0.2">
      <c r="W3088" s="39"/>
    </row>
    <row r="3089" spans="23:23" x14ac:dyDescent="0.2">
      <c r="W3089" s="39"/>
    </row>
    <row r="3090" spans="23:23" x14ac:dyDescent="0.2">
      <c r="W3090" s="39"/>
    </row>
    <row r="3091" spans="23:23" x14ac:dyDescent="0.2">
      <c r="W3091" s="39"/>
    </row>
    <row r="3092" spans="23:23" x14ac:dyDescent="0.2">
      <c r="W3092" s="39"/>
    </row>
    <row r="3093" spans="23:23" x14ac:dyDescent="0.2">
      <c r="W3093" s="39"/>
    </row>
    <row r="3094" spans="23:23" x14ac:dyDescent="0.2">
      <c r="W3094" s="39"/>
    </row>
    <row r="3095" spans="23:23" x14ac:dyDescent="0.2">
      <c r="W3095" s="39"/>
    </row>
    <row r="3096" spans="23:23" x14ac:dyDescent="0.2">
      <c r="W3096" s="39"/>
    </row>
    <row r="3097" spans="23:23" x14ac:dyDescent="0.2">
      <c r="W3097" s="39"/>
    </row>
    <row r="3098" spans="23:23" x14ac:dyDescent="0.2">
      <c r="W3098" s="39"/>
    </row>
    <row r="3099" spans="23:23" x14ac:dyDescent="0.2">
      <c r="W3099" s="39"/>
    </row>
    <row r="3100" spans="23:23" x14ac:dyDescent="0.2">
      <c r="W3100" s="39"/>
    </row>
    <row r="3101" spans="23:23" x14ac:dyDescent="0.2">
      <c r="W3101" s="39"/>
    </row>
    <row r="3102" spans="23:23" x14ac:dyDescent="0.2">
      <c r="W3102" s="39"/>
    </row>
    <row r="3103" spans="23:23" x14ac:dyDescent="0.2">
      <c r="W3103" s="39"/>
    </row>
    <row r="3104" spans="23:23" x14ac:dyDescent="0.2">
      <c r="W3104" s="39"/>
    </row>
    <row r="3105" spans="23:23" x14ac:dyDescent="0.2">
      <c r="W3105" s="39"/>
    </row>
    <row r="3106" spans="23:23" x14ac:dyDescent="0.2">
      <c r="W3106" s="39"/>
    </row>
    <row r="3107" spans="23:23" x14ac:dyDescent="0.2">
      <c r="W3107" s="39"/>
    </row>
    <row r="3108" spans="23:23" x14ac:dyDescent="0.2">
      <c r="W3108" s="39"/>
    </row>
    <row r="3109" spans="23:23" x14ac:dyDescent="0.2">
      <c r="W3109" s="39"/>
    </row>
    <row r="3110" spans="23:23" x14ac:dyDescent="0.2">
      <c r="W3110" s="39"/>
    </row>
    <row r="3111" spans="23:23" x14ac:dyDescent="0.2">
      <c r="W3111" s="39"/>
    </row>
    <row r="3112" spans="23:23" x14ac:dyDescent="0.2">
      <c r="W3112" s="39"/>
    </row>
    <row r="3113" spans="23:23" x14ac:dyDescent="0.2">
      <c r="W3113" s="39"/>
    </row>
    <row r="3114" spans="23:23" x14ac:dyDescent="0.2">
      <c r="W3114" s="39"/>
    </row>
    <row r="3115" spans="23:23" x14ac:dyDescent="0.2">
      <c r="W3115" s="39"/>
    </row>
    <row r="3116" spans="23:23" x14ac:dyDescent="0.2">
      <c r="W3116" s="39"/>
    </row>
    <row r="3117" spans="23:23" x14ac:dyDescent="0.2">
      <c r="W3117" s="39"/>
    </row>
    <row r="3118" spans="23:23" x14ac:dyDescent="0.2">
      <c r="W3118" s="39"/>
    </row>
    <row r="3119" spans="23:23" x14ac:dyDescent="0.2">
      <c r="W3119" s="39"/>
    </row>
    <row r="3120" spans="23:23" x14ac:dyDescent="0.2">
      <c r="W3120" s="39"/>
    </row>
    <row r="3121" spans="23:23" x14ac:dyDescent="0.2">
      <c r="W3121" s="39"/>
    </row>
    <row r="3122" spans="23:23" x14ac:dyDescent="0.2">
      <c r="W3122" s="39"/>
    </row>
    <row r="3123" spans="23:23" x14ac:dyDescent="0.2">
      <c r="W3123" s="39"/>
    </row>
    <row r="3124" spans="23:23" x14ac:dyDescent="0.2">
      <c r="W3124" s="39"/>
    </row>
    <row r="3125" spans="23:23" x14ac:dyDescent="0.2">
      <c r="W3125" s="39"/>
    </row>
    <row r="3126" spans="23:23" x14ac:dyDescent="0.2">
      <c r="W3126" s="39"/>
    </row>
    <row r="3127" spans="23:23" x14ac:dyDescent="0.2">
      <c r="W3127" s="39"/>
    </row>
    <row r="3128" spans="23:23" x14ac:dyDescent="0.2">
      <c r="W3128" s="39"/>
    </row>
    <row r="3129" spans="23:23" x14ac:dyDescent="0.2">
      <c r="W3129" s="39"/>
    </row>
    <row r="3130" spans="23:23" x14ac:dyDescent="0.2">
      <c r="W3130" s="39"/>
    </row>
    <row r="3131" spans="23:23" x14ac:dyDescent="0.2">
      <c r="W3131" s="39"/>
    </row>
    <row r="3132" spans="23:23" x14ac:dyDescent="0.2">
      <c r="W3132" s="39"/>
    </row>
    <row r="3133" spans="23:23" x14ac:dyDescent="0.2">
      <c r="W3133" s="39"/>
    </row>
    <row r="3134" spans="23:23" x14ac:dyDescent="0.2">
      <c r="W3134" s="39"/>
    </row>
    <row r="3135" spans="23:23" x14ac:dyDescent="0.2">
      <c r="W3135" s="39"/>
    </row>
    <row r="3136" spans="23:23" x14ac:dyDescent="0.2">
      <c r="W3136" s="39"/>
    </row>
    <row r="3137" spans="23:23" x14ac:dyDescent="0.2">
      <c r="W3137" s="39"/>
    </row>
    <row r="3138" spans="23:23" x14ac:dyDescent="0.2">
      <c r="W3138" s="39"/>
    </row>
    <row r="3139" spans="23:23" x14ac:dyDescent="0.2">
      <c r="W3139" s="39"/>
    </row>
    <row r="3140" spans="23:23" x14ac:dyDescent="0.2">
      <c r="W3140" s="39"/>
    </row>
    <row r="3141" spans="23:23" x14ac:dyDescent="0.2">
      <c r="W3141" s="39"/>
    </row>
    <row r="3142" spans="23:23" x14ac:dyDescent="0.2">
      <c r="W3142" s="39"/>
    </row>
    <row r="3143" spans="23:23" x14ac:dyDescent="0.2">
      <c r="W3143" s="39"/>
    </row>
    <row r="3144" spans="23:23" x14ac:dyDescent="0.2">
      <c r="W3144" s="39"/>
    </row>
    <row r="3145" spans="23:23" x14ac:dyDescent="0.2">
      <c r="W3145" s="39"/>
    </row>
    <row r="3146" spans="23:23" x14ac:dyDescent="0.2">
      <c r="W3146" s="39"/>
    </row>
    <row r="3147" spans="23:23" x14ac:dyDescent="0.2">
      <c r="W3147" s="39"/>
    </row>
    <row r="3148" spans="23:23" x14ac:dyDescent="0.2">
      <c r="W3148" s="39"/>
    </row>
    <row r="3149" spans="23:23" x14ac:dyDescent="0.2">
      <c r="W3149" s="39"/>
    </row>
    <row r="3150" spans="23:23" x14ac:dyDescent="0.2">
      <c r="W3150" s="39"/>
    </row>
    <row r="3151" spans="23:23" x14ac:dyDescent="0.2">
      <c r="W3151" s="39"/>
    </row>
    <row r="3152" spans="23:23" x14ac:dyDescent="0.2">
      <c r="W3152" s="39"/>
    </row>
    <row r="3153" spans="23:23" x14ac:dyDescent="0.2">
      <c r="W3153" s="39"/>
    </row>
    <row r="3154" spans="23:23" x14ac:dyDescent="0.2">
      <c r="W3154" s="39"/>
    </row>
    <row r="3155" spans="23:23" x14ac:dyDescent="0.2">
      <c r="W3155" s="39"/>
    </row>
    <row r="3156" spans="23:23" x14ac:dyDescent="0.2">
      <c r="W3156" s="39"/>
    </row>
    <row r="3157" spans="23:23" x14ac:dyDescent="0.2">
      <c r="W3157" s="39"/>
    </row>
    <row r="3158" spans="23:23" x14ac:dyDescent="0.2">
      <c r="W3158" s="39"/>
    </row>
    <row r="3159" spans="23:23" x14ac:dyDescent="0.2">
      <c r="W3159" s="39"/>
    </row>
    <row r="3160" spans="23:23" x14ac:dyDescent="0.2">
      <c r="W3160" s="39"/>
    </row>
    <row r="3161" spans="23:23" x14ac:dyDescent="0.2">
      <c r="W3161" s="39"/>
    </row>
    <row r="3162" spans="23:23" x14ac:dyDescent="0.2">
      <c r="W3162" s="39"/>
    </row>
    <row r="3163" spans="23:23" x14ac:dyDescent="0.2">
      <c r="W3163" s="39"/>
    </row>
    <row r="3164" spans="23:23" x14ac:dyDescent="0.2">
      <c r="W3164" s="39"/>
    </row>
    <row r="3165" spans="23:23" x14ac:dyDescent="0.2">
      <c r="W3165" s="39"/>
    </row>
    <row r="3166" spans="23:23" x14ac:dyDescent="0.2">
      <c r="W3166" s="39"/>
    </row>
    <row r="3167" spans="23:23" x14ac:dyDescent="0.2">
      <c r="W3167" s="39"/>
    </row>
    <row r="3168" spans="23:23" x14ac:dyDescent="0.2">
      <c r="W3168" s="39"/>
    </row>
    <row r="3169" spans="23:23" x14ac:dyDescent="0.2">
      <c r="W3169" s="39"/>
    </row>
    <row r="3170" spans="23:23" x14ac:dyDescent="0.2">
      <c r="W3170" s="39"/>
    </row>
    <row r="3171" spans="23:23" x14ac:dyDescent="0.2">
      <c r="W3171" s="39"/>
    </row>
    <row r="3172" spans="23:23" x14ac:dyDescent="0.2">
      <c r="W3172" s="39"/>
    </row>
    <row r="3173" spans="23:23" x14ac:dyDescent="0.2">
      <c r="W3173" s="39"/>
    </row>
    <row r="3174" spans="23:23" x14ac:dyDescent="0.2">
      <c r="W3174" s="39"/>
    </row>
    <row r="3175" spans="23:23" x14ac:dyDescent="0.2">
      <c r="W3175" s="39"/>
    </row>
    <row r="3176" spans="23:23" x14ac:dyDescent="0.2">
      <c r="W3176" s="39"/>
    </row>
    <row r="3177" spans="23:23" x14ac:dyDescent="0.2">
      <c r="W3177" s="39"/>
    </row>
    <row r="3178" spans="23:23" x14ac:dyDescent="0.2">
      <c r="W3178" s="39"/>
    </row>
    <row r="3179" spans="23:23" x14ac:dyDescent="0.2">
      <c r="W3179" s="39"/>
    </row>
    <row r="3180" spans="23:23" x14ac:dyDescent="0.2">
      <c r="W3180" s="39"/>
    </row>
    <row r="3181" spans="23:23" x14ac:dyDescent="0.2">
      <c r="W3181" s="39"/>
    </row>
    <row r="3182" spans="23:23" x14ac:dyDescent="0.2">
      <c r="W3182" s="39"/>
    </row>
    <row r="3183" spans="23:23" x14ac:dyDescent="0.2">
      <c r="W3183" s="39"/>
    </row>
    <row r="3184" spans="23:23" x14ac:dyDescent="0.2">
      <c r="W3184" s="39"/>
    </row>
    <row r="3185" spans="23:23" x14ac:dyDescent="0.2">
      <c r="W3185" s="39"/>
    </row>
    <row r="3186" spans="23:23" x14ac:dyDescent="0.2">
      <c r="W3186" s="39"/>
    </row>
    <row r="3187" spans="23:23" x14ac:dyDescent="0.2">
      <c r="W3187" s="39"/>
    </row>
    <row r="3188" spans="23:23" x14ac:dyDescent="0.2">
      <c r="W3188" s="39"/>
    </row>
    <row r="3189" spans="23:23" x14ac:dyDescent="0.2">
      <c r="W3189" s="39"/>
    </row>
    <row r="3190" spans="23:23" x14ac:dyDescent="0.2">
      <c r="W3190" s="39"/>
    </row>
    <row r="3191" spans="23:23" x14ac:dyDescent="0.2">
      <c r="W3191" s="39"/>
    </row>
    <row r="3192" spans="23:23" x14ac:dyDescent="0.2">
      <c r="W3192" s="39"/>
    </row>
    <row r="3193" spans="23:23" x14ac:dyDescent="0.2">
      <c r="W3193" s="39"/>
    </row>
    <row r="3194" spans="23:23" x14ac:dyDescent="0.2">
      <c r="W3194" s="39"/>
    </row>
    <row r="3195" spans="23:23" x14ac:dyDescent="0.2">
      <c r="W3195" s="39"/>
    </row>
    <row r="3196" spans="23:23" x14ac:dyDescent="0.2">
      <c r="W3196" s="39"/>
    </row>
    <row r="3197" spans="23:23" x14ac:dyDescent="0.2">
      <c r="W3197" s="39"/>
    </row>
    <row r="3198" spans="23:23" x14ac:dyDescent="0.2">
      <c r="W3198" s="39"/>
    </row>
    <row r="3199" spans="23:23" x14ac:dyDescent="0.2">
      <c r="W3199" s="39"/>
    </row>
    <row r="3200" spans="23:23" x14ac:dyDescent="0.2">
      <c r="W3200" s="39"/>
    </row>
    <row r="3201" spans="23:23" x14ac:dyDescent="0.2">
      <c r="W3201" s="39"/>
    </row>
    <row r="3202" spans="23:23" x14ac:dyDescent="0.2">
      <c r="W3202" s="39"/>
    </row>
    <row r="3203" spans="23:23" x14ac:dyDescent="0.2">
      <c r="W3203" s="39"/>
    </row>
    <row r="3204" spans="23:23" x14ac:dyDescent="0.2">
      <c r="W3204" s="39"/>
    </row>
    <row r="3205" spans="23:23" x14ac:dyDescent="0.2">
      <c r="W3205" s="39"/>
    </row>
    <row r="3206" spans="23:23" x14ac:dyDescent="0.2">
      <c r="W3206" s="39"/>
    </row>
    <row r="3207" spans="23:23" x14ac:dyDescent="0.2">
      <c r="W3207" s="39"/>
    </row>
    <row r="3208" spans="23:23" x14ac:dyDescent="0.2">
      <c r="W3208" s="39"/>
    </row>
    <row r="3209" spans="23:23" x14ac:dyDescent="0.2">
      <c r="W3209" s="39"/>
    </row>
    <row r="3210" spans="23:23" x14ac:dyDescent="0.2">
      <c r="W3210" s="39"/>
    </row>
    <row r="3211" spans="23:23" x14ac:dyDescent="0.2">
      <c r="W3211" s="39"/>
    </row>
    <row r="3212" spans="23:23" x14ac:dyDescent="0.2">
      <c r="W3212" s="39"/>
    </row>
    <row r="3213" spans="23:23" x14ac:dyDescent="0.2">
      <c r="W3213" s="39"/>
    </row>
    <row r="3214" spans="23:23" x14ac:dyDescent="0.2">
      <c r="W3214" s="39"/>
    </row>
    <row r="3215" spans="23:23" x14ac:dyDescent="0.2">
      <c r="W3215" s="39"/>
    </row>
    <row r="3216" spans="23:23" x14ac:dyDescent="0.2">
      <c r="W3216" s="39"/>
    </row>
    <row r="3217" spans="23:23" x14ac:dyDescent="0.2">
      <c r="W3217" s="39"/>
    </row>
    <row r="3218" spans="23:23" x14ac:dyDescent="0.2">
      <c r="W3218" s="39"/>
    </row>
    <row r="3219" spans="23:23" x14ac:dyDescent="0.2">
      <c r="W3219" s="39"/>
    </row>
    <row r="3220" spans="23:23" x14ac:dyDescent="0.2">
      <c r="W3220" s="39"/>
    </row>
    <row r="3221" spans="23:23" x14ac:dyDescent="0.2">
      <c r="W3221" s="39"/>
    </row>
    <row r="3222" spans="23:23" x14ac:dyDescent="0.2">
      <c r="W3222" s="39"/>
    </row>
    <row r="3223" spans="23:23" x14ac:dyDescent="0.2">
      <c r="W3223" s="39"/>
    </row>
    <row r="3224" spans="23:23" x14ac:dyDescent="0.2">
      <c r="W3224" s="39"/>
    </row>
    <row r="3225" spans="23:23" x14ac:dyDescent="0.2">
      <c r="W3225" s="39"/>
    </row>
    <row r="3226" spans="23:23" x14ac:dyDescent="0.2">
      <c r="W3226" s="39"/>
    </row>
    <row r="3227" spans="23:23" x14ac:dyDescent="0.2">
      <c r="W3227" s="39"/>
    </row>
    <row r="3228" spans="23:23" x14ac:dyDescent="0.2">
      <c r="W3228" s="39"/>
    </row>
    <row r="3229" spans="23:23" x14ac:dyDescent="0.2">
      <c r="W3229" s="39"/>
    </row>
    <row r="3230" spans="23:23" x14ac:dyDescent="0.2">
      <c r="W3230" s="39"/>
    </row>
    <row r="3231" spans="23:23" x14ac:dyDescent="0.2">
      <c r="W3231" s="39"/>
    </row>
    <row r="3232" spans="23:23" x14ac:dyDescent="0.2">
      <c r="W3232" s="39"/>
    </row>
    <row r="3233" spans="23:23" x14ac:dyDescent="0.2">
      <c r="W3233" s="39"/>
    </row>
    <row r="3234" spans="23:23" x14ac:dyDescent="0.2">
      <c r="W3234" s="39"/>
    </row>
    <row r="3235" spans="23:23" x14ac:dyDescent="0.2">
      <c r="W3235" s="39"/>
    </row>
    <row r="3236" spans="23:23" x14ac:dyDescent="0.2">
      <c r="W3236" s="39"/>
    </row>
    <row r="3237" spans="23:23" x14ac:dyDescent="0.2">
      <c r="W3237" s="39"/>
    </row>
    <row r="3238" spans="23:23" x14ac:dyDescent="0.2">
      <c r="W3238" s="39"/>
    </row>
    <row r="3239" spans="23:23" x14ac:dyDescent="0.2">
      <c r="W3239" s="39"/>
    </row>
    <row r="3240" spans="23:23" x14ac:dyDescent="0.2">
      <c r="W3240" s="39"/>
    </row>
    <row r="3241" spans="23:23" x14ac:dyDescent="0.2">
      <c r="W3241" s="39"/>
    </row>
    <row r="3242" spans="23:23" x14ac:dyDescent="0.2">
      <c r="W3242" s="39"/>
    </row>
    <row r="3243" spans="23:23" x14ac:dyDescent="0.2">
      <c r="W3243" s="39"/>
    </row>
    <row r="3244" spans="23:23" x14ac:dyDescent="0.2">
      <c r="W3244" s="39"/>
    </row>
    <row r="3245" spans="23:23" x14ac:dyDescent="0.2">
      <c r="W3245" s="39"/>
    </row>
    <row r="3246" spans="23:23" x14ac:dyDescent="0.2">
      <c r="W3246" s="39"/>
    </row>
    <row r="3247" spans="23:23" x14ac:dyDescent="0.2">
      <c r="W3247" s="39"/>
    </row>
    <row r="3248" spans="23:23" x14ac:dyDescent="0.2">
      <c r="W3248" s="39"/>
    </row>
    <row r="3249" spans="23:23" x14ac:dyDescent="0.2">
      <c r="W3249" s="39"/>
    </row>
    <row r="3250" spans="23:23" x14ac:dyDescent="0.2">
      <c r="W3250" s="39"/>
    </row>
    <row r="3251" spans="23:23" x14ac:dyDescent="0.2">
      <c r="W3251" s="39"/>
    </row>
    <row r="3252" spans="23:23" x14ac:dyDescent="0.2">
      <c r="W3252" s="39"/>
    </row>
    <row r="3253" spans="23:23" x14ac:dyDescent="0.2">
      <c r="W3253" s="39"/>
    </row>
    <row r="3254" spans="23:23" x14ac:dyDescent="0.2">
      <c r="W3254" s="39"/>
    </row>
    <row r="3255" spans="23:23" x14ac:dyDescent="0.2">
      <c r="W3255" s="39"/>
    </row>
    <row r="3256" spans="23:23" x14ac:dyDescent="0.2">
      <c r="W3256" s="39"/>
    </row>
    <row r="3257" spans="23:23" x14ac:dyDescent="0.2">
      <c r="W3257" s="39"/>
    </row>
    <row r="3258" spans="23:23" x14ac:dyDescent="0.2">
      <c r="W3258" s="39"/>
    </row>
    <row r="3259" spans="23:23" x14ac:dyDescent="0.2">
      <c r="W3259" s="39"/>
    </row>
    <row r="3260" spans="23:23" x14ac:dyDescent="0.2">
      <c r="W3260" s="39"/>
    </row>
    <row r="3261" spans="23:23" x14ac:dyDescent="0.2">
      <c r="W3261" s="39"/>
    </row>
    <row r="3262" spans="23:23" x14ac:dyDescent="0.2">
      <c r="W3262" s="39"/>
    </row>
    <row r="3263" spans="23:23" x14ac:dyDescent="0.2">
      <c r="W3263" s="39"/>
    </row>
    <row r="3264" spans="23:23" x14ac:dyDescent="0.2">
      <c r="W3264" s="39"/>
    </row>
    <row r="3265" spans="23:23" x14ac:dyDescent="0.2">
      <c r="W3265" s="39"/>
    </row>
    <row r="3266" spans="23:23" x14ac:dyDescent="0.2">
      <c r="W3266" s="39"/>
    </row>
    <row r="3267" spans="23:23" x14ac:dyDescent="0.2">
      <c r="W3267" s="39"/>
    </row>
    <row r="3268" spans="23:23" x14ac:dyDescent="0.2">
      <c r="W3268" s="39"/>
    </row>
    <row r="3269" spans="23:23" x14ac:dyDescent="0.2">
      <c r="W3269" s="39"/>
    </row>
    <row r="3270" spans="23:23" x14ac:dyDescent="0.2">
      <c r="W3270" s="39"/>
    </row>
    <row r="3271" spans="23:23" x14ac:dyDescent="0.2">
      <c r="W3271" s="39"/>
    </row>
    <row r="3272" spans="23:23" x14ac:dyDescent="0.2">
      <c r="W3272" s="39"/>
    </row>
    <row r="3273" spans="23:23" x14ac:dyDescent="0.2">
      <c r="W3273" s="39"/>
    </row>
    <row r="3274" spans="23:23" x14ac:dyDescent="0.2">
      <c r="W3274" s="39"/>
    </row>
    <row r="3275" spans="23:23" x14ac:dyDescent="0.2">
      <c r="W3275" s="39"/>
    </row>
    <row r="3276" spans="23:23" x14ac:dyDescent="0.2">
      <c r="W3276" s="39"/>
    </row>
    <row r="3277" spans="23:23" x14ac:dyDescent="0.2">
      <c r="W3277" s="39"/>
    </row>
    <row r="3278" spans="23:23" x14ac:dyDescent="0.2">
      <c r="W3278" s="39"/>
    </row>
    <row r="3279" spans="23:23" x14ac:dyDescent="0.2">
      <c r="W3279" s="39"/>
    </row>
    <row r="3280" spans="23:23" x14ac:dyDescent="0.2">
      <c r="W3280" s="39"/>
    </row>
    <row r="3281" spans="23:23" x14ac:dyDescent="0.2">
      <c r="W3281" s="39"/>
    </row>
    <row r="3282" spans="23:23" x14ac:dyDescent="0.2">
      <c r="W3282" s="39"/>
    </row>
    <row r="3283" spans="23:23" x14ac:dyDescent="0.2">
      <c r="W3283" s="39"/>
    </row>
    <row r="3284" spans="23:23" x14ac:dyDescent="0.2">
      <c r="W3284" s="39"/>
    </row>
    <row r="3285" spans="23:23" x14ac:dyDescent="0.2">
      <c r="W3285" s="39"/>
    </row>
    <row r="3286" spans="23:23" x14ac:dyDescent="0.2">
      <c r="W3286" s="39"/>
    </row>
    <row r="3287" spans="23:23" x14ac:dyDescent="0.2">
      <c r="W3287" s="39"/>
    </row>
    <row r="3288" spans="23:23" x14ac:dyDescent="0.2">
      <c r="W3288" s="39"/>
    </row>
    <row r="3289" spans="23:23" x14ac:dyDescent="0.2">
      <c r="W3289" s="39"/>
    </row>
    <row r="3290" spans="23:23" x14ac:dyDescent="0.2">
      <c r="W3290" s="39"/>
    </row>
    <row r="3291" spans="23:23" x14ac:dyDescent="0.2">
      <c r="W3291" s="39"/>
    </row>
    <row r="3292" spans="23:23" x14ac:dyDescent="0.2">
      <c r="W3292" s="39"/>
    </row>
    <row r="3293" spans="23:23" x14ac:dyDescent="0.2">
      <c r="W3293" s="39"/>
    </row>
    <row r="3294" spans="23:23" x14ac:dyDescent="0.2">
      <c r="W3294" s="39"/>
    </row>
    <row r="3295" spans="23:23" x14ac:dyDescent="0.2">
      <c r="W3295" s="39"/>
    </row>
    <row r="3296" spans="23:23" x14ac:dyDescent="0.2">
      <c r="W3296" s="39"/>
    </row>
    <row r="3297" spans="23:23" x14ac:dyDescent="0.2">
      <c r="W3297" s="39"/>
    </row>
    <row r="3298" spans="23:23" x14ac:dyDescent="0.2">
      <c r="W3298" s="39"/>
    </row>
    <row r="3299" spans="23:23" x14ac:dyDescent="0.2">
      <c r="W3299" s="39"/>
    </row>
    <row r="3300" spans="23:23" x14ac:dyDescent="0.2">
      <c r="W3300" s="39"/>
    </row>
    <row r="3301" spans="23:23" x14ac:dyDescent="0.2">
      <c r="W3301" s="39"/>
    </row>
    <row r="3302" spans="23:23" x14ac:dyDescent="0.2">
      <c r="W3302" s="39"/>
    </row>
    <row r="3303" spans="23:23" x14ac:dyDescent="0.2">
      <c r="W3303" s="39"/>
    </row>
    <row r="3304" spans="23:23" x14ac:dyDescent="0.2">
      <c r="W3304" s="39"/>
    </row>
    <row r="3305" spans="23:23" x14ac:dyDescent="0.2">
      <c r="W3305" s="39"/>
    </row>
    <row r="3306" spans="23:23" x14ac:dyDescent="0.2">
      <c r="W3306" s="39"/>
    </row>
    <row r="3307" spans="23:23" x14ac:dyDescent="0.2">
      <c r="W3307" s="39"/>
    </row>
    <row r="3308" spans="23:23" x14ac:dyDescent="0.2">
      <c r="W3308" s="39"/>
    </row>
    <row r="3309" spans="23:23" x14ac:dyDescent="0.2">
      <c r="W3309" s="39"/>
    </row>
    <row r="3310" spans="23:23" x14ac:dyDescent="0.2">
      <c r="W3310" s="39"/>
    </row>
    <row r="3311" spans="23:23" x14ac:dyDescent="0.2">
      <c r="W3311" s="39"/>
    </row>
    <row r="3312" spans="23:23" x14ac:dyDescent="0.2">
      <c r="W3312" s="39"/>
    </row>
    <row r="3313" spans="23:23" x14ac:dyDescent="0.2">
      <c r="W3313" s="39"/>
    </row>
    <row r="3314" spans="23:23" x14ac:dyDescent="0.2">
      <c r="W3314" s="39"/>
    </row>
    <row r="3315" spans="23:23" x14ac:dyDescent="0.2">
      <c r="W3315" s="39"/>
    </row>
    <row r="3316" spans="23:23" x14ac:dyDescent="0.2">
      <c r="W3316" s="39"/>
    </row>
    <row r="3317" spans="23:23" x14ac:dyDescent="0.2">
      <c r="W3317" s="39"/>
    </row>
    <row r="3318" spans="23:23" x14ac:dyDescent="0.2">
      <c r="W3318" s="39"/>
    </row>
    <row r="3319" spans="23:23" x14ac:dyDescent="0.2">
      <c r="W3319" s="39"/>
    </row>
    <row r="3320" spans="23:23" x14ac:dyDescent="0.2">
      <c r="W3320" s="39"/>
    </row>
    <row r="3321" spans="23:23" x14ac:dyDescent="0.2">
      <c r="W3321" s="39"/>
    </row>
    <row r="3322" spans="23:23" x14ac:dyDescent="0.2">
      <c r="W3322" s="39"/>
    </row>
    <row r="3323" spans="23:23" x14ac:dyDescent="0.2">
      <c r="W3323" s="39"/>
    </row>
    <row r="3324" spans="23:23" x14ac:dyDescent="0.2">
      <c r="W3324" s="39"/>
    </row>
    <row r="3325" spans="23:23" x14ac:dyDescent="0.2">
      <c r="W3325" s="39"/>
    </row>
    <row r="3326" spans="23:23" x14ac:dyDescent="0.2">
      <c r="W3326" s="39"/>
    </row>
    <row r="3327" spans="23:23" x14ac:dyDescent="0.2">
      <c r="W3327" s="39"/>
    </row>
    <row r="3328" spans="23:23" x14ac:dyDescent="0.2">
      <c r="W3328" s="39"/>
    </row>
    <row r="3329" spans="23:23" x14ac:dyDescent="0.2">
      <c r="W3329" s="39"/>
    </row>
    <row r="3330" spans="23:23" x14ac:dyDescent="0.2">
      <c r="W3330" s="39"/>
    </row>
    <row r="3331" spans="23:23" x14ac:dyDescent="0.2">
      <c r="W3331" s="39"/>
    </row>
    <row r="3332" spans="23:23" x14ac:dyDescent="0.2">
      <c r="W3332" s="39"/>
    </row>
    <row r="3333" spans="23:23" x14ac:dyDescent="0.2">
      <c r="W3333" s="39"/>
    </row>
    <row r="3334" spans="23:23" x14ac:dyDescent="0.2">
      <c r="W3334" s="39"/>
    </row>
    <row r="3335" spans="23:23" x14ac:dyDescent="0.2">
      <c r="W3335" s="39"/>
    </row>
    <row r="3336" spans="23:23" x14ac:dyDescent="0.2">
      <c r="W3336" s="39"/>
    </row>
    <row r="3337" spans="23:23" x14ac:dyDescent="0.2">
      <c r="W3337" s="39"/>
    </row>
    <row r="3338" spans="23:23" x14ac:dyDescent="0.2">
      <c r="W3338" s="39"/>
    </row>
    <row r="3339" spans="23:23" x14ac:dyDescent="0.2">
      <c r="W3339" s="39"/>
    </row>
    <row r="3340" spans="23:23" x14ac:dyDescent="0.2">
      <c r="W3340" s="39"/>
    </row>
    <row r="3341" spans="23:23" x14ac:dyDescent="0.2">
      <c r="W3341" s="39"/>
    </row>
    <row r="3342" spans="23:23" x14ac:dyDescent="0.2">
      <c r="W3342" s="39"/>
    </row>
    <row r="3343" spans="23:23" x14ac:dyDescent="0.2">
      <c r="W3343" s="39"/>
    </row>
    <row r="3344" spans="23:23" x14ac:dyDescent="0.2">
      <c r="W3344" s="39"/>
    </row>
    <row r="3345" spans="23:23" x14ac:dyDescent="0.2">
      <c r="W3345" s="39"/>
    </row>
    <row r="3346" spans="23:23" x14ac:dyDescent="0.2">
      <c r="W3346" s="39"/>
    </row>
    <row r="3347" spans="23:23" x14ac:dyDescent="0.2">
      <c r="W3347" s="39"/>
    </row>
    <row r="3348" spans="23:23" x14ac:dyDescent="0.2">
      <c r="W3348" s="39"/>
    </row>
    <row r="3349" spans="23:23" x14ac:dyDescent="0.2">
      <c r="W3349" s="39"/>
    </row>
    <row r="3350" spans="23:23" x14ac:dyDescent="0.2">
      <c r="W3350" s="39"/>
    </row>
    <row r="3351" spans="23:23" x14ac:dyDescent="0.2">
      <c r="W3351" s="39"/>
    </row>
    <row r="3352" spans="23:23" x14ac:dyDescent="0.2">
      <c r="W3352" s="39"/>
    </row>
    <row r="3353" spans="23:23" x14ac:dyDescent="0.2">
      <c r="W3353" s="39"/>
    </row>
    <row r="3354" spans="23:23" x14ac:dyDescent="0.2">
      <c r="W3354" s="39"/>
    </row>
    <row r="3355" spans="23:23" x14ac:dyDescent="0.2">
      <c r="W3355" s="39"/>
    </row>
    <row r="3356" spans="23:23" x14ac:dyDescent="0.2">
      <c r="W3356" s="39"/>
    </row>
    <row r="3357" spans="23:23" x14ac:dyDescent="0.2">
      <c r="W3357" s="39"/>
    </row>
    <row r="3358" spans="23:23" x14ac:dyDescent="0.2">
      <c r="W3358" s="39"/>
    </row>
    <row r="3359" spans="23:23" x14ac:dyDescent="0.2">
      <c r="W3359" s="39"/>
    </row>
    <row r="3360" spans="23:23" x14ac:dyDescent="0.2">
      <c r="W3360" s="39"/>
    </row>
    <row r="3361" spans="23:23" x14ac:dyDescent="0.2">
      <c r="W3361" s="39"/>
    </row>
    <row r="3362" spans="23:23" x14ac:dyDescent="0.2">
      <c r="W3362" s="39"/>
    </row>
    <row r="3363" spans="23:23" x14ac:dyDescent="0.2">
      <c r="W3363" s="39"/>
    </row>
    <row r="3364" spans="23:23" x14ac:dyDescent="0.2">
      <c r="W3364" s="39"/>
    </row>
    <row r="3365" spans="23:23" x14ac:dyDescent="0.2">
      <c r="W3365" s="39"/>
    </row>
    <row r="3366" spans="23:23" x14ac:dyDescent="0.2">
      <c r="W3366" s="39"/>
    </row>
    <row r="3367" spans="23:23" x14ac:dyDescent="0.2">
      <c r="W3367" s="39"/>
    </row>
    <row r="3368" spans="23:23" x14ac:dyDescent="0.2">
      <c r="W3368" s="39"/>
    </row>
    <row r="3369" spans="23:23" x14ac:dyDescent="0.2">
      <c r="W3369" s="39"/>
    </row>
    <row r="3370" spans="23:23" x14ac:dyDescent="0.2">
      <c r="W3370" s="39"/>
    </row>
    <row r="3371" spans="23:23" x14ac:dyDescent="0.2">
      <c r="W3371" s="39"/>
    </row>
    <row r="3372" spans="23:23" x14ac:dyDescent="0.2">
      <c r="W3372" s="39"/>
    </row>
    <row r="3373" spans="23:23" x14ac:dyDescent="0.2">
      <c r="W3373" s="39"/>
    </row>
    <row r="3374" spans="23:23" x14ac:dyDescent="0.2">
      <c r="W3374" s="39"/>
    </row>
    <row r="3375" spans="23:23" x14ac:dyDescent="0.2">
      <c r="W3375" s="39"/>
    </row>
    <row r="3376" spans="23:23" x14ac:dyDescent="0.2">
      <c r="W3376" s="39"/>
    </row>
    <row r="3377" spans="23:23" x14ac:dyDescent="0.2">
      <c r="W3377" s="39"/>
    </row>
    <row r="3378" spans="23:23" x14ac:dyDescent="0.2">
      <c r="W3378" s="39"/>
    </row>
    <row r="3379" spans="23:23" x14ac:dyDescent="0.2">
      <c r="W3379" s="39"/>
    </row>
    <row r="3380" spans="23:23" x14ac:dyDescent="0.2">
      <c r="W3380" s="39"/>
    </row>
    <row r="3381" spans="23:23" x14ac:dyDescent="0.2">
      <c r="W3381" s="39"/>
    </row>
    <row r="3382" spans="23:23" x14ac:dyDescent="0.2">
      <c r="W3382" s="39"/>
    </row>
    <row r="3383" spans="23:23" x14ac:dyDescent="0.2">
      <c r="W3383" s="39"/>
    </row>
    <row r="3384" spans="23:23" x14ac:dyDescent="0.2">
      <c r="W3384" s="39"/>
    </row>
    <row r="3385" spans="23:23" x14ac:dyDescent="0.2">
      <c r="W3385" s="39"/>
    </row>
    <row r="3386" spans="23:23" x14ac:dyDescent="0.2">
      <c r="W3386" s="39"/>
    </row>
    <row r="3387" spans="23:23" x14ac:dyDescent="0.2">
      <c r="W3387" s="39"/>
    </row>
    <row r="3388" spans="23:23" x14ac:dyDescent="0.2">
      <c r="W3388" s="39"/>
    </row>
    <row r="3389" spans="23:23" x14ac:dyDescent="0.2">
      <c r="W3389" s="39"/>
    </row>
    <row r="3390" spans="23:23" x14ac:dyDescent="0.2">
      <c r="W3390" s="39"/>
    </row>
    <row r="3391" spans="23:23" x14ac:dyDescent="0.2">
      <c r="W3391" s="39"/>
    </row>
    <row r="3392" spans="23:23" x14ac:dyDescent="0.2">
      <c r="W3392" s="39"/>
    </row>
    <row r="3393" spans="23:23" x14ac:dyDescent="0.2">
      <c r="W3393" s="39"/>
    </row>
    <row r="3394" spans="23:23" x14ac:dyDescent="0.2">
      <c r="W3394" s="39"/>
    </row>
    <row r="3395" spans="23:23" x14ac:dyDescent="0.2">
      <c r="W3395" s="39"/>
    </row>
    <row r="3396" spans="23:23" x14ac:dyDescent="0.2">
      <c r="W3396" s="39"/>
    </row>
    <row r="3397" spans="23:23" x14ac:dyDescent="0.2">
      <c r="W3397" s="39"/>
    </row>
    <row r="3398" spans="23:23" x14ac:dyDescent="0.2">
      <c r="W3398" s="39"/>
    </row>
    <row r="3399" spans="23:23" x14ac:dyDescent="0.2">
      <c r="W3399" s="39"/>
    </row>
    <row r="3400" spans="23:23" x14ac:dyDescent="0.2">
      <c r="W3400" s="39"/>
    </row>
    <row r="3401" spans="23:23" x14ac:dyDescent="0.2">
      <c r="W3401" s="39"/>
    </row>
    <row r="3402" spans="23:23" x14ac:dyDescent="0.2">
      <c r="W3402" s="39"/>
    </row>
    <row r="3403" spans="23:23" x14ac:dyDescent="0.2">
      <c r="W3403" s="39"/>
    </row>
    <row r="3404" spans="23:23" x14ac:dyDescent="0.2">
      <c r="W3404" s="39"/>
    </row>
    <row r="3405" spans="23:23" x14ac:dyDescent="0.2">
      <c r="W3405" s="39"/>
    </row>
    <row r="3406" spans="23:23" x14ac:dyDescent="0.2">
      <c r="W3406" s="39"/>
    </row>
    <row r="3407" spans="23:23" x14ac:dyDescent="0.2">
      <c r="W3407" s="39"/>
    </row>
    <row r="3408" spans="23:23" x14ac:dyDescent="0.2">
      <c r="W3408" s="39"/>
    </row>
    <row r="3409" spans="23:23" x14ac:dyDescent="0.2">
      <c r="W3409" s="39"/>
    </row>
    <row r="3410" spans="23:23" x14ac:dyDescent="0.2">
      <c r="W3410" s="39"/>
    </row>
    <row r="3411" spans="23:23" x14ac:dyDescent="0.2">
      <c r="W3411" s="39"/>
    </row>
    <row r="3412" spans="23:23" x14ac:dyDescent="0.2">
      <c r="W3412" s="39"/>
    </row>
    <row r="3413" spans="23:23" x14ac:dyDescent="0.2">
      <c r="W3413" s="39"/>
    </row>
    <row r="3414" spans="23:23" x14ac:dyDescent="0.2">
      <c r="W3414" s="39"/>
    </row>
    <row r="3415" spans="23:23" x14ac:dyDescent="0.2">
      <c r="W3415" s="39"/>
    </row>
    <row r="3416" spans="23:23" x14ac:dyDescent="0.2">
      <c r="W3416" s="39"/>
    </row>
    <row r="3417" spans="23:23" x14ac:dyDescent="0.2">
      <c r="W3417" s="39"/>
    </row>
    <row r="3418" spans="23:23" x14ac:dyDescent="0.2">
      <c r="W3418" s="39"/>
    </row>
    <row r="3419" spans="23:23" x14ac:dyDescent="0.2">
      <c r="W3419" s="39"/>
    </row>
    <row r="3420" spans="23:23" x14ac:dyDescent="0.2">
      <c r="W3420" s="39"/>
    </row>
    <row r="3421" spans="23:23" x14ac:dyDescent="0.2">
      <c r="W3421" s="39"/>
    </row>
    <row r="3422" spans="23:23" x14ac:dyDescent="0.2">
      <c r="W3422" s="39"/>
    </row>
    <row r="3423" spans="23:23" x14ac:dyDescent="0.2">
      <c r="W3423" s="39"/>
    </row>
    <row r="3424" spans="23:23" x14ac:dyDescent="0.2">
      <c r="W3424" s="39"/>
    </row>
    <row r="3425" spans="23:23" x14ac:dyDescent="0.2">
      <c r="W3425" s="39"/>
    </row>
    <row r="3426" spans="23:23" x14ac:dyDescent="0.2">
      <c r="W3426" s="39"/>
    </row>
    <row r="3427" spans="23:23" x14ac:dyDescent="0.2">
      <c r="W3427" s="39"/>
    </row>
    <row r="3428" spans="23:23" x14ac:dyDescent="0.2">
      <c r="W3428" s="39"/>
    </row>
    <row r="3429" spans="23:23" x14ac:dyDescent="0.2">
      <c r="W3429" s="39"/>
    </row>
    <row r="3430" spans="23:23" x14ac:dyDescent="0.2">
      <c r="W3430" s="39"/>
    </row>
    <row r="3431" spans="23:23" x14ac:dyDescent="0.2">
      <c r="W3431" s="39"/>
    </row>
    <row r="3432" spans="23:23" x14ac:dyDescent="0.2">
      <c r="W3432" s="39"/>
    </row>
    <row r="3433" spans="23:23" x14ac:dyDescent="0.2">
      <c r="W3433" s="39"/>
    </row>
    <row r="3434" spans="23:23" x14ac:dyDescent="0.2">
      <c r="W3434" s="39"/>
    </row>
    <row r="3435" spans="23:23" x14ac:dyDescent="0.2">
      <c r="W3435" s="39"/>
    </row>
    <row r="3436" spans="23:23" x14ac:dyDescent="0.2">
      <c r="W3436" s="39"/>
    </row>
    <row r="3437" spans="23:23" x14ac:dyDescent="0.2">
      <c r="W3437" s="39"/>
    </row>
    <row r="3438" spans="23:23" x14ac:dyDescent="0.2">
      <c r="W3438" s="39"/>
    </row>
    <row r="3439" spans="23:23" x14ac:dyDescent="0.2">
      <c r="W3439" s="39"/>
    </row>
    <row r="3440" spans="23:23" x14ac:dyDescent="0.2">
      <c r="W3440" s="39"/>
    </row>
    <row r="3441" spans="23:23" x14ac:dyDescent="0.2">
      <c r="W3441" s="39"/>
    </row>
    <row r="3442" spans="23:23" x14ac:dyDescent="0.2">
      <c r="W3442" s="39"/>
    </row>
    <row r="3443" spans="23:23" x14ac:dyDescent="0.2">
      <c r="W3443" s="39"/>
    </row>
    <row r="3444" spans="23:23" x14ac:dyDescent="0.2">
      <c r="W3444" s="39"/>
    </row>
    <row r="3445" spans="23:23" x14ac:dyDescent="0.2">
      <c r="W3445" s="39"/>
    </row>
    <row r="3446" spans="23:23" x14ac:dyDescent="0.2">
      <c r="W3446" s="39"/>
    </row>
    <row r="3447" spans="23:23" x14ac:dyDescent="0.2">
      <c r="W3447" s="39"/>
    </row>
    <row r="3448" spans="23:23" x14ac:dyDescent="0.2">
      <c r="W3448" s="39"/>
    </row>
    <row r="3449" spans="23:23" x14ac:dyDescent="0.2">
      <c r="W3449" s="39"/>
    </row>
    <row r="3450" spans="23:23" x14ac:dyDescent="0.2">
      <c r="W3450" s="39"/>
    </row>
    <row r="3451" spans="23:23" x14ac:dyDescent="0.2">
      <c r="W3451" s="39"/>
    </row>
    <row r="3452" spans="23:23" x14ac:dyDescent="0.2">
      <c r="W3452" s="39"/>
    </row>
    <row r="3453" spans="23:23" x14ac:dyDescent="0.2">
      <c r="W3453" s="39"/>
    </row>
    <row r="3454" spans="23:23" x14ac:dyDescent="0.2">
      <c r="W3454" s="39"/>
    </row>
    <row r="3455" spans="23:23" x14ac:dyDescent="0.2">
      <c r="W3455" s="39"/>
    </row>
    <row r="3456" spans="23:23" x14ac:dyDescent="0.2">
      <c r="W3456" s="39"/>
    </row>
    <row r="3457" spans="23:23" x14ac:dyDescent="0.2">
      <c r="W3457" s="39"/>
    </row>
    <row r="3458" spans="23:23" x14ac:dyDescent="0.2">
      <c r="W3458" s="39"/>
    </row>
    <row r="3459" spans="23:23" x14ac:dyDescent="0.2">
      <c r="W3459" s="39"/>
    </row>
    <row r="3460" spans="23:23" x14ac:dyDescent="0.2">
      <c r="W3460" s="39"/>
    </row>
    <row r="3461" spans="23:23" x14ac:dyDescent="0.2">
      <c r="W3461" s="39"/>
    </row>
    <row r="3462" spans="23:23" x14ac:dyDescent="0.2">
      <c r="W3462" s="39"/>
    </row>
    <row r="3463" spans="23:23" x14ac:dyDescent="0.2">
      <c r="W3463" s="39"/>
    </row>
    <row r="3464" spans="23:23" x14ac:dyDescent="0.2">
      <c r="W3464" s="39"/>
    </row>
    <row r="3465" spans="23:23" x14ac:dyDescent="0.2">
      <c r="W3465" s="39"/>
    </row>
    <row r="3466" spans="23:23" x14ac:dyDescent="0.2">
      <c r="W3466" s="39"/>
    </row>
    <row r="3467" spans="23:23" x14ac:dyDescent="0.2">
      <c r="W3467" s="39"/>
    </row>
    <row r="3468" spans="23:23" x14ac:dyDescent="0.2">
      <c r="W3468" s="39"/>
    </row>
    <row r="3469" spans="23:23" x14ac:dyDescent="0.2">
      <c r="W3469" s="39"/>
    </row>
    <row r="3470" spans="23:23" x14ac:dyDescent="0.2">
      <c r="W3470" s="39"/>
    </row>
    <row r="3471" spans="23:23" x14ac:dyDescent="0.2">
      <c r="W3471" s="39"/>
    </row>
    <row r="3472" spans="23:23" x14ac:dyDescent="0.2">
      <c r="W3472" s="39"/>
    </row>
    <row r="3473" spans="23:23" x14ac:dyDescent="0.2">
      <c r="W3473" s="39"/>
    </row>
    <row r="3474" spans="23:23" x14ac:dyDescent="0.2">
      <c r="W3474" s="39"/>
    </row>
    <row r="3475" spans="23:23" x14ac:dyDescent="0.2">
      <c r="W3475" s="39"/>
    </row>
    <row r="3476" spans="23:23" x14ac:dyDescent="0.2">
      <c r="W3476" s="39"/>
    </row>
    <row r="3477" spans="23:23" x14ac:dyDescent="0.2">
      <c r="W3477" s="39"/>
    </row>
    <row r="3478" spans="23:23" x14ac:dyDescent="0.2">
      <c r="W3478" s="39"/>
    </row>
    <row r="3479" spans="23:23" x14ac:dyDescent="0.2">
      <c r="W3479" s="39"/>
    </row>
    <row r="3480" spans="23:23" x14ac:dyDescent="0.2">
      <c r="W3480" s="39"/>
    </row>
    <row r="3481" spans="23:23" x14ac:dyDescent="0.2">
      <c r="W3481" s="39"/>
    </row>
    <row r="3482" spans="23:23" x14ac:dyDescent="0.2">
      <c r="W3482" s="39"/>
    </row>
    <row r="3483" spans="23:23" x14ac:dyDescent="0.2">
      <c r="W3483" s="39"/>
    </row>
    <row r="3484" spans="23:23" x14ac:dyDescent="0.2">
      <c r="W3484" s="39"/>
    </row>
    <row r="3485" spans="23:23" x14ac:dyDescent="0.2">
      <c r="W3485" s="39"/>
    </row>
    <row r="3486" spans="23:23" x14ac:dyDescent="0.2">
      <c r="W3486" s="39"/>
    </row>
    <row r="3487" spans="23:23" x14ac:dyDescent="0.2">
      <c r="W3487" s="39"/>
    </row>
    <row r="3488" spans="23:23" x14ac:dyDescent="0.2">
      <c r="W3488" s="39"/>
    </row>
    <row r="3489" spans="23:23" x14ac:dyDescent="0.2">
      <c r="W3489" s="39"/>
    </row>
    <row r="3490" spans="23:23" x14ac:dyDescent="0.2">
      <c r="W3490" s="39"/>
    </row>
    <row r="3491" spans="23:23" x14ac:dyDescent="0.2">
      <c r="W3491" s="39"/>
    </row>
    <row r="3492" spans="23:23" x14ac:dyDescent="0.2">
      <c r="W3492" s="39"/>
    </row>
    <row r="3493" spans="23:23" x14ac:dyDescent="0.2">
      <c r="W3493" s="39"/>
    </row>
    <row r="3494" spans="23:23" x14ac:dyDescent="0.2">
      <c r="W3494" s="39"/>
    </row>
    <row r="3495" spans="23:23" x14ac:dyDescent="0.2">
      <c r="W3495" s="39"/>
    </row>
    <row r="3496" spans="23:23" x14ac:dyDescent="0.2">
      <c r="W3496" s="39"/>
    </row>
    <row r="3497" spans="23:23" x14ac:dyDescent="0.2">
      <c r="W3497" s="39"/>
    </row>
    <row r="3498" spans="23:23" x14ac:dyDescent="0.2">
      <c r="W3498" s="39"/>
    </row>
    <row r="3499" spans="23:23" x14ac:dyDescent="0.2">
      <c r="W3499" s="39"/>
    </row>
    <row r="3500" spans="23:23" x14ac:dyDescent="0.2">
      <c r="W3500" s="39"/>
    </row>
    <row r="3501" spans="23:23" x14ac:dyDescent="0.2">
      <c r="W3501" s="39"/>
    </row>
    <row r="3502" spans="23:23" x14ac:dyDescent="0.2">
      <c r="W3502" s="39"/>
    </row>
    <row r="3503" spans="23:23" x14ac:dyDescent="0.2">
      <c r="W3503" s="39"/>
    </row>
    <row r="3504" spans="23:23" x14ac:dyDescent="0.2">
      <c r="W3504" s="39"/>
    </row>
    <row r="3505" spans="23:23" x14ac:dyDescent="0.2">
      <c r="W3505" s="39"/>
    </row>
    <row r="3506" spans="23:23" x14ac:dyDescent="0.2">
      <c r="W3506" s="39"/>
    </row>
    <row r="3507" spans="23:23" x14ac:dyDescent="0.2">
      <c r="W3507" s="39"/>
    </row>
    <row r="3508" spans="23:23" x14ac:dyDescent="0.2">
      <c r="W3508" s="39"/>
    </row>
    <row r="3509" spans="23:23" x14ac:dyDescent="0.2">
      <c r="W3509" s="39"/>
    </row>
    <row r="3510" spans="23:23" x14ac:dyDescent="0.2">
      <c r="W3510" s="39"/>
    </row>
    <row r="3511" spans="23:23" x14ac:dyDescent="0.2">
      <c r="W3511" s="39"/>
    </row>
    <row r="3512" spans="23:23" x14ac:dyDescent="0.2">
      <c r="W3512" s="39"/>
    </row>
    <row r="3513" spans="23:23" x14ac:dyDescent="0.2">
      <c r="W3513" s="39"/>
    </row>
    <row r="3514" spans="23:23" x14ac:dyDescent="0.2">
      <c r="W3514" s="39"/>
    </row>
    <row r="3515" spans="23:23" x14ac:dyDescent="0.2">
      <c r="W3515" s="39"/>
    </row>
    <row r="3516" spans="23:23" x14ac:dyDescent="0.2">
      <c r="W3516" s="39"/>
    </row>
    <row r="3517" spans="23:23" x14ac:dyDescent="0.2">
      <c r="W3517" s="39"/>
    </row>
    <row r="3518" spans="23:23" x14ac:dyDescent="0.2">
      <c r="W3518" s="39"/>
    </row>
    <row r="3519" spans="23:23" x14ac:dyDescent="0.2">
      <c r="W3519" s="39"/>
    </row>
    <row r="3520" spans="23:23" x14ac:dyDescent="0.2">
      <c r="W3520" s="39"/>
    </row>
    <row r="3521" spans="23:23" x14ac:dyDescent="0.2">
      <c r="W3521" s="39"/>
    </row>
    <row r="3522" spans="23:23" x14ac:dyDescent="0.2">
      <c r="W3522" s="39"/>
    </row>
    <row r="3523" spans="23:23" x14ac:dyDescent="0.2">
      <c r="W3523" s="39"/>
    </row>
    <row r="3524" spans="23:23" x14ac:dyDescent="0.2">
      <c r="W3524" s="39"/>
    </row>
    <row r="3525" spans="23:23" x14ac:dyDescent="0.2">
      <c r="W3525" s="39"/>
    </row>
    <row r="3526" spans="23:23" x14ac:dyDescent="0.2">
      <c r="W3526" s="39"/>
    </row>
    <row r="3527" spans="23:23" x14ac:dyDescent="0.2">
      <c r="W3527" s="39"/>
    </row>
    <row r="3528" spans="23:23" x14ac:dyDescent="0.2">
      <c r="W3528" s="39"/>
    </row>
    <row r="3529" spans="23:23" x14ac:dyDescent="0.2">
      <c r="W3529" s="39"/>
    </row>
    <row r="3530" spans="23:23" x14ac:dyDescent="0.2">
      <c r="W3530" s="39"/>
    </row>
    <row r="3531" spans="23:23" x14ac:dyDescent="0.2">
      <c r="W3531" s="39"/>
    </row>
    <row r="3532" spans="23:23" x14ac:dyDescent="0.2">
      <c r="W3532" s="39"/>
    </row>
    <row r="3533" spans="23:23" x14ac:dyDescent="0.2">
      <c r="W3533" s="39"/>
    </row>
    <row r="3534" spans="23:23" x14ac:dyDescent="0.2">
      <c r="W3534" s="39"/>
    </row>
    <row r="3535" spans="23:23" x14ac:dyDescent="0.2">
      <c r="W3535" s="39"/>
    </row>
    <row r="3536" spans="23:23" x14ac:dyDescent="0.2">
      <c r="W3536" s="39"/>
    </row>
    <row r="3537" spans="23:23" x14ac:dyDescent="0.2">
      <c r="W3537" s="39"/>
    </row>
    <row r="3538" spans="23:23" x14ac:dyDescent="0.2">
      <c r="W3538" s="39"/>
    </row>
    <row r="3539" spans="23:23" x14ac:dyDescent="0.2">
      <c r="W3539" s="39"/>
    </row>
    <row r="3540" spans="23:23" x14ac:dyDescent="0.2">
      <c r="W3540" s="39"/>
    </row>
    <row r="3541" spans="23:23" x14ac:dyDescent="0.2">
      <c r="W3541" s="39"/>
    </row>
    <row r="3542" spans="23:23" x14ac:dyDescent="0.2">
      <c r="W3542" s="39"/>
    </row>
    <row r="3543" spans="23:23" x14ac:dyDescent="0.2">
      <c r="W3543" s="39"/>
    </row>
    <row r="3544" spans="23:23" x14ac:dyDescent="0.2">
      <c r="W3544" s="39"/>
    </row>
    <row r="3545" spans="23:23" x14ac:dyDescent="0.2">
      <c r="W3545" s="39"/>
    </row>
    <row r="3546" spans="23:23" x14ac:dyDescent="0.2">
      <c r="W3546" s="39"/>
    </row>
    <row r="3547" spans="23:23" x14ac:dyDescent="0.2">
      <c r="W3547" s="39"/>
    </row>
    <row r="3548" spans="23:23" x14ac:dyDescent="0.2">
      <c r="W3548" s="39"/>
    </row>
    <row r="3549" spans="23:23" x14ac:dyDescent="0.2">
      <c r="W3549" s="39"/>
    </row>
    <row r="3550" spans="23:23" x14ac:dyDescent="0.2">
      <c r="W3550" s="39"/>
    </row>
    <row r="3551" spans="23:23" x14ac:dyDescent="0.2">
      <c r="W3551" s="39"/>
    </row>
    <row r="3552" spans="23:23" x14ac:dyDescent="0.2">
      <c r="W3552" s="39"/>
    </row>
    <row r="3553" spans="23:23" x14ac:dyDescent="0.2">
      <c r="W3553" s="39"/>
    </row>
    <row r="3554" spans="23:23" x14ac:dyDescent="0.2">
      <c r="W3554" s="39"/>
    </row>
    <row r="3555" spans="23:23" x14ac:dyDescent="0.2">
      <c r="W3555" s="39"/>
    </row>
    <row r="3556" spans="23:23" x14ac:dyDescent="0.2">
      <c r="W3556" s="39"/>
    </row>
    <row r="3557" spans="23:23" x14ac:dyDescent="0.2">
      <c r="W3557" s="39"/>
    </row>
    <row r="3558" spans="23:23" x14ac:dyDescent="0.2">
      <c r="W3558" s="39"/>
    </row>
    <row r="3559" spans="23:23" x14ac:dyDescent="0.2">
      <c r="W3559" s="39"/>
    </row>
    <row r="3560" spans="23:23" x14ac:dyDescent="0.2">
      <c r="W3560" s="39"/>
    </row>
    <row r="3561" spans="23:23" x14ac:dyDescent="0.2">
      <c r="W3561" s="39"/>
    </row>
    <row r="3562" spans="23:23" x14ac:dyDescent="0.2">
      <c r="W3562" s="39"/>
    </row>
    <row r="3563" spans="23:23" x14ac:dyDescent="0.2">
      <c r="W3563" s="39"/>
    </row>
    <row r="3564" spans="23:23" x14ac:dyDescent="0.2">
      <c r="W3564" s="39"/>
    </row>
    <row r="3565" spans="23:23" x14ac:dyDescent="0.2">
      <c r="W3565" s="39"/>
    </row>
    <row r="3566" spans="23:23" x14ac:dyDescent="0.2">
      <c r="W3566" s="39"/>
    </row>
    <row r="3567" spans="23:23" x14ac:dyDescent="0.2">
      <c r="W3567" s="39"/>
    </row>
    <row r="3568" spans="23:23" x14ac:dyDescent="0.2">
      <c r="W3568" s="39"/>
    </row>
    <row r="3569" spans="23:23" x14ac:dyDescent="0.2">
      <c r="W3569" s="39"/>
    </row>
    <row r="3570" spans="23:23" x14ac:dyDescent="0.2">
      <c r="W3570" s="39"/>
    </row>
    <row r="3571" spans="23:23" x14ac:dyDescent="0.2">
      <c r="W3571" s="39"/>
    </row>
    <row r="3572" spans="23:23" x14ac:dyDescent="0.2">
      <c r="W3572" s="39"/>
    </row>
    <row r="3573" spans="23:23" x14ac:dyDescent="0.2">
      <c r="W3573" s="39"/>
    </row>
    <row r="3574" spans="23:23" x14ac:dyDescent="0.2">
      <c r="W3574" s="39"/>
    </row>
    <row r="3575" spans="23:23" x14ac:dyDescent="0.2">
      <c r="W3575" s="39"/>
    </row>
    <row r="3576" spans="23:23" x14ac:dyDescent="0.2">
      <c r="W3576" s="39"/>
    </row>
    <row r="3577" spans="23:23" x14ac:dyDescent="0.2">
      <c r="W3577" s="39"/>
    </row>
    <row r="3578" spans="23:23" x14ac:dyDescent="0.2">
      <c r="W3578" s="39"/>
    </row>
    <row r="3579" spans="23:23" x14ac:dyDescent="0.2">
      <c r="W3579" s="39"/>
    </row>
    <row r="3580" spans="23:23" x14ac:dyDescent="0.2">
      <c r="W3580" s="39"/>
    </row>
    <row r="3581" spans="23:23" x14ac:dyDescent="0.2">
      <c r="W3581" s="39"/>
    </row>
    <row r="3582" spans="23:23" x14ac:dyDescent="0.2">
      <c r="W3582" s="39"/>
    </row>
    <row r="3583" spans="23:23" x14ac:dyDescent="0.2">
      <c r="W3583" s="39"/>
    </row>
    <row r="3584" spans="23:23" x14ac:dyDescent="0.2">
      <c r="W3584" s="39"/>
    </row>
    <row r="3585" spans="23:23" x14ac:dyDescent="0.2">
      <c r="W3585" s="39"/>
    </row>
    <row r="3586" spans="23:23" x14ac:dyDescent="0.2">
      <c r="W3586" s="39"/>
    </row>
    <row r="3587" spans="23:23" x14ac:dyDescent="0.2">
      <c r="W3587" s="39"/>
    </row>
    <row r="3588" spans="23:23" x14ac:dyDescent="0.2">
      <c r="W3588" s="39"/>
    </row>
    <row r="3589" spans="23:23" x14ac:dyDescent="0.2">
      <c r="W3589" s="39"/>
    </row>
    <row r="3590" spans="23:23" x14ac:dyDescent="0.2">
      <c r="W3590" s="39"/>
    </row>
    <row r="3591" spans="23:23" x14ac:dyDescent="0.2">
      <c r="W3591" s="39"/>
    </row>
    <row r="3592" spans="23:23" x14ac:dyDescent="0.2">
      <c r="W3592" s="39"/>
    </row>
    <row r="3593" spans="23:23" x14ac:dyDescent="0.2">
      <c r="W3593" s="39"/>
    </row>
    <row r="3594" spans="23:23" x14ac:dyDescent="0.2">
      <c r="W3594" s="39"/>
    </row>
    <row r="3595" spans="23:23" x14ac:dyDescent="0.2">
      <c r="W3595" s="39"/>
    </row>
    <row r="3596" spans="23:23" x14ac:dyDescent="0.2">
      <c r="W3596" s="39"/>
    </row>
    <row r="3597" spans="23:23" x14ac:dyDescent="0.2">
      <c r="W3597" s="39"/>
    </row>
    <row r="3598" spans="23:23" x14ac:dyDescent="0.2">
      <c r="W3598" s="39"/>
    </row>
    <row r="3599" spans="23:23" x14ac:dyDescent="0.2">
      <c r="W3599" s="39"/>
    </row>
    <row r="3600" spans="23:23" x14ac:dyDescent="0.2">
      <c r="W3600" s="39"/>
    </row>
    <row r="3601" spans="23:23" x14ac:dyDescent="0.2">
      <c r="W3601" s="39"/>
    </row>
    <row r="3602" spans="23:23" x14ac:dyDescent="0.2">
      <c r="W3602" s="39"/>
    </row>
    <row r="3603" spans="23:23" x14ac:dyDescent="0.2">
      <c r="W3603" s="39"/>
    </row>
    <row r="3604" spans="23:23" x14ac:dyDescent="0.2">
      <c r="W3604" s="39"/>
    </row>
    <row r="3605" spans="23:23" x14ac:dyDescent="0.2">
      <c r="W3605" s="39"/>
    </row>
    <row r="3606" spans="23:23" x14ac:dyDescent="0.2">
      <c r="W3606" s="39"/>
    </row>
    <row r="3607" spans="23:23" x14ac:dyDescent="0.2">
      <c r="W3607" s="39"/>
    </row>
    <row r="3608" spans="23:23" x14ac:dyDescent="0.2">
      <c r="W3608" s="39"/>
    </row>
    <row r="3609" spans="23:23" x14ac:dyDescent="0.2">
      <c r="W3609" s="39"/>
    </row>
    <row r="3610" spans="23:23" x14ac:dyDescent="0.2">
      <c r="W3610" s="39"/>
    </row>
    <row r="3611" spans="23:23" x14ac:dyDescent="0.2">
      <c r="W3611" s="39"/>
    </row>
    <row r="3612" spans="23:23" x14ac:dyDescent="0.2">
      <c r="W3612" s="39"/>
    </row>
    <row r="3613" spans="23:23" x14ac:dyDescent="0.2">
      <c r="W3613" s="39"/>
    </row>
    <row r="3614" spans="23:23" x14ac:dyDescent="0.2">
      <c r="W3614" s="39"/>
    </row>
    <row r="3615" spans="23:23" x14ac:dyDescent="0.2">
      <c r="W3615" s="39"/>
    </row>
    <row r="3616" spans="23:23" x14ac:dyDescent="0.2">
      <c r="W3616" s="39"/>
    </row>
    <row r="3617" spans="23:23" x14ac:dyDescent="0.2">
      <c r="W3617" s="39"/>
    </row>
    <row r="3618" spans="23:23" x14ac:dyDescent="0.2">
      <c r="W3618" s="39"/>
    </row>
    <row r="3619" spans="23:23" x14ac:dyDescent="0.2">
      <c r="W3619" s="39"/>
    </row>
    <row r="3620" spans="23:23" x14ac:dyDescent="0.2">
      <c r="W3620" s="39"/>
    </row>
    <row r="3621" spans="23:23" x14ac:dyDescent="0.2">
      <c r="W3621" s="39"/>
    </row>
    <row r="3622" spans="23:23" x14ac:dyDescent="0.2">
      <c r="W3622" s="39"/>
    </row>
    <row r="3623" spans="23:23" x14ac:dyDescent="0.2">
      <c r="W3623" s="39"/>
    </row>
    <row r="3624" spans="23:23" x14ac:dyDescent="0.2">
      <c r="W3624" s="39"/>
    </row>
    <row r="3625" spans="23:23" x14ac:dyDescent="0.2">
      <c r="W3625" s="39"/>
    </row>
    <row r="3626" spans="23:23" x14ac:dyDescent="0.2">
      <c r="W3626" s="39"/>
    </row>
    <row r="3627" spans="23:23" x14ac:dyDescent="0.2">
      <c r="W3627" s="39"/>
    </row>
    <row r="3628" spans="23:23" x14ac:dyDescent="0.2">
      <c r="W3628" s="39"/>
    </row>
    <row r="3629" spans="23:23" x14ac:dyDescent="0.2">
      <c r="W3629" s="39"/>
    </row>
    <row r="3630" spans="23:23" x14ac:dyDescent="0.2">
      <c r="W3630" s="39"/>
    </row>
    <row r="3631" spans="23:23" x14ac:dyDescent="0.2">
      <c r="W3631" s="39"/>
    </row>
    <row r="3632" spans="23:23" x14ac:dyDescent="0.2">
      <c r="W3632" s="39"/>
    </row>
    <row r="3633" spans="23:23" x14ac:dyDescent="0.2">
      <c r="W3633" s="39"/>
    </row>
    <row r="3634" spans="23:23" x14ac:dyDescent="0.2">
      <c r="W3634" s="39"/>
    </row>
    <row r="3635" spans="23:23" x14ac:dyDescent="0.2">
      <c r="W3635" s="39"/>
    </row>
    <row r="3636" spans="23:23" x14ac:dyDescent="0.2">
      <c r="W3636" s="39"/>
    </row>
    <row r="3637" spans="23:23" x14ac:dyDescent="0.2">
      <c r="W3637" s="39"/>
    </row>
    <row r="3638" spans="23:23" x14ac:dyDescent="0.2">
      <c r="W3638" s="39"/>
    </row>
    <row r="3639" spans="23:23" x14ac:dyDescent="0.2">
      <c r="W3639" s="39"/>
    </row>
    <row r="3640" spans="23:23" x14ac:dyDescent="0.2">
      <c r="W3640" s="39"/>
    </row>
    <row r="3641" spans="23:23" x14ac:dyDescent="0.2">
      <c r="W3641" s="39"/>
    </row>
    <row r="3642" spans="23:23" x14ac:dyDescent="0.2">
      <c r="W3642" s="39"/>
    </row>
    <row r="3643" spans="23:23" x14ac:dyDescent="0.2">
      <c r="W3643" s="39"/>
    </row>
    <row r="3644" spans="23:23" x14ac:dyDescent="0.2">
      <c r="W3644" s="39"/>
    </row>
    <row r="3645" spans="23:23" x14ac:dyDescent="0.2">
      <c r="W3645" s="39"/>
    </row>
    <row r="3646" spans="23:23" x14ac:dyDescent="0.2">
      <c r="W3646" s="39"/>
    </row>
    <row r="3647" spans="23:23" x14ac:dyDescent="0.2">
      <c r="W3647" s="39"/>
    </row>
    <row r="3648" spans="23:23" x14ac:dyDescent="0.2">
      <c r="W3648" s="39"/>
    </row>
    <row r="3649" spans="23:23" x14ac:dyDescent="0.2">
      <c r="W3649" s="39"/>
    </row>
    <row r="3650" spans="23:23" x14ac:dyDescent="0.2">
      <c r="W3650" s="39"/>
    </row>
    <row r="3651" spans="23:23" x14ac:dyDescent="0.2">
      <c r="W3651" s="39"/>
    </row>
    <row r="3652" spans="23:23" x14ac:dyDescent="0.2">
      <c r="W3652" s="39"/>
    </row>
    <row r="3653" spans="23:23" x14ac:dyDescent="0.2">
      <c r="W3653" s="39"/>
    </row>
    <row r="3654" spans="23:23" x14ac:dyDescent="0.2">
      <c r="W3654" s="39"/>
    </row>
    <row r="3655" spans="23:23" x14ac:dyDescent="0.2">
      <c r="W3655" s="39"/>
    </row>
    <row r="3656" spans="23:23" x14ac:dyDescent="0.2">
      <c r="W3656" s="39"/>
    </row>
    <row r="3657" spans="23:23" x14ac:dyDescent="0.2">
      <c r="W3657" s="39"/>
    </row>
    <row r="3658" spans="23:23" x14ac:dyDescent="0.2">
      <c r="W3658" s="39"/>
    </row>
    <row r="3659" spans="23:23" x14ac:dyDescent="0.2">
      <c r="W3659" s="39"/>
    </row>
    <row r="3660" spans="23:23" x14ac:dyDescent="0.2">
      <c r="W3660" s="39"/>
    </row>
    <row r="3661" spans="23:23" x14ac:dyDescent="0.2">
      <c r="W3661" s="39"/>
    </row>
    <row r="3662" spans="23:23" x14ac:dyDescent="0.2">
      <c r="W3662" s="39"/>
    </row>
    <row r="3663" spans="23:23" x14ac:dyDescent="0.2">
      <c r="W3663" s="39"/>
    </row>
    <row r="3664" spans="23:23" x14ac:dyDescent="0.2">
      <c r="W3664" s="39"/>
    </row>
    <row r="3665" spans="23:23" x14ac:dyDescent="0.2">
      <c r="W3665" s="39"/>
    </row>
    <row r="3666" spans="23:23" x14ac:dyDescent="0.2">
      <c r="W3666" s="39"/>
    </row>
    <row r="3667" spans="23:23" x14ac:dyDescent="0.2">
      <c r="W3667" s="39"/>
    </row>
    <row r="3668" spans="23:23" x14ac:dyDescent="0.2">
      <c r="W3668" s="39"/>
    </row>
    <row r="3669" spans="23:23" x14ac:dyDescent="0.2">
      <c r="W3669" s="39"/>
    </row>
    <row r="3670" spans="23:23" x14ac:dyDescent="0.2">
      <c r="W3670" s="39"/>
    </row>
    <row r="3671" spans="23:23" x14ac:dyDescent="0.2">
      <c r="W3671" s="39"/>
    </row>
    <row r="3672" spans="23:23" x14ac:dyDescent="0.2">
      <c r="W3672" s="39"/>
    </row>
    <row r="3673" spans="23:23" x14ac:dyDescent="0.2">
      <c r="W3673" s="39"/>
    </row>
    <row r="3674" spans="23:23" x14ac:dyDescent="0.2">
      <c r="W3674" s="39"/>
    </row>
    <row r="3675" spans="23:23" x14ac:dyDescent="0.2">
      <c r="W3675" s="39"/>
    </row>
    <row r="3676" spans="23:23" x14ac:dyDescent="0.2">
      <c r="W3676" s="39"/>
    </row>
    <row r="3677" spans="23:23" x14ac:dyDescent="0.2">
      <c r="W3677" s="39"/>
    </row>
    <row r="3678" spans="23:23" x14ac:dyDescent="0.2">
      <c r="W3678" s="39"/>
    </row>
    <row r="3679" spans="23:23" x14ac:dyDescent="0.2">
      <c r="W3679" s="39"/>
    </row>
    <row r="3680" spans="23:23" x14ac:dyDescent="0.2">
      <c r="W3680" s="39"/>
    </row>
    <row r="3681" spans="23:23" x14ac:dyDescent="0.2">
      <c r="W3681" s="39"/>
    </row>
    <row r="3682" spans="23:23" x14ac:dyDescent="0.2">
      <c r="W3682" s="39"/>
    </row>
    <row r="3683" spans="23:23" x14ac:dyDescent="0.2">
      <c r="W3683" s="39"/>
    </row>
    <row r="3684" spans="23:23" x14ac:dyDescent="0.2">
      <c r="W3684" s="39"/>
    </row>
    <row r="3685" spans="23:23" x14ac:dyDescent="0.2">
      <c r="W3685" s="39"/>
    </row>
    <row r="3686" spans="23:23" x14ac:dyDescent="0.2">
      <c r="W3686" s="39"/>
    </row>
    <row r="3687" spans="23:23" x14ac:dyDescent="0.2">
      <c r="W3687" s="39"/>
    </row>
    <row r="3688" spans="23:23" x14ac:dyDescent="0.2">
      <c r="W3688" s="39"/>
    </row>
    <row r="3689" spans="23:23" x14ac:dyDescent="0.2">
      <c r="W3689" s="39"/>
    </row>
    <row r="3690" spans="23:23" x14ac:dyDescent="0.2">
      <c r="W3690" s="39"/>
    </row>
    <row r="3691" spans="23:23" x14ac:dyDescent="0.2">
      <c r="W3691" s="39"/>
    </row>
    <row r="3692" spans="23:23" x14ac:dyDescent="0.2">
      <c r="W3692" s="39"/>
    </row>
    <row r="3693" spans="23:23" x14ac:dyDescent="0.2">
      <c r="W3693" s="39"/>
    </row>
    <row r="3694" spans="23:23" x14ac:dyDescent="0.2">
      <c r="W3694" s="39"/>
    </row>
    <row r="3695" spans="23:23" x14ac:dyDescent="0.2">
      <c r="W3695" s="39"/>
    </row>
    <row r="3696" spans="23:23" x14ac:dyDescent="0.2">
      <c r="W3696" s="39"/>
    </row>
    <row r="3697" spans="23:23" x14ac:dyDescent="0.2">
      <c r="W3697" s="39"/>
    </row>
    <row r="3698" spans="23:23" x14ac:dyDescent="0.2">
      <c r="W3698" s="39"/>
    </row>
    <row r="3699" spans="23:23" x14ac:dyDescent="0.2">
      <c r="W3699" s="39"/>
    </row>
    <row r="3700" spans="23:23" x14ac:dyDescent="0.2">
      <c r="W3700" s="39"/>
    </row>
    <row r="3701" spans="23:23" x14ac:dyDescent="0.2">
      <c r="W3701" s="39"/>
    </row>
    <row r="3702" spans="23:23" x14ac:dyDescent="0.2">
      <c r="W3702" s="39"/>
    </row>
    <row r="3703" spans="23:23" x14ac:dyDescent="0.2">
      <c r="W3703" s="39"/>
    </row>
    <row r="3704" spans="23:23" x14ac:dyDescent="0.2">
      <c r="W3704" s="39"/>
    </row>
    <row r="3705" spans="23:23" x14ac:dyDescent="0.2">
      <c r="W3705" s="39"/>
    </row>
    <row r="3706" spans="23:23" x14ac:dyDescent="0.2">
      <c r="W3706" s="39"/>
    </row>
    <row r="3707" spans="23:23" x14ac:dyDescent="0.2">
      <c r="W3707" s="39"/>
    </row>
    <row r="3708" spans="23:23" x14ac:dyDescent="0.2">
      <c r="W3708" s="39"/>
    </row>
    <row r="3709" spans="23:23" x14ac:dyDescent="0.2">
      <c r="W3709" s="39"/>
    </row>
    <row r="3710" spans="23:23" x14ac:dyDescent="0.2">
      <c r="W3710" s="39"/>
    </row>
    <row r="3711" spans="23:23" x14ac:dyDescent="0.2">
      <c r="W3711" s="39"/>
    </row>
    <row r="3712" spans="23:23" x14ac:dyDescent="0.2">
      <c r="W3712" s="39"/>
    </row>
    <row r="3713" spans="23:23" x14ac:dyDescent="0.2">
      <c r="W3713" s="39"/>
    </row>
    <row r="3714" spans="23:23" x14ac:dyDescent="0.2">
      <c r="W3714" s="39"/>
    </row>
    <row r="3715" spans="23:23" x14ac:dyDescent="0.2">
      <c r="W3715" s="39"/>
    </row>
    <row r="3716" spans="23:23" x14ac:dyDescent="0.2">
      <c r="W3716" s="39"/>
    </row>
    <row r="3717" spans="23:23" x14ac:dyDescent="0.2">
      <c r="W3717" s="39"/>
    </row>
    <row r="3718" spans="23:23" x14ac:dyDescent="0.2">
      <c r="W3718" s="39"/>
    </row>
    <row r="3719" spans="23:23" x14ac:dyDescent="0.2">
      <c r="W3719" s="39"/>
    </row>
    <row r="3720" spans="23:23" x14ac:dyDescent="0.2">
      <c r="W3720" s="39"/>
    </row>
    <row r="3721" spans="23:23" x14ac:dyDescent="0.2">
      <c r="W3721" s="39"/>
    </row>
    <row r="3722" spans="23:23" x14ac:dyDescent="0.2">
      <c r="W3722" s="39"/>
    </row>
    <row r="3723" spans="23:23" x14ac:dyDescent="0.2">
      <c r="W3723" s="39"/>
    </row>
    <row r="3724" spans="23:23" x14ac:dyDescent="0.2">
      <c r="W3724" s="39"/>
    </row>
    <row r="3725" spans="23:23" x14ac:dyDescent="0.2">
      <c r="W3725" s="39"/>
    </row>
    <row r="3726" spans="23:23" x14ac:dyDescent="0.2">
      <c r="W3726" s="39"/>
    </row>
    <row r="3727" spans="23:23" x14ac:dyDescent="0.2">
      <c r="W3727" s="39"/>
    </row>
    <row r="3728" spans="23:23" x14ac:dyDescent="0.2">
      <c r="W3728" s="39"/>
    </row>
    <row r="3729" spans="23:23" x14ac:dyDescent="0.2">
      <c r="W3729" s="39"/>
    </row>
    <row r="3730" spans="23:23" x14ac:dyDescent="0.2">
      <c r="W3730" s="39"/>
    </row>
    <row r="3731" spans="23:23" x14ac:dyDescent="0.2">
      <c r="W3731" s="39"/>
    </row>
    <row r="3732" spans="23:23" x14ac:dyDescent="0.2">
      <c r="W3732" s="39"/>
    </row>
    <row r="3733" spans="23:23" x14ac:dyDescent="0.2">
      <c r="W3733" s="39"/>
    </row>
    <row r="3734" spans="23:23" x14ac:dyDescent="0.2">
      <c r="W3734" s="39"/>
    </row>
    <row r="3735" spans="23:23" x14ac:dyDescent="0.2">
      <c r="W3735" s="39"/>
    </row>
    <row r="3736" spans="23:23" x14ac:dyDescent="0.2">
      <c r="W3736" s="39"/>
    </row>
    <row r="3737" spans="23:23" x14ac:dyDescent="0.2">
      <c r="W3737" s="39"/>
    </row>
    <row r="3738" spans="23:23" x14ac:dyDescent="0.2">
      <c r="W3738" s="39"/>
    </row>
    <row r="3739" spans="23:23" x14ac:dyDescent="0.2">
      <c r="W3739" s="39"/>
    </row>
    <row r="3740" spans="23:23" x14ac:dyDescent="0.2">
      <c r="W3740" s="39"/>
    </row>
    <row r="3741" spans="23:23" x14ac:dyDescent="0.2">
      <c r="W3741" s="39"/>
    </row>
    <row r="3742" spans="23:23" x14ac:dyDescent="0.2">
      <c r="W3742" s="39"/>
    </row>
    <row r="3743" spans="23:23" x14ac:dyDescent="0.2">
      <c r="W3743" s="39"/>
    </row>
    <row r="3744" spans="23:23" x14ac:dyDescent="0.2">
      <c r="W3744" s="39"/>
    </row>
    <row r="3745" spans="23:23" x14ac:dyDescent="0.2">
      <c r="W3745" s="39"/>
    </row>
    <row r="3746" spans="23:23" x14ac:dyDescent="0.2">
      <c r="W3746" s="39"/>
    </row>
    <row r="3747" spans="23:23" x14ac:dyDescent="0.2">
      <c r="W3747" s="39"/>
    </row>
    <row r="3748" spans="23:23" x14ac:dyDescent="0.2">
      <c r="W3748" s="39"/>
    </row>
    <row r="3749" spans="23:23" x14ac:dyDescent="0.2">
      <c r="W3749" s="39"/>
    </row>
    <row r="3750" spans="23:23" x14ac:dyDescent="0.2">
      <c r="W3750" s="39"/>
    </row>
    <row r="3751" spans="23:23" x14ac:dyDescent="0.2">
      <c r="W3751" s="39"/>
    </row>
    <row r="3752" spans="23:23" x14ac:dyDescent="0.2">
      <c r="W3752" s="39"/>
    </row>
    <row r="3753" spans="23:23" x14ac:dyDescent="0.2">
      <c r="W3753" s="39"/>
    </row>
    <row r="3754" spans="23:23" x14ac:dyDescent="0.2">
      <c r="W3754" s="39"/>
    </row>
    <row r="3755" spans="23:23" x14ac:dyDescent="0.2">
      <c r="W3755" s="39"/>
    </row>
    <row r="3756" spans="23:23" x14ac:dyDescent="0.2">
      <c r="W3756" s="39"/>
    </row>
    <row r="3757" spans="23:23" x14ac:dyDescent="0.2">
      <c r="W3757" s="39"/>
    </row>
    <row r="3758" spans="23:23" x14ac:dyDescent="0.2">
      <c r="W3758" s="39"/>
    </row>
    <row r="3759" spans="23:23" x14ac:dyDescent="0.2">
      <c r="W3759" s="39"/>
    </row>
    <row r="3760" spans="23:23" x14ac:dyDescent="0.2">
      <c r="W3760" s="39"/>
    </row>
    <row r="3761" spans="23:23" x14ac:dyDescent="0.2">
      <c r="W3761" s="39"/>
    </row>
    <row r="3762" spans="23:23" x14ac:dyDescent="0.2">
      <c r="W3762" s="39"/>
    </row>
    <row r="3763" spans="23:23" x14ac:dyDescent="0.2">
      <c r="W3763" s="39"/>
    </row>
    <row r="3764" spans="23:23" x14ac:dyDescent="0.2">
      <c r="W3764" s="39"/>
    </row>
    <row r="3765" spans="23:23" x14ac:dyDescent="0.2">
      <c r="W3765" s="39"/>
    </row>
    <row r="3766" spans="23:23" x14ac:dyDescent="0.2">
      <c r="W3766" s="39"/>
    </row>
    <row r="3767" spans="23:23" x14ac:dyDescent="0.2">
      <c r="W3767" s="39"/>
    </row>
    <row r="3768" spans="23:23" x14ac:dyDescent="0.2">
      <c r="W3768" s="39"/>
    </row>
    <row r="3769" spans="23:23" x14ac:dyDescent="0.2">
      <c r="W3769" s="39"/>
    </row>
    <row r="3770" spans="23:23" x14ac:dyDescent="0.2">
      <c r="W3770" s="39"/>
    </row>
    <row r="3771" spans="23:23" x14ac:dyDescent="0.2">
      <c r="W3771" s="39"/>
    </row>
    <row r="3772" spans="23:23" x14ac:dyDescent="0.2">
      <c r="W3772" s="39"/>
    </row>
    <row r="3773" spans="23:23" x14ac:dyDescent="0.2">
      <c r="W3773" s="39"/>
    </row>
    <row r="3774" spans="23:23" x14ac:dyDescent="0.2">
      <c r="W3774" s="39"/>
    </row>
    <row r="3775" spans="23:23" x14ac:dyDescent="0.2">
      <c r="W3775" s="39"/>
    </row>
    <row r="3776" spans="23:23" x14ac:dyDescent="0.2">
      <c r="W3776" s="39"/>
    </row>
    <row r="3777" spans="23:23" x14ac:dyDescent="0.2">
      <c r="W3777" s="39"/>
    </row>
    <row r="3778" spans="23:23" x14ac:dyDescent="0.2">
      <c r="W3778" s="39"/>
    </row>
    <row r="3779" spans="23:23" x14ac:dyDescent="0.2">
      <c r="W3779" s="39"/>
    </row>
    <row r="3780" spans="23:23" x14ac:dyDescent="0.2">
      <c r="W3780" s="39"/>
    </row>
    <row r="3781" spans="23:23" x14ac:dyDescent="0.2">
      <c r="W3781" s="39"/>
    </row>
    <row r="3782" spans="23:23" x14ac:dyDescent="0.2">
      <c r="W3782" s="39"/>
    </row>
    <row r="3783" spans="23:23" x14ac:dyDescent="0.2">
      <c r="W3783" s="39"/>
    </row>
    <row r="3784" spans="23:23" x14ac:dyDescent="0.2">
      <c r="W3784" s="39"/>
    </row>
    <row r="3785" spans="23:23" x14ac:dyDescent="0.2">
      <c r="W3785" s="39"/>
    </row>
    <row r="3786" spans="23:23" x14ac:dyDescent="0.2">
      <c r="W3786" s="39"/>
    </row>
    <row r="3787" spans="23:23" x14ac:dyDescent="0.2">
      <c r="W3787" s="39"/>
    </row>
    <row r="3788" spans="23:23" x14ac:dyDescent="0.2">
      <c r="W3788" s="39"/>
    </row>
    <row r="3789" spans="23:23" x14ac:dyDescent="0.2">
      <c r="W3789" s="39"/>
    </row>
    <row r="3790" spans="23:23" x14ac:dyDescent="0.2">
      <c r="W3790" s="39"/>
    </row>
    <row r="3791" spans="23:23" x14ac:dyDescent="0.2">
      <c r="W3791" s="39"/>
    </row>
    <row r="3792" spans="23:23" x14ac:dyDescent="0.2">
      <c r="W3792" s="39"/>
    </row>
    <row r="3793" spans="23:23" x14ac:dyDescent="0.2">
      <c r="W3793" s="39"/>
    </row>
    <row r="3794" spans="23:23" x14ac:dyDescent="0.2">
      <c r="W3794" s="39"/>
    </row>
    <row r="3795" spans="23:23" x14ac:dyDescent="0.2">
      <c r="W3795" s="39"/>
    </row>
    <row r="3796" spans="23:23" x14ac:dyDescent="0.2">
      <c r="W3796" s="39"/>
    </row>
    <row r="3797" spans="23:23" x14ac:dyDescent="0.2">
      <c r="W3797" s="39"/>
    </row>
    <row r="3798" spans="23:23" x14ac:dyDescent="0.2">
      <c r="W3798" s="39"/>
    </row>
    <row r="3799" spans="23:23" x14ac:dyDescent="0.2">
      <c r="W3799" s="39"/>
    </row>
    <row r="3800" spans="23:23" x14ac:dyDescent="0.2">
      <c r="W3800" s="39"/>
    </row>
    <row r="3801" spans="23:23" x14ac:dyDescent="0.2">
      <c r="W3801" s="39"/>
    </row>
    <row r="3802" spans="23:23" x14ac:dyDescent="0.2">
      <c r="W3802" s="39"/>
    </row>
    <row r="3803" spans="23:23" x14ac:dyDescent="0.2">
      <c r="W3803" s="39"/>
    </row>
    <row r="3804" spans="23:23" x14ac:dyDescent="0.2">
      <c r="W3804" s="39"/>
    </row>
    <row r="3805" spans="23:23" x14ac:dyDescent="0.2">
      <c r="W3805" s="39"/>
    </row>
    <row r="3806" spans="23:23" x14ac:dyDescent="0.2">
      <c r="W3806" s="39"/>
    </row>
    <row r="3807" spans="23:23" x14ac:dyDescent="0.2">
      <c r="W3807" s="39"/>
    </row>
    <row r="3808" spans="23:23" x14ac:dyDescent="0.2">
      <c r="W3808" s="39"/>
    </row>
    <row r="3809" spans="23:23" x14ac:dyDescent="0.2">
      <c r="W3809" s="39"/>
    </row>
    <row r="3810" spans="23:23" x14ac:dyDescent="0.2">
      <c r="W3810" s="39"/>
    </row>
    <row r="3811" spans="23:23" x14ac:dyDescent="0.2">
      <c r="W3811" s="39"/>
    </row>
    <row r="3812" spans="23:23" x14ac:dyDescent="0.2">
      <c r="W3812" s="39"/>
    </row>
    <row r="3813" spans="23:23" x14ac:dyDescent="0.2">
      <c r="W3813" s="39"/>
    </row>
    <row r="3814" spans="23:23" x14ac:dyDescent="0.2">
      <c r="W3814" s="39"/>
    </row>
    <row r="3815" spans="23:23" x14ac:dyDescent="0.2">
      <c r="W3815" s="39"/>
    </row>
    <row r="3816" spans="23:23" x14ac:dyDescent="0.2">
      <c r="W3816" s="39"/>
    </row>
    <row r="3817" spans="23:23" x14ac:dyDescent="0.2">
      <c r="W3817" s="39"/>
    </row>
    <row r="3818" spans="23:23" x14ac:dyDescent="0.2">
      <c r="W3818" s="39"/>
    </row>
    <row r="3819" spans="23:23" x14ac:dyDescent="0.2">
      <c r="W3819" s="39"/>
    </row>
    <row r="3820" spans="23:23" x14ac:dyDescent="0.2">
      <c r="W3820" s="39"/>
    </row>
    <row r="3821" spans="23:23" x14ac:dyDescent="0.2">
      <c r="W3821" s="39"/>
    </row>
    <row r="3822" spans="23:23" x14ac:dyDescent="0.2">
      <c r="W3822" s="39"/>
    </row>
    <row r="3823" spans="23:23" x14ac:dyDescent="0.2">
      <c r="W3823" s="39"/>
    </row>
    <row r="3824" spans="23:23" x14ac:dyDescent="0.2">
      <c r="W3824" s="39"/>
    </row>
    <row r="3825" spans="23:23" x14ac:dyDescent="0.2">
      <c r="W3825" s="39"/>
    </row>
    <row r="3826" spans="23:23" x14ac:dyDescent="0.2">
      <c r="W3826" s="39"/>
    </row>
    <row r="3827" spans="23:23" x14ac:dyDescent="0.2">
      <c r="W3827" s="39"/>
    </row>
    <row r="3828" spans="23:23" x14ac:dyDescent="0.2">
      <c r="W3828" s="39"/>
    </row>
    <row r="3829" spans="23:23" x14ac:dyDescent="0.2">
      <c r="W3829" s="39"/>
    </row>
    <row r="3830" spans="23:23" x14ac:dyDescent="0.2">
      <c r="W3830" s="39"/>
    </row>
    <row r="3831" spans="23:23" x14ac:dyDescent="0.2">
      <c r="W3831" s="39"/>
    </row>
    <row r="3832" spans="23:23" x14ac:dyDescent="0.2">
      <c r="W3832" s="39"/>
    </row>
    <row r="3833" spans="23:23" x14ac:dyDescent="0.2">
      <c r="W3833" s="39"/>
    </row>
    <row r="3834" spans="23:23" x14ac:dyDescent="0.2">
      <c r="W3834" s="39"/>
    </row>
    <row r="3835" spans="23:23" x14ac:dyDescent="0.2">
      <c r="W3835" s="39"/>
    </row>
    <row r="3836" spans="23:23" x14ac:dyDescent="0.2">
      <c r="W3836" s="39"/>
    </row>
    <row r="3837" spans="23:23" x14ac:dyDescent="0.2">
      <c r="W3837" s="39"/>
    </row>
    <row r="3838" spans="23:23" x14ac:dyDescent="0.2">
      <c r="W3838" s="39"/>
    </row>
    <row r="3839" spans="23:23" x14ac:dyDescent="0.2">
      <c r="W3839" s="39"/>
    </row>
    <row r="3840" spans="23:23" x14ac:dyDescent="0.2">
      <c r="W3840" s="39"/>
    </row>
    <row r="3841" spans="23:23" x14ac:dyDescent="0.2">
      <c r="W3841" s="39"/>
    </row>
    <row r="3842" spans="23:23" x14ac:dyDescent="0.2">
      <c r="W3842" s="39"/>
    </row>
    <row r="3843" spans="23:23" x14ac:dyDescent="0.2">
      <c r="W3843" s="39"/>
    </row>
    <row r="3844" spans="23:23" x14ac:dyDescent="0.2">
      <c r="W3844" s="39"/>
    </row>
    <row r="3845" spans="23:23" x14ac:dyDescent="0.2">
      <c r="W3845" s="39"/>
    </row>
    <row r="3846" spans="23:23" x14ac:dyDescent="0.2">
      <c r="W3846" s="39"/>
    </row>
    <row r="3847" spans="23:23" x14ac:dyDescent="0.2">
      <c r="W3847" s="39"/>
    </row>
    <row r="3848" spans="23:23" x14ac:dyDescent="0.2">
      <c r="W3848" s="39"/>
    </row>
    <row r="3849" spans="23:23" x14ac:dyDescent="0.2">
      <c r="W3849" s="39"/>
    </row>
    <row r="3850" spans="23:23" x14ac:dyDescent="0.2">
      <c r="W3850" s="39"/>
    </row>
    <row r="3851" spans="23:23" x14ac:dyDescent="0.2">
      <c r="W3851" s="39"/>
    </row>
    <row r="3852" spans="23:23" x14ac:dyDescent="0.2">
      <c r="W3852" s="39"/>
    </row>
    <row r="3853" spans="23:23" x14ac:dyDescent="0.2">
      <c r="W3853" s="39"/>
    </row>
    <row r="3854" spans="23:23" x14ac:dyDescent="0.2">
      <c r="W3854" s="39"/>
    </row>
    <row r="3855" spans="23:23" x14ac:dyDescent="0.2">
      <c r="W3855" s="39"/>
    </row>
    <row r="3856" spans="23:23" x14ac:dyDescent="0.2">
      <c r="W3856" s="39"/>
    </row>
    <row r="3857" spans="23:23" x14ac:dyDescent="0.2">
      <c r="W3857" s="39"/>
    </row>
    <row r="3858" spans="23:23" x14ac:dyDescent="0.2">
      <c r="W3858" s="39"/>
    </row>
    <row r="3859" spans="23:23" x14ac:dyDescent="0.2">
      <c r="W3859" s="39"/>
    </row>
    <row r="3860" spans="23:23" x14ac:dyDescent="0.2">
      <c r="W3860" s="39"/>
    </row>
    <row r="3861" spans="23:23" x14ac:dyDescent="0.2">
      <c r="W3861" s="39"/>
    </row>
    <row r="3862" spans="23:23" x14ac:dyDescent="0.2">
      <c r="W3862" s="39"/>
    </row>
    <row r="3863" spans="23:23" x14ac:dyDescent="0.2">
      <c r="W3863" s="39"/>
    </row>
    <row r="3864" spans="23:23" x14ac:dyDescent="0.2">
      <c r="W3864" s="39"/>
    </row>
    <row r="3865" spans="23:23" x14ac:dyDescent="0.2">
      <c r="W3865" s="39"/>
    </row>
    <row r="3866" spans="23:23" x14ac:dyDescent="0.2">
      <c r="W3866" s="39"/>
    </row>
    <row r="3867" spans="23:23" x14ac:dyDescent="0.2">
      <c r="W3867" s="39"/>
    </row>
    <row r="3868" spans="23:23" x14ac:dyDescent="0.2">
      <c r="W3868" s="39"/>
    </row>
    <row r="3869" spans="23:23" x14ac:dyDescent="0.2">
      <c r="W3869" s="39"/>
    </row>
    <row r="3870" spans="23:23" x14ac:dyDescent="0.2">
      <c r="W3870" s="39"/>
    </row>
    <row r="3871" spans="23:23" x14ac:dyDescent="0.2">
      <c r="W3871" s="39"/>
    </row>
    <row r="3872" spans="23:23" x14ac:dyDescent="0.2">
      <c r="W3872" s="39"/>
    </row>
    <row r="3873" spans="23:23" x14ac:dyDescent="0.2">
      <c r="W3873" s="39"/>
    </row>
    <row r="3874" spans="23:23" x14ac:dyDescent="0.2">
      <c r="W3874" s="39"/>
    </row>
    <row r="3875" spans="23:23" x14ac:dyDescent="0.2">
      <c r="W3875" s="39"/>
    </row>
    <row r="3876" spans="23:23" x14ac:dyDescent="0.2">
      <c r="W3876" s="39"/>
    </row>
    <row r="3877" spans="23:23" x14ac:dyDescent="0.2">
      <c r="W3877" s="39"/>
    </row>
    <row r="3878" spans="23:23" x14ac:dyDescent="0.2">
      <c r="W3878" s="39"/>
    </row>
    <row r="3879" spans="23:23" x14ac:dyDescent="0.2">
      <c r="W3879" s="39"/>
    </row>
    <row r="3880" spans="23:23" x14ac:dyDescent="0.2">
      <c r="W3880" s="39"/>
    </row>
    <row r="3881" spans="23:23" x14ac:dyDescent="0.2">
      <c r="W3881" s="39"/>
    </row>
    <row r="3882" spans="23:23" x14ac:dyDescent="0.2">
      <c r="W3882" s="39"/>
    </row>
    <row r="3883" spans="23:23" x14ac:dyDescent="0.2">
      <c r="W3883" s="39"/>
    </row>
    <row r="3884" spans="23:23" x14ac:dyDescent="0.2">
      <c r="W3884" s="39"/>
    </row>
    <row r="3885" spans="23:23" x14ac:dyDescent="0.2">
      <c r="W3885" s="39"/>
    </row>
    <row r="3886" spans="23:23" x14ac:dyDescent="0.2">
      <c r="W3886" s="39"/>
    </row>
    <row r="3887" spans="23:23" x14ac:dyDescent="0.2">
      <c r="W3887" s="39"/>
    </row>
    <row r="3888" spans="23:23" x14ac:dyDescent="0.2">
      <c r="W3888" s="39"/>
    </row>
    <row r="3889" spans="23:23" x14ac:dyDescent="0.2">
      <c r="W3889" s="39"/>
    </row>
    <row r="3890" spans="23:23" x14ac:dyDescent="0.2">
      <c r="W3890" s="39"/>
    </row>
    <row r="3891" spans="23:23" x14ac:dyDescent="0.2">
      <c r="W3891" s="39"/>
    </row>
    <row r="3892" spans="23:23" x14ac:dyDescent="0.2">
      <c r="W3892" s="39"/>
    </row>
    <row r="3893" spans="23:23" x14ac:dyDescent="0.2">
      <c r="W3893" s="39"/>
    </row>
    <row r="3894" spans="23:23" x14ac:dyDescent="0.2">
      <c r="W3894" s="39"/>
    </row>
    <row r="3895" spans="23:23" x14ac:dyDescent="0.2">
      <c r="W3895" s="39"/>
    </row>
    <row r="3896" spans="23:23" x14ac:dyDescent="0.2">
      <c r="W3896" s="39"/>
    </row>
    <row r="3897" spans="23:23" x14ac:dyDescent="0.2">
      <c r="W3897" s="39"/>
    </row>
    <row r="3898" spans="23:23" x14ac:dyDescent="0.2">
      <c r="W3898" s="39"/>
    </row>
    <row r="3899" spans="23:23" x14ac:dyDescent="0.2">
      <c r="W3899" s="39"/>
    </row>
    <row r="3900" spans="23:23" x14ac:dyDescent="0.2">
      <c r="W3900" s="39"/>
    </row>
    <row r="3901" spans="23:23" x14ac:dyDescent="0.2">
      <c r="W3901" s="39"/>
    </row>
    <row r="3902" spans="23:23" x14ac:dyDescent="0.2">
      <c r="W3902" s="39"/>
    </row>
    <row r="3903" spans="23:23" x14ac:dyDescent="0.2">
      <c r="W3903" s="39"/>
    </row>
    <row r="3904" spans="23:23" x14ac:dyDescent="0.2">
      <c r="W3904" s="39"/>
    </row>
    <row r="3905" spans="23:23" x14ac:dyDescent="0.2">
      <c r="W3905" s="39"/>
    </row>
    <row r="3906" spans="23:23" x14ac:dyDescent="0.2">
      <c r="W3906" s="39"/>
    </row>
    <row r="3907" spans="23:23" x14ac:dyDescent="0.2">
      <c r="W3907" s="39"/>
    </row>
    <row r="3908" spans="23:23" x14ac:dyDescent="0.2">
      <c r="W3908" s="39"/>
    </row>
    <row r="3909" spans="23:23" x14ac:dyDescent="0.2">
      <c r="W3909" s="39"/>
    </row>
    <row r="3910" spans="23:23" x14ac:dyDescent="0.2">
      <c r="W3910" s="39"/>
    </row>
    <row r="3911" spans="23:23" x14ac:dyDescent="0.2">
      <c r="W3911" s="39"/>
    </row>
    <row r="3912" spans="23:23" x14ac:dyDescent="0.2">
      <c r="W3912" s="39"/>
    </row>
    <row r="3913" spans="23:23" x14ac:dyDescent="0.2">
      <c r="W3913" s="39"/>
    </row>
    <row r="3914" spans="23:23" x14ac:dyDescent="0.2">
      <c r="W3914" s="39"/>
    </row>
    <row r="3915" spans="23:23" x14ac:dyDescent="0.2">
      <c r="W3915" s="39"/>
    </row>
    <row r="3916" spans="23:23" x14ac:dyDescent="0.2">
      <c r="W3916" s="39"/>
    </row>
    <row r="3917" spans="23:23" x14ac:dyDescent="0.2">
      <c r="W3917" s="39"/>
    </row>
    <row r="3918" spans="23:23" x14ac:dyDescent="0.2">
      <c r="W3918" s="39"/>
    </row>
    <row r="3919" spans="23:23" x14ac:dyDescent="0.2">
      <c r="W3919" s="39"/>
    </row>
    <row r="3920" spans="23:23" x14ac:dyDescent="0.2">
      <c r="W3920" s="39"/>
    </row>
    <row r="3921" spans="23:23" x14ac:dyDescent="0.2">
      <c r="W3921" s="39"/>
    </row>
    <row r="3922" spans="23:23" x14ac:dyDescent="0.2">
      <c r="W3922" s="39"/>
    </row>
    <row r="3923" spans="23:23" x14ac:dyDescent="0.2">
      <c r="W3923" s="39"/>
    </row>
    <row r="3924" spans="23:23" x14ac:dyDescent="0.2">
      <c r="W3924" s="39"/>
    </row>
    <row r="3925" spans="23:23" x14ac:dyDescent="0.2">
      <c r="W3925" s="39"/>
    </row>
    <row r="3926" spans="23:23" x14ac:dyDescent="0.2">
      <c r="W3926" s="39"/>
    </row>
    <row r="3927" spans="23:23" x14ac:dyDescent="0.2">
      <c r="W3927" s="39"/>
    </row>
    <row r="3928" spans="23:23" x14ac:dyDescent="0.2">
      <c r="W3928" s="39"/>
    </row>
    <row r="3929" spans="23:23" x14ac:dyDescent="0.2">
      <c r="W3929" s="39"/>
    </row>
    <row r="3930" spans="23:23" x14ac:dyDescent="0.2">
      <c r="W3930" s="39"/>
    </row>
    <row r="3931" spans="23:23" x14ac:dyDescent="0.2">
      <c r="W3931" s="39"/>
    </row>
    <row r="3932" spans="23:23" x14ac:dyDescent="0.2">
      <c r="W3932" s="39"/>
    </row>
    <row r="3933" spans="23:23" x14ac:dyDescent="0.2">
      <c r="W3933" s="39"/>
    </row>
    <row r="3934" spans="23:23" x14ac:dyDescent="0.2">
      <c r="W3934" s="39"/>
    </row>
    <row r="3935" spans="23:23" x14ac:dyDescent="0.2">
      <c r="W3935" s="39"/>
    </row>
    <row r="3936" spans="23:23" x14ac:dyDescent="0.2">
      <c r="W3936" s="39"/>
    </row>
    <row r="3937" spans="23:23" x14ac:dyDescent="0.2">
      <c r="W3937" s="39"/>
    </row>
    <row r="3938" spans="23:23" x14ac:dyDescent="0.2">
      <c r="W3938" s="39"/>
    </row>
    <row r="3939" spans="23:23" x14ac:dyDescent="0.2">
      <c r="W3939" s="39"/>
    </row>
    <row r="3940" spans="23:23" x14ac:dyDescent="0.2">
      <c r="W3940" s="39"/>
    </row>
    <row r="3941" spans="23:23" x14ac:dyDescent="0.2">
      <c r="W3941" s="39"/>
    </row>
    <row r="3942" spans="23:23" x14ac:dyDescent="0.2">
      <c r="W3942" s="39"/>
    </row>
    <row r="3943" spans="23:23" x14ac:dyDescent="0.2">
      <c r="W3943" s="39"/>
    </row>
    <row r="3944" spans="23:23" x14ac:dyDescent="0.2">
      <c r="W3944" s="39"/>
    </row>
    <row r="3945" spans="23:23" x14ac:dyDescent="0.2">
      <c r="W3945" s="39"/>
    </row>
    <row r="3946" spans="23:23" x14ac:dyDescent="0.2">
      <c r="W3946" s="39"/>
    </row>
    <row r="3947" spans="23:23" x14ac:dyDescent="0.2">
      <c r="W3947" s="39"/>
    </row>
    <row r="3948" spans="23:23" x14ac:dyDescent="0.2">
      <c r="W3948" s="39"/>
    </row>
    <row r="3949" spans="23:23" x14ac:dyDescent="0.2">
      <c r="W3949" s="39"/>
    </row>
    <row r="3950" spans="23:23" x14ac:dyDescent="0.2">
      <c r="W3950" s="39"/>
    </row>
    <row r="3951" spans="23:23" x14ac:dyDescent="0.2">
      <c r="W3951" s="39"/>
    </row>
    <row r="3952" spans="23:23" x14ac:dyDescent="0.2">
      <c r="W3952" s="39"/>
    </row>
    <row r="3953" spans="23:23" x14ac:dyDescent="0.2">
      <c r="W3953" s="39"/>
    </row>
    <row r="3954" spans="23:23" x14ac:dyDescent="0.2">
      <c r="W3954" s="39"/>
    </row>
    <row r="3955" spans="23:23" x14ac:dyDescent="0.2">
      <c r="W3955" s="39"/>
    </row>
    <row r="3956" spans="23:23" x14ac:dyDescent="0.2">
      <c r="W3956" s="39"/>
    </row>
    <row r="3957" spans="23:23" x14ac:dyDescent="0.2">
      <c r="W3957" s="39"/>
    </row>
    <row r="3958" spans="23:23" x14ac:dyDescent="0.2">
      <c r="W3958" s="39"/>
    </row>
    <row r="3959" spans="23:23" x14ac:dyDescent="0.2">
      <c r="W3959" s="39"/>
    </row>
    <row r="3960" spans="23:23" x14ac:dyDescent="0.2">
      <c r="W3960" s="39"/>
    </row>
    <row r="3961" spans="23:23" x14ac:dyDescent="0.2">
      <c r="W3961" s="39"/>
    </row>
    <row r="3962" spans="23:23" x14ac:dyDescent="0.2">
      <c r="W3962" s="39"/>
    </row>
    <row r="3963" spans="23:23" x14ac:dyDescent="0.2">
      <c r="W3963" s="39"/>
    </row>
    <row r="3964" spans="23:23" x14ac:dyDescent="0.2">
      <c r="W3964" s="39"/>
    </row>
    <row r="3965" spans="23:23" x14ac:dyDescent="0.2">
      <c r="W3965" s="39"/>
    </row>
    <row r="3966" spans="23:23" x14ac:dyDescent="0.2">
      <c r="W3966" s="39"/>
    </row>
    <row r="3967" spans="23:23" x14ac:dyDescent="0.2">
      <c r="W3967" s="39"/>
    </row>
    <row r="3968" spans="23:23" x14ac:dyDescent="0.2">
      <c r="W3968" s="39"/>
    </row>
    <row r="3969" spans="23:23" x14ac:dyDescent="0.2">
      <c r="W3969" s="39"/>
    </row>
    <row r="3970" spans="23:23" x14ac:dyDescent="0.2">
      <c r="W3970" s="39"/>
    </row>
    <row r="3971" spans="23:23" x14ac:dyDescent="0.2">
      <c r="W3971" s="39"/>
    </row>
    <row r="3972" spans="23:23" x14ac:dyDescent="0.2">
      <c r="W3972" s="39"/>
    </row>
    <row r="3973" spans="23:23" x14ac:dyDescent="0.2">
      <c r="W3973" s="39"/>
    </row>
    <row r="3974" spans="23:23" x14ac:dyDescent="0.2">
      <c r="W3974" s="39"/>
    </row>
    <row r="3975" spans="23:23" x14ac:dyDescent="0.2">
      <c r="W3975" s="39"/>
    </row>
    <row r="3976" spans="23:23" x14ac:dyDescent="0.2">
      <c r="W3976" s="39"/>
    </row>
    <row r="3977" spans="23:23" x14ac:dyDescent="0.2">
      <c r="W3977" s="39"/>
    </row>
    <row r="3978" spans="23:23" x14ac:dyDescent="0.2">
      <c r="W3978" s="39"/>
    </row>
    <row r="3979" spans="23:23" x14ac:dyDescent="0.2">
      <c r="W3979" s="39"/>
    </row>
    <row r="3980" spans="23:23" x14ac:dyDescent="0.2">
      <c r="W3980" s="39"/>
    </row>
    <row r="3981" spans="23:23" x14ac:dyDescent="0.2">
      <c r="W3981" s="39"/>
    </row>
    <row r="3982" spans="23:23" x14ac:dyDescent="0.2">
      <c r="W3982" s="39"/>
    </row>
    <row r="3983" spans="23:23" x14ac:dyDescent="0.2">
      <c r="W3983" s="39"/>
    </row>
    <row r="3984" spans="23:23" x14ac:dyDescent="0.2">
      <c r="W3984" s="39"/>
    </row>
    <row r="3985" spans="23:23" x14ac:dyDescent="0.2">
      <c r="W3985" s="39"/>
    </row>
    <row r="3986" spans="23:23" x14ac:dyDescent="0.2">
      <c r="W3986" s="39"/>
    </row>
    <row r="3987" spans="23:23" x14ac:dyDescent="0.2">
      <c r="W3987" s="39"/>
    </row>
    <row r="3988" spans="23:23" x14ac:dyDescent="0.2">
      <c r="W3988" s="39"/>
    </row>
    <row r="3989" spans="23:23" x14ac:dyDescent="0.2">
      <c r="W3989" s="39"/>
    </row>
    <row r="3990" spans="23:23" x14ac:dyDescent="0.2">
      <c r="W3990" s="39"/>
    </row>
    <row r="3991" spans="23:23" x14ac:dyDescent="0.2">
      <c r="W3991" s="39"/>
    </row>
    <row r="3992" spans="23:23" x14ac:dyDescent="0.2">
      <c r="W3992" s="39"/>
    </row>
    <row r="3993" spans="23:23" x14ac:dyDescent="0.2">
      <c r="W3993" s="39"/>
    </row>
    <row r="3994" spans="23:23" x14ac:dyDescent="0.2">
      <c r="W3994" s="39"/>
    </row>
    <row r="3995" spans="23:23" x14ac:dyDescent="0.2">
      <c r="W3995" s="39"/>
    </row>
    <row r="3996" spans="23:23" x14ac:dyDescent="0.2">
      <c r="W3996" s="39"/>
    </row>
    <row r="3997" spans="23:23" x14ac:dyDescent="0.2">
      <c r="W3997" s="39"/>
    </row>
    <row r="3998" spans="23:23" x14ac:dyDescent="0.2">
      <c r="W3998" s="39"/>
    </row>
    <row r="3999" spans="23:23" x14ac:dyDescent="0.2">
      <c r="W3999" s="39"/>
    </row>
    <row r="4000" spans="23:23" x14ac:dyDescent="0.2">
      <c r="W4000" s="39"/>
    </row>
    <row r="4001" spans="23:23" x14ac:dyDescent="0.2">
      <c r="W4001" s="39"/>
    </row>
    <row r="4002" spans="23:23" x14ac:dyDescent="0.2">
      <c r="W4002" s="39"/>
    </row>
    <row r="4003" spans="23:23" x14ac:dyDescent="0.2">
      <c r="W4003" s="39"/>
    </row>
    <row r="4004" spans="23:23" x14ac:dyDescent="0.2">
      <c r="W4004" s="39"/>
    </row>
    <row r="4005" spans="23:23" x14ac:dyDescent="0.2">
      <c r="W4005" s="39"/>
    </row>
    <row r="4006" spans="23:23" x14ac:dyDescent="0.2">
      <c r="W4006" s="39"/>
    </row>
    <row r="4007" spans="23:23" x14ac:dyDescent="0.2">
      <c r="W4007" s="39"/>
    </row>
    <row r="4008" spans="23:23" x14ac:dyDescent="0.2">
      <c r="W4008" s="39"/>
    </row>
    <row r="4009" spans="23:23" x14ac:dyDescent="0.2">
      <c r="W4009" s="39"/>
    </row>
    <row r="4010" spans="23:23" x14ac:dyDescent="0.2">
      <c r="W4010" s="39"/>
    </row>
    <row r="4011" spans="23:23" x14ac:dyDescent="0.2">
      <c r="W4011" s="39"/>
    </row>
    <row r="4012" spans="23:23" x14ac:dyDescent="0.2">
      <c r="W4012" s="39"/>
    </row>
    <row r="4013" spans="23:23" x14ac:dyDescent="0.2">
      <c r="W4013" s="39"/>
    </row>
    <row r="4014" spans="23:23" x14ac:dyDescent="0.2">
      <c r="W4014" s="39"/>
    </row>
    <row r="4015" spans="23:23" x14ac:dyDescent="0.2">
      <c r="W4015" s="39"/>
    </row>
    <row r="4016" spans="23:23" x14ac:dyDescent="0.2">
      <c r="W4016" s="39"/>
    </row>
    <row r="4017" spans="23:23" x14ac:dyDescent="0.2">
      <c r="W4017" s="39"/>
    </row>
    <row r="4018" spans="23:23" x14ac:dyDescent="0.2">
      <c r="W4018" s="39"/>
    </row>
    <row r="4019" spans="23:23" x14ac:dyDescent="0.2">
      <c r="W4019" s="39"/>
    </row>
    <row r="4020" spans="23:23" x14ac:dyDescent="0.2">
      <c r="W4020" s="39"/>
    </row>
    <row r="4021" spans="23:23" x14ac:dyDescent="0.2">
      <c r="W4021" s="39"/>
    </row>
    <row r="4022" spans="23:23" x14ac:dyDescent="0.2">
      <c r="W4022" s="39"/>
    </row>
    <row r="4023" spans="23:23" x14ac:dyDescent="0.2">
      <c r="W4023" s="39"/>
    </row>
    <row r="4024" spans="23:23" x14ac:dyDescent="0.2">
      <c r="W4024" s="39"/>
    </row>
    <row r="4025" spans="23:23" x14ac:dyDescent="0.2">
      <c r="W4025" s="39"/>
    </row>
    <row r="4026" spans="23:23" x14ac:dyDescent="0.2">
      <c r="W4026" s="39"/>
    </row>
    <row r="4027" spans="23:23" x14ac:dyDescent="0.2">
      <c r="W4027" s="39"/>
    </row>
    <row r="4028" spans="23:23" x14ac:dyDescent="0.2">
      <c r="W4028" s="39"/>
    </row>
    <row r="4029" spans="23:23" x14ac:dyDescent="0.2">
      <c r="W4029" s="39"/>
    </row>
    <row r="4030" spans="23:23" x14ac:dyDescent="0.2">
      <c r="W4030" s="39"/>
    </row>
    <row r="4031" spans="23:23" x14ac:dyDescent="0.2">
      <c r="W4031" s="39"/>
    </row>
    <row r="4032" spans="23:23" x14ac:dyDescent="0.2">
      <c r="W4032" s="39"/>
    </row>
    <row r="4033" spans="23:23" x14ac:dyDescent="0.2">
      <c r="W4033" s="39"/>
    </row>
    <row r="4034" spans="23:23" x14ac:dyDescent="0.2">
      <c r="W4034" s="39"/>
    </row>
    <row r="4035" spans="23:23" x14ac:dyDescent="0.2">
      <c r="W4035" s="39"/>
    </row>
    <row r="4036" spans="23:23" x14ac:dyDescent="0.2">
      <c r="W4036" s="39"/>
    </row>
    <row r="4037" spans="23:23" x14ac:dyDescent="0.2">
      <c r="W4037" s="39"/>
    </row>
    <row r="4038" spans="23:23" x14ac:dyDescent="0.2">
      <c r="W4038" s="39"/>
    </row>
    <row r="4039" spans="23:23" x14ac:dyDescent="0.2">
      <c r="W4039" s="39"/>
    </row>
    <row r="4040" spans="23:23" x14ac:dyDescent="0.2">
      <c r="W4040" s="39"/>
    </row>
    <row r="4041" spans="23:23" x14ac:dyDescent="0.2">
      <c r="W4041" s="39"/>
    </row>
    <row r="4042" spans="23:23" x14ac:dyDescent="0.2">
      <c r="W4042" s="39"/>
    </row>
    <row r="4043" spans="23:23" x14ac:dyDescent="0.2">
      <c r="W4043" s="39"/>
    </row>
    <row r="4044" spans="23:23" x14ac:dyDescent="0.2">
      <c r="W4044" s="39"/>
    </row>
    <row r="4045" spans="23:23" x14ac:dyDescent="0.2">
      <c r="W4045" s="39"/>
    </row>
    <row r="4046" spans="23:23" x14ac:dyDescent="0.2">
      <c r="W4046" s="39"/>
    </row>
    <row r="4047" spans="23:23" x14ac:dyDescent="0.2">
      <c r="W4047" s="39"/>
    </row>
    <row r="4048" spans="23:23" x14ac:dyDescent="0.2">
      <c r="W4048" s="39"/>
    </row>
    <row r="4049" spans="23:23" x14ac:dyDescent="0.2">
      <c r="W4049" s="39"/>
    </row>
    <row r="4050" spans="23:23" x14ac:dyDescent="0.2">
      <c r="W4050" s="39"/>
    </row>
    <row r="4051" spans="23:23" x14ac:dyDescent="0.2">
      <c r="W4051" s="39"/>
    </row>
    <row r="4052" spans="23:23" x14ac:dyDescent="0.2">
      <c r="W4052" s="39"/>
    </row>
    <row r="4053" spans="23:23" x14ac:dyDescent="0.2">
      <c r="W4053" s="39"/>
    </row>
    <row r="4054" spans="23:23" x14ac:dyDescent="0.2">
      <c r="W4054" s="39"/>
    </row>
    <row r="4055" spans="23:23" x14ac:dyDescent="0.2">
      <c r="W4055" s="39"/>
    </row>
    <row r="4056" spans="23:23" x14ac:dyDescent="0.2">
      <c r="W4056" s="39"/>
    </row>
    <row r="4057" spans="23:23" x14ac:dyDescent="0.2">
      <c r="W4057" s="39"/>
    </row>
    <row r="4058" spans="23:23" x14ac:dyDescent="0.2">
      <c r="W4058" s="39"/>
    </row>
    <row r="4059" spans="23:23" x14ac:dyDescent="0.2">
      <c r="W4059" s="39"/>
    </row>
    <row r="4060" spans="23:23" x14ac:dyDescent="0.2">
      <c r="W4060" s="39"/>
    </row>
    <row r="4061" spans="23:23" x14ac:dyDescent="0.2">
      <c r="W4061" s="39"/>
    </row>
    <row r="4062" spans="23:23" x14ac:dyDescent="0.2">
      <c r="W4062" s="39"/>
    </row>
    <row r="4063" spans="23:23" x14ac:dyDescent="0.2">
      <c r="W4063" s="39"/>
    </row>
    <row r="4064" spans="23:23" x14ac:dyDescent="0.2">
      <c r="W4064" s="39"/>
    </row>
    <row r="4065" spans="23:23" x14ac:dyDescent="0.2">
      <c r="W4065" s="39"/>
    </row>
    <row r="4066" spans="23:23" x14ac:dyDescent="0.2">
      <c r="W4066" s="39"/>
    </row>
    <row r="4067" spans="23:23" x14ac:dyDescent="0.2">
      <c r="W4067" s="39"/>
    </row>
    <row r="4068" spans="23:23" x14ac:dyDescent="0.2">
      <c r="W4068" s="39"/>
    </row>
    <row r="4069" spans="23:23" x14ac:dyDescent="0.2">
      <c r="W4069" s="39"/>
    </row>
    <row r="4070" spans="23:23" x14ac:dyDescent="0.2">
      <c r="W4070" s="39"/>
    </row>
    <row r="4071" spans="23:23" x14ac:dyDescent="0.2">
      <c r="W4071" s="39"/>
    </row>
    <row r="4072" spans="23:23" x14ac:dyDescent="0.2">
      <c r="W4072" s="39"/>
    </row>
    <row r="4073" spans="23:23" x14ac:dyDescent="0.2">
      <c r="W4073" s="39"/>
    </row>
    <row r="4074" spans="23:23" x14ac:dyDescent="0.2">
      <c r="W4074" s="39"/>
    </row>
    <row r="4075" spans="23:23" x14ac:dyDescent="0.2">
      <c r="W4075" s="39"/>
    </row>
    <row r="4076" spans="23:23" x14ac:dyDescent="0.2">
      <c r="W4076" s="39"/>
    </row>
    <row r="4077" spans="23:23" x14ac:dyDescent="0.2">
      <c r="W4077" s="39"/>
    </row>
    <row r="4078" spans="23:23" x14ac:dyDescent="0.2">
      <c r="W4078" s="39"/>
    </row>
    <row r="4079" spans="23:23" x14ac:dyDescent="0.2">
      <c r="W4079" s="39"/>
    </row>
    <row r="4080" spans="23:23" x14ac:dyDescent="0.2">
      <c r="W4080" s="39"/>
    </row>
    <row r="4081" spans="23:23" x14ac:dyDescent="0.2">
      <c r="W4081" s="39"/>
    </row>
    <row r="4082" spans="23:23" x14ac:dyDescent="0.2">
      <c r="W4082" s="39"/>
    </row>
    <row r="4083" spans="23:23" x14ac:dyDescent="0.2">
      <c r="W4083" s="39"/>
    </row>
    <row r="4084" spans="23:23" x14ac:dyDescent="0.2">
      <c r="W4084" s="39"/>
    </row>
    <row r="4085" spans="23:23" x14ac:dyDescent="0.2">
      <c r="W4085" s="39"/>
    </row>
    <row r="4086" spans="23:23" x14ac:dyDescent="0.2">
      <c r="W4086" s="39"/>
    </row>
    <row r="4087" spans="23:23" x14ac:dyDescent="0.2">
      <c r="W4087" s="39"/>
    </row>
    <row r="4088" spans="23:23" x14ac:dyDescent="0.2">
      <c r="W4088" s="39"/>
    </row>
    <row r="4089" spans="23:23" x14ac:dyDescent="0.2">
      <c r="W4089" s="39"/>
    </row>
    <row r="4090" spans="23:23" x14ac:dyDescent="0.2">
      <c r="W4090" s="39"/>
    </row>
    <row r="4091" spans="23:23" x14ac:dyDescent="0.2">
      <c r="W4091" s="39"/>
    </row>
    <row r="4092" spans="23:23" x14ac:dyDescent="0.2">
      <c r="W4092" s="39"/>
    </row>
    <row r="4093" spans="23:23" x14ac:dyDescent="0.2">
      <c r="W4093" s="39"/>
    </row>
    <row r="4094" spans="23:23" x14ac:dyDescent="0.2">
      <c r="W4094" s="39"/>
    </row>
    <row r="4095" spans="23:23" x14ac:dyDescent="0.2">
      <c r="W4095" s="39"/>
    </row>
    <row r="4096" spans="23:23" x14ac:dyDescent="0.2">
      <c r="W4096" s="39"/>
    </row>
    <row r="4097" spans="23:23" x14ac:dyDescent="0.2">
      <c r="W4097" s="39"/>
    </row>
    <row r="4098" spans="23:23" x14ac:dyDescent="0.2">
      <c r="W4098" s="39"/>
    </row>
    <row r="4099" spans="23:23" x14ac:dyDescent="0.2">
      <c r="W4099" s="39"/>
    </row>
    <row r="4100" spans="23:23" x14ac:dyDescent="0.2">
      <c r="W4100" s="39"/>
    </row>
    <row r="4101" spans="23:23" x14ac:dyDescent="0.2">
      <c r="W4101" s="39"/>
    </row>
    <row r="4102" spans="23:23" x14ac:dyDescent="0.2">
      <c r="W4102" s="39"/>
    </row>
    <row r="4103" spans="23:23" x14ac:dyDescent="0.2">
      <c r="W4103" s="39"/>
    </row>
    <row r="4104" spans="23:23" x14ac:dyDescent="0.2">
      <c r="W4104" s="39"/>
    </row>
    <row r="4105" spans="23:23" x14ac:dyDescent="0.2">
      <c r="W4105" s="39"/>
    </row>
    <row r="4106" spans="23:23" x14ac:dyDescent="0.2">
      <c r="W4106" s="39"/>
    </row>
    <row r="4107" spans="23:23" x14ac:dyDescent="0.2">
      <c r="W4107" s="39"/>
    </row>
    <row r="4108" spans="23:23" x14ac:dyDescent="0.2">
      <c r="W4108" s="39"/>
    </row>
    <row r="4109" spans="23:23" x14ac:dyDescent="0.2">
      <c r="W4109" s="39"/>
    </row>
    <row r="4110" spans="23:23" x14ac:dyDescent="0.2">
      <c r="W4110" s="39"/>
    </row>
    <row r="4111" spans="23:23" x14ac:dyDescent="0.2">
      <c r="W4111" s="39"/>
    </row>
    <row r="4112" spans="23:23" x14ac:dyDescent="0.2">
      <c r="W4112" s="39"/>
    </row>
    <row r="4113" spans="23:23" x14ac:dyDescent="0.2">
      <c r="W4113" s="39"/>
    </row>
    <row r="4114" spans="23:23" x14ac:dyDescent="0.2">
      <c r="W4114" s="39"/>
    </row>
    <row r="4115" spans="23:23" x14ac:dyDescent="0.2">
      <c r="W4115" s="39"/>
    </row>
    <row r="4116" spans="23:23" x14ac:dyDescent="0.2">
      <c r="W4116" s="39"/>
    </row>
    <row r="4117" spans="23:23" x14ac:dyDescent="0.2">
      <c r="W4117" s="39"/>
    </row>
    <row r="4118" spans="23:23" x14ac:dyDescent="0.2">
      <c r="W4118" s="39"/>
    </row>
    <row r="4119" spans="23:23" x14ac:dyDescent="0.2">
      <c r="W4119" s="39"/>
    </row>
    <row r="4120" spans="23:23" x14ac:dyDescent="0.2">
      <c r="W4120" s="39"/>
    </row>
    <row r="4121" spans="23:23" x14ac:dyDescent="0.2">
      <c r="W4121" s="39"/>
    </row>
    <row r="4122" spans="23:23" x14ac:dyDescent="0.2">
      <c r="W4122" s="39"/>
    </row>
    <row r="4123" spans="23:23" x14ac:dyDescent="0.2">
      <c r="W4123" s="39"/>
    </row>
    <row r="4124" spans="23:23" x14ac:dyDescent="0.2">
      <c r="W4124" s="39"/>
    </row>
    <row r="4125" spans="23:23" x14ac:dyDescent="0.2">
      <c r="W4125" s="39"/>
    </row>
    <row r="4126" spans="23:23" x14ac:dyDescent="0.2">
      <c r="W4126" s="39"/>
    </row>
    <row r="4127" spans="23:23" x14ac:dyDescent="0.2">
      <c r="W4127" s="39"/>
    </row>
    <row r="4128" spans="23:23" x14ac:dyDescent="0.2">
      <c r="W4128" s="39"/>
    </row>
    <row r="4129" spans="23:23" x14ac:dyDescent="0.2">
      <c r="W4129" s="39"/>
    </row>
    <row r="4130" spans="23:23" x14ac:dyDescent="0.2">
      <c r="W4130" s="39"/>
    </row>
    <row r="4131" spans="23:23" x14ac:dyDescent="0.2">
      <c r="W4131" s="39"/>
    </row>
    <row r="4132" spans="23:23" x14ac:dyDescent="0.2">
      <c r="W4132" s="39"/>
    </row>
    <row r="4133" spans="23:23" x14ac:dyDescent="0.2">
      <c r="W4133" s="39"/>
    </row>
    <row r="4134" spans="23:23" x14ac:dyDescent="0.2">
      <c r="W4134" s="39"/>
    </row>
    <row r="4135" spans="23:23" x14ac:dyDescent="0.2">
      <c r="W4135" s="39"/>
    </row>
    <row r="4136" spans="23:23" x14ac:dyDescent="0.2">
      <c r="W4136" s="39"/>
    </row>
    <row r="4137" spans="23:23" x14ac:dyDescent="0.2">
      <c r="W4137" s="39"/>
    </row>
    <row r="4138" spans="23:23" x14ac:dyDescent="0.2">
      <c r="W4138" s="39"/>
    </row>
    <row r="4139" spans="23:23" x14ac:dyDescent="0.2">
      <c r="W4139" s="39"/>
    </row>
    <row r="4140" spans="23:23" x14ac:dyDescent="0.2">
      <c r="W4140" s="39"/>
    </row>
    <row r="4141" spans="23:23" x14ac:dyDescent="0.2">
      <c r="W4141" s="39"/>
    </row>
    <row r="4142" spans="23:23" x14ac:dyDescent="0.2">
      <c r="W4142" s="39"/>
    </row>
    <row r="4143" spans="23:23" x14ac:dyDescent="0.2">
      <c r="W4143" s="39"/>
    </row>
    <row r="4144" spans="23:23" x14ac:dyDescent="0.2">
      <c r="W4144" s="39"/>
    </row>
    <row r="4145" spans="23:23" x14ac:dyDescent="0.2">
      <c r="W4145" s="39"/>
    </row>
    <row r="4146" spans="23:23" x14ac:dyDescent="0.2">
      <c r="W4146" s="39"/>
    </row>
    <row r="4147" spans="23:23" x14ac:dyDescent="0.2">
      <c r="W4147" s="39"/>
    </row>
    <row r="4148" spans="23:23" x14ac:dyDescent="0.2">
      <c r="W4148" s="39"/>
    </row>
    <row r="4149" spans="23:23" x14ac:dyDescent="0.2">
      <c r="W4149" s="39"/>
    </row>
    <row r="4150" spans="23:23" x14ac:dyDescent="0.2">
      <c r="W4150" s="39"/>
    </row>
    <row r="4151" spans="23:23" x14ac:dyDescent="0.2">
      <c r="W4151" s="39"/>
    </row>
    <row r="4152" spans="23:23" x14ac:dyDescent="0.2">
      <c r="W4152" s="39"/>
    </row>
    <row r="4153" spans="23:23" x14ac:dyDescent="0.2">
      <c r="W4153" s="39"/>
    </row>
    <row r="4154" spans="23:23" x14ac:dyDescent="0.2">
      <c r="W4154" s="39"/>
    </row>
    <row r="4155" spans="23:23" x14ac:dyDescent="0.2">
      <c r="W4155" s="39"/>
    </row>
    <row r="4156" spans="23:23" x14ac:dyDescent="0.2">
      <c r="W4156" s="39"/>
    </row>
    <row r="4157" spans="23:23" x14ac:dyDescent="0.2">
      <c r="W4157" s="39"/>
    </row>
    <row r="4158" spans="23:23" x14ac:dyDescent="0.2">
      <c r="W4158" s="39"/>
    </row>
    <row r="4159" spans="23:23" x14ac:dyDescent="0.2">
      <c r="W4159" s="39"/>
    </row>
    <row r="4160" spans="23:23" x14ac:dyDescent="0.2">
      <c r="W4160" s="39"/>
    </row>
    <row r="4161" spans="23:23" x14ac:dyDescent="0.2">
      <c r="W4161" s="39"/>
    </row>
    <row r="4162" spans="23:23" x14ac:dyDescent="0.2">
      <c r="W4162" s="39"/>
    </row>
    <row r="4163" spans="23:23" x14ac:dyDescent="0.2">
      <c r="W4163" s="39"/>
    </row>
    <row r="4164" spans="23:23" x14ac:dyDescent="0.2">
      <c r="W4164" s="39"/>
    </row>
    <row r="4165" spans="23:23" x14ac:dyDescent="0.2">
      <c r="W4165" s="39"/>
    </row>
    <row r="4166" spans="23:23" x14ac:dyDescent="0.2">
      <c r="W4166" s="39"/>
    </row>
    <row r="4167" spans="23:23" x14ac:dyDescent="0.2">
      <c r="W4167" s="39"/>
    </row>
    <row r="4168" spans="23:23" x14ac:dyDescent="0.2">
      <c r="W4168" s="39"/>
    </row>
    <row r="4169" spans="23:23" x14ac:dyDescent="0.2">
      <c r="W4169" s="39"/>
    </row>
    <row r="4170" spans="23:23" x14ac:dyDescent="0.2">
      <c r="W4170" s="39"/>
    </row>
    <row r="4171" spans="23:23" x14ac:dyDescent="0.2">
      <c r="W4171" s="39"/>
    </row>
    <row r="4172" spans="23:23" x14ac:dyDescent="0.2">
      <c r="W4172" s="39"/>
    </row>
    <row r="4173" spans="23:23" x14ac:dyDescent="0.2">
      <c r="W4173" s="39"/>
    </row>
    <row r="4174" spans="23:23" x14ac:dyDescent="0.2">
      <c r="W4174" s="39"/>
    </row>
    <row r="4175" spans="23:23" x14ac:dyDescent="0.2">
      <c r="W4175" s="39"/>
    </row>
    <row r="4176" spans="23:23" x14ac:dyDescent="0.2">
      <c r="W4176" s="39"/>
    </row>
    <row r="4177" spans="23:23" x14ac:dyDescent="0.2">
      <c r="W4177" s="39"/>
    </row>
    <row r="4178" spans="23:23" x14ac:dyDescent="0.2">
      <c r="W4178" s="39"/>
    </row>
    <row r="4179" spans="23:23" x14ac:dyDescent="0.2">
      <c r="W4179" s="39"/>
    </row>
    <row r="4180" spans="23:23" x14ac:dyDescent="0.2">
      <c r="W4180" s="39"/>
    </row>
    <row r="4181" spans="23:23" x14ac:dyDescent="0.2">
      <c r="W4181" s="39"/>
    </row>
    <row r="4182" spans="23:23" x14ac:dyDescent="0.2">
      <c r="W4182" s="39"/>
    </row>
    <row r="4183" spans="23:23" x14ac:dyDescent="0.2">
      <c r="W4183" s="39"/>
    </row>
    <row r="4184" spans="23:23" x14ac:dyDescent="0.2">
      <c r="W4184" s="39"/>
    </row>
    <row r="4185" spans="23:23" x14ac:dyDescent="0.2">
      <c r="W4185" s="39"/>
    </row>
    <row r="4186" spans="23:23" x14ac:dyDescent="0.2">
      <c r="W4186" s="39"/>
    </row>
    <row r="4187" spans="23:23" x14ac:dyDescent="0.2">
      <c r="W4187" s="39"/>
    </row>
    <row r="4188" spans="23:23" x14ac:dyDescent="0.2">
      <c r="W4188" s="39"/>
    </row>
    <row r="4189" spans="23:23" x14ac:dyDescent="0.2">
      <c r="W4189" s="39"/>
    </row>
    <row r="4190" spans="23:23" x14ac:dyDescent="0.2">
      <c r="W4190" s="39"/>
    </row>
    <row r="4191" spans="23:23" x14ac:dyDescent="0.2">
      <c r="W4191" s="39"/>
    </row>
    <row r="4192" spans="23:23" x14ac:dyDescent="0.2">
      <c r="W4192" s="39"/>
    </row>
    <row r="4193" spans="23:23" x14ac:dyDescent="0.2">
      <c r="W4193" s="39"/>
    </row>
    <row r="4194" spans="23:23" x14ac:dyDescent="0.2">
      <c r="W4194" s="39"/>
    </row>
    <row r="4195" spans="23:23" x14ac:dyDescent="0.2">
      <c r="W4195" s="39"/>
    </row>
    <row r="4196" spans="23:23" x14ac:dyDescent="0.2">
      <c r="W4196" s="39"/>
    </row>
    <row r="4197" spans="23:23" x14ac:dyDescent="0.2">
      <c r="W4197" s="39"/>
    </row>
    <row r="4198" spans="23:23" x14ac:dyDescent="0.2">
      <c r="W4198" s="39"/>
    </row>
    <row r="4199" spans="23:23" x14ac:dyDescent="0.2">
      <c r="W4199" s="39"/>
    </row>
    <row r="4200" spans="23:23" x14ac:dyDescent="0.2">
      <c r="W4200" s="39"/>
    </row>
    <row r="4201" spans="23:23" x14ac:dyDescent="0.2">
      <c r="W4201" s="39"/>
    </row>
    <row r="4202" spans="23:23" x14ac:dyDescent="0.2">
      <c r="W4202" s="39"/>
    </row>
    <row r="4203" spans="23:23" x14ac:dyDescent="0.2">
      <c r="W4203" s="39"/>
    </row>
    <row r="4204" spans="23:23" x14ac:dyDescent="0.2">
      <c r="W4204" s="39"/>
    </row>
    <row r="4205" spans="23:23" x14ac:dyDescent="0.2">
      <c r="W4205" s="39"/>
    </row>
    <row r="4206" spans="23:23" x14ac:dyDescent="0.2">
      <c r="W4206" s="39"/>
    </row>
    <row r="4207" spans="23:23" x14ac:dyDescent="0.2">
      <c r="W4207" s="39"/>
    </row>
    <row r="4208" spans="23:23" x14ac:dyDescent="0.2">
      <c r="W4208" s="39"/>
    </row>
    <row r="4209" spans="23:23" x14ac:dyDescent="0.2">
      <c r="W4209" s="39"/>
    </row>
    <row r="4210" spans="23:23" x14ac:dyDescent="0.2">
      <c r="W4210" s="39"/>
    </row>
    <row r="4211" spans="23:23" x14ac:dyDescent="0.2">
      <c r="W4211" s="39"/>
    </row>
    <row r="4212" spans="23:23" x14ac:dyDescent="0.2">
      <c r="W4212" s="39"/>
    </row>
    <row r="4213" spans="23:23" x14ac:dyDescent="0.2">
      <c r="W4213" s="39"/>
    </row>
    <row r="4214" spans="23:23" x14ac:dyDescent="0.2">
      <c r="W4214" s="39"/>
    </row>
    <row r="4215" spans="23:23" x14ac:dyDescent="0.2">
      <c r="W4215" s="39"/>
    </row>
    <row r="4216" spans="23:23" x14ac:dyDescent="0.2">
      <c r="W4216" s="39"/>
    </row>
    <row r="4217" spans="23:23" x14ac:dyDescent="0.2">
      <c r="W4217" s="39"/>
    </row>
    <row r="4218" spans="23:23" x14ac:dyDescent="0.2">
      <c r="W4218" s="39"/>
    </row>
    <row r="4219" spans="23:23" x14ac:dyDescent="0.2">
      <c r="W4219" s="39"/>
    </row>
    <row r="4220" spans="23:23" x14ac:dyDescent="0.2">
      <c r="W4220" s="39"/>
    </row>
    <row r="4221" spans="23:23" x14ac:dyDescent="0.2">
      <c r="W4221" s="39"/>
    </row>
    <row r="4222" spans="23:23" x14ac:dyDescent="0.2">
      <c r="W4222" s="39"/>
    </row>
    <row r="4223" spans="23:23" x14ac:dyDescent="0.2">
      <c r="W4223" s="39"/>
    </row>
    <row r="4224" spans="23:23" x14ac:dyDescent="0.2">
      <c r="W4224" s="39"/>
    </row>
    <row r="4225" spans="23:23" x14ac:dyDescent="0.2">
      <c r="W4225" s="39"/>
    </row>
    <row r="4226" spans="23:23" x14ac:dyDescent="0.2">
      <c r="W4226" s="39"/>
    </row>
    <row r="4227" spans="23:23" x14ac:dyDescent="0.2">
      <c r="W4227" s="39"/>
    </row>
    <row r="4228" spans="23:23" x14ac:dyDescent="0.2">
      <c r="W4228" s="39"/>
    </row>
    <row r="4229" spans="23:23" x14ac:dyDescent="0.2">
      <c r="W4229" s="39"/>
    </row>
    <row r="4230" spans="23:23" x14ac:dyDescent="0.2">
      <c r="W4230" s="39"/>
    </row>
    <row r="4231" spans="23:23" x14ac:dyDescent="0.2">
      <c r="W4231" s="39"/>
    </row>
    <row r="4232" spans="23:23" x14ac:dyDescent="0.2">
      <c r="W4232" s="39"/>
    </row>
    <row r="4233" spans="23:23" x14ac:dyDescent="0.2">
      <c r="W4233" s="39"/>
    </row>
    <row r="4234" spans="23:23" x14ac:dyDescent="0.2">
      <c r="W4234" s="39"/>
    </row>
    <row r="4235" spans="23:23" x14ac:dyDescent="0.2">
      <c r="W4235" s="39"/>
    </row>
    <row r="4236" spans="23:23" x14ac:dyDescent="0.2">
      <c r="W4236" s="39"/>
    </row>
    <row r="4237" spans="23:23" x14ac:dyDescent="0.2">
      <c r="W4237" s="39"/>
    </row>
    <row r="4238" spans="23:23" x14ac:dyDescent="0.2">
      <c r="W4238" s="39"/>
    </row>
    <row r="4239" spans="23:23" x14ac:dyDescent="0.2">
      <c r="W4239" s="39"/>
    </row>
    <row r="4240" spans="23:23" x14ac:dyDescent="0.2">
      <c r="W4240" s="39"/>
    </row>
    <row r="4241" spans="23:23" x14ac:dyDescent="0.2">
      <c r="W4241" s="39"/>
    </row>
    <row r="4242" spans="23:23" x14ac:dyDescent="0.2">
      <c r="W4242" s="39"/>
    </row>
    <row r="4243" spans="23:23" x14ac:dyDescent="0.2">
      <c r="W4243" s="39"/>
    </row>
    <row r="4244" spans="23:23" x14ac:dyDescent="0.2">
      <c r="W4244" s="39"/>
    </row>
    <row r="4245" spans="23:23" x14ac:dyDescent="0.2">
      <c r="W4245" s="39"/>
    </row>
    <row r="4246" spans="23:23" x14ac:dyDescent="0.2">
      <c r="W4246" s="39"/>
    </row>
    <row r="4247" spans="23:23" x14ac:dyDescent="0.2">
      <c r="W4247" s="39"/>
    </row>
    <row r="4248" spans="23:23" x14ac:dyDescent="0.2">
      <c r="W4248" s="39"/>
    </row>
    <row r="4249" spans="23:23" x14ac:dyDescent="0.2">
      <c r="W4249" s="39"/>
    </row>
    <row r="4250" spans="23:23" x14ac:dyDescent="0.2">
      <c r="W4250" s="39"/>
    </row>
    <row r="4251" spans="23:23" x14ac:dyDescent="0.2">
      <c r="W4251" s="39"/>
    </row>
    <row r="4252" spans="23:23" x14ac:dyDescent="0.2">
      <c r="W4252" s="39"/>
    </row>
    <row r="4253" spans="23:23" x14ac:dyDescent="0.2">
      <c r="W4253" s="39"/>
    </row>
    <row r="4254" spans="23:23" x14ac:dyDescent="0.2">
      <c r="W4254" s="39"/>
    </row>
    <row r="4255" spans="23:23" x14ac:dyDescent="0.2">
      <c r="W4255" s="39"/>
    </row>
    <row r="4256" spans="23:23" x14ac:dyDescent="0.2">
      <c r="W4256" s="39"/>
    </row>
    <row r="4257" spans="23:23" x14ac:dyDescent="0.2">
      <c r="W4257" s="39"/>
    </row>
    <row r="4258" spans="23:23" x14ac:dyDescent="0.2">
      <c r="W4258" s="39"/>
    </row>
    <row r="4259" spans="23:23" x14ac:dyDescent="0.2">
      <c r="W4259" s="39"/>
    </row>
    <row r="4260" spans="23:23" x14ac:dyDescent="0.2">
      <c r="W4260" s="39"/>
    </row>
    <row r="4261" spans="23:23" x14ac:dyDescent="0.2">
      <c r="W4261" s="39"/>
    </row>
    <row r="4262" spans="23:23" x14ac:dyDescent="0.2">
      <c r="W4262" s="39"/>
    </row>
    <row r="4263" spans="23:23" x14ac:dyDescent="0.2">
      <c r="W4263" s="39"/>
    </row>
    <row r="4264" spans="23:23" x14ac:dyDescent="0.2">
      <c r="W4264" s="39"/>
    </row>
    <row r="4265" spans="23:23" x14ac:dyDescent="0.2">
      <c r="W4265" s="39"/>
    </row>
    <row r="4266" spans="23:23" x14ac:dyDescent="0.2">
      <c r="W4266" s="39"/>
    </row>
    <row r="4267" spans="23:23" x14ac:dyDescent="0.2">
      <c r="W4267" s="39"/>
    </row>
    <row r="4268" spans="23:23" x14ac:dyDescent="0.2">
      <c r="W4268" s="39"/>
    </row>
    <row r="4269" spans="23:23" x14ac:dyDescent="0.2">
      <c r="W4269" s="39"/>
    </row>
    <row r="4270" spans="23:23" x14ac:dyDescent="0.2">
      <c r="W4270" s="39"/>
    </row>
    <row r="4271" spans="23:23" x14ac:dyDescent="0.2">
      <c r="W4271" s="39"/>
    </row>
    <row r="4272" spans="23:23" x14ac:dyDescent="0.2">
      <c r="W4272" s="39"/>
    </row>
    <row r="4273" spans="23:23" x14ac:dyDescent="0.2">
      <c r="W4273" s="39"/>
    </row>
    <row r="4274" spans="23:23" x14ac:dyDescent="0.2">
      <c r="W4274" s="39"/>
    </row>
    <row r="4275" spans="23:23" x14ac:dyDescent="0.2">
      <c r="W4275" s="39"/>
    </row>
    <row r="4276" spans="23:23" x14ac:dyDescent="0.2">
      <c r="W4276" s="39"/>
    </row>
    <row r="4277" spans="23:23" x14ac:dyDescent="0.2">
      <c r="W4277" s="39"/>
    </row>
    <row r="4278" spans="23:23" x14ac:dyDescent="0.2">
      <c r="W4278" s="39"/>
    </row>
    <row r="4279" spans="23:23" x14ac:dyDescent="0.2">
      <c r="W4279" s="39"/>
    </row>
    <row r="4280" spans="23:23" x14ac:dyDescent="0.2">
      <c r="W4280" s="39"/>
    </row>
    <row r="4281" spans="23:23" x14ac:dyDescent="0.2">
      <c r="W4281" s="39"/>
    </row>
    <row r="4282" spans="23:23" x14ac:dyDescent="0.2">
      <c r="W4282" s="39"/>
    </row>
    <row r="4283" spans="23:23" x14ac:dyDescent="0.2">
      <c r="W4283" s="39"/>
    </row>
    <row r="4284" spans="23:23" x14ac:dyDescent="0.2">
      <c r="W4284" s="39"/>
    </row>
    <row r="4285" spans="23:23" x14ac:dyDescent="0.2">
      <c r="W4285" s="39"/>
    </row>
    <row r="4286" spans="23:23" x14ac:dyDescent="0.2">
      <c r="W4286" s="39"/>
    </row>
    <row r="4287" spans="23:23" x14ac:dyDescent="0.2">
      <c r="W4287" s="39"/>
    </row>
    <row r="4288" spans="23:23" x14ac:dyDescent="0.2">
      <c r="W4288" s="39"/>
    </row>
    <row r="4289" spans="23:23" x14ac:dyDescent="0.2">
      <c r="W4289" s="39"/>
    </row>
    <row r="4290" spans="23:23" x14ac:dyDescent="0.2">
      <c r="W4290" s="39"/>
    </row>
    <row r="4291" spans="23:23" x14ac:dyDescent="0.2">
      <c r="W4291" s="39"/>
    </row>
    <row r="4292" spans="23:23" x14ac:dyDescent="0.2">
      <c r="W4292" s="39"/>
    </row>
    <row r="4293" spans="23:23" x14ac:dyDescent="0.2">
      <c r="W4293" s="39"/>
    </row>
    <row r="4294" spans="23:23" x14ac:dyDescent="0.2">
      <c r="W4294" s="39"/>
    </row>
    <row r="4295" spans="23:23" x14ac:dyDescent="0.2">
      <c r="W4295" s="39"/>
    </row>
    <row r="4296" spans="23:23" x14ac:dyDescent="0.2">
      <c r="W4296" s="39"/>
    </row>
    <row r="4297" spans="23:23" x14ac:dyDescent="0.2">
      <c r="W4297" s="39"/>
    </row>
    <row r="4298" spans="23:23" x14ac:dyDescent="0.2">
      <c r="W4298" s="39"/>
    </row>
    <row r="4299" spans="23:23" x14ac:dyDescent="0.2">
      <c r="W4299" s="39"/>
    </row>
    <row r="4300" spans="23:23" x14ac:dyDescent="0.2">
      <c r="W4300" s="39"/>
    </row>
    <row r="4301" spans="23:23" x14ac:dyDescent="0.2">
      <c r="W4301" s="39"/>
    </row>
    <row r="4302" spans="23:23" x14ac:dyDescent="0.2">
      <c r="W4302" s="39"/>
    </row>
    <row r="4303" spans="23:23" x14ac:dyDescent="0.2">
      <c r="W4303" s="39"/>
    </row>
    <row r="4304" spans="23:23" x14ac:dyDescent="0.2">
      <c r="W4304" s="39"/>
    </row>
    <row r="4305" spans="23:23" x14ac:dyDescent="0.2">
      <c r="W4305" s="39"/>
    </row>
    <row r="4306" spans="23:23" x14ac:dyDescent="0.2">
      <c r="W4306" s="39"/>
    </row>
    <row r="4307" spans="23:23" x14ac:dyDescent="0.2">
      <c r="W4307" s="39"/>
    </row>
    <row r="4308" spans="23:23" x14ac:dyDescent="0.2">
      <c r="W4308" s="39"/>
    </row>
    <row r="4309" spans="23:23" x14ac:dyDescent="0.2">
      <c r="W4309" s="39"/>
    </row>
    <row r="4310" spans="23:23" x14ac:dyDescent="0.2">
      <c r="W4310" s="39"/>
    </row>
    <row r="4311" spans="23:23" x14ac:dyDescent="0.2">
      <c r="W4311" s="39"/>
    </row>
    <row r="4312" spans="23:23" x14ac:dyDescent="0.2">
      <c r="W4312" s="39"/>
    </row>
    <row r="4313" spans="23:23" x14ac:dyDescent="0.2">
      <c r="W4313" s="39"/>
    </row>
    <row r="4314" spans="23:23" x14ac:dyDescent="0.2">
      <c r="W4314" s="39"/>
    </row>
    <row r="4315" spans="23:23" x14ac:dyDescent="0.2">
      <c r="W4315" s="39"/>
    </row>
    <row r="4316" spans="23:23" x14ac:dyDescent="0.2">
      <c r="W4316" s="39"/>
    </row>
    <row r="4317" spans="23:23" x14ac:dyDescent="0.2">
      <c r="W4317" s="39"/>
    </row>
    <row r="4318" spans="23:23" x14ac:dyDescent="0.2">
      <c r="W4318" s="39"/>
    </row>
    <row r="4319" spans="23:23" x14ac:dyDescent="0.2">
      <c r="W4319" s="39"/>
    </row>
    <row r="4320" spans="23:23" x14ac:dyDescent="0.2">
      <c r="W4320" s="39"/>
    </row>
    <row r="4321" spans="23:23" x14ac:dyDescent="0.2">
      <c r="W4321" s="39"/>
    </row>
    <row r="4322" spans="23:23" x14ac:dyDescent="0.2">
      <c r="W4322" s="39"/>
    </row>
    <row r="4323" spans="23:23" x14ac:dyDescent="0.2">
      <c r="W4323" s="39"/>
    </row>
    <row r="4324" spans="23:23" x14ac:dyDescent="0.2">
      <c r="W4324" s="39"/>
    </row>
    <row r="4325" spans="23:23" x14ac:dyDescent="0.2">
      <c r="W4325" s="39"/>
    </row>
    <row r="4326" spans="23:23" x14ac:dyDescent="0.2">
      <c r="W4326" s="39"/>
    </row>
    <row r="4327" spans="23:23" x14ac:dyDescent="0.2">
      <c r="W4327" s="39"/>
    </row>
    <row r="4328" spans="23:23" x14ac:dyDescent="0.2">
      <c r="W4328" s="39"/>
    </row>
    <row r="4329" spans="23:23" x14ac:dyDescent="0.2">
      <c r="W4329" s="39"/>
    </row>
    <row r="4330" spans="23:23" x14ac:dyDescent="0.2">
      <c r="W4330" s="39"/>
    </row>
    <row r="4331" spans="23:23" x14ac:dyDescent="0.2">
      <c r="W4331" s="39"/>
    </row>
    <row r="4332" spans="23:23" x14ac:dyDescent="0.2">
      <c r="W4332" s="39"/>
    </row>
    <row r="4333" spans="23:23" x14ac:dyDescent="0.2">
      <c r="W4333" s="39"/>
    </row>
    <row r="4334" spans="23:23" x14ac:dyDescent="0.2">
      <c r="W4334" s="39"/>
    </row>
    <row r="4335" spans="23:23" x14ac:dyDescent="0.2">
      <c r="W4335" s="39"/>
    </row>
    <row r="4336" spans="23:23" x14ac:dyDescent="0.2">
      <c r="W4336" s="39"/>
    </row>
    <row r="4337" spans="23:23" x14ac:dyDescent="0.2">
      <c r="W4337" s="39"/>
    </row>
    <row r="4338" spans="23:23" x14ac:dyDescent="0.2">
      <c r="W4338" s="39"/>
    </row>
    <row r="4339" spans="23:23" x14ac:dyDescent="0.2">
      <c r="W4339" s="39"/>
    </row>
    <row r="4340" spans="23:23" x14ac:dyDescent="0.2">
      <c r="W4340" s="39"/>
    </row>
    <row r="4341" spans="23:23" x14ac:dyDescent="0.2">
      <c r="W4341" s="39"/>
    </row>
    <row r="4342" spans="23:23" x14ac:dyDescent="0.2">
      <c r="W4342" s="39"/>
    </row>
    <row r="4343" spans="23:23" x14ac:dyDescent="0.2">
      <c r="W4343" s="39"/>
    </row>
    <row r="4344" spans="23:23" x14ac:dyDescent="0.2">
      <c r="W4344" s="39"/>
    </row>
    <row r="4345" spans="23:23" x14ac:dyDescent="0.2">
      <c r="W4345" s="39"/>
    </row>
    <row r="4346" spans="23:23" x14ac:dyDescent="0.2">
      <c r="W4346" s="39"/>
    </row>
    <row r="4347" spans="23:23" x14ac:dyDescent="0.2">
      <c r="W4347" s="39"/>
    </row>
    <row r="4348" spans="23:23" x14ac:dyDescent="0.2">
      <c r="W4348" s="39"/>
    </row>
    <row r="4349" spans="23:23" x14ac:dyDescent="0.2">
      <c r="W4349" s="39"/>
    </row>
    <row r="4350" spans="23:23" x14ac:dyDescent="0.2">
      <c r="W4350" s="39"/>
    </row>
    <row r="4351" spans="23:23" x14ac:dyDescent="0.2">
      <c r="W4351" s="39"/>
    </row>
    <row r="4352" spans="23:23" x14ac:dyDescent="0.2">
      <c r="W4352" s="39"/>
    </row>
    <row r="4353" spans="23:23" x14ac:dyDescent="0.2">
      <c r="W4353" s="39"/>
    </row>
    <row r="4354" spans="23:23" x14ac:dyDescent="0.2">
      <c r="W4354" s="39"/>
    </row>
    <row r="4355" spans="23:23" x14ac:dyDescent="0.2">
      <c r="W4355" s="39"/>
    </row>
    <row r="4356" spans="23:23" x14ac:dyDescent="0.2">
      <c r="W4356" s="39"/>
    </row>
    <row r="4357" spans="23:23" x14ac:dyDescent="0.2">
      <c r="W4357" s="39"/>
    </row>
    <row r="4358" spans="23:23" x14ac:dyDescent="0.2">
      <c r="W4358" s="39"/>
    </row>
    <row r="4359" spans="23:23" x14ac:dyDescent="0.2">
      <c r="W4359" s="39"/>
    </row>
    <row r="4360" spans="23:23" x14ac:dyDescent="0.2">
      <c r="W4360" s="39"/>
    </row>
    <row r="4361" spans="23:23" x14ac:dyDescent="0.2">
      <c r="W4361" s="39"/>
    </row>
    <row r="4362" spans="23:23" x14ac:dyDescent="0.2">
      <c r="W4362" s="39"/>
    </row>
    <row r="4363" spans="23:23" x14ac:dyDescent="0.2">
      <c r="W4363" s="39"/>
    </row>
    <row r="4364" spans="23:23" x14ac:dyDescent="0.2">
      <c r="W4364" s="39"/>
    </row>
    <row r="4365" spans="23:23" x14ac:dyDescent="0.2">
      <c r="W4365" s="39"/>
    </row>
    <row r="4366" spans="23:23" x14ac:dyDescent="0.2">
      <c r="W4366" s="39"/>
    </row>
    <row r="4367" spans="23:23" x14ac:dyDescent="0.2">
      <c r="W4367" s="39"/>
    </row>
    <row r="4368" spans="23:23" x14ac:dyDescent="0.2">
      <c r="W4368" s="39"/>
    </row>
    <row r="4369" spans="23:23" x14ac:dyDescent="0.2">
      <c r="W4369" s="39"/>
    </row>
    <row r="4370" spans="23:23" x14ac:dyDescent="0.2">
      <c r="W4370" s="39"/>
    </row>
    <row r="4371" spans="23:23" x14ac:dyDescent="0.2">
      <c r="W4371" s="39"/>
    </row>
    <row r="4372" spans="23:23" x14ac:dyDescent="0.2">
      <c r="W4372" s="39"/>
    </row>
    <row r="4373" spans="23:23" x14ac:dyDescent="0.2">
      <c r="W4373" s="39"/>
    </row>
    <row r="4374" spans="23:23" x14ac:dyDescent="0.2">
      <c r="W4374" s="39"/>
    </row>
    <row r="4375" spans="23:23" x14ac:dyDescent="0.2">
      <c r="W4375" s="39"/>
    </row>
    <row r="4376" spans="23:23" x14ac:dyDescent="0.2">
      <c r="W4376" s="39"/>
    </row>
    <row r="4377" spans="23:23" x14ac:dyDescent="0.2">
      <c r="W4377" s="39"/>
    </row>
    <row r="4378" spans="23:23" x14ac:dyDescent="0.2">
      <c r="W4378" s="39"/>
    </row>
    <row r="4379" spans="23:23" x14ac:dyDescent="0.2">
      <c r="W4379" s="39"/>
    </row>
    <row r="4380" spans="23:23" x14ac:dyDescent="0.2">
      <c r="W4380" s="39"/>
    </row>
    <row r="4381" spans="23:23" x14ac:dyDescent="0.2">
      <c r="W4381" s="39"/>
    </row>
    <row r="4382" spans="23:23" x14ac:dyDescent="0.2">
      <c r="W4382" s="39"/>
    </row>
    <row r="4383" spans="23:23" x14ac:dyDescent="0.2">
      <c r="W4383" s="39"/>
    </row>
    <row r="4384" spans="23:23" x14ac:dyDescent="0.2">
      <c r="W4384" s="39"/>
    </row>
    <row r="4385" spans="23:23" x14ac:dyDescent="0.2">
      <c r="W4385" s="39"/>
    </row>
    <row r="4386" spans="23:23" x14ac:dyDescent="0.2">
      <c r="W4386" s="39"/>
    </row>
    <row r="4387" spans="23:23" x14ac:dyDescent="0.2">
      <c r="W4387" s="39"/>
    </row>
    <row r="4388" spans="23:23" x14ac:dyDescent="0.2">
      <c r="W4388" s="39"/>
    </row>
    <row r="4389" spans="23:23" x14ac:dyDescent="0.2">
      <c r="W4389" s="39"/>
    </row>
    <row r="4390" spans="23:23" x14ac:dyDescent="0.2">
      <c r="W4390" s="39"/>
    </row>
    <row r="4391" spans="23:23" x14ac:dyDescent="0.2">
      <c r="W4391" s="39"/>
    </row>
    <row r="4392" spans="23:23" x14ac:dyDescent="0.2">
      <c r="W4392" s="39"/>
    </row>
    <row r="4393" spans="23:23" x14ac:dyDescent="0.2">
      <c r="W4393" s="39"/>
    </row>
    <row r="4394" spans="23:23" x14ac:dyDescent="0.2">
      <c r="W4394" s="39"/>
    </row>
    <row r="4395" spans="23:23" x14ac:dyDescent="0.2">
      <c r="W4395" s="39"/>
    </row>
    <row r="4396" spans="23:23" x14ac:dyDescent="0.2">
      <c r="W4396" s="39"/>
    </row>
    <row r="4397" spans="23:23" x14ac:dyDescent="0.2">
      <c r="W4397" s="39"/>
    </row>
    <row r="4398" spans="23:23" x14ac:dyDescent="0.2">
      <c r="W4398" s="39"/>
    </row>
    <row r="4399" spans="23:23" x14ac:dyDescent="0.2">
      <c r="W4399" s="39"/>
    </row>
    <row r="4400" spans="23:23" x14ac:dyDescent="0.2">
      <c r="W4400" s="39"/>
    </row>
    <row r="4401" spans="23:23" x14ac:dyDescent="0.2">
      <c r="W4401" s="39"/>
    </row>
    <row r="4402" spans="23:23" x14ac:dyDescent="0.2">
      <c r="W4402" s="39"/>
    </row>
    <row r="4403" spans="23:23" x14ac:dyDescent="0.2">
      <c r="W4403" s="39"/>
    </row>
    <row r="4404" spans="23:23" x14ac:dyDescent="0.2">
      <c r="W4404" s="39"/>
    </row>
    <row r="4405" spans="23:23" x14ac:dyDescent="0.2">
      <c r="W4405" s="39"/>
    </row>
    <row r="4406" spans="23:23" x14ac:dyDescent="0.2">
      <c r="W4406" s="39"/>
    </row>
    <row r="4407" spans="23:23" x14ac:dyDescent="0.2">
      <c r="W4407" s="39"/>
    </row>
    <row r="4408" spans="23:23" x14ac:dyDescent="0.2">
      <c r="W4408" s="39"/>
    </row>
    <row r="4409" spans="23:23" x14ac:dyDescent="0.2">
      <c r="W4409" s="39"/>
    </row>
    <row r="4410" spans="23:23" x14ac:dyDescent="0.2">
      <c r="W4410" s="39"/>
    </row>
    <row r="4411" spans="23:23" x14ac:dyDescent="0.2">
      <c r="W4411" s="39"/>
    </row>
    <row r="4412" spans="23:23" x14ac:dyDescent="0.2">
      <c r="W4412" s="39"/>
    </row>
    <row r="4413" spans="23:23" x14ac:dyDescent="0.2">
      <c r="W4413" s="39"/>
    </row>
    <row r="4414" spans="23:23" x14ac:dyDescent="0.2">
      <c r="W4414" s="39"/>
    </row>
    <row r="4415" spans="23:23" x14ac:dyDescent="0.2">
      <c r="W4415" s="39"/>
    </row>
    <row r="4416" spans="23:23" x14ac:dyDescent="0.2">
      <c r="W4416" s="39"/>
    </row>
    <row r="4417" spans="23:23" x14ac:dyDescent="0.2">
      <c r="W4417" s="39"/>
    </row>
    <row r="4418" spans="23:23" x14ac:dyDescent="0.2">
      <c r="W4418" s="39"/>
    </row>
    <row r="4419" spans="23:23" x14ac:dyDescent="0.2">
      <c r="W4419" s="39"/>
    </row>
    <row r="4420" spans="23:23" x14ac:dyDescent="0.2">
      <c r="W4420" s="39"/>
    </row>
    <row r="4421" spans="23:23" x14ac:dyDescent="0.2">
      <c r="W4421" s="39"/>
    </row>
    <row r="4422" spans="23:23" x14ac:dyDescent="0.2">
      <c r="W4422" s="39"/>
    </row>
    <row r="4423" spans="23:23" x14ac:dyDescent="0.2">
      <c r="W4423" s="39"/>
    </row>
    <row r="4424" spans="23:23" x14ac:dyDescent="0.2">
      <c r="W4424" s="39"/>
    </row>
    <row r="4425" spans="23:23" x14ac:dyDescent="0.2">
      <c r="W4425" s="39"/>
    </row>
    <row r="4426" spans="23:23" x14ac:dyDescent="0.2">
      <c r="W4426" s="39"/>
    </row>
    <row r="4427" spans="23:23" x14ac:dyDescent="0.2">
      <c r="W4427" s="39"/>
    </row>
    <row r="4428" spans="23:23" x14ac:dyDescent="0.2">
      <c r="W4428" s="39"/>
    </row>
    <row r="4429" spans="23:23" x14ac:dyDescent="0.2">
      <c r="W4429" s="39"/>
    </row>
    <row r="4430" spans="23:23" x14ac:dyDescent="0.2">
      <c r="W4430" s="39"/>
    </row>
    <row r="4431" spans="23:23" x14ac:dyDescent="0.2">
      <c r="W4431" s="39"/>
    </row>
    <row r="4432" spans="23:23" x14ac:dyDescent="0.2">
      <c r="W4432" s="39"/>
    </row>
    <row r="4433" spans="23:23" x14ac:dyDescent="0.2">
      <c r="W4433" s="39"/>
    </row>
    <row r="4434" spans="23:23" x14ac:dyDescent="0.2">
      <c r="W4434" s="39"/>
    </row>
    <row r="4435" spans="23:23" x14ac:dyDescent="0.2">
      <c r="W4435" s="39"/>
    </row>
    <row r="4436" spans="23:23" x14ac:dyDescent="0.2">
      <c r="W4436" s="39"/>
    </row>
    <row r="4437" spans="23:23" x14ac:dyDescent="0.2">
      <c r="W4437" s="39"/>
    </row>
    <row r="4438" spans="23:23" x14ac:dyDescent="0.2">
      <c r="W4438" s="39"/>
    </row>
    <row r="4439" spans="23:23" x14ac:dyDescent="0.2">
      <c r="W4439" s="39"/>
    </row>
    <row r="4440" spans="23:23" x14ac:dyDescent="0.2">
      <c r="W4440" s="39"/>
    </row>
    <row r="4441" spans="23:23" x14ac:dyDescent="0.2">
      <c r="W4441" s="39"/>
    </row>
    <row r="4442" spans="23:23" x14ac:dyDescent="0.2">
      <c r="W4442" s="39"/>
    </row>
    <row r="4443" spans="23:23" x14ac:dyDescent="0.2">
      <c r="W4443" s="39"/>
    </row>
    <row r="4444" spans="23:23" x14ac:dyDescent="0.2">
      <c r="W4444" s="39"/>
    </row>
    <row r="4445" spans="23:23" x14ac:dyDescent="0.2">
      <c r="W4445" s="39"/>
    </row>
    <row r="4446" spans="23:23" x14ac:dyDescent="0.2">
      <c r="W4446" s="39"/>
    </row>
    <row r="4447" spans="23:23" x14ac:dyDescent="0.2">
      <c r="W4447" s="39"/>
    </row>
    <row r="4448" spans="23:23" x14ac:dyDescent="0.2">
      <c r="W4448" s="39"/>
    </row>
    <row r="4449" spans="23:23" x14ac:dyDescent="0.2">
      <c r="W4449" s="39"/>
    </row>
    <row r="4450" spans="23:23" x14ac:dyDescent="0.2">
      <c r="W4450" s="39"/>
    </row>
    <row r="4451" spans="23:23" x14ac:dyDescent="0.2">
      <c r="W4451" s="39"/>
    </row>
    <row r="4452" spans="23:23" x14ac:dyDescent="0.2">
      <c r="W4452" s="39"/>
    </row>
    <row r="4453" spans="23:23" x14ac:dyDescent="0.2">
      <c r="W4453" s="39"/>
    </row>
    <row r="4454" spans="23:23" x14ac:dyDescent="0.2">
      <c r="W4454" s="39"/>
    </row>
    <row r="4455" spans="23:23" x14ac:dyDescent="0.2">
      <c r="W4455" s="39"/>
    </row>
    <row r="4456" spans="23:23" x14ac:dyDescent="0.2">
      <c r="W4456" s="39"/>
    </row>
    <row r="4457" spans="23:23" x14ac:dyDescent="0.2">
      <c r="W4457" s="39"/>
    </row>
    <row r="4458" spans="23:23" x14ac:dyDescent="0.2">
      <c r="W4458" s="39"/>
    </row>
    <row r="4459" spans="23:23" x14ac:dyDescent="0.2">
      <c r="W4459" s="39"/>
    </row>
    <row r="4460" spans="23:23" x14ac:dyDescent="0.2">
      <c r="W4460" s="39"/>
    </row>
    <row r="4461" spans="23:23" x14ac:dyDescent="0.2">
      <c r="W4461" s="39"/>
    </row>
    <row r="4462" spans="23:23" x14ac:dyDescent="0.2">
      <c r="W4462" s="39"/>
    </row>
    <row r="4463" spans="23:23" x14ac:dyDescent="0.2">
      <c r="W4463" s="39"/>
    </row>
    <row r="4464" spans="23:23" x14ac:dyDescent="0.2">
      <c r="W4464" s="39"/>
    </row>
    <row r="4465" spans="23:23" x14ac:dyDescent="0.2">
      <c r="W4465" s="39"/>
    </row>
    <row r="4466" spans="23:23" x14ac:dyDescent="0.2">
      <c r="W4466" s="39"/>
    </row>
    <row r="4467" spans="23:23" x14ac:dyDescent="0.2">
      <c r="W4467" s="39"/>
    </row>
    <row r="4468" spans="23:23" x14ac:dyDescent="0.2">
      <c r="W4468" s="39"/>
    </row>
    <row r="4469" spans="23:23" x14ac:dyDescent="0.2">
      <c r="W4469" s="39"/>
    </row>
    <row r="4470" spans="23:23" x14ac:dyDescent="0.2">
      <c r="W4470" s="39"/>
    </row>
    <row r="4471" spans="23:23" x14ac:dyDescent="0.2">
      <c r="W4471" s="39"/>
    </row>
    <row r="4472" spans="23:23" x14ac:dyDescent="0.2">
      <c r="W4472" s="39"/>
    </row>
    <row r="4473" spans="23:23" x14ac:dyDescent="0.2">
      <c r="W4473" s="39"/>
    </row>
    <row r="4474" spans="23:23" x14ac:dyDescent="0.2">
      <c r="W4474" s="39"/>
    </row>
    <row r="4475" spans="23:23" x14ac:dyDescent="0.2">
      <c r="W4475" s="39"/>
    </row>
    <row r="4476" spans="23:23" x14ac:dyDescent="0.2">
      <c r="W4476" s="39"/>
    </row>
    <row r="4477" spans="23:23" x14ac:dyDescent="0.2">
      <c r="W4477" s="39"/>
    </row>
    <row r="4478" spans="23:23" x14ac:dyDescent="0.2">
      <c r="W4478" s="39"/>
    </row>
    <row r="4479" spans="23:23" x14ac:dyDescent="0.2">
      <c r="W4479" s="39"/>
    </row>
    <row r="4480" spans="23:23" x14ac:dyDescent="0.2">
      <c r="W4480" s="39"/>
    </row>
    <row r="4481" spans="23:23" x14ac:dyDescent="0.2">
      <c r="W4481" s="39"/>
    </row>
    <row r="4482" spans="23:23" x14ac:dyDescent="0.2">
      <c r="W4482" s="39"/>
    </row>
    <row r="4483" spans="23:23" x14ac:dyDescent="0.2">
      <c r="W4483" s="39"/>
    </row>
    <row r="4484" spans="23:23" x14ac:dyDescent="0.2">
      <c r="W4484" s="39"/>
    </row>
    <row r="4485" spans="23:23" x14ac:dyDescent="0.2">
      <c r="W4485" s="39"/>
    </row>
    <row r="4486" spans="23:23" x14ac:dyDescent="0.2">
      <c r="W4486" s="39"/>
    </row>
    <row r="4487" spans="23:23" x14ac:dyDescent="0.2">
      <c r="W4487" s="39"/>
    </row>
    <row r="4488" spans="23:23" x14ac:dyDescent="0.2">
      <c r="W4488" s="39"/>
    </row>
    <row r="4489" spans="23:23" x14ac:dyDescent="0.2">
      <c r="W4489" s="39"/>
    </row>
    <row r="4490" spans="23:23" x14ac:dyDescent="0.2">
      <c r="W4490" s="39"/>
    </row>
    <row r="4491" spans="23:23" x14ac:dyDescent="0.2">
      <c r="W4491" s="39"/>
    </row>
    <row r="4492" spans="23:23" x14ac:dyDescent="0.2">
      <c r="W4492" s="39"/>
    </row>
    <row r="4493" spans="23:23" x14ac:dyDescent="0.2">
      <c r="W4493" s="39"/>
    </row>
    <row r="4494" spans="23:23" x14ac:dyDescent="0.2">
      <c r="W4494" s="39"/>
    </row>
    <row r="4495" spans="23:23" x14ac:dyDescent="0.2">
      <c r="W4495" s="39"/>
    </row>
    <row r="4496" spans="23:23" x14ac:dyDescent="0.2">
      <c r="W4496" s="39"/>
    </row>
    <row r="4497" spans="23:23" x14ac:dyDescent="0.2">
      <c r="W4497" s="39"/>
    </row>
    <row r="4498" spans="23:23" x14ac:dyDescent="0.2">
      <c r="W4498" s="39"/>
    </row>
    <row r="4499" spans="23:23" x14ac:dyDescent="0.2">
      <c r="W4499" s="39"/>
    </row>
    <row r="4500" spans="23:23" x14ac:dyDescent="0.2">
      <c r="W4500" s="39"/>
    </row>
    <row r="4501" spans="23:23" x14ac:dyDescent="0.2">
      <c r="W4501" s="39"/>
    </row>
    <row r="4502" spans="23:23" x14ac:dyDescent="0.2">
      <c r="W4502" s="39"/>
    </row>
    <row r="4503" spans="23:23" x14ac:dyDescent="0.2">
      <c r="W4503" s="39"/>
    </row>
    <row r="4504" spans="23:23" x14ac:dyDescent="0.2">
      <c r="W4504" s="39"/>
    </row>
    <row r="4505" spans="23:23" x14ac:dyDescent="0.2">
      <c r="W4505" s="39"/>
    </row>
    <row r="4506" spans="23:23" x14ac:dyDescent="0.2">
      <c r="W4506" s="39"/>
    </row>
    <row r="4507" spans="23:23" x14ac:dyDescent="0.2">
      <c r="W4507" s="39"/>
    </row>
    <row r="4508" spans="23:23" x14ac:dyDescent="0.2">
      <c r="W4508" s="39"/>
    </row>
    <row r="4509" spans="23:23" x14ac:dyDescent="0.2">
      <c r="W4509" s="39"/>
    </row>
    <row r="4510" spans="23:23" x14ac:dyDescent="0.2">
      <c r="W4510" s="39"/>
    </row>
    <row r="4511" spans="23:23" x14ac:dyDescent="0.2">
      <c r="W4511" s="39"/>
    </row>
    <row r="4512" spans="23:23" x14ac:dyDescent="0.2">
      <c r="W4512" s="39"/>
    </row>
    <row r="4513" spans="23:23" x14ac:dyDescent="0.2">
      <c r="W4513" s="39"/>
    </row>
    <row r="4514" spans="23:23" x14ac:dyDescent="0.2">
      <c r="W4514" s="39"/>
    </row>
    <row r="4515" spans="23:23" x14ac:dyDescent="0.2">
      <c r="W4515" s="39"/>
    </row>
    <row r="4516" spans="23:23" x14ac:dyDescent="0.2">
      <c r="W4516" s="39"/>
    </row>
    <row r="4517" spans="23:23" x14ac:dyDescent="0.2">
      <c r="W4517" s="39"/>
    </row>
    <row r="4518" spans="23:23" x14ac:dyDescent="0.2">
      <c r="W4518" s="39"/>
    </row>
    <row r="4519" spans="23:23" x14ac:dyDescent="0.2">
      <c r="W4519" s="39"/>
    </row>
    <row r="4520" spans="23:23" x14ac:dyDescent="0.2">
      <c r="W4520" s="39"/>
    </row>
    <row r="4521" spans="23:23" x14ac:dyDescent="0.2">
      <c r="W4521" s="39"/>
    </row>
    <row r="4522" spans="23:23" x14ac:dyDescent="0.2">
      <c r="W4522" s="39"/>
    </row>
    <row r="4523" spans="23:23" x14ac:dyDescent="0.2">
      <c r="W4523" s="39"/>
    </row>
    <row r="4524" spans="23:23" x14ac:dyDescent="0.2">
      <c r="W4524" s="39"/>
    </row>
    <row r="4525" spans="23:23" x14ac:dyDescent="0.2">
      <c r="W4525" s="39"/>
    </row>
    <row r="4526" spans="23:23" x14ac:dyDescent="0.2">
      <c r="W4526" s="39"/>
    </row>
    <row r="4527" spans="23:23" x14ac:dyDescent="0.2">
      <c r="W4527" s="39"/>
    </row>
    <row r="4528" spans="23:23" x14ac:dyDescent="0.2">
      <c r="W4528" s="39"/>
    </row>
    <row r="4529" spans="23:23" x14ac:dyDescent="0.2">
      <c r="W4529" s="39"/>
    </row>
    <row r="4530" spans="23:23" x14ac:dyDescent="0.2">
      <c r="W4530" s="39"/>
    </row>
    <row r="4531" spans="23:23" x14ac:dyDescent="0.2">
      <c r="W4531" s="39"/>
    </row>
    <row r="4532" spans="23:23" x14ac:dyDescent="0.2">
      <c r="W4532" s="39"/>
    </row>
    <row r="4533" spans="23:23" x14ac:dyDescent="0.2">
      <c r="W4533" s="39"/>
    </row>
    <row r="4534" spans="23:23" x14ac:dyDescent="0.2">
      <c r="W4534" s="39"/>
    </row>
    <row r="4535" spans="23:23" x14ac:dyDescent="0.2">
      <c r="W4535" s="39"/>
    </row>
    <row r="4536" spans="23:23" x14ac:dyDescent="0.2">
      <c r="W4536" s="39"/>
    </row>
    <row r="4537" spans="23:23" x14ac:dyDescent="0.2">
      <c r="W4537" s="39"/>
    </row>
    <row r="4538" spans="23:23" x14ac:dyDescent="0.2">
      <c r="W4538" s="39"/>
    </row>
    <row r="4539" spans="23:23" x14ac:dyDescent="0.2">
      <c r="W4539" s="39"/>
    </row>
    <row r="4540" spans="23:23" x14ac:dyDescent="0.2">
      <c r="W4540" s="39"/>
    </row>
    <row r="4541" spans="23:23" x14ac:dyDescent="0.2">
      <c r="W4541" s="39"/>
    </row>
    <row r="4542" spans="23:23" x14ac:dyDescent="0.2">
      <c r="W4542" s="39"/>
    </row>
    <row r="4543" spans="23:23" x14ac:dyDescent="0.2">
      <c r="W4543" s="39"/>
    </row>
    <row r="4544" spans="23:23" x14ac:dyDescent="0.2">
      <c r="W4544" s="39"/>
    </row>
    <row r="4545" spans="23:23" x14ac:dyDescent="0.2">
      <c r="W4545" s="39"/>
    </row>
    <row r="4546" spans="23:23" x14ac:dyDescent="0.2">
      <c r="W4546" s="39"/>
    </row>
    <row r="4547" spans="23:23" x14ac:dyDescent="0.2">
      <c r="W4547" s="39"/>
    </row>
    <row r="4548" spans="23:23" x14ac:dyDescent="0.2">
      <c r="W4548" s="39"/>
    </row>
    <row r="4549" spans="23:23" x14ac:dyDescent="0.2">
      <c r="W4549" s="39"/>
    </row>
    <row r="4550" spans="23:23" x14ac:dyDescent="0.2">
      <c r="W4550" s="39"/>
    </row>
    <row r="4551" spans="23:23" x14ac:dyDescent="0.2">
      <c r="W4551" s="39"/>
    </row>
    <row r="4552" spans="23:23" x14ac:dyDescent="0.2">
      <c r="W4552" s="39"/>
    </row>
    <row r="4553" spans="23:23" x14ac:dyDescent="0.2">
      <c r="W4553" s="39"/>
    </row>
    <row r="4554" spans="23:23" x14ac:dyDescent="0.2">
      <c r="W4554" s="39"/>
    </row>
    <row r="4555" spans="23:23" x14ac:dyDescent="0.2">
      <c r="W4555" s="39"/>
    </row>
    <row r="4556" spans="23:23" x14ac:dyDescent="0.2">
      <c r="W4556" s="39"/>
    </row>
    <row r="4557" spans="23:23" x14ac:dyDescent="0.2">
      <c r="W4557" s="39"/>
    </row>
    <row r="4558" spans="23:23" x14ac:dyDescent="0.2">
      <c r="W4558" s="39"/>
    </row>
    <row r="4559" spans="23:23" x14ac:dyDescent="0.2">
      <c r="W4559" s="39"/>
    </row>
    <row r="4560" spans="23:23" x14ac:dyDescent="0.2">
      <c r="W4560" s="39"/>
    </row>
    <row r="4561" spans="23:23" x14ac:dyDescent="0.2">
      <c r="W4561" s="39"/>
    </row>
    <row r="4562" spans="23:23" x14ac:dyDescent="0.2">
      <c r="W4562" s="39"/>
    </row>
    <row r="4563" spans="23:23" x14ac:dyDescent="0.2">
      <c r="W4563" s="39"/>
    </row>
    <row r="4564" spans="23:23" x14ac:dyDescent="0.2">
      <c r="W4564" s="39"/>
    </row>
    <row r="4565" spans="23:23" x14ac:dyDescent="0.2">
      <c r="W4565" s="39"/>
    </row>
    <row r="4566" spans="23:23" x14ac:dyDescent="0.2">
      <c r="W4566" s="39"/>
    </row>
    <row r="4567" spans="23:23" x14ac:dyDescent="0.2">
      <c r="W4567" s="39"/>
    </row>
    <row r="4568" spans="23:23" x14ac:dyDescent="0.2">
      <c r="W4568" s="39"/>
    </row>
    <row r="4569" spans="23:23" x14ac:dyDescent="0.2">
      <c r="W4569" s="39"/>
    </row>
    <row r="4570" spans="23:23" x14ac:dyDescent="0.2">
      <c r="W4570" s="39"/>
    </row>
    <row r="4571" spans="23:23" x14ac:dyDescent="0.2">
      <c r="W4571" s="39"/>
    </row>
    <row r="4572" spans="23:23" x14ac:dyDescent="0.2">
      <c r="W4572" s="39"/>
    </row>
    <row r="4573" spans="23:23" x14ac:dyDescent="0.2">
      <c r="W4573" s="39"/>
    </row>
    <row r="4574" spans="23:23" x14ac:dyDescent="0.2">
      <c r="W4574" s="39"/>
    </row>
    <row r="4575" spans="23:23" x14ac:dyDescent="0.2">
      <c r="W4575" s="39"/>
    </row>
    <row r="4576" spans="23:23" x14ac:dyDescent="0.2">
      <c r="W4576" s="39"/>
    </row>
    <row r="4577" spans="23:23" x14ac:dyDescent="0.2">
      <c r="W4577" s="39"/>
    </row>
    <row r="4578" spans="23:23" x14ac:dyDescent="0.2">
      <c r="W4578" s="39"/>
    </row>
    <row r="4579" spans="23:23" x14ac:dyDescent="0.2">
      <c r="W4579" s="39"/>
    </row>
    <row r="4580" spans="23:23" x14ac:dyDescent="0.2">
      <c r="W4580" s="39"/>
    </row>
    <row r="4581" spans="23:23" x14ac:dyDescent="0.2">
      <c r="W4581" s="39"/>
    </row>
    <row r="4582" spans="23:23" x14ac:dyDescent="0.2">
      <c r="W4582" s="39"/>
    </row>
    <row r="4583" spans="23:23" x14ac:dyDescent="0.2">
      <c r="W4583" s="39"/>
    </row>
    <row r="4584" spans="23:23" x14ac:dyDescent="0.2">
      <c r="W4584" s="39"/>
    </row>
    <row r="4585" spans="23:23" x14ac:dyDescent="0.2">
      <c r="W4585" s="39"/>
    </row>
    <row r="4586" spans="23:23" x14ac:dyDescent="0.2">
      <c r="W4586" s="39"/>
    </row>
    <row r="4587" spans="23:23" x14ac:dyDescent="0.2">
      <c r="W4587" s="39"/>
    </row>
    <row r="4588" spans="23:23" x14ac:dyDescent="0.2">
      <c r="W4588" s="39"/>
    </row>
    <row r="4589" spans="23:23" x14ac:dyDescent="0.2">
      <c r="W4589" s="39"/>
    </row>
    <row r="4590" spans="23:23" x14ac:dyDescent="0.2">
      <c r="W4590" s="39"/>
    </row>
    <row r="4591" spans="23:23" x14ac:dyDescent="0.2">
      <c r="W4591" s="39"/>
    </row>
    <row r="4592" spans="23:23" x14ac:dyDescent="0.2">
      <c r="W4592" s="39"/>
    </row>
    <row r="4593" spans="23:23" x14ac:dyDescent="0.2">
      <c r="W4593" s="39"/>
    </row>
    <row r="4594" spans="23:23" x14ac:dyDescent="0.2">
      <c r="W4594" s="39"/>
    </row>
    <row r="4595" spans="23:23" x14ac:dyDescent="0.2">
      <c r="W4595" s="39"/>
    </row>
    <row r="4596" spans="23:23" x14ac:dyDescent="0.2">
      <c r="W4596" s="39"/>
    </row>
    <row r="4597" spans="23:23" x14ac:dyDescent="0.2">
      <c r="W4597" s="39"/>
    </row>
    <row r="4598" spans="23:23" x14ac:dyDescent="0.2">
      <c r="W4598" s="39"/>
    </row>
    <row r="4599" spans="23:23" x14ac:dyDescent="0.2">
      <c r="W4599" s="39"/>
    </row>
    <row r="4600" spans="23:23" x14ac:dyDescent="0.2">
      <c r="W4600" s="39"/>
    </row>
    <row r="4601" spans="23:23" x14ac:dyDescent="0.2">
      <c r="W4601" s="39"/>
    </row>
    <row r="4602" spans="23:23" x14ac:dyDescent="0.2">
      <c r="W4602" s="39"/>
    </row>
    <row r="4603" spans="23:23" x14ac:dyDescent="0.2">
      <c r="W4603" s="39"/>
    </row>
    <row r="4604" spans="23:23" x14ac:dyDescent="0.2">
      <c r="W4604" s="39"/>
    </row>
    <row r="4605" spans="23:23" x14ac:dyDescent="0.2">
      <c r="W4605" s="39"/>
    </row>
    <row r="4606" spans="23:23" x14ac:dyDescent="0.2">
      <c r="W4606" s="39"/>
    </row>
    <row r="4607" spans="23:23" x14ac:dyDescent="0.2">
      <c r="W4607" s="39"/>
    </row>
    <row r="4608" spans="23:23" x14ac:dyDescent="0.2">
      <c r="W4608" s="39"/>
    </row>
    <row r="4609" spans="23:23" x14ac:dyDescent="0.2">
      <c r="W4609" s="39"/>
    </row>
    <row r="4610" spans="23:23" x14ac:dyDescent="0.2">
      <c r="W4610" s="39"/>
    </row>
    <row r="4611" spans="23:23" x14ac:dyDescent="0.2">
      <c r="W4611" s="39"/>
    </row>
    <row r="4612" spans="23:23" x14ac:dyDescent="0.2">
      <c r="W4612" s="39"/>
    </row>
    <row r="4613" spans="23:23" x14ac:dyDescent="0.2">
      <c r="W4613" s="39"/>
    </row>
    <row r="4614" spans="23:23" x14ac:dyDescent="0.2">
      <c r="W4614" s="39"/>
    </row>
    <row r="4615" spans="23:23" x14ac:dyDescent="0.2">
      <c r="W4615" s="39"/>
    </row>
    <row r="4616" spans="23:23" x14ac:dyDescent="0.2">
      <c r="W4616" s="39"/>
    </row>
    <row r="4617" spans="23:23" x14ac:dyDescent="0.2">
      <c r="W4617" s="39"/>
    </row>
    <row r="4618" spans="23:23" x14ac:dyDescent="0.2">
      <c r="W4618" s="39"/>
    </row>
    <row r="4619" spans="23:23" x14ac:dyDescent="0.2">
      <c r="W4619" s="39"/>
    </row>
    <row r="4620" spans="23:23" x14ac:dyDescent="0.2">
      <c r="W4620" s="39"/>
    </row>
    <row r="4621" spans="23:23" x14ac:dyDescent="0.2">
      <c r="W4621" s="39"/>
    </row>
    <row r="4622" spans="23:23" x14ac:dyDescent="0.2">
      <c r="W4622" s="39"/>
    </row>
    <row r="4623" spans="23:23" x14ac:dyDescent="0.2">
      <c r="W4623" s="39"/>
    </row>
    <row r="4624" spans="23:23" x14ac:dyDescent="0.2">
      <c r="W4624" s="39"/>
    </row>
    <row r="4625" spans="23:23" x14ac:dyDescent="0.2">
      <c r="W4625" s="39"/>
    </row>
    <row r="4626" spans="23:23" x14ac:dyDescent="0.2">
      <c r="W4626" s="39"/>
    </row>
    <row r="4627" spans="23:23" x14ac:dyDescent="0.2">
      <c r="W4627" s="39"/>
    </row>
    <row r="4628" spans="23:23" x14ac:dyDescent="0.2">
      <c r="W4628" s="39"/>
    </row>
    <row r="4629" spans="23:23" x14ac:dyDescent="0.2">
      <c r="W4629" s="39"/>
    </row>
    <row r="4630" spans="23:23" x14ac:dyDescent="0.2">
      <c r="W4630" s="39"/>
    </row>
    <row r="4631" spans="23:23" x14ac:dyDescent="0.2">
      <c r="W4631" s="39"/>
    </row>
    <row r="4632" spans="23:23" x14ac:dyDescent="0.2">
      <c r="W4632" s="39"/>
    </row>
    <row r="4633" spans="23:23" x14ac:dyDescent="0.2">
      <c r="W4633" s="39"/>
    </row>
    <row r="4634" spans="23:23" x14ac:dyDescent="0.2">
      <c r="W4634" s="39"/>
    </row>
    <row r="4635" spans="23:23" x14ac:dyDescent="0.2">
      <c r="W4635" s="39"/>
    </row>
    <row r="4636" spans="23:23" x14ac:dyDescent="0.2">
      <c r="W4636" s="39"/>
    </row>
    <row r="4637" spans="23:23" x14ac:dyDescent="0.2">
      <c r="W4637" s="39"/>
    </row>
    <row r="4638" spans="23:23" x14ac:dyDescent="0.2">
      <c r="W4638" s="39"/>
    </row>
    <row r="4639" spans="23:23" x14ac:dyDescent="0.2">
      <c r="W4639" s="39"/>
    </row>
    <row r="4640" spans="23:23" x14ac:dyDescent="0.2">
      <c r="W4640" s="39"/>
    </row>
    <row r="4641" spans="23:23" x14ac:dyDescent="0.2">
      <c r="W4641" s="39"/>
    </row>
    <row r="4642" spans="23:23" x14ac:dyDescent="0.2">
      <c r="W4642" s="39"/>
    </row>
    <row r="4643" spans="23:23" x14ac:dyDescent="0.2">
      <c r="W4643" s="39"/>
    </row>
    <row r="4644" spans="23:23" x14ac:dyDescent="0.2">
      <c r="W4644" s="39"/>
    </row>
    <row r="4645" spans="23:23" x14ac:dyDescent="0.2">
      <c r="W4645" s="39"/>
    </row>
    <row r="4646" spans="23:23" x14ac:dyDescent="0.2">
      <c r="W4646" s="39"/>
    </row>
    <row r="4647" spans="23:23" x14ac:dyDescent="0.2">
      <c r="W4647" s="39"/>
    </row>
    <row r="4648" spans="23:23" x14ac:dyDescent="0.2">
      <c r="W4648" s="39"/>
    </row>
    <row r="4649" spans="23:23" x14ac:dyDescent="0.2">
      <c r="W4649" s="39"/>
    </row>
    <row r="4650" spans="23:23" x14ac:dyDescent="0.2">
      <c r="W4650" s="39"/>
    </row>
    <row r="4651" spans="23:23" x14ac:dyDescent="0.2">
      <c r="W4651" s="39"/>
    </row>
    <row r="4652" spans="23:23" x14ac:dyDescent="0.2">
      <c r="W4652" s="39"/>
    </row>
    <row r="4653" spans="23:23" x14ac:dyDescent="0.2">
      <c r="W4653" s="39"/>
    </row>
    <row r="4654" spans="23:23" x14ac:dyDescent="0.2">
      <c r="W4654" s="39"/>
    </row>
    <row r="4655" spans="23:23" x14ac:dyDescent="0.2">
      <c r="W4655" s="39"/>
    </row>
    <row r="4656" spans="23:23" x14ac:dyDescent="0.2">
      <c r="W4656" s="39"/>
    </row>
    <row r="4657" spans="23:23" x14ac:dyDescent="0.2">
      <c r="W4657" s="39"/>
    </row>
    <row r="4658" spans="23:23" x14ac:dyDescent="0.2">
      <c r="W4658" s="39"/>
    </row>
    <row r="4659" spans="23:23" x14ac:dyDescent="0.2">
      <c r="W4659" s="39"/>
    </row>
    <row r="4660" spans="23:23" x14ac:dyDescent="0.2">
      <c r="W4660" s="39"/>
    </row>
    <row r="4661" spans="23:23" x14ac:dyDescent="0.2">
      <c r="W4661" s="39"/>
    </row>
    <row r="4662" spans="23:23" x14ac:dyDescent="0.2">
      <c r="W4662" s="39"/>
    </row>
    <row r="4663" spans="23:23" x14ac:dyDescent="0.2">
      <c r="W4663" s="39"/>
    </row>
    <row r="4664" spans="23:23" x14ac:dyDescent="0.2">
      <c r="W4664" s="39"/>
    </row>
    <row r="4665" spans="23:23" x14ac:dyDescent="0.2">
      <c r="W4665" s="39"/>
    </row>
    <row r="4666" spans="23:23" x14ac:dyDescent="0.2">
      <c r="W4666" s="39"/>
    </row>
    <row r="4667" spans="23:23" x14ac:dyDescent="0.2">
      <c r="W4667" s="39"/>
    </row>
    <row r="4668" spans="23:23" x14ac:dyDescent="0.2">
      <c r="W4668" s="39"/>
    </row>
    <row r="4669" spans="23:23" x14ac:dyDescent="0.2">
      <c r="W4669" s="39"/>
    </row>
    <row r="4670" spans="23:23" x14ac:dyDescent="0.2">
      <c r="W4670" s="39"/>
    </row>
    <row r="4671" spans="23:23" x14ac:dyDescent="0.2">
      <c r="W4671" s="39"/>
    </row>
    <row r="4672" spans="23:23" x14ac:dyDescent="0.2">
      <c r="W4672" s="39"/>
    </row>
    <row r="4673" spans="23:23" x14ac:dyDescent="0.2">
      <c r="W4673" s="39"/>
    </row>
    <row r="4674" spans="23:23" x14ac:dyDescent="0.2">
      <c r="W4674" s="39"/>
    </row>
    <row r="4675" spans="23:23" x14ac:dyDescent="0.2">
      <c r="W4675" s="39"/>
    </row>
    <row r="4676" spans="23:23" x14ac:dyDescent="0.2">
      <c r="W4676" s="39"/>
    </row>
    <row r="4677" spans="23:23" x14ac:dyDescent="0.2">
      <c r="W4677" s="39"/>
    </row>
    <row r="4678" spans="23:23" x14ac:dyDescent="0.2">
      <c r="W4678" s="39"/>
    </row>
    <row r="4679" spans="23:23" x14ac:dyDescent="0.2">
      <c r="W4679" s="39"/>
    </row>
    <row r="4680" spans="23:23" x14ac:dyDescent="0.2">
      <c r="W4680" s="39"/>
    </row>
    <row r="4681" spans="23:23" x14ac:dyDescent="0.2">
      <c r="W4681" s="39"/>
    </row>
    <row r="4682" spans="23:23" x14ac:dyDescent="0.2">
      <c r="W4682" s="39"/>
    </row>
    <row r="4683" spans="23:23" x14ac:dyDescent="0.2">
      <c r="W4683" s="39"/>
    </row>
    <row r="4684" spans="23:23" x14ac:dyDescent="0.2">
      <c r="W4684" s="39"/>
    </row>
    <row r="4685" spans="23:23" x14ac:dyDescent="0.2">
      <c r="W4685" s="39"/>
    </row>
    <row r="4686" spans="23:23" x14ac:dyDescent="0.2">
      <c r="W4686" s="39"/>
    </row>
    <row r="4687" spans="23:23" x14ac:dyDescent="0.2">
      <c r="W4687" s="39"/>
    </row>
    <row r="4688" spans="23:23" x14ac:dyDescent="0.2">
      <c r="W4688" s="39"/>
    </row>
    <row r="4689" spans="23:23" x14ac:dyDescent="0.2">
      <c r="W4689" s="39"/>
    </row>
    <row r="4690" spans="23:23" x14ac:dyDescent="0.2">
      <c r="W4690" s="39"/>
    </row>
    <row r="4691" spans="23:23" x14ac:dyDescent="0.2">
      <c r="W4691" s="39"/>
    </row>
    <row r="4692" spans="23:23" x14ac:dyDescent="0.2">
      <c r="W4692" s="39"/>
    </row>
    <row r="4693" spans="23:23" x14ac:dyDescent="0.2">
      <c r="W4693" s="39"/>
    </row>
    <row r="4694" spans="23:23" x14ac:dyDescent="0.2">
      <c r="W4694" s="39"/>
    </row>
    <row r="4695" spans="23:23" x14ac:dyDescent="0.2">
      <c r="W4695" s="39"/>
    </row>
    <row r="4696" spans="23:23" x14ac:dyDescent="0.2">
      <c r="W4696" s="39"/>
    </row>
    <row r="4697" spans="23:23" x14ac:dyDescent="0.2">
      <c r="W4697" s="39"/>
    </row>
    <row r="4698" spans="23:23" x14ac:dyDescent="0.2">
      <c r="W4698" s="39"/>
    </row>
    <row r="4699" spans="23:23" x14ac:dyDescent="0.2">
      <c r="W4699" s="39"/>
    </row>
    <row r="4700" spans="23:23" x14ac:dyDescent="0.2">
      <c r="W4700" s="39"/>
    </row>
    <row r="4701" spans="23:23" x14ac:dyDescent="0.2">
      <c r="W4701" s="39"/>
    </row>
    <row r="4702" spans="23:23" x14ac:dyDescent="0.2">
      <c r="W4702" s="39"/>
    </row>
    <row r="4703" spans="23:23" x14ac:dyDescent="0.2">
      <c r="W4703" s="39"/>
    </row>
    <row r="4704" spans="23:23" x14ac:dyDescent="0.2">
      <c r="W4704" s="39"/>
    </row>
    <row r="4705" spans="23:23" x14ac:dyDescent="0.2">
      <c r="W4705" s="39"/>
    </row>
    <row r="4706" spans="23:23" x14ac:dyDescent="0.2">
      <c r="W4706" s="39"/>
    </row>
    <row r="4707" spans="23:23" x14ac:dyDescent="0.2">
      <c r="W4707" s="39"/>
    </row>
    <row r="4708" spans="23:23" x14ac:dyDescent="0.2">
      <c r="W4708" s="39"/>
    </row>
    <row r="4709" spans="23:23" x14ac:dyDescent="0.2">
      <c r="W4709" s="39"/>
    </row>
    <row r="4710" spans="23:23" x14ac:dyDescent="0.2">
      <c r="W4710" s="39"/>
    </row>
    <row r="4711" spans="23:23" x14ac:dyDescent="0.2">
      <c r="W4711" s="39"/>
    </row>
    <row r="4712" spans="23:23" x14ac:dyDescent="0.2">
      <c r="W4712" s="39"/>
    </row>
    <row r="4713" spans="23:23" x14ac:dyDescent="0.2">
      <c r="W4713" s="39"/>
    </row>
    <row r="4714" spans="23:23" x14ac:dyDescent="0.2">
      <c r="W4714" s="39"/>
    </row>
    <row r="4715" spans="23:23" x14ac:dyDescent="0.2">
      <c r="W4715" s="39"/>
    </row>
    <row r="4716" spans="23:23" x14ac:dyDescent="0.2">
      <c r="W4716" s="39"/>
    </row>
    <row r="4717" spans="23:23" x14ac:dyDescent="0.2">
      <c r="W4717" s="39"/>
    </row>
    <row r="4718" spans="23:23" x14ac:dyDescent="0.2">
      <c r="W4718" s="39"/>
    </row>
    <row r="4719" spans="23:23" x14ac:dyDescent="0.2">
      <c r="W4719" s="39"/>
    </row>
    <row r="4720" spans="23:23" x14ac:dyDescent="0.2">
      <c r="W4720" s="39"/>
    </row>
    <row r="4721" spans="23:23" x14ac:dyDescent="0.2">
      <c r="W4721" s="39"/>
    </row>
    <row r="4722" spans="23:23" x14ac:dyDescent="0.2">
      <c r="W4722" s="39"/>
    </row>
    <row r="4723" spans="23:23" x14ac:dyDescent="0.2">
      <c r="W4723" s="39"/>
    </row>
    <row r="4724" spans="23:23" x14ac:dyDescent="0.2">
      <c r="W4724" s="39"/>
    </row>
    <row r="4725" spans="23:23" x14ac:dyDescent="0.2">
      <c r="W4725" s="39"/>
    </row>
    <row r="4726" spans="23:23" x14ac:dyDescent="0.2">
      <c r="W4726" s="39"/>
    </row>
    <row r="4727" spans="23:23" x14ac:dyDescent="0.2">
      <c r="W4727" s="39"/>
    </row>
    <row r="4728" spans="23:23" x14ac:dyDescent="0.2">
      <c r="W4728" s="39"/>
    </row>
    <row r="4729" spans="23:23" x14ac:dyDescent="0.2">
      <c r="W4729" s="39"/>
    </row>
    <row r="4730" spans="23:23" x14ac:dyDescent="0.2">
      <c r="W4730" s="39"/>
    </row>
    <row r="4731" spans="23:23" x14ac:dyDescent="0.2">
      <c r="W4731" s="39"/>
    </row>
    <row r="4732" spans="23:23" x14ac:dyDescent="0.2">
      <c r="W4732" s="39"/>
    </row>
    <row r="4733" spans="23:23" x14ac:dyDescent="0.2">
      <c r="W4733" s="39"/>
    </row>
    <row r="4734" spans="23:23" x14ac:dyDescent="0.2">
      <c r="W4734" s="39"/>
    </row>
    <row r="4735" spans="23:23" x14ac:dyDescent="0.2">
      <c r="W4735" s="39"/>
    </row>
    <row r="4736" spans="23:23" x14ac:dyDescent="0.2">
      <c r="W4736" s="39"/>
    </row>
    <row r="4737" spans="23:23" x14ac:dyDescent="0.2">
      <c r="W4737" s="39"/>
    </row>
    <row r="4738" spans="23:23" x14ac:dyDescent="0.2">
      <c r="W4738" s="39"/>
    </row>
    <row r="4739" spans="23:23" x14ac:dyDescent="0.2">
      <c r="W4739" s="39"/>
    </row>
    <row r="4740" spans="23:23" x14ac:dyDescent="0.2">
      <c r="W4740" s="39"/>
    </row>
    <row r="4741" spans="23:23" x14ac:dyDescent="0.2">
      <c r="W4741" s="39"/>
    </row>
    <row r="4742" spans="23:23" x14ac:dyDescent="0.2">
      <c r="W4742" s="39"/>
    </row>
    <row r="4743" spans="23:23" x14ac:dyDescent="0.2">
      <c r="W4743" s="39"/>
    </row>
    <row r="4744" spans="23:23" x14ac:dyDescent="0.2">
      <c r="W4744" s="39"/>
    </row>
    <row r="4745" spans="23:23" x14ac:dyDescent="0.2">
      <c r="W4745" s="39"/>
    </row>
    <row r="4746" spans="23:23" x14ac:dyDescent="0.2">
      <c r="W4746" s="39"/>
    </row>
    <row r="4747" spans="23:23" x14ac:dyDescent="0.2">
      <c r="W4747" s="39"/>
    </row>
    <row r="4748" spans="23:23" x14ac:dyDescent="0.2">
      <c r="W4748" s="39"/>
    </row>
    <row r="4749" spans="23:23" x14ac:dyDescent="0.2">
      <c r="W4749" s="39"/>
    </row>
    <row r="4750" spans="23:23" x14ac:dyDescent="0.2">
      <c r="W4750" s="39"/>
    </row>
    <row r="4751" spans="23:23" x14ac:dyDescent="0.2">
      <c r="W4751" s="39"/>
    </row>
    <row r="4752" spans="23:23" x14ac:dyDescent="0.2">
      <c r="W4752" s="39"/>
    </row>
    <row r="4753" spans="23:23" x14ac:dyDescent="0.2">
      <c r="W4753" s="39"/>
    </row>
    <row r="4754" spans="23:23" x14ac:dyDescent="0.2">
      <c r="W4754" s="39"/>
    </row>
    <row r="4755" spans="23:23" x14ac:dyDescent="0.2">
      <c r="W4755" s="39"/>
    </row>
    <row r="4756" spans="23:23" x14ac:dyDescent="0.2">
      <c r="W4756" s="39"/>
    </row>
    <row r="4757" spans="23:23" x14ac:dyDescent="0.2">
      <c r="W4757" s="39"/>
    </row>
    <row r="4758" spans="23:23" x14ac:dyDescent="0.2">
      <c r="W4758" s="39"/>
    </row>
    <row r="4759" spans="23:23" x14ac:dyDescent="0.2">
      <c r="W4759" s="39"/>
    </row>
    <row r="4760" spans="23:23" x14ac:dyDescent="0.2">
      <c r="W4760" s="39"/>
    </row>
    <row r="4761" spans="23:23" x14ac:dyDescent="0.2">
      <c r="W4761" s="39"/>
    </row>
    <row r="4762" spans="23:23" x14ac:dyDescent="0.2">
      <c r="W4762" s="39"/>
    </row>
    <row r="4763" spans="23:23" x14ac:dyDescent="0.2">
      <c r="W4763" s="39"/>
    </row>
    <row r="4764" spans="23:23" x14ac:dyDescent="0.2">
      <c r="W4764" s="39"/>
    </row>
    <row r="4765" spans="23:23" x14ac:dyDescent="0.2">
      <c r="W4765" s="39"/>
    </row>
    <row r="4766" spans="23:23" x14ac:dyDescent="0.2">
      <c r="W4766" s="39"/>
    </row>
    <row r="4767" spans="23:23" x14ac:dyDescent="0.2">
      <c r="W4767" s="39"/>
    </row>
    <row r="4768" spans="23:23" x14ac:dyDescent="0.2">
      <c r="W4768" s="39"/>
    </row>
    <row r="4769" spans="23:23" x14ac:dyDescent="0.2">
      <c r="W4769" s="39"/>
    </row>
    <row r="4770" spans="23:23" x14ac:dyDescent="0.2">
      <c r="W4770" s="39"/>
    </row>
    <row r="4771" spans="23:23" x14ac:dyDescent="0.2">
      <c r="W4771" s="39"/>
    </row>
    <row r="4772" spans="23:23" x14ac:dyDescent="0.2">
      <c r="W4772" s="39"/>
    </row>
    <row r="4773" spans="23:23" x14ac:dyDescent="0.2">
      <c r="W4773" s="39"/>
    </row>
    <row r="4774" spans="23:23" x14ac:dyDescent="0.2">
      <c r="W4774" s="39"/>
    </row>
    <row r="4775" spans="23:23" x14ac:dyDescent="0.2">
      <c r="W4775" s="39"/>
    </row>
    <row r="4776" spans="23:23" x14ac:dyDescent="0.2">
      <c r="W4776" s="39"/>
    </row>
    <row r="4777" spans="23:23" x14ac:dyDescent="0.2">
      <c r="W4777" s="39"/>
    </row>
    <row r="4778" spans="23:23" x14ac:dyDescent="0.2">
      <c r="W4778" s="39"/>
    </row>
    <row r="4779" spans="23:23" x14ac:dyDescent="0.2">
      <c r="W4779" s="39"/>
    </row>
    <row r="4780" spans="23:23" x14ac:dyDescent="0.2">
      <c r="W4780" s="39"/>
    </row>
    <row r="4781" spans="23:23" x14ac:dyDescent="0.2">
      <c r="W4781" s="39"/>
    </row>
    <row r="4782" spans="23:23" x14ac:dyDescent="0.2">
      <c r="W4782" s="39"/>
    </row>
    <row r="4783" spans="23:23" x14ac:dyDescent="0.2">
      <c r="W4783" s="39"/>
    </row>
    <row r="4784" spans="23:23" x14ac:dyDescent="0.2">
      <c r="W4784" s="39"/>
    </row>
    <row r="4785" spans="23:23" x14ac:dyDescent="0.2">
      <c r="W4785" s="39"/>
    </row>
    <row r="4786" spans="23:23" x14ac:dyDescent="0.2">
      <c r="W4786" s="39"/>
    </row>
    <row r="4787" spans="23:23" x14ac:dyDescent="0.2">
      <c r="W4787" s="39"/>
    </row>
    <row r="4788" spans="23:23" x14ac:dyDescent="0.2">
      <c r="W4788" s="39"/>
    </row>
    <row r="4789" spans="23:23" x14ac:dyDescent="0.2">
      <c r="W4789" s="39"/>
    </row>
    <row r="4790" spans="23:23" x14ac:dyDescent="0.2">
      <c r="W4790" s="39"/>
    </row>
    <row r="4791" spans="23:23" x14ac:dyDescent="0.2">
      <c r="W4791" s="39"/>
    </row>
    <row r="4792" spans="23:23" x14ac:dyDescent="0.2">
      <c r="W4792" s="39"/>
    </row>
    <row r="4793" spans="23:23" x14ac:dyDescent="0.2">
      <c r="W4793" s="39"/>
    </row>
    <row r="4794" spans="23:23" x14ac:dyDescent="0.2">
      <c r="W4794" s="39"/>
    </row>
    <row r="4795" spans="23:23" x14ac:dyDescent="0.2">
      <c r="W4795" s="39"/>
    </row>
    <row r="4796" spans="23:23" x14ac:dyDescent="0.2">
      <c r="W4796" s="39"/>
    </row>
    <row r="4797" spans="23:23" x14ac:dyDescent="0.2">
      <c r="W4797" s="39"/>
    </row>
    <row r="4798" spans="23:23" x14ac:dyDescent="0.2">
      <c r="W4798" s="39"/>
    </row>
    <row r="4799" spans="23:23" x14ac:dyDescent="0.2">
      <c r="W4799" s="39"/>
    </row>
    <row r="4800" spans="23:23" x14ac:dyDescent="0.2">
      <c r="W4800" s="39"/>
    </row>
    <row r="4801" spans="23:23" x14ac:dyDescent="0.2">
      <c r="W4801" s="39"/>
    </row>
    <row r="4802" spans="23:23" x14ac:dyDescent="0.2">
      <c r="W4802" s="39"/>
    </row>
    <row r="4803" spans="23:23" x14ac:dyDescent="0.2">
      <c r="W4803" s="39"/>
    </row>
    <row r="4804" spans="23:23" x14ac:dyDescent="0.2">
      <c r="W4804" s="39"/>
    </row>
    <row r="4805" spans="23:23" x14ac:dyDescent="0.2">
      <c r="W4805" s="39"/>
    </row>
    <row r="4806" spans="23:23" x14ac:dyDescent="0.2">
      <c r="W4806" s="39"/>
    </row>
    <row r="4807" spans="23:23" x14ac:dyDescent="0.2">
      <c r="W4807" s="39"/>
    </row>
    <row r="4808" spans="23:23" x14ac:dyDescent="0.2">
      <c r="W4808" s="39"/>
    </row>
    <row r="4809" spans="23:23" x14ac:dyDescent="0.2">
      <c r="W4809" s="39"/>
    </row>
    <row r="4810" spans="23:23" x14ac:dyDescent="0.2">
      <c r="W4810" s="39"/>
    </row>
    <row r="4811" spans="23:23" x14ac:dyDescent="0.2">
      <c r="W4811" s="39"/>
    </row>
    <row r="4812" spans="23:23" x14ac:dyDescent="0.2">
      <c r="W4812" s="39"/>
    </row>
    <row r="4813" spans="23:23" x14ac:dyDescent="0.2">
      <c r="W4813" s="39"/>
    </row>
    <row r="4814" spans="23:23" x14ac:dyDescent="0.2">
      <c r="W4814" s="39"/>
    </row>
    <row r="4815" spans="23:23" x14ac:dyDescent="0.2">
      <c r="W4815" s="39"/>
    </row>
    <row r="4816" spans="23:23" x14ac:dyDescent="0.2">
      <c r="W4816" s="39"/>
    </row>
    <row r="4817" spans="23:23" x14ac:dyDescent="0.2">
      <c r="W4817" s="39"/>
    </row>
    <row r="4818" spans="23:23" x14ac:dyDescent="0.2">
      <c r="W4818" s="39"/>
    </row>
    <row r="4819" spans="23:23" x14ac:dyDescent="0.2">
      <c r="W4819" s="39"/>
    </row>
    <row r="4820" spans="23:23" x14ac:dyDescent="0.2">
      <c r="W4820" s="39"/>
    </row>
    <row r="4821" spans="23:23" x14ac:dyDescent="0.2">
      <c r="W4821" s="39"/>
    </row>
    <row r="4822" spans="23:23" x14ac:dyDescent="0.2">
      <c r="W4822" s="39"/>
    </row>
    <row r="4823" spans="23:23" x14ac:dyDescent="0.2">
      <c r="W4823" s="39"/>
    </row>
    <row r="4824" spans="23:23" x14ac:dyDescent="0.2">
      <c r="W4824" s="39"/>
    </row>
    <row r="4825" spans="23:23" x14ac:dyDescent="0.2">
      <c r="W4825" s="39"/>
    </row>
    <row r="4826" spans="23:23" x14ac:dyDescent="0.2">
      <c r="W4826" s="39"/>
    </row>
    <row r="4827" spans="23:23" x14ac:dyDescent="0.2">
      <c r="W4827" s="39"/>
    </row>
    <row r="4828" spans="23:23" x14ac:dyDescent="0.2">
      <c r="W4828" s="39"/>
    </row>
    <row r="4829" spans="23:23" x14ac:dyDescent="0.2">
      <c r="W4829" s="39"/>
    </row>
    <row r="4830" spans="23:23" x14ac:dyDescent="0.2">
      <c r="W4830" s="39"/>
    </row>
    <row r="4831" spans="23:23" x14ac:dyDescent="0.2">
      <c r="W4831" s="39"/>
    </row>
    <row r="4832" spans="23:23" x14ac:dyDescent="0.2">
      <c r="W4832" s="39"/>
    </row>
    <row r="4833" spans="23:23" x14ac:dyDescent="0.2">
      <c r="W4833" s="39"/>
    </row>
    <row r="4834" spans="23:23" x14ac:dyDescent="0.2">
      <c r="W4834" s="39"/>
    </row>
    <row r="4835" spans="23:23" x14ac:dyDescent="0.2">
      <c r="W4835" s="39"/>
    </row>
    <row r="4836" spans="23:23" x14ac:dyDescent="0.2">
      <c r="W4836" s="39"/>
    </row>
    <row r="4837" spans="23:23" x14ac:dyDescent="0.2">
      <c r="W4837" s="39"/>
    </row>
    <row r="4838" spans="23:23" x14ac:dyDescent="0.2">
      <c r="W4838" s="39"/>
    </row>
    <row r="4839" spans="23:23" x14ac:dyDescent="0.2">
      <c r="W4839" s="39"/>
    </row>
    <row r="4840" spans="23:23" x14ac:dyDescent="0.2">
      <c r="W4840" s="39"/>
    </row>
    <row r="4841" spans="23:23" x14ac:dyDescent="0.2">
      <c r="W4841" s="39"/>
    </row>
    <row r="4842" spans="23:23" x14ac:dyDescent="0.2">
      <c r="W4842" s="39"/>
    </row>
    <row r="4843" spans="23:23" x14ac:dyDescent="0.2">
      <c r="W4843" s="39"/>
    </row>
    <row r="4844" spans="23:23" x14ac:dyDescent="0.2">
      <c r="W4844" s="39"/>
    </row>
    <row r="4845" spans="23:23" x14ac:dyDescent="0.2">
      <c r="W4845" s="39"/>
    </row>
    <row r="4846" spans="23:23" x14ac:dyDescent="0.2">
      <c r="W4846" s="39"/>
    </row>
    <row r="4847" spans="23:23" x14ac:dyDescent="0.2">
      <c r="W4847" s="39"/>
    </row>
    <row r="4848" spans="23:23" x14ac:dyDescent="0.2">
      <c r="W4848" s="39"/>
    </row>
    <row r="4849" spans="23:23" x14ac:dyDescent="0.2">
      <c r="W4849" s="39"/>
    </row>
    <row r="4850" spans="23:23" x14ac:dyDescent="0.2">
      <c r="W4850" s="39"/>
    </row>
    <row r="4851" spans="23:23" x14ac:dyDescent="0.2">
      <c r="W4851" s="39"/>
    </row>
    <row r="4852" spans="23:23" x14ac:dyDescent="0.2">
      <c r="W4852" s="39"/>
    </row>
    <row r="4853" spans="23:23" x14ac:dyDescent="0.2">
      <c r="W4853" s="39"/>
    </row>
    <row r="4854" spans="23:23" x14ac:dyDescent="0.2">
      <c r="W4854" s="39"/>
    </row>
    <row r="4855" spans="23:23" x14ac:dyDescent="0.2">
      <c r="W4855" s="39"/>
    </row>
    <row r="4856" spans="23:23" x14ac:dyDescent="0.2">
      <c r="W4856" s="39"/>
    </row>
    <row r="4857" spans="23:23" x14ac:dyDescent="0.2">
      <c r="W4857" s="39"/>
    </row>
    <row r="4858" spans="23:23" x14ac:dyDescent="0.2">
      <c r="W4858" s="39"/>
    </row>
    <row r="4859" spans="23:23" x14ac:dyDescent="0.2">
      <c r="W4859" s="39"/>
    </row>
    <row r="4860" spans="23:23" x14ac:dyDescent="0.2">
      <c r="W4860" s="39"/>
    </row>
    <row r="4861" spans="23:23" x14ac:dyDescent="0.2">
      <c r="W4861" s="39"/>
    </row>
    <row r="4862" spans="23:23" x14ac:dyDescent="0.2">
      <c r="W4862" s="39"/>
    </row>
    <row r="4863" spans="23:23" x14ac:dyDescent="0.2">
      <c r="W4863" s="39"/>
    </row>
    <row r="4864" spans="23:23" x14ac:dyDescent="0.2">
      <c r="W4864" s="39"/>
    </row>
    <row r="4865" spans="23:23" x14ac:dyDescent="0.2">
      <c r="W4865" s="39"/>
    </row>
    <row r="4866" spans="23:23" x14ac:dyDescent="0.2">
      <c r="W4866" s="39"/>
    </row>
    <row r="4867" spans="23:23" x14ac:dyDescent="0.2">
      <c r="W4867" s="39"/>
    </row>
    <row r="4868" spans="23:23" x14ac:dyDescent="0.2">
      <c r="W4868" s="39"/>
    </row>
    <row r="4869" spans="23:23" x14ac:dyDescent="0.2">
      <c r="W4869" s="39"/>
    </row>
    <row r="4870" spans="23:23" x14ac:dyDescent="0.2">
      <c r="W4870" s="39"/>
    </row>
    <row r="4871" spans="23:23" x14ac:dyDescent="0.2">
      <c r="W4871" s="39"/>
    </row>
    <row r="4872" spans="23:23" x14ac:dyDescent="0.2">
      <c r="W4872" s="39"/>
    </row>
    <row r="4873" spans="23:23" x14ac:dyDescent="0.2">
      <c r="W4873" s="39"/>
    </row>
    <row r="4874" spans="23:23" x14ac:dyDescent="0.2">
      <c r="W4874" s="39"/>
    </row>
    <row r="4875" spans="23:23" x14ac:dyDescent="0.2">
      <c r="W4875" s="39"/>
    </row>
    <row r="4876" spans="23:23" x14ac:dyDescent="0.2">
      <c r="W4876" s="39"/>
    </row>
    <row r="4877" spans="23:23" x14ac:dyDescent="0.2">
      <c r="W4877" s="39"/>
    </row>
    <row r="4878" spans="23:23" x14ac:dyDescent="0.2">
      <c r="W4878" s="39"/>
    </row>
    <row r="4879" spans="23:23" x14ac:dyDescent="0.2">
      <c r="W4879" s="39"/>
    </row>
    <row r="4880" spans="23:23" x14ac:dyDescent="0.2">
      <c r="W4880" s="39"/>
    </row>
    <row r="4881" spans="23:23" x14ac:dyDescent="0.2">
      <c r="W4881" s="39"/>
    </row>
    <row r="4882" spans="23:23" x14ac:dyDescent="0.2">
      <c r="W4882" s="39"/>
    </row>
    <row r="4883" spans="23:23" x14ac:dyDescent="0.2">
      <c r="W4883" s="39"/>
    </row>
    <row r="4884" spans="23:23" x14ac:dyDescent="0.2">
      <c r="W4884" s="39"/>
    </row>
    <row r="4885" spans="23:23" x14ac:dyDescent="0.2">
      <c r="W4885" s="39"/>
    </row>
    <row r="4886" spans="23:23" x14ac:dyDescent="0.2">
      <c r="W4886" s="39"/>
    </row>
    <row r="4887" spans="23:23" x14ac:dyDescent="0.2">
      <c r="W4887" s="39"/>
    </row>
    <row r="4888" spans="23:23" x14ac:dyDescent="0.2">
      <c r="W4888" s="39"/>
    </row>
    <row r="4889" spans="23:23" x14ac:dyDescent="0.2">
      <c r="W4889" s="39"/>
    </row>
    <row r="4890" spans="23:23" x14ac:dyDescent="0.2">
      <c r="W4890" s="39"/>
    </row>
    <row r="4891" spans="23:23" x14ac:dyDescent="0.2">
      <c r="W4891" s="39"/>
    </row>
    <row r="4892" spans="23:23" x14ac:dyDescent="0.2">
      <c r="W4892" s="39"/>
    </row>
    <row r="4893" spans="23:23" x14ac:dyDescent="0.2">
      <c r="W4893" s="39"/>
    </row>
    <row r="4894" spans="23:23" x14ac:dyDescent="0.2">
      <c r="W4894" s="39"/>
    </row>
    <row r="4895" spans="23:23" x14ac:dyDescent="0.2">
      <c r="W4895" s="39"/>
    </row>
    <row r="4896" spans="23:23" x14ac:dyDescent="0.2">
      <c r="W4896" s="39"/>
    </row>
    <row r="4897" spans="23:23" x14ac:dyDescent="0.2">
      <c r="W4897" s="39"/>
    </row>
    <row r="4898" spans="23:23" x14ac:dyDescent="0.2">
      <c r="W4898" s="39"/>
    </row>
    <row r="4899" spans="23:23" x14ac:dyDescent="0.2">
      <c r="W4899" s="39"/>
    </row>
    <row r="4900" spans="23:23" x14ac:dyDescent="0.2">
      <c r="W4900" s="39"/>
    </row>
    <row r="4901" spans="23:23" x14ac:dyDescent="0.2">
      <c r="W4901" s="39"/>
    </row>
    <row r="4902" spans="23:23" x14ac:dyDescent="0.2">
      <c r="W4902" s="39"/>
    </row>
    <row r="4903" spans="23:23" x14ac:dyDescent="0.2">
      <c r="W4903" s="39"/>
    </row>
    <row r="4904" spans="23:23" x14ac:dyDescent="0.2">
      <c r="W4904" s="39"/>
    </row>
    <row r="4905" spans="23:23" x14ac:dyDescent="0.2">
      <c r="W4905" s="39"/>
    </row>
    <row r="4906" spans="23:23" x14ac:dyDescent="0.2">
      <c r="W4906" s="39"/>
    </row>
    <row r="4907" spans="23:23" x14ac:dyDescent="0.2">
      <c r="W4907" s="39"/>
    </row>
    <row r="4908" spans="23:23" x14ac:dyDescent="0.2">
      <c r="W4908" s="39"/>
    </row>
    <row r="4909" spans="23:23" x14ac:dyDescent="0.2">
      <c r="W4909" s="39"/>
    </row>
    <row r="4910" spans="23:23" x14ac:dyDescent="0.2">
      <c r="W4910" s="39"/>
    </row>
    <row r="4911" spans="23:23" x14ac:dyDescent="0.2">
      <c r="W4911" s="39"/>
    </row>
    <row r="4912" spans="23:23" x14ac:dyDescent="0.2">
      <c r="W4912" s="39"/>
    </row>
    <row r="4913" spans="23:23" x14ac:dyDescent="0.2">
      <c r="W4913" s="39"/>
    </row>
    <row r="4914" spans="23:23" x14ac:dyDescent="0.2">
      <c r="W4914" s="39"/>
    </row>
    <row r="4915" spans="23:23" x14ac:dyDescent="0.2">
      <c r="W4915" s="39"/>
    </row>
    <row r="4916" spans="23:23" x14ac:dyDescent="0.2">
      <c r="W4916" s="39"/>
    </row>
    <row r="4917" spans="23:23" x14ac:dyDescent="0.2">
      <c r="W4917" s="39"/>
    </row>
    <row r="4918" spans="23:23" x14ac:dyDescent="0.2">
      <c r="W4918" s="39"/>
    </row>
    <row r="4919" spans="23:23" x14ac:dyDescent="0.2">
      <c r="W4919" s="39"/>
    </row>
    <row r="4920" spans="23:23" x14ac:dyDescent="0.2">
      <c r="W4920" s="39"/>
    </row>
    <row r="4921" spans="23:23" x14ac:dyDescent="0.2">
      <c r="W4921" s="39"/>
    </row>
    <row r="4922" spans="23:23" x14ac:dyDescent="0.2">
      <c r="W4922" s="39"/>
    </row>
    <row r="4923" spans="23:23" x14ac:dyDescent="0.2">
      <c r="W4923" s="39"/>
    </row>
    <row r="4924" spans="23:23" x14ac:dyDescent="0.2">
      <c r="W4924" s="39"/>
    </row>
    <row r="4925" spans="23:23" x14ac:dyDescent="0.2">
      <c r="W4925" s="39"/>
    </row>
    <row r="4926" spans="23:23" x14ac:dyDescent="0.2">
      <c r="W4926" s="39"/>
    </row>
    <row r="4927" spans="23:23" x14ac:dyDescent="0.2">
      <c r="W4927" s="39"/>
    </row>
    <row r="4928" spans="23:23" x14ac:dyDescent="0.2">
      <c r="W4928" s="39"/>
    </row>
    <row r="4929" spans="23:23" x14ac:dyDescent="0.2">
      <c r="W4929" s="39"/>
    </row>
    <row r="4930" spans="23:23" x14ac:dyDescent="0.2">
      <c r="W4930" s="39"/>
    </row>
    <row r="4931" spans="23:23" x14ac:dyDescent="0.2">
      <c r="W4931" s="39"/>
    </row>
    <row r="4932" spans="23:23" x14ac:dyDescent="0.2">
      <c r="W4932" s="39"/>
    </row>
    <row r="4933" spans="23:23" x14ac:dyDescent="0.2">
      <c r="W4933" s="39"/>
    </row>
    <row r="4934" spans="23:23" x14ac:dyDescent="0.2">
      <c r="W4934" s="39"/>
    </row>
    <row r="4935" spans="23:23" x14ac:dyDescent="0.2">
      <c r="W4935" s="39"/>
    </row>
    <row r="4936" spans="23:23" x14ac:dyDescent="0.2">
      <c r="W4936" s="39"/>
    </row>
    <row r="4937" spans="23:23" x14ac:dyDescent="0.2">
      <c r="W4937" s="39"/>
    </row>
    <row r="4938" spans="23:23" x14ac:dyDescent="0.2">
      <c r="W4938" s="39"/>
    </row>
    <row r="4939" spans="23:23" x14ac:dyDescent="0.2">
      <c r="W4939" s="39"/>
    </row>
    <row r="4940" spans="23:23" x14ac:dyDescent="0.2">
      <c r="W4940" s="39"/>
    </row>
    <row r="4941" spans="23:23" x14ac:dyDescent="0.2">
      <c r="W4941" s="39"/>
    </row>
    <row r="4942" spans="23:23" x14ac:dyDescent="0.2">
      <c r="W4942" s="39"/>
    </row>
    <row r="4943" spans="23:23" x14ac:dyDescent="0.2">
      <c r="W4943" s="39"/>
    </row>
    <row r="4944" spans="23:23" x14ac:dyDescent="0.2">
      <c r="W4944" s="39"/>
    </row>
    <row r="4945" spans="23:23" x14ac:dyDescent="0.2">
      <c r="W4945" s="39"/>
    </row>
    <row r="4946" spans="23:23" x14ac:dyDescent="0.2">
      <c r="W4946" s="39"/>
    </row>
    <row r="4947" spans="23:23" x14ac:dyDescent="0.2">
      <c r="W4947" s="39"/>
    </row>
    <row r="4948" spans="23:23" x14ac:dyDescent="0.2">
      <c r="W4948" s="39"/>
    </row>
    <row r="4949" spans="23:23" x14ac:dyDescent="0.2">
      <c r="W4949" s="39"/>
    </row>
    <row r="4950" spans="23:23" x14ac:dyDescent="0.2">
      <c r="W4950" s="39"/>
    </row>
    <row r="4951" spans="23:23" x14ac:dyDescent="0.2">
      <c r="W4951" s="39"/>
    </row>
    <row r="4952" spans="23:23" x14ac:dyDescent="0.2">
      <c r="W4952" s="39"/>
    </row>
    <row r="4953" spans="23:23" x14ac:dyDescent="0.2">
      <c r="W4953" s="39"/>
    </row>
    <row r="4954" spans="23:23" x14ac:dyDescent="0.2">
      <c r="W4954" s="39"/>
    </row>
    <row r="4955" spans="23:23" x14ac:dyDescent="0.2">
      <c r="W4955" s="39"/>
    </row>
    <row r="4956" spans="23:23" x14ac:dyDescent="0.2">
      <c r="W4956" s="39"/>
    </row>
    <row r="4957" spans="23:23" x14ac:dyDescent="0.2">
      <c r="W4957" s="39"/>
    </row>
    <row r="4958" spans="23:23" x14ac:dyDescent="0.2">
      <c r="W4958" s="39"/>
    </row>
    <row r="4959" spans="23:23" x14ac:dyDescent="0.2">
      <c r="W4959" s="39"/>
    </row>
    <row r="4960" spans="23:23" x14ac:dyDescent="0.2">
      <c r="W4960" s="39"/>
    </row>
    <row r="4961" spans="23:23" x14ac:dyDescent="0.2">
      <c r="W4961" s="39"/>
    </row>
    <row r="4962" spans="23:23" x14ac:dyDescent="0.2">
      <c r="W4962" s="39"/>
    </row>
    <row r="4963" spans="23:23" x14ac:dyDescent="0.2">
      <c r="W4963" s="39"/>
    </row>
    <row r="4964" spans="23:23" x14ac:dyDescent="0.2">
      <c r="W4964" s="39"/>
    </row>
    <row r="4965" spans="23:23" x14ac:dyDescent="0.2">
      <c r="W4965" s="39"/>
    </row>
    <row r="4966" spans="23:23" x14ac:dyDescent="0.2">
      <c r="W4966" s="39"/>
    </row>
    <row r="4967" spans="23:23" x14ac:dyDescent="0.2">
      <c r="W4967" s="39"/>
    </row>
    <row r="4968" spans="23:23" x14ac:dyDescent="0.2">
      <c r="W4968" s="39"/>
    </row>
    <row r="4969" spans="23:23" x14ac:dyDescent="0.2">
      <c r="W4969" s="39"/>
    </row>
    <row r="4970" spans="23:23" x14ac:dyDescent="0.2">
      <c r="W4970" s="39"/>
    </row>
    <row r="4971" spans="23:23" x14ac:dyDescent="0.2">
      <c r="W4971" s="39"/>
    </row>
    <row r="4972" spans="23:23" x14ac:dyDescent="0.2">
      <c r="W4972" s="39"/>
    </row>
    <row r="4973" spans="23:23" x14ac:dyDescent="0.2">
      <c r="W4973" s="39"/>
    </row>
    <row r="4974" spans="23:23" x14ac:dyDescent="0.2">
      <c r="W4974" s="39"/>
    </row>
    <row r="4975" spans="23:23" x14ac:dyDescent="0.2">
      <c r="W4975" s="39"/>
    </row>
    <row r="4976" spans="23:23" x14ac:dyDescent="0.2">
      <c r="W4976" s="39"/>
    </row>
    <row r="4977" spans="23:23" x14ac:dyDescent="0.2">
      <c r="W4977" s="39"/>
    </row>
    <row r="4978" spans="23:23" x14ac:dyDescent="0.2">
      <c r="W4978" s="39"/>
    </row>
    <row r="4979" spans="23:23" x14ac:dyDescent="0.2">
      <c r="W4979" s="39"/>
    </row>
    <row r="4980" spans="23:23" x14ac:dyDescent="0.2">
      <c r="W4980" s="39"/>
    </row>
    <row r="4981" spans="23:23" x14ac:dyDescent="0.2">
      <c r="W4981" s="39"/>
    </row>
    <row r="4982" spans="23:23" x14ac:dyDescent="0.2">
      <c r="W4982" s="39"/>
    </row>
    <row r="4983" spans="23:23" x14ac:dyDescent="0.2">
      <c r="W4983" s="39"/>
    </row>
    <row r="4984" spans="23:23" x14ac:dyDescent="0.2">
      <c r="W4984" s="39"/>
    </row>
    <row r="4985" spans="23:23" x14ac:dyDescent="0.2">
      <c r="W4985" s="39"/>
    </row>
    <row r="4986" spans="23:23" x14ac:dyDescent="0.2">
      <c r="W4986" s="39"/>
    </row>
    <row r="4987" spans="23:23" x14ac:dyDescent="0.2">
      <c r="W4987" s="39"/>
    </row>
    <row r="4988" spans="23:23" x14ac:dyDescent="0.2">
      <c r="W4988" s="39"/>
    </row>
    <row r="4989" spans="23:23" x14ac:dyDescent="0.2">
      <c r="W4989" s="39"/>
    </row>
    <row r="4990" spans="23:23" x14ac:dyDescent="0.2">
      <c r="W4990" s="39"/>
    </row>
    <row r="4991" spans="23:23" x14ac:dyDescent="0.2">
      <c r="W4991" s="39"/>
    </row>
    <row r="4992" spans="23:23" x14ac:dyDescent="0.2">
      <c r="W4992" s="39"/>
    </row>
    <row r="4993" spans="23:23" x14ac:dyDescent="0.2">
      <c r="W4993" s="39"/>
    </row>
    <row r="4994" spans="23:23" x14ac:dyDescent="0.2">
      <c r="W4994" s="39"/>
    </row>
    <row r="4995" spans="23:23" x14ac:dyDescent="0.2">
      <c r="W4995" s="39"/>
    </row>
    <row r="4996" spans="23:23" x14ac:dyDescent="0.2">
      <c r="W4996" s="39"/>
    </row>
    <row r="4997" spans="23:23" x14ac:dyDescent="0.2">
      <c r="W4997" s="39"/>
    </row>
    <row r="4998" spans="23:23" x14ac:dyDescent="0.2">
      <c r="W4998" s="39"/>
    </row>
    <row r="4999" spans="23:23" x14ac:dyDescent="0.2">
      <c r="W4999" s="39"/>
    </row>
    <row r="5000" spans="23:23" x14ac:dyDescent="0.2">
      <c r="W5000" s="39"/>
    </row>
    <row r="5001" spans="23:23" x14ac:dyDescent="0.2">
      <c r="W5001" s="39"/>
    </row>
    <row r="5002" spans="23:23" x14ac:dyDescent="0.2">
      <c r="W5002" s="39"/>
    </row>
    <row r="5003" spans="23:23" x14ac:dyDescent="0.2">
      <c r="W5003" s="39"/>
    </row>
    <row r="5004" spans="23:23" x14ac:dyDescent="0.2">
      <c r="W5004" s="39"/>
    </row>
    <row r="5005" spans="23:23" x14ac:dyDescent="0.2">
      <c r="W5005" s="39"/>
    </row>
    <row r="5006" spans="23:23" x14ac:dyDescent="0.2">
      <c r="W5006" s="39"/>
    </row>
    <row r="5007" spans="23:23" x14ac:dyDescent="0.2">
      <c r="W5007" s="39"/>
    </row>
    <row r="5008" spans="23:23" x14ac:dyDescent="0.2">
      <c r="W5008" s="39"/>
    </row>
    <row r="5009" spans="23:23" x14ac:dyDescent="0.2">
      <c r="W5009" s="39"/>
    </row>
    <row r="5010" spans="23:23" x14ac:dyDescent="0.2">
      <c r="W5010" s="39"/>
    </row>
    <row r="5011" spans="23:23" x14ac:dyDescent="0.2">
      <c r="W5011" s="39"/>
    </row>
    <row r="5012" spans="23:23" x14ac:dyDescent="0.2">
      <c r="W5012" s="39"/>
    </row>
    <row r="5013" spans="23:23" x14ac:dyDescent="0.2">
      <c r="W5013" s="39"/>
    </row>
    <row r="5014" spans="23:23" x14ac:dyDescent="0.2">
      <c r="W5014" s="39"/>
    </row>
    <row r="5015" spans="23:23" x14ac:dyDescent="0.2">
      <c r="W5015" s="39"/>
    </row>
    <row r="5016" spans="23:23" x14ac:dyDescent="0.2">
      <c r="W5016" s="39"/>
    </row>
    <row r="5017" spans="23:23" x14ac:dyDescent="0.2">
      <c r="W5017" s="39"/>
    </row>
    <row r="5018" spans="23:23" x14ac:dyDescent="0.2">
      <c r="W5018" s="39"/>
    </row>
    <row r="5019" spans="23:23" x14ac:dyDescent="0.2">
      <c r="W5019" s="39"/>
    </row>
    <row r="5020" spans="23:23" x14ac:dyDescent="0.2">
      <c r="W5020" s="39"/>
    </row>
    <row r="5021" spans="23:23" x14ac:dyDescent="0.2">
      <c r="W5021" s="39"/>
    </row>
    <row r="5022" spans="23:23" x14ac:dyDescent="0.2">
      <c r="W5022" s="39"/>
    </row>
    <row r="5023" spans="23:23" x14ac:dyDescent="0.2">
      <c r="W5023" s="39"/>
    </row>
    <row r="5024" spans="23:23" x14ac:dyDescent="0.2">
      <c r="W5024" s="39"/>
    </row>
    <row r="5025" spans="23:23" x14ac:dyDescent="0.2">
      <c r="W5025" s="39"/>
    </row>
    <row r="5026" spans="23:23" x14ac:dyDescent="0.2">
      <c r="W5026" s="39"/>
    </row>
    <row r="5027" spans="23:23" x14ac:dyDescent="0.2">
      <c r="W5027" s="39"/>
    </row>
    <row r="5028" spans="23:23" x14ac:dyDescent="0.2">
      <c r="W5028" s="39"/>
    </row>
    <row r="5029" spans="23:23" x14ac:dyDescent="0.2">
      <c r="W5029" s="39"/>
    </row>
    <row r="5030" spans="23:23" x14ac:dyDescent="0.2">
      <c r="W5030" s="39"/>
    </row>
    <row r="5031" spans="23:23" x14ac:dyDescent="0.2">
      <c r="W5031" s="39"/>
    </row>
    <row r="5032" spans="23:23" x14ac:dyDescent="0.2">
      <c r="W5032" s="39"/>
    </row>
    <row r="5033" spans="23:23" x14ac:dyDescent="0.2">
      <c r="W5033" s="39"/>
    </row>
    <row r="5034" spans="23:23" x14ac:dyDescent="0.2">
      <c r="W5034" s="39"/>
    </row>
    <row r="5035" spans="23:23" x14ac:dyDescent="0.2">
      <c r="W5035" s="39"/>
    </row>
    <row r="5036" spans="23:23" x14ac:dyDescent="0.2">
      <c r="W5036" s="39"/>
    </row>
    <row r="5037" spans="23:23" x14ac:dyDescent="0.2">
      <c r="W5037" s="39"/>
    </row>
    <row r="5038" spans="23:23" x14ac:dyDescent="0.2">
      <c r="W5038" s="39"/>
    </row>
    <row r="5039" spans="23:23" x14ac:dyDescent="0.2">
      <c r="W5039" s="39"/>
    </row>
    <row r="5040" spans="23:23" x14ac:dyDescent="0.2">
      <c r="W5040" s="39"/>
    </row>
    <row r="5041" spans="23:23" x14ac:dyDescent="0.2">
      <c r="W5041" s="39"/>
    </row>
    <row r="5042" spans="23:23" x14ac:dyDescent="0.2">
      <c r="W5042" s="39"/>
    </row>
    <row r="5043" spans="23:23" x14ac:dyDescent="0.2">
      <c r="W5043" s="39"/>
    </row>
    <row r="5044" spans="23:23" x14ac:dyDescent="0.2">
      <c r="W5044" s="39"/>
    </row>
    <row r="5045" spans="23:23" x14ac:dyDescent="0.2">
      <c r="W5045" s="39"/>
    </row>
    <row r="5046" spans="23:23" x14ac:dyDescent="0.2">
      <c r="W5046" s="39"/>
    </row>
    <row r="5047" spans="23:23" x14ac:dyDescent="0.2">
      <c r="W5047" s="39"/>
    </row>
    <row r="5048" spans="23:23" x14ac:dyDescent="0.2">
      <c r="W5048" s="39"/>
    </row>
    <row r="5049" spans="23:23" x14ac:dyDescent="0.2">
      <c r="W5049" s="39"/>
    </row>
    <row r="5050" spans="23:23" x14ac:dyDescent="0.2">
      <c r="W5050" s="39"/>
    </row>
    <row r="5051" spans="23:23" x14ac:dyDescent="0.2">
      <c r="W5051" s="39"/>
    </row>
    <row r="5052" spans="23:23" x14ac:dyDescent="0.2">
      <c r="W5052" s="39"/>
    </row>
    <row r="5053" spans="23:23" x14ac:dyDescent="0.2">
      <c r="W5053" s="39"/>
    </row>
    <row r="5054" spans="23:23" x14ac:dyDescent="0.2">
      <c r="W5054" s="39"/>
    </row>
    <row r="5055" spans="23:23" x14ac:dyDescent="0.2">
      <c r="W5055" s="39"/>
    </row>
    <row r="5056" spans="23:23" x14ac:dyDescent="0.2">
      <c r="W5056" s="39"/>
    </row>
    <row r="5057" spans="23:23" x14ac:dyDescent="0.2">
      <c r="W5057" s="39"/>
    </row>
    <row r="5058" spans="23:23" x14ac:dyDescent="0.2">
      <c r="W5058" s="39"/>
    </row>
    <row r="5059" spans="23:23" x14ac:dyDescent="0.2">
      <c r="W5059" s="39"/>
    </row>
    <row r="5060" spans="23:23" x14ac:dyDescent="0.2">
      <c r="W5060" s="39"/>
    </row>
    <row r="5061" spans="23:23" x14ac:dyDescent="0.2">
      <c r="W5061" s="39"/>
    </row>
    <row r="5062" spans="23:23" x14ac:dyDescent="0.2">
      <c r="W5062" s="39"/>
    </row>
    <row r="5063" spans="23:23" x14ac:dyDescent="0.2">
      <c r="W5063" s="39"/>
    </row>
    <row r="5064" spans="23:23" x14ac:dyDescent="0.2">
      <c r="W5064" s="39"/>
    </row>
    <row r="5065" spans="23:23" x14ac:dyDescent="0.2">
      <c r="W5065" s="39"/>
    </row>
    <row r="5066" spans="23:23" x14ac:dyDescent="0.2">
      <c r="W5066" s="39"/>
    </row>
    <row r="5067" spans="23:23" x14ac:dyDescent="0.2">
      <c r="W5067" s="39"/>
    </row>
    <row r="5068" spans="23:23" x14ac:dyDescent="0.2">
      <c r="W5068" s="39"/>
    </row>
    <row r="5069" spans="23:23" x14ac:dyDescent="0.2">
      <c r="W5069" s="39"/>
    </row>
    <row r="5070" spans="23:23" x14ac:dyDescent="0.2">
      <c r="W5070" s="39"/>
    </row>
    <row r="5071" spans="23:23" x14ac:dyDescent="0.2">
      <c r="W5071" s="39"/>
    </row>
    <row r="5072" spans="23:23" x14ac:dyDescent="0.2">
      <c r="W5072" s="39"/>
    </row>
    <row r="5073" spans="23:23" x14ac:dyDescent="0.2">
      <c r="W5073" s="39"/>
    </row>
    <row r="5074" spans="23:23" x14ac:dyDescent="0.2">
      <c r="W5074" s="39"/>
    </row>
    <row r="5075" spans="23:23" x14ac:dyDescent="0.2">
      <c r="W5075" s="39"/>
    </row>
    <row r="5076" spans="23:23" x14ac:dyDescent="0.2">
      <c r="W5076" s="39"/>
    </row>
    <row r="5077" spans="23:23" x14ac:dyDescent="0.2">
      <c r="W5077" s="39"/>
    </row>
    <row r="5078" spans="23:23" x14ac:dyDescent="0.2">
      <c r="W5078" s="39"/>
    </row>
    <row r="5079" spans="23:23" x14ac:dyDescent="0.2">
      <c r="W5079" s="39"/>
    </row>
    <row r="5080" spans="23:23" x14ac:dyDescent="0.2">
      <c r="W5080" s="39"/>
    </row>
    <row r="5081" spans="23:23" x14ac:dyDescent="0.2">
      <c r="W5081" s="39"/>
    </row>
    <row r="5082" spans="23:23" x14ac:dyDescent="0.2">
      <c r="W5082" s="39"/>
    </row>
    <row r="5083" spans="23:23" x14ac:dyDescent="0.2">
      <c r="W5083" s="39"/>
    </row>
    <row r="5084" spans="23:23" x14ac:dyDescent="0.2">
      <c r="W5084" s="39"/>
    </row>
    <row r="5085" spans="23:23" x14ac:dyDescent="0.2">
      <c r="W5085" s="39"/>
    </row>
    <row r="5086" spans="23:23" x14ac:dyDescent="0.2">
      <c r="W5086" s="39"/>
    </row>
    <row r="5087" spans="23:23" x14ac:dyDescent="0.2">
      <c r="W5087" s="39"/>
    </row>
    <row r="5088" spans="23:23" x14ac:dyDescent="0.2">
      <c r="W5088" s="39"/>
    </row>
    <row r="5089" spans="23:23" x14ac:dyDescent="0.2">
      <c r="W5089" s="39"/>
    </row>
    <row r="5090" spans="23:23" x14ac:dyDescent="0.2">
      <c r="W5090" s="39"/>
    </row>
    <row r="5091" spans="23:23" x14ac:dyDescent="0.2">
      <c r="W5091" s="39"/>
    </row>
    <row r="5092" spans="23:23" x14ac:dyDescent="0.2">
      <c r="W5092" s="39"/>
    </row>
    <row r="5093" spans="23:23" x14ac:dyDescent="0.2">
      <c r="W5093" s="39"/>
    </row>
    <row r="5094" spans="23:23" x14ac:dyDescent="0.2">
      <c r="W5094" s="39"/>
    </row>
    <row r="5095" spans="23:23" x14ac:dyDescent="0.2">
      <c r="W5095" s="39"/>
    </row>
    <row r="5096" spans="23:23" x14ac:dyDescent="0.2">
      <c r="W5096" s="39"/>
    </row>
    <row r="5097" spans="23:23" x14ac:dyDescent="0.2">
      <c r="W5097" s="39"/>
    </row>
    <row r="5098" spans="23:23" x14ac:dyDescent="0.2">
      <c r="W5098" s="39"/>
    </row>
    <row r="5099" spans="23:23" x14ac:dyDescent="0.2">
      <c r="W5099" s="39"/>
    </row>
    <row r="5100" spans="23:23" x14ac:dyDescent="0.2">
      <c r="W5100" s="39"/>
    </row>
    <row r="5101" spans="23:23" x14ac:dyDescent="0.2">
      <c r="W5101" s="39"/>
    </row>
    <row r="5102" spans="23:23" x14ac:dyDescent="0.2">
      <c r="W5102" s="39"/>
    </row>
    <row r="5103" spans="23:23" x14ac:dyDescent="0.2">
      <c r="W5103" s="39"/>
    </row>
    <row r="5104" spans="23:23" x14ac:dyDescent="0.2">
      <c r="W5104" s="39"/>
    </row>
    <row r="5105" spans="23:23" x14ac:dyDescent="0.2">
      <c r="W5105" s="39"/>
    </row>
    <row r="5106" spans="23:23" x14ac:dyDescent="0.2">
      <c r="W5106" s="39"/>
    </row>
    <row r="5107" spans="23:23" x14ac:dyDescent="0.2">
      <c r="W5107" s="39"/>
    </row>
    <row r="5108" spans="23:23" x14ac:dyDescent="0.2">
      <c r="W5108" s="39"/>
    </row>
    <row r="5109" spans="23:23" x14ac:dyDescent="0.2">
      <c r="W5109" s="39"/>
    </row>
    <row r="5110" spans="23:23" x14ac:dyDescent="0.2">
      <c r="W5110" s="39"/>
    </row>
    <row r="5111" spans="23:23" x14ac:dyDescent="0.2">
      <c r="W5111" s="39"/>
    </row>
    <row r="5112" spans="23:23" x14ac:dyDescent="0.2">
      <c r="W5112" s="39"/>
    </row>
    <row r="5113" spans="23:23" x14ac:dyDescent="0.2">
      <c r="W5113" s="39"/>
    </row>
    <row r="5114" spans="23:23" x14ac:dyDescent="0.2">
      <c r="W5114" s="39"/>
    </row>
    <row r="5115" spans="23:23" x14ac:dyDescent="0.2">
      <c r="W5115" s="39"/>
    </row>
    <row r="5116" spans="23:23" x14ac:dyDescent="0.2">
      <c r="W5116" s="39"/>
    </row>
    <row r="5117" spans="23:23" x14ac:dyDescent="0.2">
      <c r="W5117" s="39"/>
    </row>
    <row r="5118" spans="23:23" x14ac:dyDescent="0.2">
      <c r="W5118" s="39"/>
    </row>
    <row r="5119" spans="23:23" x14ac:dyDescent="0.2">
      <c r="W5119" s="39"/>
    </row>
    <row r="5120" spans="23:23" x14ac:dyDescent="0.2">
      <c r="W5120" s="39"/>
    </row>
    <row r="5121" spans="23:23" x14ac:dyDescent="0.2">
      <c r="W5121" s="39"/>
    </row>
    <row r="5122" spans="23:23" x14ac:dyDescent="0.2">
      <c r="W5122" s="39"/>
    </row>
    <row r="5123" spans="23:23" x14ac:dyDescent="0.2">
      <c r="W5123" s="39"/>
    </row>
    <row r="5124" spans="23:23" x14ac:dyDescent="0.2">
      <c r="W5124" s="39"/>
    </row>
    <row r="5125" spans="23:23" x14ac:dyDescent="0.2">
      <c r="W5125" s="39"/>
    </row>
    <row r="5126" spans="23:23" x14ac:dyDescent="0.2">
      <c r="W5126" s="39"/>
    </row>
    <row r="5127" spans="23:23" x14ac:dyDescent="0.2">
      <c r="W5127" s="39"/>
    </row>
    <row r="5128" spans="23:23" x14ac:dyDescent="0.2">
      <c r="W5128" s="39"/>
    </row>
    <row r="5129" spans="23:23" x14ac:dyDescent="0.2">
      <c r="W5129" s="39"/>
    </row>
    <row r="5130" spans="23:23" x14ac:dyDescent="0.2">
      <c r="W5130" s="39"/>
    </row>
    <row r="5131" spans="23:23" x14ac:dyDescent="0.2">
      <c r="W5131" s="39"/>
    </row>
    <row r="5132" spans="23:23" x14ac:dyDescent="0.2">
      <c r="W5132" s="39"/>
    </row>
    <row r="5133" spans="23:23" x14ac:dyDescent="0.2">
      <c r="W5133" s="39"/>
    </row>
    <row r="5134" spans="23:23" x14ac:dyDescent="0.2">
      <c r="W5134" s="39"/>
    </row>
    <row r="5135" spans="23:23" x14ac:dyDescent="0.2">
      <c r="W5135" s="39"/>
    </row>
    <row r="5136" spans="23:23" x14ac:dyDescent="0.2">
      <c r="W5136" s="39"/>
    </row>
    <row r="5137" spans="23:23" x14ac:dyDescent="0.2">
      <c r="W5137" s="39"/>
    </row>
    <row r="5138" spans="23:23" x14ac:dyDescent="0.2">
      <c r="W5138" s="39"/>
    </row>
    <row r="5139" spans="23:23" x14ac:dyDescent="0.2">
      <c r="W5139" s="39"/>
    </row>
    <row r="5140" spans="23:23" x14ac:dyDescent="0.2">
      <c r="W5140" s="39"/>
    </row>
    <row r="5141" spans="23:23" x14ac:dyDescent="0.2">
      <c r="W5141" s="39"/>
    </row>
    <row r="5142" spans="23:23" x14ac:dyDescent="0.2">
      <c r="W5142" s="39"/>
    </row>
    <row r="5143" spans="23:23" x14ac:dyDescent="0.2">
      <c r="W5143" s="39"/>
    </row>
    <row r="5144" spans="23:23" x14ac:dyDescent="0.2">
      <c r="W5144" s="39"/>
    </row>
    <row r="5145" spans="23:23" x14ac:dyDescent="0.2">
      <c r="W5145" s="39"/>
    </row>
    <row r="5146" spans="23:23" x14ac:dyDescent="0.2">
      <c r="W5146" s="39"/>
    </row>
    <row r="5147" spans="23:23" x14ac:dyDescent="0.2">
      <c r="W5147" s="39"/>
    </row>
    <row r="5148" spans="23:23" x14ac:dyDescent="0.2">
      <c r="W5148" s="39"/>
    </row>
    <row r="5149" spans="23:23" x14ac:dyDescent="0.2">
      <c r="W5149" s="39"/>
    </row>
    <row r="5150" spans="23:23" x14ac:dyDescent="0.2">
      <c r="W5150" s="39"/>
    </row>
    <row r="5151" spans="23:23" x14ac:dyDescent="0.2">
      <c r="W5151" s="39"/>
    </row>
    <row r="5152" spans="23:23" x14ac:dyDescent="0.2">
      <c r="W5152" s="39"/>
    </row>
    <row r="5153" spans="23:23" x14ac:dyDescent="0.2">
      <c r="W5153" s="39"/>
    </row>
    <row r="5154" spans="23:23" x14ac:dyDescent="0.2">
      <c r="W5154" s="39"/>
    </row>
    <row r="5155" spans="23:23" x14ac:dyDescent="0.2">
      <c r="W5155" s="39"/>
    </row>
    <row r="5156" spans="23:23" x14ac:dyDescent="0.2">
      <c r="W5156" s="39"/>
    </row>
    <row r="5157" spans="23:23" x14ac:dyDescent="0.2">
      <c r="W5157" s="39"/>
    </row>
    <row r="5158" spans="23:23" x14ac:dyDescent="0.2">
      <c r="W5158" s="39"/>
    </row>
    <row r="5159" spans="23:23" x14ac:dyDescent="0.2">
      <c r="W5159" s="39"/>
    </row>
    <row r="5160" spans="23:23" x14ac:dyDescent="0.2">
      <c r="W5160" s="39"/>
    </row>
    <row r="5161" spans="23:23" x14ac:dyDescent="0.2">
      <c r="W5161" s="39"/>
    </row>
    <row r="5162" spans="23:23" x14ac:dyDescent="0.2">
      <c r="W5162" s="39"/>
    </row>
    <row r="5163" spans="23:23" x14ac:dyDescent="0.2">
      <c r="W5163" s="39"/>
    </row>
    <row r="5164" spans="23:23" x14ac:dyDescent="0.2">
      <c r="W5164" s="39"/>
    </row>
    <row r="5165" spans="23:23" x14ac:dyDescent="0.2">
      <c r="W5165" s="39"/>
    </row>
    <row r="5166" spans="23:23" x14ac:dyDescent="0.2">
      <c r="W5166" s="39"/>
    </row>
    <row r="5167" spans="23:23" x14ac:dyDescent="0.2">
      <c r="W5167" s="39"/>
    </row>
    <row r="5168" spans="23:23" x14ac:dyDescent="0.2">
      <c r="W5168" s="39"/>
    </row>
    <row r="5169" spans="23:23" x14ac:dyDescent="0.2">
      <c r="W5169" s="39"/>
    </row>
    <row r="5170" spans="23:23" x14ac:dyDescent="0.2">
      <c r="W5170" s="39"/>
    </row>
    <row r="5171" spans="23:23" x14ac:dyDescent="0.2">
      <c r="W5171" s="39"/>
    </row>
    <row r="5172" spans="23:23" x14ac:dyDescent="0.2">
      <c r="W5172" s="39"/>
    </row>
    <row r="5173" spans="23:23" x14ac:dyDescent="0.2">
      <c r="W5173" s="39"/>
    </row>
    <row r="5174" spans="23:23" x14ac:dyDescent="0.2">
      <c r="W5174" s="39"/>
    </row>
    <row r="5175" spans="23:23" x14ac:dyDescent="0.2">
      <c r="W5175" s="39"/>
    </row>
    <row r="5176" spans="23:23" x14ac:dyDescent="0.2">
      <c r="W5176" s="39"/>
    </row>
    <row r="5177" spans="23:23" x14ac:dyDescent="0.2">
      <c r="W5177" s="39"/>
    </row>
    <row r="5178" spans="23:23" x14ac:dyDescent="0.2">
      <c r="W5178" s="39"/>
    </row>
    <row r="5179" spans="23:23" x14ac:dyDescent="0.2">
      <c r="W5179" s="39"/>
    </row>
    <row r="5180" spans="23:23" x14ac:dyDescent="0.2">
      <c r="W5180" s="39"/>
    </row>
    <row r="5181" spans="23:23" x14ac:dyDescent="0.2">
      <c r="W5181" s="39"/>
    </row>
    <row r="5182" spans="23:23" x14ac:dyDescent="0.2">
      <c r="W5182" s="39"/>
    </row>
    <row r="5183" spans="23:23" x14ac:dyDescent="0.2">
      <c r="W5183" s="39"/>
    </row>
    <row r="5184" spans="23:23" x14ac:dyDescent="0.2">
      <c r="W5184" s="39"/>
    </row>
    <row r="5185" spans="23:23" x14ac:dyDescent="0.2">
      <c r="W5185" s="39"/>
    </row>
    <row r="5186" spans="23:23" x14ac:dyDescent="0.2">
      <c r="W5186" s="39"/>
    </row>
    <row r="5187" spans="23:23" x14ac:dyDescent="0.2">
      <c r="W5187" s="39"/>
    </row>
    <row r="5188" spans="23:23" x14ac:dyDescent="0.2">
      <c r="W5188" s="39"/>
    </row>
    <row r="5189" spans="23:23" x14ac:dyDescent="0.2">
      <c r="W5189" s="39"/>
    </row>
    <row r="5190" spans="23:23" x14ac:dyDescent="0.2">
      <c r="W5190" s="39"/>
    </row>
    <row r="5191" spans="23:23" x14ac:dyDescent="0.2">
      <c r="W5191" s="39"/>
    </row>
    <row r="5192" spans="23:23" x14ac:dyDescent="0.2">
      <c r="W5192" s="39"/>
    </row>
    <row r="5193" spans="23:23" x14ac:dyDescent="0.2">
      <c r="W5193" s="39"/>
    </row>
    <row r="5194" spans="23:23" x14ac:dyDescent="0.2">
      <c r="W5194" s="39"/>
    </row>
    <row r="5195" spans="23:23" x14ac:dyDescent="0.2">
      <c r="W5195" s="39"/>
    </row>
    <row r="5196" spans="23:23" x14ac:dyDescent="0.2">
      <c r="W5196" s="39"/>
    </row>
    <row r="5197" spans="23:23" x14ac:dyDescent="0.2">
      <c r="W5197" s="39"/>
    </row>
    <row r="5198" spans="23:23" x14ac:dyDescent="0.2">
      <c r="W5198" s="39"/>
    </row>
    <row r="5199" spans="23:23" x14ac:dyDescent="0.2">
      <c r="W5199" s="39"/>
    </row>
    <row r="5200" spans="23:23" x14ac:dyDescent="0.2">
      <c r="W5200" s="39"/>
    </row>
    <row r="5201" spans="23:23" x14ac:dyDescent="0.2">
      <c r="W5201" s="39"/>
    </row>
    <row r="5202" spans="23:23" x14ac:dyDescent="0.2">
      <c r="W5202" s="39"/>
    </row>
    <row r="5203" spans="23:23" x14ac:dyDescent="0.2">
      <c r="W5203" s="39"/>
    </row>
    <row r="5204" spans="23:23" x14ac:dyDescent="0.2">
      <c r="W5204" s="39"/>
    </row>
    <row r="5205" spans="23:23" x14ac:dyDescent="0.2">
      <c r="W5205" s="39"/>
    </row>
    <row r="5206" spans="23:23" x14ac:dyDescent="0.2">
      <c r="W5206" s="39"/>
    </row>
    <row r="5207" spans="23:23" x14ac:dyDescent="0.2">
      <c r="W5207" s="39"/>
    </row>
    <row r="5208" spans="23:23" x14ac:dyDescent="0.2">
      <c r="W5208" s="39"/>
    </row>
    <row r="5209" spans="23:23" x14ac:dyDescent="0.2">
      <c r="W5209" s="39"/>
    </row>
    <row r="5210" spans="23:23" x14ac:dyDescent="0.2">
      <c r="W5210" s="39"/>
    </row>
    <row r="5211" spans="23:23" x14ac:dyDescent="0.2">
      <c r="W5211" s="39"/>
    </row>
    <row r="5212" spans="23:23" x14ac:dyDescent="0.2">
      <c r="W5212" s="39"/>
    </row>
    <row r="5213" spans="23:23" x14ac:dyDescent="0.2">
      <c r="W5213" s="39"/>
    </row>
    <row r="5214" spans="23:23" x14ac:dyDescent="0.2">
      <c r="W5214" s="39"/>
    </row>
    <row r="5215" spans="23:23" x14ac:dyDescent="0.2">
      <c r="W5215" s="39"/>
    </row>
    <row r="5216" spans="23:23" x14ac:dyDescent="0.2">
      <c r="W5216" s="39"/>
    </row>
    <row r="5217" spans="23:23" x14ac:dyDescent="0.2">
      <c r="W5217" s="39"/>
    </row>
    <row r="5218" spans="23:23" x14ac:dyDescent="0.2">
      <c r="W5218" s="39"/>
    </row>
    <row r="5219" spans="23:23" x14ac:dyDescent="0.2">
      <c r="W5219" s="39"/>
    </row>
    <row r="5220" spans="23:23" x14ac:dyDescent="0.2">
      <c r="W5220" s="39"/>
    </row>
    <row r="5221" spans="23:23" x14ac:dyDescent="0.2">
      <c r="W5221" s="39"/>
    </row>
    <row r="5222" spans="23:23" x14ac:dyDescent="0.2">
      <c r="W5222" s="39"/>
    </row>
    <row r="5223" spans="23:23" x14ac:dyDescent="0.2">
      <c r="W5223" s="39"/>
    </row>
    <row r="5224" spans="23:23" x14ac:dyDescent="0.2">
      <c r="W5224" s="39"/>
    </row>
    <row r="5225" spans="23:23" x14ac:dyDescent="0.2">
      <c r="W5225" s="39"/>
    </row>
    <row r="5226" spans="23:23" x14ac:dyDescent="0.2">
      <c r="W5226" s="39"/>
    </row>
    <row r="5227" spans="23:23" x14ac:dyDescent="0.2">
      <c r="W5227" s="39"/>
    </row>
    <row r="5228" spans="23:23" x14ac:dyDescent="0.2">
      <c r="W5228" s="39"/>
    </row>
    <row r="5229" spans="23:23" x14ac:dyDescent="0.2">
      <c r="W5229" s="39"/>
    </row>
    <row r="5230" spans="23:23" x14ac:dyDescent="0.2">
      <c r="W5230" s="39"/>
    </row>
    <row r="5231" spans="23:23" x14ac:dyDescent="0.2">
      <c r="W5231" s="39"/>
    </row>
    <row r="5232" spans="23:23" x14ac:dyDescent="0.2">
      <c r="W5232" s="39"/>
    </row>
    <row r="5233" spans="23:23" x14ac:dyDescent="0.2">
      <c r="W5233" s="39"/>
    </row>
    <row r="5234" spans="23:23" x14ac:dyDescent="0.2">
      <c r="W5234" s="39"/>
    </row>
    <row r="5235" spans="23:23" x14ac:dyDescent="0.2">
      <c r="W5235" s="39"/>
    </row>
    <row r="5236" spans="23:23" x14ac:dyDescent="0.2">
      <c r="W5236" s="39"/>
    </row>
    <row r="5237" spans="23:23" x14ac:dyDescent="0.2">
      <c r="W5237" s="39"/>
    </row>
    <row r="5238" spans="23:23" x14ac:dyDescent="0.2">
      <c r="W5238" s="39"/>
    </row>
    <row r="5239" spans="23:23" x14ac:dyDescent="0.2">
      <c r="W5239" s="39"/>
    </row>
    <row r="5240" spans="23:23" x14ac:dyDescent="0.2">
      <c r="W5240" s="39"/>
    </row>
    <row r="5241" spans="23:23" x14ac:dyDescent="0.2">
      <c r="W5241" s="39"/>
    </row>
    <row r="5242" spans="23:23" x14ac:dyDescent="0.2">
      <c r="W5242" s="39"/>
    </row>
    <row r="5243" spans="23:23" x14ac:dyDescent="0.2">
      <c r="W5243" s="39"/>
    </row>
    <row r="5244" spans="23:23" x14ac:dyDescent="0.2">
      <c r="W5244" s="39"/>
    </row>
    <row r="5245" spans="23:23" x14ac:dyDescent="0.2">
      <c r="W5245" s="39"/>
    </row>
    <row r="5246" spans="23:23" x14ac:dyDescent="0.2">
      <c r="W5246" s="39"/>
    </row>
    <row r="5247" spans="23:23" x14ac:dyDescent="0.2">
      <c r="W5247" s="39"/>
    </row>
    <row r="5248" spans="23:23" x14ac:dyDescent="0.2">
      <c r="W5248" s="39"/>
    </row>
    <row r="5249" spans="23:23" x14ac:dyDescent="0.2">
      <c r="W5249" s="39"/>
    </row>
    <row r="5250" spans="23:23" x14ac:dyDescent="0.2">
      <c r="W5250" s="39"/>
    </row>
    <row r="5251" spans="23:23" x14ac:dyDescent="0.2">
      <c r="W5251" s="39"/>
    </row>
    <row r="5252" spans="23:23" x14ac:dyDescent="0.2">
      <c r="W5252" s="39"/>
    </row>
    <row r="5253" spans="23:23" x14ac:dyDescent="0.2">
      <c r="W5253" s="39"/>
    </row>
    <row r="5254" spans="23:23" x14ac:dyDescent="0.2">
      <c r="W5254" s="39"/>
    </row>
    <row r="5255" spans="23:23" x14ac:dyDescent="0.2">
      <c r="W5255" s="39"/>
    </row>
    <row r="5256" spans="23:23" x14ac:dyDescent="0.2">
      <c r="W5256" s="39"/>
    </row>
    <row r="5257" spans="23:23" x14ac:dyDescent="0.2">
      <c r="W5257" s="39"/>
    </row>
    <row r="5258" spans="23:23" x14ac:dyDescent="0.2">
      <c r="W5258" s="39"/>
    </row>
    <row r="5259" spans="23:23" x14ac:dyDescent="0.2">
      <c r="W5259" s="39"/>
    </row>
    <row r="5260" spans="23:23" x14ac:dyDescent="0.2">
      <c r="W5260" s="39"/>
    </row>
    <row r="5261" spans="23:23" x14ac:dyDescent="0.2">
      <c r="W5261" s="39"/>
    </row>
    <row r="5262" spans="23:23" x14ac:dyDescent="0.2">
      <c r="W5262" s="39"/>
    </row>
    <row r="5263" spans="23:23" x14ac:dyDescent="0.2">
      <c r="W5263" s="39"/>
    </row>
    <row r="5264" spans="23:23" x14ac:dyDescent="0.2">
      <c r="W5264" s="39"/>
    </row>
    <row r="5265" spans="23:23" x14ac:dyDescent="0.2">
      <c r="W5265" s="39"/>
    </row>
    <row r="5266" spans="23:23" x14ac:dyDescent="0.2">
      <c r="W5266" s="39"/>
    </row>
    <row r="5267" spans="23:23" x14ac:dyDescent="0.2">
      <c r="W5267" s="39"/>
    </row>
    <row r="5268" spans="23:23" x14ac:dyDescent="0.2">
      <c r="W5268" s="39"/>
    </row>
    <row r="5269" spans="23:23" x14ac:dyDescent="0.2">
      <c r="W5269" s="39"/>
    </row>
    <row r="5270" spans="23:23" x14ac:dyDescent="0.2">
      <c r="W5270" s="39"/>
    </row>
    <row r="5271" spans="23:23" x14ac:dyDescent="0.2">
      <c r="W5271" s="39"/>
    </row>
    <row r="5272" spans="23:23" x14ac:dyDescent="0.2">
      <c r="W5272" s="39"/>
    </row>
    <row r="5273" spans="23:23" x14ac:dyDescent="0.2">
      <c r="W5273" s="39"/>
    </row>
    <row r="5274" spans="23:23" x14ac:dyDescent="0.2">
      <c r="W5274" s="39"/>
    </row>
    <row r="5275" spans="23:23" x14ac:dyDescent="0.2">
      <c r="W5275" s="39"/>
    </row>
    <row r="5276" spans="23:23" x14ac:dyDescent="0.2">
      <c r="W5276" s="39"/>
    </row>
    <row r="5277" spans="23:23" x14ac:dyDescent="0.2">
      <c r="W5277" s="39"/>
    </row>
    <row r="5278" spans="23:23" x14ac:dyDescent="0.2">
      <c r="W5278" s="39"/>
    </row>
    <row r="5279" spans="23:23" x14ac:dyDescent="0.2">
      <c r="W5279" s="39"/>
    </row>
    <row r="5280" spans="23:23" x14ac:dyDescent="0.2">
      <c r="W5280" s="39"/>
    </row>
    <row r="5281" spans="23:23" x14ac:dyDescent="0.2">
      <c r="W5281" s="39"/>
    </row>
    <row r="5282" spans="23:23" x14ac:dyDescent="0.2">
      <c r="W5282" s="39"/>
    </row>
    <row r="5283" spans="23:23" x14ac:dyDescent="0.2">
      <c r="W5283" s="39"/>
    </row>
    <row r="5284" spans="23:23" x14ac:dyDescent="0.2">
      <c r="W5284" s="39"/>
    </row>
    <row r="5285" spans="23:23" x14ac:dyDescent="0.2">
      <c r="W5285" s="39"/>
    </row>
    <row r="5286" spans="23:23" x14ac:dyDescent="0.2">
      <c r="W5286" s="39"/>
    </row>
    <row r="5287" spans="23:23" x14ac:dyDescent="0.2">
      <c r="W5287" s="39"/>
    </row>
    <row r="5288" spans="23:23" x14ac:dyDescent="0.2">
      <c r="W5288" s="39"/>
    </row>
    <row r="5289" spans="23:23" x14ac:dyDescent="0.2">
      <c r="W5289" s="39"/>
    </row>
    <row r="5290" spans="23:23" x14ac:dyDescent="0.2">
      <c r="W5290" s="39"/>
    </row>
    <row r="5291" spans="23:23" x14ac:dyDescent="0.2">
      <c r="W5291" s="39"/>
    </row>
    <row r="5292" spans="23:23" x14ac:dyDescent="0.2">
      <c r="W5292" s="39"/>
    </row>
    <row r="5293" spans="23:23" x14ac:dyDescent="0.2">
      <c r="W5293" s="39"/>
    </row>
    <row r="5294" spans="23:23" x14ac:dyDescent="0.2">
      <c r="W5294" s="39"/>
    </row>
    <row r="5295" spans="23:23" x14ac:dyDescent="0.2">
      <c r="W5295" s="39"/>
    </row>
    <row r="5296" spans="23:23" x14ac:dyDescent="0.2">
      <c r="W5296" s="39"/>
    </row>
    <row r="5297" spans="23:23" x14ac:dyDescent="0.2">
      <c r="W5297" s="39"/>
    </row>
    <row r="5298" spans="23:23" x14ac:dyDescent="0.2">
      <c r="W5298" s="39"/>
    </row>
    <row r="5299" spans="23:23" x14ac:dyDescent="0.2">
      <c r="W5299" s="39"/>
    </row>
    <row r="5300" spans="23:23" x14ac:dyDescent="0.2">
      <c r="W5300" s="39"/>
    </row>
    <row r="5301" spans="23:23" x14ac:dyDescent="0.2">
      <c r="W5301" s="39"/>
    </row>
    <row r="5302" spans="23:23" x14ac:dyDescent="0.2">
      <c r="W5302" s="39"/>
    </row>
    <row r="5303" spans="23:23" x14ac:dyDescent="0.2">
      <c r="W5303" s="39"/>
    </row>
    <row r="5304" spans="23:23" x14ac:dyDescent="0.2">
      <c r="W5304" s="39"/>
    </row>
    <row r="5305" spans="23:23" x14ac:dyDescent="0.2">
      <c r="W5305" s="39"/>
    </row>
    <row r="5306" spans="23:23" x14ac:dyDescent="0.2">
      <c r="W5306" s="39"/>
    </row>
    <row r="5307" spans="23:23" x14ac:dyDescent="0.2">
      <c r="W5307" s="39"/>
    </row>
    <row r="5308" spans="23:23" x14ac:dyDescent="0.2">
      <c r="W5308" s="39"/>
    </row>
    <row r="5309" spans="23:23" x14ac:dyDescent="0.2">
      <c r="W5309" s="39"/>
    </row>
    <row r="5310" spans="23:23" x14ac:dyDescent="0.2">
      <c r="W5310" s="39"/>
    </row>
    <row r="5311" spans="23:23" x14ac:dyDescent="0.2">
      <c r="W5311" s="39"/>
    </row>
    <row r="5312" spans="23:23" x14ac:dyDescent="0.2">
      <c r="W5312" s="39"/>
    </row>
    <row r="5313" spans="23:23" x14ac:dyDescent="0.2">
      <c r="W5313" s="39"/>
    </row>
    <row r="5314" spans="23:23" x14ac:dyDescent="0.2">
      <c r="W5314" s="39"/>
    </row>
    <row r="5315" spans="23:23" x14ac:dyDescent="0.2">
      <c r="W5315" s="39"/>
    </row>
    <row r="5316" spans="23:23" x14ac:dyDescent="0.2">
      <c r="W5316" s="39"/>
    </row>
    <row r="5317" spans="23:23" x14ac:dyDescent="0.2">
      <c r="W5317" s="39"/>
    </row>
    <row r="5318" spans="23:23" x14ac:dyDescent="0.2">
      <c r="W5318" s="39"/>
    </row>
    <row r="5319" spans="23:23" x14ac:dyDescent="0.2">
      <c r="W5319" s="39"/>
    </row>
    <row r="5320" spans="23:23" x14ac:dyDescent="0.2">
      <c r="W5320" s="39"/>
    </row>
    <row r="5321" spans="23:23" x14ac:dyDescent="0.2">
      <c r="W5321" s="39"/>
    </row>
    <row r="5322" spans="23:23" x14ac:dyDescent="0.2">
      <c r="W5322" s="39"/>
    </row>
    <row r="5323" spans="23:23" x14ac:dyDescent="0.2">
      <c r="W5323" s="39"/>
    </row>
    <row r="5324" spans="23:23" x14ac:dyDescent="0.2">
      <c r="W5324" s="39"/>
    </row>
    <row r="5325" spans="23:23" x14ac:dyDescent="0.2">
      <c r="W5325" s="39"/>
    </row>
    <row r="5326" spans="23:23" x14ac:dyDescent="0.2">
      <c r="W5326" s="39"/>
    </row>
    <row r="5327" spans="23:23" x14ac:dyDescent="0.2">
      <c r="W5327" s="39"/>
    </row>
    <row r="5328" spans="23:23" x14ac:dyDescent="0.2">
      <c r="W5328" s="39"/>
    </row>
    <row r="5329" spans="23:23" x14ac:dyDescent="0.2">
      <c r="W5329" s="39"/>
    </row>
    <row r="5330" spans="23:23" x14ac:dyDescent="0.2">
      <c r="W5330" s="39"/>
    </row>
    <row r="5331" spans="23:23" x14ac:dyDescent="0.2">
      <c r="W5331" s="39"/>
    </row>
    <row r="5332" spans="23:23" x14ac:dyDescent="0.2">
      <c r="W5332" s="39"/>
    </row>
    <row r="5333" spans="23:23" x14ac:dyDescent="0.2">
      <c r="W5333" s="39"/>
    </row>
    <row r="5334" spans="23:23" x14ac:dyDescent="0.2">
      <c r="W5334" s="39"/>
    </row>
    <row r="5335" spans="23:23" x14ac:dyDescent="0.2">
      <c r="W5335" s="39"/>
    </row>
    <row r="5336" spans="23:23" x14ac:dyDescent="0.2">
      <c r="W5336" s="39"/>
    </row>
    <row r="5337" spans="23:23" x14ac:dyDescent="0.2">
      <c r="W5337" s="39"/>
    </row>
    <row r="5338" spans="23:23" x14ac:dyDescent="0.2">
      <c r="W5338" s="39"/>
    </row>
    <row r="5339" spans="23:23" x14ac:dyDescent="0.2">
      <c r="W5339" s="39"/>
    </row>
    <row r="5340" spans="23:23" x14ac:dyDescent="0.2">
      <c r="W5340" s="39"/>
    </row>
    <row r="5341" spans="23:23" x14ac:dyDescent="0.2">
      <c r="W5341" s="39"/>
    </row>
    <row r="5342" spans="23:23" x14ac:dyDescent="0.2">
      <c r="W5342" s="39"/>
    </row>
    <row r="5343" spans="23:23" x14ac:dyDescent="0.2">
      <c r="W5343" s="39"/>
    </row>
    <row r="5344" spans="23:23" x14ac:dyDescent="0.2">
      <c r="W5344" s="39"/>
    </row>
    <row r="5345" spans="23:23" x14ac:dyDescent="0.2">
      <c r="W5345" s="39"/>
    </row>
    <row r="5346" spans="23:23" x14ac:dyDescent="0.2">
      <c r="W5346" s="39"/>
    </row>
    <row r="5347" spans="23:23" x14ac:dyDescent="0.2">
      <c r="W5347" s="39"/>
    </row>
    <row r="5348" spans="23:23" x14ac:dyDescent="0.2">
      <c r="W5348" s="39"/>
    </row>
    <row r="5349" spans="23:23" x14ac:dyDescent="0.2">
      <c r="W5349" s="39"/>
    </row>
    <row r="5350" spans="23:23" x14ac:dyDescent="0.2">
      <c r="W5350" s="39"/>
    </row>
    <row r="5351" spans="23:23" x14ac:dyDescent="0.2">
      <c r="W5351" s="39"/>
    </row>
    <row r="5352" spans="23:23" x14ac:dyDescent="0.2">
      <c r="W5352" s="39"/>
    </row>
    <row r="5353" spans="23:23" x14ac:dyDescent="0.2">
      <c r="W5353" s="39"/>
    </row>
    <row r="5354" spans="23:23" x14ac:dyDescent="0.2">
      <c r="W5354" s="39"/>
    </row>
    <row r="5355" spans="23:23" x14ac:dyDescent="0.2">
      <c r="W5355" s="39"/>
    </row>
    <row r="5356" spans="23:23" x14ac:dyDescent="0.2">
      <c r="W5356" s="39"/>
    </row>
    <row r="5357" spans="23:23" x14ac:dyDescent="0.2">
      <c r="W5357" s="39"/>
    </row>
    <row r="5358" spans="23:23" x14ac:dyDescent="0.2">
      <c r="W5358" s="39"/>
    </row>
    <row r="5359" spans="23:23" x14ac:dyDescent="0.2">
      <c r="W5359" s="39"/>
    </row>
    <row r="5360" spans="23:23" x14ac:dyDescent="0.2">
      <c r="W5360" s="39"/>
    </row>
    <row r="5361" spans="23:23" x14ac:dyDescent="0.2">
      <c r="W5361" s="39"/>
    </row>
    <row r="5362" spans="23:23" x14ac:dyDescent="0.2">
      <c r="W5362" s="39"/>
    </row>
    <row r="5363" spans="23:23" x14ac:dyDescent="0.2">
      <c r="W5363" s="39"/>
    </row>
    <row r="5364" spans="23:23" x14ac:dyDescent="0.2">
      <c r="W5364" s="39"/>
    </row>
    <row r="5365" spans="23:23" x14ac:dyDescent="0.2">
      <c r="W5365" s="39"/>
    </row>
    <row r="5366" spans="23:23" x14ac:dyDescent="0.2">
      <c r="W5366" s="39"/>
    </row>
    <row r="5367" spans="23:23" x14ac:dyDescent="0.2">
      <c r="W5367" s="39"/>
    </row>
    <row r="5368" spans="23:23" x14ac:dyDescent="0.2">
      <c r="W5368" s="39"/>
    </row>
    <row r="5369" spans="23:23" x14ac:dyDescent="0.2">
      <c r="W5369" s="39"/>
    </row>
    <row r="5370" spans="23:23" x14ac:dyDescent="0.2">
      <c r="W5370" s="39"/>
    </row>
    <row r="5371" spans="23:23" x14ac:dyDescent="0.2">
      <c r="W5371" s="39"/>
    </row>
    <row r="5372" spans="23:23" x14ac:dyDescent="0.2">
      <c r="W5372" s="39"/>
    </row>
    <row r="5373" spans="23:23" x14ac:dyDescent="0.2">
      <c r="W5373" s="39"/>
    </row>
    <row r="5374" spans="23:23" x14ac:dyDescent="0.2">
      <c r="W5374" s="39"/>
    </row>
    <row r="5375" spans="23:23" x14ac:dyDescent="0.2">
      <c r="W5375" s="39"/>
    </row>
    <row r="5376" spans="23:23" x14ac:dyDescent="0.2">
      <c r="W5376" s="39"/>
    </row>
    <row r="5377" spans="23:23" x14ac:dyDescent="0.2">
      <c r="W5377" s="39"/>
    </row>
    <row r="5378" spans="23:23" x14ac:dyDescent="0.2">
      <c r="W5378" s="39"/>
    </row>
    <row r="5379" spans="23:23" x14ac:dyDescent="0.2">
      <c r="W5379" s="39"/>
    </row>
    <row r="5380" spans="23:23" x14ac:dyDescent="0.2">
      <c r="W5380" s="39"/>
    </row>
    <row r="5381" spans="23:23" x14ac:dyDescent="0.2">
      <c r="W5381" s="39"/>
    </row>
    <row r="5382" spans="23:23" x14ac:dyDescent="0.2">
      <c r="W5382" s="39"/>
    </row>
    <row r="5383" spans="23:23" x14ac:dyDescent="0.2">
      <c r="W5383" s="39"/>
    </row>
    <row r="5384" spans="23:23" x14ac:dyDescent="0.2">
      <c r="W5384" s="39"/>
    </row>
    <row r="5385" spans="23:23" x14ac:dyDescent="0.2">
      <c r="W5385" s="39"/>
    </row>
    <row r="5386" spans="23:23" x14ac:dyDescent="0.2">
      <c r="W5386" s="39"/>
    </row>
    <row r="5387" spans="23:23" x14ac:dyDescent="0.2">
      <c r="W5387" s="39"/>
    </row>
    <row r="5388" spans="23:23" x14ac:dyDescent="0.2">
      <c r="W5388" s="39"/>
    </row>
    <row r="5389" spans="23:23" x14ac:dyDescent="0.2">
      <c r="W5389" s="39"/>
    </row>
    <row r="5390" spans="23:23" x14ac:dyDescent="0.2">
      <c r="W5390" s="39"/>
    </row>
    <row r="5391" spans="23:23" x14ac:dyDescent="0.2">
      <c r="W5391" s="39"/>
    </row>
    <row r="5392" spans="23:23" x14ac:dyDescent="0.2">
      <c r="W5392" s="39"/>
    </row>
    <row r="5393" spans="23:23" x14ac:dyDescent="0.2">
      <c r="W5393" s="39"/>
    </row>
    <row r="5394" spans="23:23" x14ac:dyDescent="0.2">
      <c r="W5394" s="39"/>
    </row>
    <row r="5395" spans="23:23" x14ac:dyDescent="0.2">
      <c r="W5395" s="39"/>
    </row>
    <row r="5396" spans="23:23" x14ac:dyDescent="0.2">
      <c r="W5396" s="39"/>
    </row>
    <row r="5397" spans="23:23" x14ac:dyDescent="0.2">
      <c r="W5397" s="39"/>
    </row>
    <row r="5398" spans="23:23" x14ac:dyDescent="0.2">
      <c r="W5398" s="39"/>
    </row>
    <row r="5399" spans="23:23" x14ac:dyDescent="0.2">
      <c r="W5399" s="39"/>
    </row>
    <row r="5400" spans="23:23" x14ac:dyDescent="0.2">
      <c r="W5400" s="39"/>
    </row>
    <row r="5401" spans="23:23" x14ac:dyDescent="0.2">
      <c r="W5401" s="39"/>
    </row>
    <row r="5402" spans="23:23" x14ac:dyDescent="0.2">
      <c r="W5402" s="39"/>
    </row>
    <row r="5403" spans="23:23" x14ac:dyDescent="0.2">
      <c r="W5403" s="39"/>
    </row>
    <row r="5404" spans="23:23" x14ac:dyDescent="0.2">
      <c r="W5404" s="39"/>
    </row>
    <row r="5405" spans="23:23" x14ac:dyDescent="0.2">
      <c r="W5405" s="39"/>
    </row>
    <row r="5406" spans="23:23" x14ac:dyDescent="0.2">
      <c r="W5406" s="39"/>
    </row>
    <row r="5407" spans="23:23" x14ac:dyDescent="0.2">
      <c r="W5407" s="39"/>
    </row>
    <row r="5408" spans="23:23" x14ac:dyDescent="0.2">
      <c r="W5408" s="39"/>
    </row>
    <row r="5409" spans="23:23" x14ac:dyDescent="0.2">
      <c r="W5409" s="39"/>
    </row>
    <row r="5410" spans="23:23" x14ac:dyDescent="0.2">
      <c r="W5410" s="39"/>
    </row>
    <row r="5411" spans="23:23" x14ac:dyDescent="0.2">
      <c r="W5411" s="39"/>
    </row>
    <row r="5412" spans="23:23" x14ac:dyDescent="0.2">
      <c r="W5412" s="39"/>
    </row>
    <row r="5413" spans="23:23" x14ac:dyDescent="0.2">
      <c r="W5413" s="39"/>
    </row>
    <row r="5414" spans="23:23" x14ac:dyDescent="0.2">
      <c r="W5414" s="39"/>
    </row>
    <row r="5415" spans="23:23" x14ac:dyDescent="0.2">
      <c r="W5415" s="39"/>
    </row>
    <row r="5416" spans="23:23" x14ac:dyDescent="0.2">
      <c r="W5416" s="39"/>
    </row>
    <row r="5417" spans="23:23" x14ac:dyDescent="0.2">
      <c r="W5417" s="39"/>
    </row>
    <row r="5418" spans="23:23" x14ac:dyDescent="0.2">
      <c r="W5418" s="39"/>
    </row>
    <row r="5419" spans="23:23" x14ac:dyDescent="0.2">
      <c r="W5419" s="39"/>
    </row>
    <row r="5420" spans="23:23" x14ac:dyDescent="0.2">
      <c r="W5420" s="39"/>
    </row>
    <row r="5421" spans="23:23" x14ac:dyDescent="0.2">
      <c r="W5421" s="39"/>
    </row>
    <row r="5422" spans="23:23" x14ac:dyDescent="0.2">
      <c r="W5422" s="39"/>
    </row>
    <row r="5423" spans="23:23" x14ac:dyDescent="0.2">
      <c r="W5423" s="39"/>
    </row>
    <row r="5424" spans="23:23" x14ac:dyDescent="0.2">
      <c r="W5424" s="39"/>
    </row>
    <row r="5425" spans="23:23" x14ac:dyDescent="0.2">
      <c r="W5425" s="39"/>
    </row>
    <row r="5426" spans="23:23" x14ac:dyDescent="0.2">
      <c r="W5426" s="39"/>
    </row>
    <row r="5427" spans="23:23" x14ac:dyDescent="0.2">
      <c r="W5427" s="39"/>
    </row>
    <row r="5428" spans="23:23" x14ac:dyDescent="0.2">
      <c r="W5428" s="39"/>
    </row>
    <row r="5429" spans="23:23" x14ac:dyDescent="0.2">
      <c r="W5429" s="39"/>
    </row>
    <row r="5430" spans="23:23" x14ac:dyDescent="0.2">
      <c r="W5430" s="39"/>
    </row>
    <row r="5431" spans="23:23" x14ac:dyDescent="0.2">
      <c r="W5431" s="39"/>
    </row>
    <row r="5432" spans="23:23" x14ac:dyDescent="0.2">
      <c r="W5432" s="39"/>
    </row>
    <row r="5433" spans="23:23" x14ac:dyDescent="0.2">
      <c r="W5433" s="39"/>
    </row>
    <row r="5434" spans="23:23" x14ac:dyDescent="0.2">
      <c r="W5434" s="39"/>
    </row>
    <row r="5435" spans="23:23" x14ac:dyDescent="0.2">
      <c r="W5435" s="39"/>
    </row>
    <row r="5436" spans="23:23" x14ac:dyDescent="0.2">
      <c r="W5436" s="39"/>
    </row>
    <row r="5437" spans="23:23" x14ac:dyDescent="0.2">
      <c r="W5437" s="39"/>
    </row>
    <row r="5438" spans="23:23" x14ac:dyDescent="0.2">
      <c r="W5438" s="39"/>
    </row>
    <row r="5439" spans="23:23" x14ac:dyDescent="0.2">
      <c r="W5439" s="39"/>
    </row>
    <row r="5440" spans="23:23" x14ac:dyDescent="0.2">
      <c r="W5440" s="39"/>
    </row>
    <row r="5441" spans="23:23" x14ac:dyDescent="0.2">
      <c r="W5441" s="39"/>
    </row>
    <row r="5442" spans="23:23" x14ac:dyDescent="0.2">
      <c r="W5442" s="39"/>
    </row>
    <row r="5443" spans="23:23" x14ac:dyDescent="0.2">
      <c r="W5443" s="39"/>
    </row>
    <row r="5444" spans="23:23" x14ac:dyDescent="0.2">
      <c r="W5444" s="39"/>
    </row>
    <row r="5445" spans="23:23" x14ac:dyDescent="0.2">
      <c r="W5445" s="39"/>
    </row>
    <row r="5446" spans="23:23" x14ac:dyDescent="0.2">
      <c r="W5446" s="39"/>
    </row>
    <row r="5447" spans="23:23" x14ac:dyDescent="0.2">
      <c r="W5447" s="39"/>
    </row>
    <row r="5448" spans="23:23" x14ac:dyDescent="0.2">
      <c r="W5448" s="39"/>
    </row>
    <row r="5449" spans="23:23" x14ac:dyDescent="0.2">
      <c r="W5449" s="39"/>
    </row>
    <row r="5450" spans="23:23" x14ac:dyDescent="0.2">
      <c r="W5450" s="39"/>
    </row>
    <row r="5451" spans="23:23" x14ac:dyDescent="0.2">
      <c r="W5451" s="39"/>
    </row>
    <row r="5452" spans="23:23" x14ac:dyDescent="0.2">
      <c r="W5452" s="39"/>
    </row>
    <row r="5453" spans="23:23" x14ac:dyDescent="0.2">
      <c r="W5453" s="39"/>
    </row>
    <row r="5454" spans="23:23" x14ac:dyDescent="0.2">
      <c r="W5454" s="39"/>
    </row>
    <row r="5455" spans="23:23" x14ac:dyDescent="0.2">
      <c r="W5455" s="39"/>
    </row>
    <row r="5456" spans="23:23" x14ac:dyDescent="0.2">
      <c r="W5456" s="39"/>
    </row>
    <row r="5457" spans="23:23" x14ac:dyDescent="0.2">
      <c r="W5457" s="39"/>
    </row>
    <row r="5458" spans="23:23" x14ac:dyDescent="0.2">
      <c r="W5458" s="39"/>
    </row>
    <row r="5459" spans="23:23" x14ac:dyDescent="0.2">
      <c r="W5459" s="39"/>
    </row>
    <row r="5460" spans="23:23" x14ac:dyDescent="0.2">
      <c r="W5460" s="39"/>
    </row>
    <row r="5461" spans="23:23" x14ac:dyDescent="0.2">
      <c r="W5461" s="39"/>
    </row>
    <row r="5462" spans="23:23" x14ac:dyDescent="0.2">
      <c r="W5462" s="39"/>
    </row>
    <row r="5463" spans="23:23" x14ac:dyDescent="0.2">
      <c r="W5463" s="39"/>
    </row>
    <row r="5464" spans="23:23" x14ac:dyDescent="0.2">
      <c r="W5464" s="39"/>
    </row>
    <row r="5465" spans="23:23" x14ac:dyDescent="0.2">
      <c r="W5465" s="39"/>
    </row>
    <row r="5466" spans="23:23" x14ac:dyDescent="0.2">
      <c r="W5466" s="39"/>
    </row>
    <row r="5467" spans="23:23" x14ac:dyDescent="0.2">
      <c r="W5467" s="39"/>
    </row>
    <row r="5468" spans="23:23" x14ac:dyDescent="0.2">
      <c r="W5468" s="39"/>
    </row>
    <row r="5469" spans="23:23" x14ac:dyDescent="0.2">
      <c r="W5469" s="39"/>
    </row>
    <row r="5470" spans="23:23" x14ac:dyDescent="0.2">
      <c r="W5470" s="39"/>
    </row>
    <row r="5471" spans="23:23" x14ac:dyDescent="0.2">
      <c r="W5471" s="39"/>
    </row>
    <row r="5472" spans="23:23" x14ac:dyDescent="0.2">
      <c r="W5472" s="39"/>
    </row>
    <row r="5473" spans="23:23" x14ac:dyDescent="0.2">
      <c r="W5473" s="39"/>
    </row>
    <row r="5474" spans="23:23" x14ac:dyDescent="0.2">
      <c r="W5474" s="39"/>
    </row>
    <row r="5475" spans="23:23" x14ac:dyDescent="0.2">
      <c r="W5475" s="39"/>
    </row>
    <row r="5476" spans="23:23" x14ac:dyDescent="0.2">
      <c r="W5476" s="39"/>
    </row>
    <row r="5477" spans="23:23" x14ac:dyDescent="0.2">
      <c r="W5477" s="39"/>
    </row>
    <row r="5478" spans="23:23" x14ac:dyDescent="0.2">
      <c r="W5478" s="39"/>
    </row>
    <row r="5479" spans="23:23" x14ac:dyDescent="0.2">
      <c r="W5479" s="39"/>
    </row>
    <row r="5480" spans="23:23" x14ac:dyDescent="0.2">
      <c r="W5480" s="39"/>
    </row>
    <row r="5481" spans="23:23" x14ac:dyDescent="0.2">
      <c r="W5481" s="39"/>
    </row>
    <row r="5482" spans="23:23" x14ac:dyDescent="0.2">
      <c r="W5482" s="39"/>
    </row>
    <row r="5483" spans="23:23" x14ac:dyDescent="0.2">
      <c r="W5483" s="39"/>
    </row>
    <row r="5484" spans="23:23" x14ac:dyDescent="0.2">
      <c r="W5484" s="39"/>
    </row>
    <row r="5485" spans="23:23" x14ac:dyDescent="0.2">
      <c r="W5485" s="39"/>
    </row>
    <row r="5486" spans="23:23" x14ac:dyDescent="0.2">
      <c r="W5486" s="39"/>
    </row>
    <row r="5487" spans="23:23" x14ac:dyDescent="0.2">
      <c r="W5487" s="39"/>
    </row>
    <row r="5488" spans="23:23" x14ac:dyDescent="0.2">
      <c r="W5488" s="39"/>
    </row>
    <row r="5489" spans="23:23" x14ac:dyDescent="0.2">
      <c r="W5489" s="39"/>
    </row>
    <row r="5490" spans="23:23" x14ac:dyDescent="0.2">
      <c r="W5490" s="39"/>
    </row>
    <row r="5491" spans="23:23" x14ac:dyDescent="0.2">
      <c r="W5491" s="39"/>
    </row>
    <row r="5492" spans="23:23" x14ac:dyDescent="0.2">
      <c r="W5492" s="39"/>
    </row>
    <row r="5493" spans="23:23" x14ac:dyDescent="0.2">
      <c r="W5493" s="39"/>
    </row>
    <row r="5494" spans="23:23" x14ac:dyDescent="0.2">
      <c r="W5494" s="39"/>
    </row>
    <row r="5495" spans="23:23" x14ac:dyDescent="0.2">
      <c r="W5495" s="39"/>
    </row>
    <row r="5496" spans="23:23" x14ac:dyDescent="0.2">
      <c r="W5496" s="39"/>
    </row>
    <row r="5497" spans="23:23" x14ac:dyDescent="0.2">
      <c r="W5497" s="39"/>
    </row>
    <row r="5498" spans="23:23" x14ac:dyDescent="0.2">
      <c r="W5498" s="39"/>
    </row>
    <row r="5499" spans="23:23" x14ac:dyDescent="0.2">
      <c r="W5499" s="39"/>
    </row>
    <row r="5500" spans="23:23" x14ac:dyDescent="0.2">
      <c r="W5500" s="39"/>
    </row>
    <row r="5501" spans="23:23" x14ac:dyDescent="0.2">
      <c r="W5501" s="39"/>
    </row>
    <row r="5502" spans="23:23" x14ac:dyDescent="0.2">
      <c r="W5502" s="39"/>
    </row>
    <row r="5503" spans="23:23" x14ac:dyDescent="0.2">
      <c r="W5503" s="39"/>
    </row>
    <row r="5504" spans="23:23" x14ac:dyDescent="0.2">
      <c r="W5504" s="39"/>
    </row>
    <row r="5505" spans="23:23" x14ac:dyDescent="0.2">
      <c r="W5505" s="39"/>
    </row>
    <row r="5506" spans="23:23" x14ac:dyDescent="0.2">
      <c r="W5506" s="39"/>
    </row>
    <row r="5507" spans="23:23" x14ac:dyDescent="0.2">
      <c r="W5507" s="39"/>
    </row>
    <row r="5508" spans="23:23" x14ac:dyDescent="0.2">
      <c r="W5508" s="39"/>
    </row>
    <row r="5509" spans="23:23" x14ac:dyDescent="0.2">
      <c r="W5509" s="39"/>
    </row>
    <row r="5510" spans="23:23" x14ac:dyDescent="0.2">
      <c r="W5510" s="39"/>
    </row>
    <row r="5511" spans="23:23" x14ac:dyDescent="0.2">
      <c r="W5511" s="39"/>
    </row>
    <row r="5512" spans="23:23" x14ac:dyDescent="0.2">
      <c r="W5512" s="39"/>
    </row>
    <row r="5513" spans="23:23" x14ac:dyDescent="0.2">
      <c r="W5513" s="39"/>
    </row>
    <row r="5514" spans="23:23" x14ac:dyDescent="0.2">
      <c r="W5514" s="39"/>
    </row>
    <row r="5515" spans="23:23" x14ac:dyDescent="0.2">
      <c r="W5515" s="39"/>
    </row>
    <row r="5516" spans="23:23" x14ac:dyDescent="0.2">
      <c r="W5516" s="39"/>
    </row>
    <row r="5517" spans="23:23" x14ac:dyDescent="0.2">
      <c r="W5517" s="39"/>
    </row>
    <row r="5518" spans="23:23" x14ac:dyDescent="0.2">
      <c r="W5518" s="39"/>
    </row>
    <row r="5519" spans="23:23" x14ac:dyDescent="0.2">
      <c r="W5519" s="39"/>
    </row>
    <row r="5520" spans="23:23" x14ac:dyDescent="0.2">
      <c r="W5520" s="39"/>
    </row>
    <row r="5521" spans="23:23" x14ac:dyDescent="0.2">
      <c r="W5521" s="39"/>
    </row>
    <row r="5522" spans="23:23" x14ac:dyDescent="0.2">
      <c r="W5522" s="39"/>
    </row>
    <row r="5523" spans="23:23" x14ac:dyDescent="0.2">
      <c r="W5523" s="39"/>
    </row>
    <row r="5524" spans="23:23" x14ac:dyDescent="0.2">
      <c r="W5524" s="39"/>
    </row>
    <row r="5525" spans="23:23" x14ac:dyDescent="0.2">
      <c r="W5525" s="39"/>
    </row>
    <row r="5526" spans="23:23" x14ac:dyDescent="0.2">
      <c r="W5526" s="39"/>
    </row>
    <row r="5527" spans="23:23" x14ac:dyDescent="0.2">
      <c r="W5527" s="39"/>
    </row>
    <row r="5528" spans="23:23" x14ac:dyDescent="0.2">
      <c r="W5528" s="39"/>
    </row>
    <row r="5529" spans="23:23" x14ac:dyDescent="0.2">
      <c r="W5529" s="39"/>
    </row>
    <row r="5530" spans="23:23" x14ac:dyDescent="0.2">
      <c r="W5530" s="39"/>
    </row>
    <row r="5531" spans="23:23" x14ac:dyDescent="0.2">
      <c r="W5531" s="39"/>
    </row>
    <row r="5532" spans="23:23" x14ac:dyDescent="0.2">
      <c r="W5532" s="39"/>
    </row>
    <row r="5533" spans="23:23" x14ac:dyDescent="0.2">
      <c r="W5533" s="39"/>
    </row>
    <row r="5534" spans="23:23" x14ac:dyDescent="0.2">
      <c r="W5534" s="39"/>
    </row>
    <row r="5535" spans="23:23" x14ac:dyDescent="0.2">
      <c r="W5535" s="39"/>
    </row>
    <row r="5536" spans="23:23" x14ac:dyDescent="0.2">
      <c r="W5536" s="39"/>
    </row>
    <row r="5537" spans="23:23" x14ac:dyDescent="0.2">
      <c r="W5537" s="39"/>
    </row>
    <row r="5538" spans="23:23" x14ac:dyDescent="0.2">
      <c r="W5538" s="39"/>
    </row>
    <row r="5539" spans="23:23" x14ac:dyDescent="0.2">
      <c r="W5539" s="39"/>
    </row>
    <row r="5540" spans="23:23" x14ac:dyDescent="0.2">
      <c r="W5540" s="39"/>
    </row>
    <row r="5541" spans="23:23" x14ac:dyDescent="0.2">
      <c r="W5541" s="39"/>
    </row>
    <row r="5542" spans="23:23" x14ac:dyDescent="0.2">
      <c r="W5542" s="39"/>
    </row>
    <row r="5543" spans="23:23" x14ac:dyDescent="0.2">
      <c r="W5543" s="39"/>
    </row>
    <row r="5544" spans="23:23" x14ac:dyDescent="0.2">
      <c r="W5544" s="39"/>
    </row>
    <row r="5545" spans="23:23" x14ac:dyDescent="0.2">
      <c r="W5545" s="39"/>
    </row>
    <row r="5546" spans="23:23" x14ac:dyDescent="0.2">
      <c r="W5546" s="39"/>
    </row>
    <row r="5547" spans="23:23" x14ac:dyDescent="0.2">
      <c r="W5547" s="39"/>
    </row>
    <row r="5548" spans="23:23" x14ac:dyDescent="0.2">
      <c r="W5548" s="39"/>
    </row>
    <row r="5549" spans="23:23" x14ac:dyDescent="0.2">
      <c r="W5549" s="39"/>
    </row>
    <row r="5550" spans="23:23" x14ac:dyDescent="0.2">
      <c r="W5550" s="39"/>
    </row>
    <row r="5551" spans="23:23" x14ac:dyDescent="0.2">
      <c r="W5551" s="39"/>
    </row>
    <row r="5552" spans="23:23" x14ac:dyDescent="0.2">
      <c r="W5552" s="39"/>
    </row>
    <row r="5553" spans="23:23" x14ac:dyDescent="0.2">
      <c r="W5553" s="39"/>
    </row>
    <row r="5554" spans="23:23" x14ac:dyDescent="0.2">
      <c r="W5554" s="39"/>
    </row>
    <row r="5555" spans="23:23" x14ac:dyDescent="0.2">
      <c r="W5555" s="39"/>
    </row>
    <row r="5556" spans="23:23" x14ac:dyDescent="0.2">
      <c r="W5556" s="39"/>
    </row>
    <row r="5557" spans="23:23" x14ac:dyDescent="0.2">
      <c r="W5557" s="39"/>
    </row>
    <row r="5558" spans="23:23" x14ac:dyDescent="0.2">
      <c r="W5558" s="39"/>
    </row>
    <row r="5559" spans="23:23" x14ac:dyDescent="0.2">
      <c r="W5559" s="39"/>
    </row>
    <row r="5560" spans="23:23" x14ac:dyDescent="0.2">
      <c r="W5560" s="39"/>
    </row>
    <row r="5561" spans="23:23" x14ac:dyDescent="0.2">
      <c r="W5561" s="39"/>
    </row>
    <row r="5562" spans="23:23" x14ac:dyDescent="0.2">
      <c r="W5562" s="39"/>
    </row>
    <row r="5563" spans="23:23" x14ac:dyDescent="0.2">
      <c r="W5563" s="39"/>
    </row>
    <row r="5564" spans="23:23" x14ac:dyDescent="0.2">
      <c r="W5564" s="39"/>
    </row>
    <row r="5565" spans="23:23" x14ac:dyDescent="0.2">
      <c r="W5565" s="39"/>
    </row>
    <row r="5566" spans="23:23" x14ac:dyDescent="0.2">
      <c r="W5566" s="39"/>
    </row>
    <row r="5567" spans="23:23" x14ac:dyDescent="0.2">
      <c r="W5567" s="39"/>
    </row>
    <row r="5568" spans="23:23" x14ac:dyDescent="0.2">
      <c r="W5568" s="39"/>
    </row>
    <row r="5569" spans="23:23" x14ac:dyDescent="0.2">
      <c r="W5569" s="39"/>
    </row>
    <row r="5570" spans="23:23" x14ac:dyDescent="0.2">
      <c r="W5570" s="39"/>
    </row>
    <row r="5571" spans="23:23" x14ac:dyDescent="0.2">
      <c r="W5571" s="39"/>
    </row>
    <row r="5572" spans="23:23" x14ac:dyDescent="0.2">
      <c r="W5572" s="39"/>
    </row>
    <row r="5573" spans="23:23" x14ac:dyDescent="0.2">
      <c r="W5573" s="39"/>
    </row>
    <row r="5574" spans="23:23" x14ac:dyDescent="0.2">
      <c r="W5574" s="39"/>
    </row>
    <row r="5575" spans="23:23" x14ac:dyDescent="0.2">
      <c r="W5575" s="39"/>
    </row>
    <row r="5576" spans="23:23" x14ac:dyDescent="0.2">
      <c r="W5576" s="39"/>
    </row>
    <row r="5577" spans="23:23" x14ac:dyDescent="0.2">
      <c r="W5577" s="39"/>
    </row>
    <row r="5578" spans="23:23" x14ac:dyDescent="0.2">
      <c r="W5578" s="39"/>
    </row>
    <row r="5579" spans="23:23" x14ac:dyDescent="0.2">
      <c r="W5579" s="39"/>
    </row>
    <row r="5580" spans="23:23" x14ac:dyDescent="0.2">
      <c r="W5580" s="39"/>
    </row>
    <row r="5581" spans="23:23" x14ac:dyDescent="0.2">
      <c r="W5581" s="39"/>
    </row>
    <row r="5582" spans="23:23" x14ac:dyDescent="0.2">
      <c r="W5582" s="39"/>
    </row>
    <row r="5583" spans="23:23" x14ac:dyDescent="0.2">
      <c r="W5583" s="39"/>
    </row>
    <row r="5584" spans="23:23" x14ac:dyDescent="0.2">
      <c r="W5584" s="39"/>
    </row>
    <row r="5585" spans="23:23" x14ac:dyDescent="0.2">
      <c r="W5585" s="39"/>
    </row>
    <row r="5586" spans="23:23" x14ac:dyDescent="0.2">
      <c r="W5586" s="39"/>
    </row>
    <row r="5587" spans="23:23" x14ac:dyDescent="0.2">
      <c r="W5587" s="39"/>
    </row>
    <row r="5588" spans="23:23" x14ac:dyDescent="0.2">
      <c r="W5588" s="39"/>
    </row>
    <row r="5589" spans="23:23" x14ac:dyDescent="0.2">
      <c r="W5589" s="39"/>
    </row>
    <row r="5590" spans="23:23" x14ac:dyDescent="0.2">
      <c r="W5590" s="39"/>
    </row>
    <row r="5591" spans="23:23" x14ac:dyDescent="0.2">
      <c r="W5591" s="39"/>
    </row>
    <row r="5592" spans="23:23" x14ac:dyDescent="0.2">
      <c r="W5592" s="39"/>
    </row>
    <row r="5593" spans="23:23" x14ac:dyDescent="0.2">
      <c r="W5593" s="39"/>
    </row>
    <row r="5594" spans="23:23" x14ac:dyDescent="0.2">
      <c r="W5594" s="39"/>
    </row>
    <row r="5595" spans="23:23" x14ac:dyDescent="0.2">
      <c r="W5595" s="39"/>
    </row>
    <row r="5596" spans="23:23" x14ac:dyDescent="0.2">
      <c r="W5596" s="39"/>
    </row>
    <row r="5597" spans="23:23" x14ac:dyDescent="0.2">
      <c r="W5597" s="39"/>
    </row>
    <row r="5598" spans="23:23" x14ac:dyDescent="0.2">
      <c r="W5598" s="39"/>
    </row>
    <row r="5599" spans="23:23" x14ac:dyDescent="0.2">
      <c r="W5599" s="39"/>
    </row>
    <row r="5600" spans="23:23" x14ac:dyDescent="0.2">
      <c r="W5600" s="39"/>
    </row>
    <row r="5601" spans="23:23" x14ac:dyDescent="0.2">
      <c r="W5601" s="39"/>
    </row>
    <row r="5602" spans="23:23" x14ac:dyDescent="0.2">
      <c r="W5602" s="39"/>
    </row>
    <row r="5603" spans="23:23" x14ac:dyDescent="0.2">
      <c r="W5603" s="39"/>
    </row>
    <row r="5604" spans="23:23" x14ac:dyDescent="0.2">
      <c r="W5604" s="39"/>
    </row>
    <row r="5605" spans="23:23" x14ac:dyDescent="0.2">
      <c r="W5605" s="39"/>
    </row>
    <row r="5606" spans="23:23" x14ac:dyDescent="0.2">
      <c r="W5606" s="39"/>
    </row>
    <row r="5607" spans="23:23" x14ac:dyDescent="0.2">
      <c r="W5607" s="39"/>
    </row>
    <row r="5608" spans="23:23" x14ac:dyDescent="0.2">
      <c r="W5608" s="39"/>
    </row>
    <row r="5609" spans="23:23" x14ac:dyDescent="0.2">
      <c r="W5609" s="39"/>
    </row>
    <row r="5610" spans="23:23" x14ac:dyDescent="0.2">
      <c r="W5610" s="39"/>
    </row>
    <row r="5611" spans="23:23" x14ac:dyDescent="0.2">
      <c r="W5611" s="39"/>
    </row>
    <row r="5612" spans="23:23" x14ac:dyDescent="0.2">
      <c r="W5612" s="39"/>
    </row>
    <row r="5613" spans="23:23" x14ac:dyDescent="0.2">
      <c r="W5613" s="39"/>
    </row>
    <row r="5614" spans="23:23" x14ac:dyDescent="0.2">
      <c r="W5614" s="39"/>
    </row>
    <row r="5615" spans="23:23" x14ac:dyDescent="0.2">
      <c r="W5615" s="39"/>
    </row>
    <row r="5616" spans="23:23" x14ac:dyDescent="0.2">
      <c r="W5616" s="39"/>
    </row>
    <row r="5617" spans="23:23" x14ac:dyDescent="0.2">
      <c r="W5617" s="39"/>
    </row>
    <row r="5618" spans="23:23" x14ac:dyDescent="0.2">
      <c r="W5618" s="39"/>
    </row>
    <row r="5619" spans="23:23" x14ac:dyDescent="0.2">
      <c r="W5619" s="39"/>
    </row>
    <row r="5620" spans="23:23" x14ac:dyDescent="0.2">
      <c r="W5620" s="39"/>
    </row>
    <row r="5621" spans="23:23" x14ac:dyDescent="0.2">
      <c r="W5621" s="39"/>
    </row>
    <row r="5622" spans="23:23" x14ac:dyDescent="0.2">
      <c r="W5622" s="39"/>
    </row>
    <row r="5623" spans="23:23" x14ac:dyDescent="0.2">
      <c r="W5623" s="39"/>
    </row>
    <row r="5624" spans="23:23" x14ac:dyDescent="0.2">
      <c r="W5624" s="39"/>
    </row>
    <row r="5625" spans="23:23" x14ac:dyDescent="0.2">
      <c r="W5625" s="39"/>
    </row>
    <row r="5626" spans="23:23" x14ac:dyDescent="0.2">
      <c r="W5626" s="39"/>
    </row>
    <row r="5627" spans="23:23" x14ac:dyDescent="0.2">
      <c r="W5627" s="39"/>
    </row>
    <row r="5628" spans="23:23" x14ac:dyDescent="0.2">
      <c r="W5628" s="39"/>
    </row>
    <row r="5629" spans="23:23" x14ac:dyDescent="0.2">
      <c r="W5629" s="39"/>
    </row>
    <row r="5630" spans="23:23" x14ac:dyDescent="0.2">
      <c r="W5630" s="39"/>
    </row>
    <row r="5631" spans="23:23" x14ac:dyDescent="0.2">
      <c r="W5631" s="39"/>
    </row>
    <row r="5632" spans="23:23" x14ac:dyDescent="0.2">
      <c r="W5632" s="39"/>
    </row>
    <row r="5633" spans="23:23" x14ac:dyDescent="0.2">
      <c r="W5633" s="39"/>
    </row>
    <row r="5634" spans="23:23" x14ac:dyDescent="0.2">
      <c r="W5634" s="39"/>
    </row>
    <row r="5635" spans="23:23" x14ac:dyDescent="0.2">
      <c r="W5635" s="39"/>
    </row>
    <row r="5636" spans="23:23" x14ac:dyDescent="0.2">
      <c r="W5636" s="39"/>
    </row>
    <row r="5637" spans="23:23" x14ac:dyDescent="0.2">
      <c r="W5637" s="39"/>
    </row>
    <row r="5638" spans="23:23" x14ac:dyDescent="0.2">
      <c r="W5638" s="39"/>
    </row>
    <row r="5639" spans="23:23" x14ac:dyDescent="0.2">
      <c r="W5639" s="39"/>
    </row>
    <row r="5640" spans="23:23" x14ac:dyDescent="0.2">
      <c r="W5640" s="39"/>
    </row>
    <row r="5641" spans="23:23" x14ac:dyDescent="0.2">
      <c r="W5641" s="39"/>
    </row>
    <row r="5642" spans="23:23" x14ac:dyDescent="0.2">
      <c r="W5642" s="39"/>
    </row>
    <row r="5643" spans="23:23" x14ac:dyDescent="0.2">
      <c r="W5643" s="39"/>
    </row>
    <row r="5644" spans="23:23" x14ac:dyDescent="0.2">
      <c r="W5644" s="39"/>
    </row>
    <row r="5645" spans="23:23" x14ac:dyDescent="0.2">
      <c r="W5645" s="39"/>
    </row>
    <row r="5646" spans="23:23" x14ac:dyDescent="0.2">
      <c r="W5646" s="39"/>
    </row>
    <row r="5647" spans="23:23" x14ac:dyDescent="0.2">
      <c r="W5647" s="39"/>
    </row>
    <row r="5648" spans="23:23" x14ac:dyDescent="0.2">
      <c r="W5648" s="39"/>
    </row>
    <row r="5649" spans="23:23" x14ac:dyDescent="0.2">
      <c r="W5649" s="39"/>
    </row>
    <row r="5650" spans="23:23" x14ac:dyDescent="0.2">
      <c r="W5650" s="39"/>
    </row>
    <row r="5651" spans="23:23" x14ac:dyDescent="0.2">
      <c r="W5651" s="39"/>
    </row>
    <row r="5652" spans="23:23" x14ac:dyDescent="0.2">
      <c r="W5652" s="39"/>
    </row>
    <row r="5653" spans="23:23" x14ac:dyDescent="0.2">
      <c r="W5653" s="39"/>
    </row>
    <row r="5654" spans="23:23" x14ac:dyDescent="0.2">
      <c r="W5654" s="39"/>
    </row>
    <row r="5655" spans="23:23" x14ac:dyDescent="0.2">
      <c r="W5655" s="39"/>
    </row>
    <row r="5656" spans="23:23" x14ac:dyDescent="0.2">
      <c r="W5656" s="39"/>
    </row>
    <row r="5657" spans="23:23" x14ac:dyDescent="0.2">
      <c r="W5657" s="39"/>
    </row>
    <row r="5658" spans="23:23" x14ac:dyDescent="0.2">
      <c r="W5658" s="39"/>
    </row>
    <row r="5659" spans="23:23" x14ac:dyDescent="0.2">
      <c r="W5659" s="39"/>
    </row>
    <row r="5660" spans="23:23" x14ac:dyDescent="0.2">
      <c r="W5660" s="39"/>
    </row>
    <row r="5661" spans="23:23" x14ac:dyDescent="0.2">
      <c r="W5661" s="39"/>
    </row>
    <row r="5662" spans="23:23" x14ac:dyDescent="0.2">
      <c r="W5662" s="39"/>
    </row>
    <row r="5663" spans="23:23" x14ac:dyDescent="0.2">
      <c r="W5663" s="39"/>
    </row>
    <row r="5664" spans="23:23" x14ac:dyDescent="0.2">
      <c r="W5664" s="39"/>
    </row>
    <row r="5665" spans="23:23" x14ac:dyDescent="0.2">
      <c r="W5665" s="39"/>
    </row>
    <row r="5666" spans="23:23" x14ac:dyDescent="0.2">
      <c r="W5666" s="39"/>
    </row>
    <row r="5667" spans="23:23" x14ac:dyDescent="0.2">
      <c r="W5667" s="39"/>
    </row>
    <row r="5668" spans="23:23" x14ac:dyDescent="0.2">
      <c r="W5668" s="39"/>
    </row>
    <row r="5669" spans="23:23" x14ac:dyDescent="0.2">
      <c r="W5669" s="39"/>
    </row>
    <row r="5670" spans="23:23" x14ac:dyDescent="0.2">
      <c r="W5670" s="39"/>
    </row>
    <row r="5671" spans="23:23" x14ac:dyDescent="0.2">
      <c r="W5671" s="39"/>
    </row>
    <row r="5672" spans="23:23" x14ac:dyDescent="0.2">
      <c r="W5672" s="39"/>
    </row>
    <row r="5673" spans="23:23" x14ac:dyDescent="0.2">
      <c r="W5673" s="39"/>
    </row>
    <row r="5674" spans="23:23" x14ac:dyDescent="0.2">
      <c r="W5674" s="39"/>
    </row>
    <row r="5675" spans="23:23" x14ac:dyDescent="0.2">
      <c r="W5675" s="39"/>
    </row>
    <row r="5676" spans="23:23" x14ac:dyDescent="0.2">
      <c r="W5676" s="39"/>
    </row>
    <row r="5677" spans="23:23" x14ac:dyDescent="0.2">
      <c r="W5677" s="39"/>
    </row>
    <row r="5678" spans="23:23" x14ac:dyDescent="0.2">
      <c r="W5678" s="39"/>
    </row>
    <row r="5679" spans="23:23" x14ac:dyDescent="0.2">
      <c r="W5679" s="39"/>
    </row>
    <row r="5680" spans="23:23" x14ac:dyDescent="0.2">
      <c r="W5680" s="39"/>
    </row>
    <row r="5681" spans="23:23" x14ac:dyDescent="0.2">
      <c r="W5681" s="39"/>
    </row>
    <row r="5682" spans="23:23" x14ac:dyDescent="0.2">
      <c r="W5682" s="39"/>
    </row>
    <row r="5683" spans="23:23" x14ac:dyDescent="0.2">
      <c r="W5683" s="39"/>
    </row>
    <row r="5684" spans="23:23" x14ac:dyDescent="0.2">
      <c r="W5684" s="39"/>
    </row>
    <row r="5685" spans="23:23" x14ac:dyDescent="0.2">
      <c r="W5685" s="39"/>
    </row>
    <row r="5686" spans="23:23" x14ac:dyDescent="0.2">
      <c r="W5686" s="39"/>
    </row>
    <row r="5687" spans="23:23" x14ac:dyDescent="0.2">
      <c r="W5687" s="39"/>
    </row>
    <row r="5688" spans="23:23" x14ac:dyDescent="0.2">
      <c r="W5688" s="39"/>
    </row>
    <row r="5689" spans="23:23" x14ac:dyDescent="0.2">
      <c r="W5689" s="39"/>
    </row>
    <row r="5690" spans="23:23" x14ac:dyDescent="0.2">
      <c r="W5690" s="39"/>
    </row>
    <row r="5691" spans="23:23" x14ac:dyDescent="0.2">
      <c r="W5691" s="39"/>
    </row>
    <row r="5692" spans="23:23" x14ac:dyDescent="0.2">
      <c r="W5692" s="39"/>
    </row>
    <row r="5693" spans="23:23" x14ac:dyDescent="0.2">
      <c r="W5693" s="39"/>
    </row>
    <row r="5694" spans="23:23" x14ac:dyDescent="0.2">
      <c r="W5694" s="39"/>
    </row>
    <row r="5695" spans="23:23" x14ac:dyDescent="0.2">
      <c r="W5695" s="39"/>
    </row>
    <row r="5696" spans="23:23" x14ac:dyDescent="0.2">
      <c r="W5696" s="39"/>
    </row>
    <row r="5697" spans="23:23" x14ac:dyDescent="0.2">
      <c r="W5697" s="39"/>
    </row>
    <row r="5698" spans="23:23" x14ac:dyDescent="0.2">
      <c r="W5698" s="39"/>
    </row>
    <row r="5699" spans="23:23" x14ac:dyDescent="0.2">
      <c r="W5699" s="39"/>
    </row>
    <row r="5700" spans="23:23" x14ac:dyDescent="0.2">
      <c r="W5700" s="39"/>
    </row>
    <row r="5701" spans="23:23" x14ac:dyDescent="0.2">
      <c r="W5701" s="39"/>
    </row>
    <row r="5702" spans="23:23" x14ac:dyDescent="0.2">
      <c r="W5702" s="39"/>
    </row>
    <row r="5703" spans="23:23" x14ac:dyDescent="0.2">
      <c r="W5703" s="39"/>
    </row>
    <row r="5704" spans="23:23" x14ac:dyDescent="0.2">
      <c r="W5704" s="39"/>
    </row>
    <row r="5705" spans="23:23" x14ac:dyDescent="0.2">
      <c r="W5705" s="39"/>
    </row>
    <row r="5706" spans="23:23" x14ac:dyDescent="0.2">
      <c r="W5706" s="39"/>
    </row>
    <row r="5707" spans="23:23" x14ac:dyDescent="0.2">
      <c r="W5707" s="39"/>
    </row>
    <row r="5708" spans="23:23" x14ac:dyDescent="0.2">
      <c r="W5708" s="39"/>
    </row>
    <row r="5709" spans="23:23" x14ac:dyDescent="0.2">
      <c r="W5709" s="39"/>
    </row>
    <row r="5710" spans="23:23" x14ac:dyDescent="0.2">
      <c r="W5710" s="39"/>
    </row>
    <row r="5711" spans="23:23" x14ac:dyDescent="0.2">
      <c r="W5711" s="39"/>
    </row>
    <row r="5712" spans="23:23" x14ac:dyDescent="0.2">
      <c r="W5712" s="39"/>
    </row>
    <row r="5713" spans="23:23" x14ac:dyDescent="0.2">
      <c r="W5713" s="39"/>
    </row>
    <row r="5714" spans="23:23" x14ac:dyDescent="0.2">
      <c r="W5714" s="39"/>
    </row>
    <row r="5715" spans="23:23" x14ac:dyDescent="0.2">
      <c r="W5715" s="39"/>
    </row>
    <row r="5716" spans="23:23" x14ac:dyDescent="0.2">
      <c r="W5716" s="39"/>
    </row>
    <row r="5717" spans="23:23" x14ac:dyDescent="0.2">
      <c r="W5717" s="39"/>
    </row>
    <row r="5718" spans="23:23" x14ac:dyDescent="0.2">
      <c r="W5718" s="39"/>
    </row>
    <row r="5719" spans="23:23" x14ac:dyDescent="0.2">
      <c r="W5719" s="39"/>
    </row>
    <row r="5720" spans="23:23" x14ac:dyDescent="0.2">
      <c r="W5720" s="39"/>
    </row>
    <row r="5721" spans="23:23" x14ac:dyDescent="0.2">
      <c r="W5721" s="39"/>
    </row>
    <row r="5722" spans="23:23" x14ac:dyDescent="0.2">
      <c r="W5722" s="39"/>
    </row>
    <row r="5723" spans="23:23" x14ac:dyDescent="0.2">
      <c r="W5723" s="39"/>
    </row>
    <row r="5724" spans="23:23" x14ac:dyDescent="0.2">
      <c r="W5724" s="39"/>
    </row>
    <row r="5725" spans="23:23" x14ac:dyDescent="0.2">
      <c r="W5725" s="39"/>
    </row>
    <row r="5726" spans="23:23" x14ac:dyDescent="0.2">
      <c r="W5726" s="39"/>
    </row>
    <row r="5727" spans="23:23" x14ac:dyDescent="0.2">
      <c r="W5727" s="39"/>
    </row>
    <row r="5728" spans="23:23" x14ac:dyDescent="0.2">
      <c r="W5728" s="39"/>
    </row>
    <row r="5729" spans="23:23" x14ac:dyDescent="0.2">
      <c r="W5729" s="39"/>
    </row>
    <row r="5730" spans="23:23" x14ac:dyDescent="0.2">
      <c r="W5730" s="39"/>
    </row>
    <row r="5731" spans="23:23" x14ac:dyDescent="0.2">
      <c r="W5731" s="39"/>
    </row>
    <row r="5732" spans="23:23" x14ac:dyDescent="0.2">
      <c r="W5732" s="39"/>
    </row>
    <row r="5733" spans="23:23" x14ac:dyDescent="0.2">
      <c r="W5733" s="39"/>
    </row>
    <row r="5734" spans="23:23" x14ac:dyDescent="0.2">
      <c r="W5734" s="39"/>
    </row>
    <row r="5735" spans="23:23" x14ac:dyDescent="0.2">
      <c r="W5735" s="39"/>
    </row>
    <row r="5736" spans="23:23" x14ac:dyDescent="0.2">
      <c r="W5736" s="39"/>
    </row>
    <row r="5737" spans="23:23" x14ac:dyDescent="0.2">
      <c r="W5737" s="39"/>
    </row>
    <row r="5738" spans="23:23" x14ac:dyDescent="0.2">
      <c r="W5738" s="39"/>
    </row>
    <row r="5739" spans="23:23" x14ac:dyDescent="0.2">
      <c r="W5739" s="39"/>
    </row>
    <row r="5740" spans="23:23" x14ac:dyDescent="0.2">
      <c r="W5740" s="39"/>
    </row>
    <row r="5741" spans="23:23" x14ac:dyDescent="0.2">
      <c r="W5741" s="39"/>
    </row>
    <row r="5742" spans="23:23" x14ac:dyDescent="0.2">
      <c r="W5742" s="39"/>
    </row>
    <row r="5743" spans="23:23" x14ac:dyDescent="0.2">
      <c r="W5743" s="39"/>
    </row>
    <row r="5744" spans="23:23" x14ac:dyDescent="0.2">
      <c r="W5744" s="39"/>
    </row>
    <row r="5745" spans="23:23" x14ac:dyDescent="0.2">
      <c r="W5745" s="39"/>
    </row>
    <row r="5746" spans="23:23" x14ac:dyDescent="0.2">
      <c r="W5746" s="39"/>
    </row>
    <row r="5747" spans="23:23" x14ac:dyDescent="0.2">
      <c r="W5747" s="39"/>
    </row>
    <row r="5748" spans="23:23" x14ac:dyDescent="0.2">
      <c r="W5748" s="39"/>
    </row>
    <row r="5749" spans="23:23" x14ac:dyDescent="0.2">
      <c r="W5749" s="39"/>
    </row>
    <row r="5750" spans="23:23" x14ac:dyDescent="0.2">
      <c r="W5750" s="39"/>
    </row>
    <row r="5751" spans="23:23" x14ac:dyDescent="0.2">
      <c r="W5751" s="39"/>
    </row>
    <row r="5752" spans="23:23" x14ac:dyDescent="0.2">
      <c r="W5752" s="39"/>
    </row>
    <row r="5753" spans="23:23" x14ac:dyDescent="0.2">
      <c r="W5753" s="39"/>
    </row>
    <row r="5754" spans="23:23" x14ac:dyDescent="0.2">
      <c r="W5754" s="39"/>
    </row>
    <row r="5755" spans="23:23" x14ac:dyDescent="0.2">
      <c r="W5755" s="39"/>
    </row>
    <row r="5756" spans="23:23" x14ac:dyDescent="0.2">
      <c r="W5756" s="39"/>
    </row>
    <row r="5757" spans="23:23" x14ac:dyDescent="0.2">
      <c r="W5757" s="39"/>
    </row>
    <row r="5758" spans="23:23" x14ac:dyDescent="0.2">
      <c r="W5758" s="39"/>
    </row>
    <row r="5759" spans="23:23" x14ac:dyDescent="0.2">
      <c r="W5759" s="39"/>
    </row>
    <row r="5760" spans="23:23" x14ac:dyDescent="0.2">
      <c r="W5760" s="39"/>
    </row>
    <row r="5761" spans="23:23" x14ac:dyDescent="0.2">
      <c r="W5761" s="39"/>
    </row>
    <row r="5762" spans="23:23" x14ac:dyDescent="0.2">
      <c r="W5762" s="39"/>
    </row>
    <row r="5763" spans="23:23" x14ac:dyDescent="0.2">
      <c r="W5763" s="39"/>
    </row>
    <row r="5764" spans="23:23" x14ac:dyDescent="0.2">
      <c r="W5764" s="39"/>
    </row>
    <row r="5765" spans="23:23" x14ac:dyDescent="0.2">
      <c r="W5765" s="39"/>
    </row>
    <row r="5766" spans="23:23" x14ac:dyDescent="0.2">
      <c r="W5766" s="39"/>
    </row>
    <row r="5767" spans="23:23" x14ac:dyDescent="0.2">
      <c r="W5767" s="39"/>
    </row>
    <row r="5768" spans="23:23" x14ac:dyDescent="0.2">
      <c r="W5768" s="39"/>
    </row>
    <row r="5769" spans="23:23" x14ac:dyDescent="0.2">
      <c r="W5769" s="39"/>
    </row>
    <row r="5770" spans="23:23" x14ac:dyDescent="0.2">
      <c r="W5770" s="39"/>
    </row>
    <row r="5771" spans="23:23" x14ac:dyDescent="0.2">
      <c r="W5771" s="39"/>
    </row>
    <row r="5772" spans="23:23" x14ac:dyDescent="0.2">
      <c r="W5772" s="39"/>
    </row>
    <row r="5773" spans="23:23" x14ac:dyDescent="0.2">
      <c r="W5773" s="39"/>
    </row>
    <row r="5774" spans="23:23" x14ac:dyDescent="0.2">
      <c r="W5774" s="39"/>
    </row>
    <row r="5775" spans="23:23" x14ac:dyDescent="0.2">
      <c r="W5775" s="39"/>
    </row>
    <row r="5776" spans="23:23" x14ac:dyDescent="0.2">
      <c r="W5776" s="39"/>
    </row>
    <row r="5777" spans="23:23" x14ac:dyDescent="0.2">
      <c r="W5777" s="39"/>
    </row>
    <row r="5778" spans="23:23" x14ac:dyDescent="0.2">
      <c r="W5778" s="39"/>
    </row>
    <row r="5779" spans="23:23" x14ac:dyDescent="0.2">
      <c r="W5779" s="39"/>
    </row>
    <row r="5780" spans="23:23" x14ac:dyDescent="0.2">
      <c r="W5780" s="39"/>
    </row>
    <row r="5781" spans="23:23" x14ac:dyDescent="0.2">
      <c r="W5781" s="39"/>
    </row>
    <row r="5782" spans="23:23" x14ac:dyDescent="0.2">
      <c r="W5782" s="39"/>
    </row>
    <row r="5783" spans="23:23" x14ac:dyDescent="0.2">
      <c r="W5783" s="39"/>
    </row>
    <row r="5784" spans="23:23" x14ac:dyDescent="0.2">
      <c r="W5784" s="39"/>
    </row>
    <row r="5785" spans="23:23" x14ac:dyDescent="0.2">
      <c r="W5785" s="39"/>
    </row>
    <row r="5786" spans="23:23" x14ac:dyDescent="0.2">
      <c r="W5786" s="39"/>
    </row>
    <row r="5787" spans="23:23" x14ac:dyDescent="0.2">
      <c r="W5787" s="39"/>
    </row>
    <row r="5788" spans="23:23" x14ac:dyDescent="0.2">
      <c r="W5788" s="39"/>
    </row>
    <row r="5789" spans="23:23" x14ac:dyDescent="0.2">
      <c r="W5789" s="39"/>
    </row>
    <row r="5790" spans="23:23" x14ac:dyDescent="0.2">
      <c r="W5790" s="39"/>
    </row>
    <row r="5791" spans="23:23" x14ac:dyDescent="0.2">
      <c r="W5791" s="39"/>
    </row>
    <row r="5792" spans="23:23" x14ac:dyDescent="0.2">
      <c r="W5792" s="39"/>
    </row>
    <row r="5793" spans="23:23" x14ac:dyDescent="0.2">
      <c r="W5793" s="39"/>
    </row>
    <row r="5794" spans="23:23" x14ac:dyDescent="0.2">
      <c r="W5794" s="39"/>
    </row>
    <row r="5795" spans="23:23" x14ac:dyDescent="0.2">
      <c r="W5795" s="39"/>
    </row>
    <row r="5796" spans="23:23" x14ac:dyDescent="0.2">
      <c r="W5796" s="39"/>
    </row>
    <row r="5797" spans="23:23" x14ac:dyDescent="0.2">
      <c r="W5797" s="39"/>
    </row>
    <row r="5798" spans="23:23" x14ac:dyDescent="0.2">
      <c r="W5798" s="39"/>
    </row>
    <row r="5799" spans="23:23" x14ac:dyDescent="0.2">
      <c r="W5799" s="39"/>
    </row>
    <row r="5800" spans="23:23" x14ac:dyDescent="0.2">
      <c r="W5800" s="39"/>
    </row>
    <row r="5801" spans="23:23" x14ac:dyDescent="0.2">
      <c r="W5801" s="39"/>
    </row>
    <row r="5802" spans="23:23" x14ac:dyDescent="0.2">
      <c r="W5802" s="39"/>
    </row>
    <row r="5803" spans="23:23" x14ac:dyDescent="0.2">
      <c r="W5803" s="39"/>
    </row>
    <row r="5804" spans="23:23" x14ac:dyDescent="0.2">
      <c r="W5804" s="39"/>
    </row>
    <row r="5805" spans="23:23" x14ac:dyDescent="0.2">
      <c r="W5805" s="39"/>
    </row>
    <row r="5806" spans="23:23" x14ac:dyDescent="0.2">
      <c r="W5806" s="39"/>
    </row>
    <row r="5807" spans="23:23" x14ac:dyDescent="0.2">
      <c r="W5807" s="39"/>
    </row>
    <row r="5808" spans="23:23" x14ac:dyDescent="0.2">
      <c r="W5808" s="39"/>
    </row>
    <row r="5809" spans="23:23" x14ac:dyDescent="0.2">
      <c r="W5809" s="39"/>
    </row>
    <row r="5810" spans="23:23" x14ac:dyDescent="0.2">
      <c r="W5810" s="39"/>
    </row>
    <row r="5811" spans="23:23" x14ac:dyDescent="0.2">
      <c r="W5811" s="39"/>
    </row>
    <row r="5812" spans="23:23" x14ac:dyDescent="0.2">
      <c r="W5812" s="39"/>
    </row>
    <row r="5813" spans="23:23" x14ac:dyDescent="0.2">
      <c r="W5813" s="39"/>
    </row>
    <row r="5814" spans="23:23" x14ac:dyDescent="0.2">
      <c r="W5814" s="39"/>
    </row>
    <row r="5815" spans="23:23" x14ac:dyDescent="0.2">
      <c r="W5815" s="39"/>
    </row>
    <row r="5816" spans="23:23" x14ac:dyDescent="0.2">
      <c r="W5816" s="39"/>
    </row>
    <row r="5817" spans="23:23" x14ac:dyDescent="0.2">
      <c r="W5817" s="39"/>
    </row>
    <row r="5818" spans="23:23" x14ac:dyDescent="0.2">
      <c r="W5818" s="39"/>
    </row>
    <row r="5819" spans="23:23" x14ac:dyDescent="0.2">
      <c r="W5819" s="39"/>
    </row>
    <row r="5820" spans="23:23" x14ac:dyDescent="0.2">
      <c r="W5820" s="39"/>
    </row>
    <row r="5821" spans="23:23" x14ac:dyDescent="0.2">
      <c r="W5821" s="39"/>
    </row>
    <row r="5822" spans="23:23" x14ac:dyDescent="0.2">
      <c r="W5822" s="39"/>
    </row>
    <row r="5823" spans="23:23" x14ac:dyDescent="0.2">
      <c r="W5823" s="39"/>
    </row>
    <row r="5824" spans="23:23" x14ac:dyDescent="0.2">
      <c r="W5824" s="39"/>
    </row>
    <row r="5825" spans="23:23" x14ac:dyDescent="0.2">
      <c r="W5825" s="39"/>
    </row>
    <row r="5826" spans="23:23" x14ac:dyDescent="0.2">
      <c r="W5826" s="39"/>
    </row>
    <row r="5827" spans="23:23" x14ac:dyDescent="0.2">
      <c r="W5827" s="39"/>
    </row>
    <row r="5828" spans="23:23" x14ac:dyDescent="0.2">
      <c r="W5828" s="39"/>
    </row>
    <row r="5829" spans="23:23" x14ac:dyDescent="0.2">
      <c r="W5829" s="39"/>
    </row>
    <row r="5830" spans="23:23" x14ac:dyDescent="0.2">
      <c r="W5830" s="39"/>
    </row>
    <row r="5831" spans="23:23" x14ac:dyDescent="0.2">
      <c r="W5831" s="39"/>
    </row>
    <row r="5832" spans="23:23" x14ac:dyDescent="0.2">
      <c r="W5832" s="39"/>
    </row>
    <row r="5833" spans="23:23" x14ac:dyDescent="0.2">
      <c r="W5833" s="39"/>
    </row>
    <row r="5834" spans="23:23" x14ac:dyDescent="0.2">
      <c r="W5834" s="39"/>
    </row>
    <row r="5835" spans="23:23" x14ac:dyDescent="0.2">
      <c r="W5835" s="39"/>
    </row>
    <row r="5836" spans="23:23" x14ac:dyDescent="0.2">
      <c r="W5836" s="39"/>
    </row>
    <row r="5837" spans="23:23" x14ac:dyDescent="0.2">
      <c r="W5837" s="39"/>
    </row>
    <row r="5838" spans="23:23" x14ac:dyDescent="0.2">
      <c r="W5838" s="39"/>
    </row>
    <row r="5839" spans="23:23" x14ac:dyDescent="0.2">
      <c r="W5839" s="39"/>
    </row>
    <row r="5840" spans="23:23" x14ac:dyDescent="0.2">
      <c r="W5840" s="39"/>
    </row>
    <row r="5841" spans="23:23" x14ac:dyDescent="0.2">
      <c r="W5841" s="39"/>
    </row>
    <row r="5842" spans="23:23" x14ac:dyDescent="0.2">
      <c r="W5842" s="39"/>
    </row>
    <row r="5843" spans="23:23" x14ac:dyDescent="0.2">
      <c r="W5843" s="39"/>
    </row>
    <row r="5844" spans="23:23" x14ac:dyDescent="0.2">
      <c r="W5844" s="39"/>
    </row>
    <row r="5845" spans="23:23" x14ac:dyDescent="0.2">
      <c r="W5845" s="39"/>
    </row>
    <row r="5846" spans="23:23" x14ac:dyDescent="0.2">
      <c r="W5846" s="39"/>
    </row>
    <row r="5847" spans="23:23" x14ac:dyDescent="0.2">
      <c r="W5847" s="39"/>
    </row>
    <row r="5848" spans="23:23" x14ac:dyDescent="0.2">
      <c r="W5848" s="39"/>
    </row>
    <row r="5849" spans="23:23" x14ac:dyDescent="0.2">
      <c r="W5849" s="39"/>
    </row>
    <row r="5850" spans="23:23" x14ac:dyDescent="0.2">
      <c r="W5850" s="39"/>
    </row>
    <row r="5851" spans="23:23" x14ac:dyDescent="0.2">
      <c r="W5851" s="39"/>
    </row>
    <row r="5852" spans="23:23" x14ac:dyDescent="0.2">
      <c r="W5852" s="39"/>
    </row>
    <row r="5853" spans="23:23" x14ac:dyDescent="0.2">
      <c r="W5853" s="39"/>
    </row>
    <row r="5854" spans="23:23" x14ac:dyDescent="0.2">
      <c r="W5854" s="39"/>
    </row>
    <row r="5855" spans="23:23" x14ac:dyDescent="0.2">
      <c r="W5855" s="39"/>
    </row>
    <row r="5856" spans="23:23" x14ac:dyDescent="0.2">
      <c r="W5856" s="39"/>
    </row>
    <row r="5857" spans="23:23" x14ac:dyDescent="0.2">
      <c r="W5857" s="39"/>
    </row>
    <row r="5858" spans="23:23" x14ac:dyDescent="0.2">
      <c r="W5858" s="39"/>
    </row>
    <row r="5859" spans="23:23" x14ac:dyDescent="0.2">
      <c r="W5859" s="39"/>
    </row>
    <row r="5860" spans="23:23" x14ac:dyDescent="0.2">
      <c r="W5860" s="39"/>
    </row>
    <row r="5861" spans="23:23" x14ac:dyDescent="0.2">
      <c r="W5861" s="39"/>
    </row>
    <row r="5862" spans="23:23" x14ac:dyDescent="0.2">
      <c r="W5862" s="39"/>
    </row>
    <row r="5863" spans="23:23" x14ac:dyDescent="0.2">
      <c r="W5863" s="39"/>
    </row>
    <row r="5864" spans="23:23" x14ac:dyDescent="0.2">
      <c r="W5864" s="39"/>
    </row>
    <row r="5865" spans="23:23" x14ac:dyDescent="0.2">
      <c r="W5865" s="39"/>
    </row>
    <row r="5866" spans="23:23" x14ac:dyDescent="0.2">
      <c r="W5866" s="39"/>
    </row>
    <row r="5867" spans="23:23" x14ac:dyDescent="0.2">
      <c r="W5867" s="39"/>
    </row>
    <row r="5868" spans="23:23" x14ac:dyDescent="0.2">
      <c r="W5868" s="39"/>
    </row>
    <row r="5869" spans="23:23" x14ac:dyDescent="0.2">
      <c r="W5869" s="39"/>
    </row>
    <row r="5870" spans="23:23" x14ac:dyDescent="0.2">
      <c r="W5870" s="39"/>
    </row>
    <row r="5871" spans="23:23" x14ac:dyDescent="0.2">
      <c r="W5871" s="39"/>
    </row>
    <row r="5872" spans="23:23" x14ac:dyDescent="0.2">
      <c r="W5872" s="39"/>
    </row>
    <row r="5873" spans="23:23" x14ac:dyDescent="0.2">
      <c r="W5873" s="39"/>
    </row>
    <row r="5874" spans="23:23" x14ac:dyDescent="0.2">
      <c r="W5874" s="39"/>
    </row>
    <row r="5875" spans="23:23" x14ac:dyDescent="0.2">
      <c r="W5875" s="39"/>
    </row>
    <row r="5876" spans="23:23" x14ac:dyDescent="0.2">
      <c r="W5876" s="39"/>
    </row>
    <row r="5877" spans="23:23" x14ac:dyDescent="0.2">
      <c r="W5877" s="39"/>
    </row>
    <row r="5878" spans="23:23" x14ac:dyDescent="0.2">
      <c r="W5878" s="39"/>
    </row>
    <row r="5879" spans="23:23" x14ac:dyDescent="0.2">
      <c r="W5879" s="39"/>
    </row>
    <row r="5880" spans="23:23" x14ac:dyDescent="0.2">
      <c r="W5880" s="39"/>
    </row>
    <row r="5881" spans="23:23" x14ac:dyDescent="0.2">
      <c r="W5881" s="39"/>
    </row>
    <row r="5882" spans="23:23" x14ac:dyDescent="0.2">
      <c r="W5882" s="39"/>
    </row>
    <row r="5883" spans="23:23" x14ac:dyDescent="0.2">
      <c r="W5883" s="39"/>
    </row>
    <row r="5884" spans="23:23" x14ac:dyDescent="0.2">
      <c r="W5884" s="39"/>
    </row>
    <row r="5885" spans="23:23" x14ac:dyDescent="0.2">
      <c r="W5885" s="39"/>
    </row>
    <row r="5886" spans="23:23" x14ac:dyDescent="0.2">
      <c r="W5886" s="39"/>
    </row>
    <row r="5887" spans="23:23" x14ac:dyDescent="0.2">
      <c r="W5887" s="39"/>
    </row>
    <row r="5888" spans="23:23" x14ac:dyDescent="0.2">
      <c r="W5888" s="39"/>
    </row>
    <row r="5889" spans="23:23" x14ac:dyDescent="0.2">
      <c r="W5889" s="39"/>
    </row>
    <row r="5890" spans="23:23" x14ac:dyDescent="0.2">
      <c r="W5890" s="39"/>
    </row>
    <row r="5891" spans="23:23" x14ac:dyDescent="0.2">
      <c r="W5891" s="39"/>
    </row>
    <row r="5892" spans="23:23" x14ac:dyDescent="0.2">
      <c r="W5892" s="39"/>
    </row>
    <row r="5893" spans="23:23" x14ac:dyDescent="0.2">
      <c r="W5893" s="39"/>
    </row>
    <row r="5894" spans="23:23" x14ac:dyDescent="0.2">
      <c r="W5894" s="39"/>
    </row>
    <row r="5895" spans="23:23" x14ac:dyDescent="0.2">
      <c r="W5895" s="39"/>
    </row>
    <row r="5896" spans="23:23" x14ac:dyDescent="0.2">
      <c r="W5896" s="39"/>
    </row>
    <row r="5897" spans="23:23" x14ac:dyDescent="0.2">
      <c r="W5897" s="39"/>
    </row>
    <row r="5898" spans="23:23" x14ac:dyDescent="0.2">
      <c r="W5898" s="39"/>
    </row>
    <row r="5899" spans="23:23" x14ac:dyDescent="0.2">
      <c r="W5899" s="39"/>
    </row>
    <row r="5900" spans="23:23" x14ac:dyDescent="0.2">
      <c r="W5900" s="39"/>
    </row>
    <row r="5901" spans="23:23" x14ac:dyDescent="0.2">
      <c r="W5901" s="39"/>
    </row>
    <row r="5902" spans="23:23" x14ac:dyDescent="0.2">
      <c r="W5902" s="39"/>
    </row>
    <row r="5903" spans="23:23" x14ac:dyDescent="0.2">
      <c r="W5903" s="39"/>
    </row>
    <row r="5904" spans="23:23" x14ac:dyDescent="0.2">
      <c r="W5904" s="39"/>
    </row>
    <row r="5905" spans="23:23" x14ac:dyDescent="0.2">
      <c r="W5905" s="39"/>
    </row>
    <row r="5906" spans="23:23" x14ac:dyDescent="0.2">
      <c r="W5906" s="39"/>
    </row>
    <row r="5907" spans="23:23" x14ac:dyDescent="0.2">
      <c r="W5907" s="39"/>
    </row>
    <row r="5908" spans="23:23" x14ac:dyDescent="0.2">
      <c r="W5908" s="39"/>
    </row>
    <row r="5909" spans="23:23" x14ac:dyDescent="0.2">
      <c r="W5909" s="39"/>
    </row>
    <row r="5910" spans="23:23" x14ac:dyDescent="0.2">
      <c r="W5910" s="39"/>
    </row>
    <row r="5911" spans="23:23" x14ac:dyDescent="0.2">
      <c r="W5911" s="39"/>
    </row>
    <row r="5912" spans="23:23" x14ac:dyDescent="0.2">
      <c r="W5912" s="39"/>
    </row>
    <row r="5913" spans="23:23" x14ac:dyDescent="0.2">
      <c r="W5913" s="39"/>
    </row>
    <row r="5914" spans="23:23" x14ac:dyDescent="0.2">
      <c r="W5914" s="39"/>
    </row>
    <row r="5915" spans="23:23" x14ac:dyDescent="0.2">
      <c r="W5915" s="39"/>
    </row>
    <row r="5916" spans="23:23" x14ac:dyDescent="0.2">
      <c r="W5916" s="39"/>
    </row>
    <row r="5917" spans="23:23" x14ac:dyDescent="0.2">
      <c r="W5917" s="39"/>
    </row>
    <row r="5918" spans="23:23" x14ac:dyDescent="0.2">
      <c r="W5918" s="39"/>
    </row>
    <row r="5919" spans="23:23" x14ac:dyDescent="0.2">
      <c r="W5919" s="39"/>
    </row>
    <row r="5920" spans="23:23" x14ac:dyDescent="0.2">
      <c r="W5920" s="39"/>
    </row>
    <row r="5921" spans="23:23" x14ac:dyDescent="0.2">
      <c r="W5921" s="39"/>
    </row>
    <row r="5922" spans="23:23" x14ac:dyDescent="0.2">
      <c r="W5922" s="39"/>
    </row>
    <row r="5923" spans="23:23" x14ac:dyDescent="0.2">
      <c r="W5923" s="39"/>
    </row>
    <row r="5924" spans="23:23" x14ac:dyDescent="0.2">
      <c r="W5924" s="39"/>
    </row>
    <row r="5925" spans="23:23" x14ac:dyDescent="0.2">
      <c r="W5925" s="39"/>
    </row>
    <row r="5926" spans="23:23" x14ac:dyDescent="0.2">
      <c r="W5926" s="39"/>
    </row>
    <row r="5927" spans="23:23" x14ac:dyDescent="0.2">
      <c r="W5927" s="39"/>
    </row>
    <row r="5928" spans="23:23" x14ac:dyDescent="0.2">
      <c r="W5928" s="39"/>
    </row>
    <row r="5929" spans="23:23" x14ac:dyDescent="0.2">
      <c r="W5929" s="39"/>
    </row>
    <row r="5930" spans="23:23" x14ac:dyDescent="0.2">
      <c r="W5930" s="39"/>
    </row>
    <row r="5931" spans="23:23" x14ac:dyDescent="0.2">
      <c r="W5931" s="39"/>
    </row>
    <row r="5932" spans="23:23" x14ac:dyDescent="0.2">
      <c r="W5932" s="39"/>
    </row>
    <row r="5933" spans="23:23" x14ac:dyDescent="0.2">
      <c r="W5933" s="39"/>
    </row>
    <row r="5934" spans="23:23" x14ac:dyDescent="0.2">
      <c r="W5934" s="39"/>
    </row>
    <row r="5935" spans="23:23" x14ac:dyDescent="0.2">
      <c r="W5935" s="39"/>
    </row>
    <row r="5936" spans="23:23" x14ac:dyDescent="0.2">
      <c r="W5936" s="39"/>
    </row>
    <row r="5937" spans="23:23" x14ac:dyDescent="0.2">
      <c r="W5937" s="39"/>
    </row>
    <row r="5938" spans="23:23" x14ac:dyDescent="0.2">
      <c r="W5938" s="39"/>
    </row>
    <row r="5939" spans="23:23" x14ac:dyDescent="0.2">
      <c r="W5939" s="39"/>
    </row>
    <row r="5940" spans="23:23" x14ac:dyDescent="0.2">
      <c r="W5940" s="39"/>
    </row>
    <row r="5941" spans="23:23" x14ac:dyDescent="0.2">
      <c r="W5941" s="39"/>
    </row>
    <row r="5942" spans="23:23" x14ac:dyDescent="0.2">
      <c r="W5942" s="39"/>
    </row>
    <row r="5943" spans="23:23" x14ac:dyDescent="0.2">
      <c r="W5943" s="39"/>
    </row>
    <row r="5944" spans="23:23" x14ac:dyDescent="0.2">
      <c r="W5944" s="39"/>
    </row>
    <row r="5945" spans="23:23" x14ac:dyDescent="0.2">
      <c r="W5945" s="39"/>
    </row>
    <row r="5946" spans="23:23" x14ac:dyDescent="0.2">
      <c r="W5946" s="39"/>
    </row>
    <row r="5947" spans="23:23" x14ac:dyDescent="0.2">
      <c r="W5947" s="39"/>
    </row>
    <row r="5948" spans="23:23" x14ac:dyDescent="0.2">
      <c r="W5948" s="39"/>
    </row>
    <row r="5949" spans="23:23" x14ac:dyDescent="0.2">
      <c r="W5949" s="39"/>
    </row>
    <row r="5950" spans="23:23" x14ac:dyDescent="0.2">
      <c r="W5950" s="39"/>
    </row>
    <row r="5951" spans="23:23" x14ac:dyDescent="0.2">
      <c r="W5951" s="39"/>
    </row>
    <row r="5952" spans="23:23" x14ac:dyDescent="0.2">
      <c r="W5952" s="39"/>
    </row>
    <row r="5953" spans="23:23" x14ac:dyDescent="0.2">
      <c r="W5953" s="39"/>
    </row>
    <row r="5954" spans="23:23" x14ac:dyDescent="0.2">
      <c r="W5954" s="39"/>
    </row>
    <row r="5955" spans="23:23" x14ac:dyDescent="0.2">
      <c r="W5955" s="39"/>
    </row>
    <row r="5956" spans="23:23" x14ac:dyDescent="0.2">
      <c r="W5956" s="39"/>
    </row>
    <row r="5957" spans="23:23" x14ac:dyDescent="0.2">
      <c r="W5957" s="39"/>
    </row>
    <row r="5958" spans="23:23" x14ac:dyDescent="0.2">
      <c r="W5958" s="39"/>
    </row>
    <row r="5959" spans="23:23" x14ac:dyDescent="0.2">
      <c r="W5959" s="39"/>
    </row>
    <row r="5960" spans="23:23" x14ac:dyDescent="0.2">
      <c r="W5960" s="39"/>
    </row>
    <row r="5961" spans="23:23" x14ac:dyDescent="0.2">
      <c r="W5961" s="39"/>
    </row>
    <row r="5962" spans="23:23" x14ac:dyDescent="0.2">
      <c r="W5962" s="39"/>
    </row>
    <row r="5963" spans="23:23" x14ac:dyDescent="0.2">
      <c r="W5963" s="39"/>
    </row>
    <row r="5964" spans="23:23" x14ac:dyDescent="0.2">
      <c r="W5964" s="39"/>
    </row>
    <row r="5965" spans="23:23" x14ac:dyDescent="0.2">
      <c r="W5965" s="39"/>
    </row>
    <row r="5966" spans="23:23" x14ac:dyDescent="0.2">
      <c r="W5966" s="39"/>
    </row>
    <row r="5967" spans="23:23" x14ac:dyDescent="0.2">
      <c r="W5967" s="39"/>
    </row>
    <row r="5968" spans="23:23" x14ac:dyDescent="0.2">
      <c r="W5968" s="39"/>
    </row>
    <row r="5969" spans="23:23" x14ac:dyDescent="0.2">
      <c r="W5969" s="39"/>
    </row>
    <row r="5970" spans="23:23" x14ac:dyDescent="0.2">
      <c r="W5970" s="39"/>
    </row>
    <row r="5971" spans="23:23" x14ac:dyDescent="0.2">
      <c r="W5971" s="39"/>
    </row>
    <row r="5972" spans="23:23" x14ac:dyDescent="0.2">
      <c r="W5972" s="39"/>
    </row>
    <row r="5973" spans="23:23" x14ac:dyDescent="0.2">
      <c r="W5973" s="39"/>
    </row>
    <row r="5974" spans="23:23" x14ac:dyDescent="0.2">
      <c r="W5974" s="39"/>
    </row>
    <row r="5975" spans="23:23" x14ac:dyDescent="0.2">
      <c r="W5975" s="39"/>
    </row>
    <row r="5976" spans="23:23" x14ac:dyDescent="0.2">
      <c r="W5976" s="39"/>
    </row>
    <row r="5977" spans="23:23" x14ac:dyDescent="0.2">
      <c r="W5977" s="39"/>
    </row>
    <row r="5978" spans="23:23" x14ac:dyDescent="0.2">
      <c r="W5978" s="39"/>
    </row>
    <row r="5979" spans="23:23" x14ac:dyDescent="0.2">
      <c r="W5979" s="39"/>
    </row>
    <row r="5980" spans="23:23" x14ac:dyDescent="0.2">
      <c r="W5980" s="39"/>
    </row>
    <row r="5981" spans="23:23" x14ac:dyDescent="0.2">
      <c r="W5981" s="39"/>
    </row>
    <row r="5982" spans="23:23" x14ac:dyDescent="0.2">
      <c r="W5982" s="39"/>
    </row>
    <row r="5983" spans="23:23" x14ac:dyDescent="0.2">
      <c r="W5983" s="39"/>
    </row>
    <row r="5984" spans="23:23" x14ac:dyDescent="0.2">
      <c r="W5984" s="39"/>
    </row>
    <row r="5985" spans="23:23" x14ac:dyDescent="0.2">
      <c r="W5985" s="39"/>
    </row>
    <row r="5986" spans="23:23" x14ac:dyDescent="0.2">
      <c r="W5986" s="39"/>
    </row>
    <row r="5987" spans="23:23" x14ac:dyDescent="0.2">
      <c r="W5987" s="39"/>
    </row>
    <row r="5988" spans="23:23" x14ac:dyDescent="0.2">
      <c r="W5988" s="39"/>
    </row>
    <row r="5989" spans="23:23" x14ac:dyDescent="0.2">
      <c r="W5989" s="39"/>
    </row>
    <row r="5990" spans="23:23" x14ac:dyDescent="0.2">
      <c r="W5990" s="39"/>
    </row>
    <row r="5991" spans="23:23" x14ac:dyDescent="0.2">
      <c r="W5991" s="39"/>
    </row>
    <row r="5992" spans="23:23" x14ac:dyDescent="0.2">
      <c r="W5992" s="39"/>
    </row>
    <row r="5993" spans="23:23" x14ac:dyDescent="0.2">
      <c r="W5993" s="39"/>
    </row>
    <row r="5994" spans="23:23" x14ac:dyDescent="0.2">
      <c r="W5994" s="39"/>
    </row>
    <row r="5995" spans="23:23" x14ac:dyDescent="0.2">
      <c r="W5995" s="39"/>
    </row>
    <row r="5996" spans="23:23" x14ac:dyDescent="0.2">
      <c r="W5996" s="39"/>
    </row>
    <row r="5997" spans="23:23" x14ac:dyDescent="0.2">
      <c r="W5997" s="39"/>
    </row>
    <row r="5998" spans="23:23" x14ac:dyDescent="0.2">
      <c r="W5998" s="39"/>
    </row>
    <row r="5999" spans="23:23" x14ac:dyDescent="0.2">
      <c r="W5999" s="39"/>
    </row>
    <row r="6000" spans="23:23" x14ac:dyDescent="0.2">
      <c r="W6000" s="39"/>
    </row>
    <row r="6001" spans="23:23" x14ac:dyDescent="0.2">
      <c r="W6001" s="39"/>
    </row>
    <row r="6002" spans="23:23" x14ac:dyDescent="0.2">
      <c r="W6002" s="39"/>
    </row>
    <row r="6003" spans="23:23" x14ac:dyDescent="0.2">
      <c r="W6003" s="39"/>
    </row>
    <row r="6004" spans="23:23" x14ac:dyDescent="0.2">
      <c r="W6004" s="39"/>
    </row>
    <row r="6005" spans="23:23" x14ac:dyDescent="0.2">
      <c r="W6005" s="39"/>
    </row>
    <row r="6006" spans="23:23" x14ac:dyDescent="0.2">
      <c r="W6006" s="39"/>
    </row>
    <row r="6007" spans="23:23" x14ac:dyDescent="0.2">
      <c r="W6007" s="39"/>
    </row>
    <row r="6008" spans="23:23" x14ac:dyDescent="0.2">
      <c r="W6008" s="39"/>
    </row>
    <row r="6009" spans="23:23" x14ac:dyDescent="0.2">
      <c r="W6009" s="39"/>
    </row>
    <row r="6010" spans="23:23" x14ac:dyDescent="0.2">
      <c r="W6010" s="39"/>
    </row>
    <row r="6011" spans="23:23" x14ac:dyDescent="0.2">
      <c r="W6011" s="39"/>
    </row>
    <row r="6012" spans="23:23" x14ac:dyDescent="0.2">
      <c r="W6012" s="39"/>
    </row>
    <row r="6013" spans="23:23" x14ac:dyDescent="0.2">
      <c r="W6013" s="39"/>
    </row>
    <row r="6014" spans="23:23" x14ac:dyDescent="0.2">
      <c r="W6014" s="39"/>
    </row>
    <row r="6015" spans="23:23" x14ac:dyDescent="0.2">
      <c r="W6015" s="39"/>
    </row>
    <row r="6016" spans="23:23" x14ac:dyDescent="0.2">
      <c r="W6016" s="39"/>
    </row>
    <row r="6017" spans="23:23" x14ac:dyDescent="0.2">
      <c r="W6017" s="39"/>
    </row>
    <row r="6018" spans="23:23" x14ac:dyDescent="0.2">
      <c r="W6018" s="39"/>
    </row>
    <row r="6019" spans="23:23" x14ac:dyDescent="0.2">
      <c r="W6019" s="39"/>
    </row>
    <row r="6020" spans="23:23" x14ac:dyDescent="0.2">
      <c r="W6020" s="39"/>
    </row>
    <row r="6021" spans="23:23" x14ac:dyDescent="0.2">
      <c r="W6021" s="39"/>
    </row>
    <row r="6022" spans="23:23" x14ac:dyDescent="0.2">
      <c r="W6022" s="39"/>
    </row>
    <row r="6023" spans="23:23" x14ac:dyDescent="0.2">
      <c r="W6023" s="39"/>
    </row>
    <row r="6024" spans="23:23" x14ac:dyDescent="0.2">
      <c r="W6024" s="39"/>
    </row>
    <row r="6025" spans="23:23" x14ac:dyDescent="0.2">
      <c r="W6025" s="39"/>
    </row>
    <row r="6026" spans="23:23" x14ac:dyDescent="0.2">
      <c r="W6026" s="39"/>
    </row>
    <row r="6027" spans="23:23" x14ac:dyDescent="0.2">
      <c r="W6027" s="39"/>
    </row>
    <row r="6028" spans="23:23" x14ac:dyDescent="0.2">
      <c r="W6028" s="39"/>
    </row>
    <row r="6029" spans="23:23" x14ac:dyDescent="0.2">
      <c r="W6029" s="39"/>
    </row>
    <row r="6030" spans="23:23" x14ac:dyDescent="0.2">
      <c r="W6030" s="39"/>
    </row>
    <row r="6031" spans="23:23" x14ac:dyDescent="0.2">
      <c r="W6031" s="39"/>
    </row>
    <row r="6032" spans="23:23" x14ac:dyDescent="0.2">
      <c r="W6032" s="39"/>
    </row>
    <row r="6033" spans="23:23" x14ac:dyDescent="0.2">
      <c r="W6033" s="39"/>
    </row>
    <row r="6034" spans="23:23" x14ac:dyDescent="0.2">
      <c r="W6034" s="39"/>
    </row>
    <row r="6035" spans="23:23" x14ac:dyDescent="0.2">
      <c r="W6035" s="39"/>
    </row>
    <row r="6036" spans="23:23" x14ac:dyDescent="0.2">
      <c r="W6036" s="39"/>
    </row>
    <row r="6037" spans="23:23" x14ac:dyDescent="0.2">
      <c r="W6037" s="39"/>
    </row>
    <row r="6038" spans="23:23" x14ac:dyDescent="0.2">
      <c r="W6038" s="39"/>
    </row>
    <row r="6039" spans="23:23" x14ac:dyDescent="0.2">
      <c r="W6039" s="39"/>
    </row>
    <row r="6040" spans="23:23" x14ac:dyDescent="0.2">
      <c r="W6040" s="39"/>
    </row>
    <row r="6041" spans="23:23" x14ac:dyDescent="0.2">
      <c r="W6041" s="39"/>
    </row>
    <row r="6042" spans="23:23" x14ac:dyDescent="0.2">
      <c r="W6042" s="39"/>
    </row>
    <row r="6043" spans="23:23" x14ac:dyDescent="0.2">
      <c r="W6043" s="39"/>
    </row>
    <row r="6044" spans="23:23" x14ac:dyDescent="0.2">
      <c r="W6044" s="39"/>
    </row>
    <row r="6045" spans="23:23" x14ac:dyDescent="0.2">
      <c r="W6045" s="39"/>
    </row>
    <row r="6046" spans="23:23" x14ac:dyDescent="0.2">
      <c r="W6046" s="39"/>
    </row>
    <row r="6047" spans="23:23" x14ac:dyDescent="0.2">
      <c r="W6047" s="39"/>
    </row>
    <row r="6048" spans="23:23" x14ac:dyDescent="0.2">
      <c r="W6048" s="39"/>
    </row>
    <row r="6049" spans="23:23" x14ac:dyDescent="0.2">
      <c r="W6049" s="39"/>
    </row>
    <row r="6050" spans="23:23" x14ac:dyDescent="0.2">
      <c r="W6050" s="39"/>
    </row>
    <row r="6051" spans="23:23" x14ac:dyDescent="0.2">
      <c r="W6051" s="39"/>
    </row>
    <row r="6052" spans="23:23" x14ac:dyDescent="0.2">
      <c r="W6052" s="39"/>
    </row>
    <row r="6053" spans="23:23" x14ac:dyDescent="0.2">
      <c r="W6053" s="39"/>
    </row>
    <row r="6054" spans="23:23" x14ac:dyDescent="0.2">
      <c r="W6054" s="39"/>
    </row>
    <row r="6055" spans="23:23" x14ac:dyDescent="0.2">
      <c r="W6055" s="39"/>
    </row>
    <row r="6056" spans="23:23" x14ac:dyDescent="0.2">
      <c r="W6056" s="39"/>
    </row>
    <row r="6057" spans="23:23" x14ac:dyDescent="0.2">
      <c r="W6057" s="39"/>
    </row>
    <row r="6058" spans="23:23" x14ac:dyDescent="0.2">
      <c r="W6058" s="39"/>
    </row>
    <row r="6059" spans="23:23" x14ac:dyDescent="0.2">
      <c r="W6059" s="39"/>
    </row>
    <row r="6060" spans="23:23" x14ac:dyDescent="0.2">
      <c r="W6060" s="39"/>
    </row>
    <row r="6061" spans="23:23" x14ac:dyDescent="0.2">
      <c r="W6061" s="39"/>
    </row>
    <row r="6062" spans="23:23" x14ac:dyDescent="0.2">
      <c r="W6062" s="39"/>
    </row>
    <row r="6063" spans="23:23" x14ac:dyDescent="0.2">
      <c r="W6063" s="39"/>
    </row>
    <row r="6064" spans="23:23" x14ac:dyDescent="0.2">
      <c r="W6064" s="39"/>
    </row>
    <row r="6065" spans="23:23" x14ac:dyDescent="0.2">
      <c r="W6065" s="39"/>
    </row>
    <row r="6066" spans="23:23" x14ac:dyDescent="0.2">
      <c r="W6066" s="39"/>
    </row>
    <row r="6067" spans="23:23" x14ac:dyDescent="0.2">
      <c r="W6067" s="39"/>
    </row>
    <row r="6068" spans="23:23" x14ac:dyDescent="0.2">
      <c r="W6068" s="39"/>
    </row>
    <row r="6069" spans="23:23" x14ac:dyDescent="0.2">
      <c r="W6069" s="39"/>
    </row>
    <row r="6070" spans="23:23" x14ac:dyDescent="0.2">
      <c r="W6070" s="39"/>
    </row>
    <row r="6071" spans="23:23" x14ac:dyDescent="0.2">
      <c r="W6071" s="39"/>
    </row>
    <row r="6072" spans="23:23" x14ac:dyDescent="0.2">
      <c r="W6072" s="39"/>
    </row>
    <row r="6073" spans="23:23" x14ac:dyDescent="0.2">
      <c r="W6073" s="39"/>
    </row>
    <row r="6074" spans="23:23" x14ac:dyDescent="0.2">
      <c r="W6074" s="39"/>
    </row>
    <row r="6075" spans="23:23" x14ac:dyDescent="0.2">
      <c r="W6075" s="39"/>
    </row>
    <row r="6076" spans="23:23" x14ac:dyDescent="0.2">
      <c r="W6076" s="39"/>
    </row>
    <row r="6077" spans="23:23" x14ac:dyDescent="0.2">
      <c r="W6077" s="39"/>
    </row>
    <row r="6078" spans="23:23" x14ac:dyDescent="0.2">
      <c r="W6078" s="39"/>
    </row>
    <row r="6079" spans="23:23" x14ac:dyDescent="0.2">
      <c r="W6079" s="39"/>
    </row>
    <row r="6080" spans="23:23" x14ac:dyDescent="0.2">
      <c r="W6080" s="39"/>
    </row>
    <row r="6081" spans="23:23" x14ac:dyDescent="0.2">
      <c r="W6081" s="39"/>
    </row>
    <row r="6082" spans="23:23" x14ac:dyDescent="0.2">
      <c r="W6082" s="39"/>
    </row>
    <row r="6083" spans="23:23" x14ac:dyDescent="0.2">
      <c r="W6083" s="39"/>
    </row>
    <row r="6084" spans="23:23" x14ac:dyDescent="0.2">
      <c r="W6084" s="39"/>
    </row>
    <row r="6085" spans="23:23" x14ac:dyDescent="0.2">
      <c r="W6085" s="39"/>
    </row>
    <row r="6086" spans="23:23" x14ac:dyDescent="0.2">
      <c r="W6086" s="39"/>
    </row>
    <row r="6087" spans="23:23" x14ac:dyDescent="0.2">
      <c r="W6087" s="39"/>
    </row>
    <row r="6088" spans="23:23" x14ac:dyDescent="0.2">
      <c r="W6088" s="39"/>
    </row>
    <row r="6089" spans="23:23" x14ac:dyDescent="0.2">
      <c r="W6089" s="39"/>
    </row>
    <row r="6090" spans="23:23" x14ac:dyDescent="0.2">
      <c r="W6090" s="39"/>
    </row>
    <row r="6091" spans="23:23" x14ac:dyDescent="0.2">
      <c r="W6091" s="39"/>
    </row>
    <row r="6092" spans="23:23" x14ac:dyDescent="0.2">
      <c r="W6092" s="39"/>
    </row>
    <row r="6093" spans="23:23" x14ac:dyDescent="0.2">
      <c r="W6093" s="39"/>
    </row>
    <row r="6094" spans="23:23" x14ac:dyDescent="0.2">
      <c r="W6094" s="39"/>
    </row>
    <row r="6095" spans="23:23" x14ac:dyDescent="0.2">
      <c r="W6095" s="39"/>
    </row>
    <row r="6096" spans="23:23" x14ac:dyDescent="0.2">
      <c r="W6096" s="39"/>
    </row>
    <row r="6097" spans="23:23" x14ac:dyDescent="0.2">
      <c r="W6097" s="39"/>
    </row>
    <row r="6098" spans="23:23" x14ac:dyDescent="0.2">
      <c r="W6098" s="39"/>
    </row>
    <row r="6099" spans="23:23" x14ac:dyDescent="0.2">
      <c r="W6099" s="39"/>
    </row>
    <row r="6100" spans="23:23" x14ac:dyDescent="0.2">
      <c r="W6100" s="39"/>
    </row>
    <row r="6101" spans="23:23" x14ac:dyDescent="0.2">
      <c r="W6101" s="39"/>
    </row>
    <row r="6102" spans="23:23" x14ac:dyDescent="0.2">
      <c r="W6102" s="39"/>
    </row>
    <row r="6103" spans="23:23" x14ac:dyDescent="0.2">
      <c r="W6103" s="39"/>
    </row>
    <row r="6104" spans="23:23" x14ac:dyDescent="0.2">
      <c r="W6104" s="39"/>
    </row>
    <row r="6105" spans="23:23" x14ac:dyDescent="0.2">
      <c r="W6105" s="39"/>
    </row>
    <row r="6106" spans="23:23" x14ac:dyDescent="0.2">
      <c r="W6106" s="39"/>
    </row>
    <row r="6107" spans="23:23" x14ac:dyDescent="0.2">
      <c r="W6107" s="39"/>
    </row>
    <row r="6108" spans="23:23" x14ac:dyDescent="0.2">
      <c r="W6108" s="39"/>
    </row>
    <row r="6109" spans="23:23" x14ac:dyDescent="0.2">
      <c r="W6109" s="39"/>
    </row>
    <row r="6110" spans="23:23" x14ac:dyDescent="0.2">
      <c r="W6110" s="39"/>
    </row>
    <row r="6111" spans="23:23" x14ac:dyDescent="0.2">
      <c r="W6111" s="39"/>
    </row>
    <row r="6112" spans="23:23" x14ac:dyDescent="0.2">
      <c r="W6112" s="39"/>
    </row>
    <row r="6113" spans="23:23" x14ac:dyDescent="0.2">
      <c r="W6113" s="39"/>
    </row>
    <row r="6114" spans="23:23" x14ac:dyDescent="0.2">
      <c r="W6114" s="39"/>
    </row>
    <row r="6115" spans="23:23" x14ac:dyDescent="0.2">
      <c r="W6115" s="39"/>
    </row>
    <row r="6116" spans="23:23" x14ac:dyDescent="0.2">
      <c r="W6116" s="39"/>
    </row>
    <row r="6117" spans="23:23" x14ac:dyDescent="0.2">
      <c r="W6117" s="39"/>
    </row>
    <row r="6118" spans="23:23" x14ac:dyDescent="0.2">
      <c r="W6118" s="39"/>
    </row>
    <row r="6119" spans="23:23" x14ac:dyDescent="0.2">
      <c r="W6119" s="39"/>
    </row>
    <row r="6120" spans="23:23" x14ac:dyDescent="0.2">
      <c r="W6120" s="39"/>
    </row>
    <row r="6121" spans="23:23" x14ac:dyDescent="0.2">
      <c r="W6121" s="39"/>
    </row>
    <row r="6122" spans="23:23" x14ac:dyDescent="0.2">
      <c r="W6122" s="39"/>
    </row>
    <row r="6123" spans="23:23" x14ac:dyDescent="0.2">
      <c r="W6123" s="39"/>
    </row>
    <row r="6124" spans="23:23" x14ac:dyDescent="0.2">
      <c r="W6124" s="39"/>
    </row>
    <row r="6125" spans="23:23" x14ac:dyDescent="0.2">
      <c r="W6125" s="39"/>
    </row>
    <row r="6126" spans="23:23" x14ac:dyDescent="0.2">
      <c r="W6126" s="39"/>
    </row>
    <row r="6127" spans="23:23" x14ac:dyDescent="0.2">
      <c r="W6127" s="39"/>
    </row>
    <row r="6128" spans="23:23" x14ac:dyDescent="0.2">
      <c r="W6128" s="39"/>
    </row>
    <row r="6129" spans="23:23" x14ac:dyDescent="0.2">
      <c r="W6129" s="39"/>
    </row>
    <row r="6130" spans="23:23" x14ac:dyDescent="0.2">
      <c r="W6130" s="39"/>
    </row>
    <row r="6131" spans="23:23" x14ac:dyDescent="0.2">
      <c r="W6131" s="39"/>
    </row>
    <row r="6132" spans="23:23" x14ac:dyDescent="0.2">
      <c r="W6132" s="39"/>
    </row>
    <row r="6133" spans="23:23" x14ac:dyDescent="0.2">
      <c r="W6133" s="39"/>
    </row>
    <row r="6134" spans="23:23" x14ac:dyDescent="0.2">
      <c r="W6134" s="39"/>
    </row>
    <row r="6135" spans="23:23" x14ac:dyDescent="0.2">
      <c r="W6135" s="39"/>
    </row>
    <row r="6136" spans="23:23" x14ac:dyDescent="0.2">
      <c r="W6136" s="39"/>
    </row>
    <row r="6137" spans="23:23" x14ac:dyDescent="0.2">
      <c r="W6137" s="39"/>
    </row>
    <row r="6138" spans="23:23" x14ac:dyDescent="0.2">
      <c r="W6138" s="39"/>
    </row>
    <row r="6139" spans="23:23" x14ac:dyDescent="0.2">
      <c r="W6139" s="39"/>
    </row>
    <row r="6140" spans="23:23" x14ac:dyDescent="0.2">
      <c r="W6140" s="39"/>
    </row>
    <row r="6141" spans="23:23" x14ac:dyDescent="0.2">
      <c r="W6141" s="39"/>
    </row>
    <row r="6142" spans="23:23" x14ac:dyDescent="0.2">
      <c r="W6142" s="39"/>
    </row>
    <row r="6143" spans="23:23" x14ac:dyDescent="0.2">
      <c r="W6143" s="39"/>
    </row>
    <row r="6144" spans="23:23" x14ac:dyDescent="0.2">
      <c r="W6144" s="39"/>
    </row>
    <row r="6145" spans="23:23" x14ac:dyDescent="0.2">
      <c r="W6145" s="39"/>
    </row>
    <row r="6146" spans="23:23" x14ac:dyDescent="0.2">
      <c r="W6146" s="39"/>
    </row>
    <row r="6147" spans="23:23" x14ac:dyDescent="0.2">
      <c r="W6147" s="39"/>
    </row>
    <row r="6148" spans="23:23" x14ac:dyDescent="0.2">
      <c r="W6148" s="39"/>
    </row>
    <row r="6149" spans="23:23" x14ac:dyDescent="0.2">
      <c r="W6149" s="39"/>
    </row>
    <row r="6150" spans="23:23" x14ac:dyDescent="0.2">
      <c r="W6150" s="39"/>
    </row>
    <row r="6151" spans="23:23" x14ac:dyDescent="0.2">
      <c r="W6151" s="39"/>
    </row>
    <row r="6152" spans="23:23" x14ac:dyDescent="0.2">
      <c r="W6152" s="39"/>
    </row>
    <row r="6153" spans="23:23" x14ac:dyDescent="0.2">
      <c r="W6153" s="39"/>
    </row>
    <row r="6154" spans="23:23" x14ac:dyDescent="0.2">
      <c r="W6154" s="39"/>
    </row>
    <row r="6155" spans="23:23" x14ac:dyDescent="0.2">
      <c r="W6155" s="39"/>
    </row>
    <row r="6156" spans="23:23" x14ac:dyDescent="0.2">
      <c r="W6156" s="39"/>
    </row>
    <row r="6157" spans="23:23" x14ac:dyDescent="0.2">
      <c r="W6157" s="39"/>
    </row>
    <row r="6158" spans="23:23" x14ac:dyDescent="0.2">
      <c r="W6158" s="39"/>
    </row>
    <row r="6159" spans="23:23" x14ac:dyDescent="0.2">
      <c r="W6159" s="39"/>
    </row>
    <row r="6160" spans="23:23" x14ac:dyDescent="0.2">
      <c r="W6160" s="39"/>
    </row>
    <row r="6161" spans="23:23" x14ac:dyDescent="0.2">
      <c r="W6161" s="39"/>
    </row>
    <row r="6162" spans="23:23" x14ac:dyDescent="0.2">
      <c r="W6162" s="39"/>
    </row>
    <row r="6163" spans="23:23" x14ac:dyDescent="0.2">
      <c r="W6163" s="39"/>
    </row>
    <row r="6164" spans="23:23" x14ac:dyDescent="0.2">
      <c r="W6164" s="39"/>
    </row>
    <row r="6165" spans="23:23" x14ac:dyDescent="0.2">
      <c r="W6165" s="39"/>
    </row>
    <row r="6166" spans="23:23" x14ac:dyDescent="0.2">
      <c r="W6166" s="39"/>
    </row>
    <row r="6167" spans="23:23" x14ac:dyDescent="0.2">
      <c r="W6167" s="39"/>
    </row>
    <row r="6168" spans="23:23" x14ac:dyDescent="0.2">
      <c r="W6168" s="39"/>
    </row>
    <row r="6169" spans="23:23" x14ac:dyDescent="0.2">
      <c r="W6169" s="39"/>
    </row>
    <row r="6170" spans="23:23" x14ac:dyDescent="0.2">
      <c r="W6170" s="39"/>
    </row>
    <row r="6171" spans="23:23" x14ac:dyDescent="0.2">
      <c r="W6171" s="39"/>
    </row>
    <row r="6172" spans="23:23" x14ac:dyDescent="0.2">
      <c r="W6172" s="39"/>
    </row>
    <row r="6173" spans="23:23" x14ac:dyDescent="0.2">
      <c r="W6173" s="39"/>
    </row>
    <row r="6174" spans="23:23" x14ac:dyDescent="0.2">
      <c r="W6174" s="39"/>
    </row>
    <row r="6175" spans="23:23" x14ac:dyDescent="0.2">
      <c r="W6175" s="39"/>
    </row>
    <row r="6176" spans="23:23" x14ac:dyDescent="0.2">
      <c r="W6176" s="39"/>
    </row>
    <row r="6177" spans="23:23" x14ac:dyDescent="0.2">
      <c r="W6177" s="39"/>
    </row>
    <row r="6178" spans="23:23" x14ac:dyDescent="0.2">
      <c r="W6178" s="39"/>
    </row>
    <row r="6179" spans="23:23" x14ac:dyDescent="0.2">
      <c r="W6179" s="39"/>
    </row>
    <row r="6180" spans="23:23" x14ac:dyDescent="0.2">
      <c r="W6180" s="39"/>
    </row>
    <row r="6181" spans="23:23" x14ac:dyDescent="0.2">
      <c r="W6181" s="39"/>
    </row>
    <row r="6182" spans="23:23" x14ac:dyDescent="0.2">
      <c r="W6182" s="39"/>
    </row>
    <row r="6183" spans="23:23" x14ac:dyDescent="0.2">
      <c r="W6183" s="39"/>
    </row>
    <row r="6184" spans="23:23" x14ac:dyDescent="0.2">
      <c r="W6184" s="39"/>
    </row>
    <row r="6185" spans="23:23" x14ac:dyDescent="0.2">
      <c r="W6185" s="39"/>
    </row>
    <row r="6186" spans="23:23" x14ac:dyDescent="0.2">
      <c r="W6186" s="39"/>
    </row>
    <row r="6187" spans="23:23" x14ac:dyDescent="0.2">
      <c r="W6187" s="39"/>
    </row>
    <row r="6188" spans="23:23" x14ac:dyDescent="0.2">
      <c r="W6188" s="39"/>
    </row>
    <row r="6189" spans="23:23" x14ac:dyDescent="0.2">
      <c r="W6189" s="39"/>
    </row>
    <row r="6190" spans="23:23" x14ac:dyDescent="0.2">
      <c r="W6190" s="39"/>
    </row>
    <row r="6191" spans="23:23" x14ac:dyDescent="0.2">
      <c r="W6191" s="39"/>
    </row>
    <row r="6192" spans="23:23" x14ac:dyDescent="0.2">
      <c r="W6192" s="39"/>
    </row>
    <row r="6193" spans="23:23" x14ac:dyDescent="0.2">
      <c r="W6193" s="39"/>
    </row>
    <row r="6194" spans="23:23" x14ac:dyDescent="0.2">
      <c r="W6194" s="39"/>
    </row>
    <row r="6195" spans="23:23" x14ac:dyDescent="0.2">
      <c r="W6195" s="39"/>
    </row>
    <row r="6196" spans="23:23" x14ac:dyDescent="0.2">
      <c r="W6196" s="39"/>
    </row>
    <row r="6197" spans="23:23" x14ac:dyDescent="0.2">
      <c r="W6197" s="39"/>
    </row>
    <row r="6198" spans="23:23" x14ac:dyDescent="0.2">
      <c r="W6198" s="39"/>
    </row>
    <row r="6199" spans="23:23" x14ac:dyDescent="0.2">
      <c r="W6199" s="39"/>
    </row>
    <row r="6200" spans="23:23" x14ac:dyDescent="0.2">
      <c r="W6200" s="39"/>
    </row>
    <row r="6201" spans="23:23" x14ac:dyDescent="0.2">
      <c r="W6201" s="39"/>
    </row>
    <row r="6202" spans="23:23" x14ac:dyDescent="0.2">
      <c r="W6202" s="39"/>
    </row>
    <row r="6203" spans="23:23" x14ac:dyDescent="0.2">
      <c r="W6203" s="39"/>
    </row>
    <row r="6204" spans="23:23" x14ac:dyDescent="0.2">
      <c r="W6204" s="39"/>
    </row>
    <row r="6205" spans="23:23" x14ac:dyDescent="0.2">
      <c r="W6205" s="39"/>
    </row>
    <row r="6206" spans="23:23" x14ac:dyDescent="0.2">
      <c r="W6206" s="39"/>
    </row>
    <row r="6207" spans="23:23" x14ac:dyDescent="0.2">
      <c r="W6207" s="39"/>
    </row>
    <row r="6208" spans="23:23" x14ac:dyDescent="0.2">
      <c r="W6208" s="39"/>
    </row>
    <row r="6209" spans="23:23" x14ac:dyDescent="0.2">
      <c r="W6209" s="39"/>
    </row>
    <row r="6210" spans="23:23" x14ac:dyDescent="0.2">
      <c r="W6210" s="39"/>
    </row>
    <row r="6211" spans="23:23" x14ac:dyDescent="0.2">
      <c r="W6211" s="39"/>
    </row>
    <row r="6212" spans="23:23" x14ac:dyDescent="0.2">
      <c r="W6212" s="39"/>
    </row>
    <row r="6213" spans="23:23" x14ac:dyDescent="0.2">
      <c r="W6213" s="39"/>
    </row>
    <row r="6214" spans="23:23" x14ac:dyDescent="0.2">
      <c r="W6214" s="39"/>
    </row>
    <row r="6215" spans="23:23" x14ac:dyDescent="0.2">
      <c r="W6215" s="39"/>
    </row>
    <row r="6216" spans="23:23" x14ac:dyDescent="0.2">
      <c r="W6216" s="39"/>
    </row>
    <row r="6217" spans="23:23" x14ac:dyDescent="0.2">
      <c r="W6217" s="39"/>
    </row>
    <row r="6218" spans="23:23" x14ac:dyDescent="0.2">
      <c r="W6218" s="39"/>
    </row>
    <row r="6219" spans="23:23" x14ac:dyDescent="0.2">
      <c r="W6219" s="39"/>
    </row>
    <row r="6220" spans="23:23" x14ac:dyDescent="0.2">
      <c r="W6220" s="39"/>
    </row>
    <row r="6221" spans="23:23" x14ac:dyDescent="0.2">
      <c r="W6221" s="39"/>
    </row>
    <row r="6222" spans="23:23" x14ac:dyDescent="0.2">
      <c r="W6222" s="39"/>
    </row>
    <row r="6223" spans="23:23" x14ac:dyDescent="0.2">
      <c r="W6223" s="39"/>
    </row>
    <row r="6224" spans="23:23" x14ac:dyDescent="0.2">
      <c r="W6224" s="39"/>
    </row>
    <row r="6225" spans="23:23" x14ac:dyDescent="0.2">
      <c r="W6225" s="39"/>
    </row>
    <row r="6226" spans="23:23" x14ac:dyDescent="0.2">
      <c r="W6226" s="39"/>
    </row>
    <row r="6227" spans="23:23" x14ac:dyDescent="0.2">
      <c r="W6227" s="39"/>
    </row>
    <row r="6228" spans="23:23" x14ac:dyDescent="0.2">
      <c r="W6228" s="39"/>
    </row>
    <row r="6229" spans="23:23" x14ac:dyDescent="0.2">
      <c r="W6229" s="39"/>
    </row>
    <row r="6230" spans="23:23" x14ac:dyDescent="0.2">
      <c r="W6230" s="39"/>
    </row>
    <row r="6231" spans="23:23" x14ac:dyDescent="0.2">
      <c r="W6231" s="39"/>
    </row>
    <row r="6232" spans="23:23" x14ac:dyDescent="0.2">
      <c r="W6232" s="39"/>
    </row>
    <row r="6233" spans="23:23" x14ac:dyDescent="0.2">
      <c r="W6233" s="39"/>
    </row>
    <row r="6234" spans="23:23" x14ac:dyDescent="0.2">
      <c r="W6234" s="39"/>
    </row>
    <row r="6235" spans="23:23" x14ac:dyDescent="0.2">
      <c r="W6235" s="39"/>
    </row>
    <row r="6236" spans="23:23" x14ac:dyDescent="0.2">
      <c r="W6236" s="39"/>
    </row>
    <row r="6237" spans="23:23" x14ac:dyDescent="0.2">
      <c r="W6237" s="39"/>
    </row>
    <row r="6238" spans="23:23" x14ac:dyDescent="0.2">
      <c r="W6238" s="39"/>
    </row>
    <row r="6239" spans="23:23" x14ac:dyDescent="0.2">
      <c r="W6239" s="39"/>
    </row>
    <row r="6240" spans="23:23" x14ac:dyDescent="0.2">
      <c r="W6240" s="39"/>
    </row>
    <row r="6241" spans="23:23" x14ac:dyDescent="0.2">
      <c r="W6241" s="39"/>
    </row>
    <row r="6242" spans="23:23" x14ac:dyDescent="0.2">
      <c r="W6242" s="39"/>
    </row>
    <row r="6243" spans="23:23" x14ac:dyDescent="0.2">
      <c r="W6243" s="39"/>
    </row>
    <row r="6244" spans="23:23" x14ac:dyDescent="0.2">
      <c r="W6244" s="39"/>
    </row>
    <row r="6245" spans="23:23" x14ac:dyDescent="0.2">
      <c r="W6245" s="39"/>
    </row>
    <row r="6246" spans="23:23" x14ac:dyDescent="0.2">
      <c r="W6246" s="39"/>
    </row>
    <row r="6247" spans="23:23" x14ac:dyDescent="0.2">
      <c r="W6247" s="39"/>
    </row>
    <row r="6248" spans="23:23" x14ac:dyDescent="0.2">
      <c r="W6248" s="39"/>
    </row>
    <row r="6249" spans="23:23" x14ac:dyDescent="0.2">
      <c r="W6249" s="39"/>
    </row>
    <row r="6250" spans="23:23" x14ac:dyDescent="0.2">
      <c r="W6250" s="39"/>
    </row>
    <row r="6251" spans="23:23" x14ac:dyDescent="0.2">
      <c r="W6251" s="39"/>
    </row>
    <row r="6252" spans="23:23" x14ac:dyDescent="0.2">
      <c r="W6252" s="39"/>
    </row>
    <row r="6253" spans="23:23" x14ac:dyDescent="0.2">
      <c r="W6253" s="39"/>
    </row>
    <row r="6254" spans="23:23" x14ac:dyDescent="0.2">
      <c r="W6254" s="39"/>
    </row>
    <row r="6255" spans="23:23" x14ac:dyDescent="0.2">
      <c r="W6255" s="39"/>
    </row>
    <row r="6256" spans="23:23" x14ac:dyDescent="0.2">
      <c r="W6256" s="39"/>
    </row>
    <row r="6257" spans="23:23" x14ac:dyDescent="0.2">
      <c r="W6257" s="39"/>
    </row>
    <row r="6258" spans="23:23" x14ac:dyDescent="0.2">
      <c r="W6258" s="39"/>
    </row>
    <row r="6259" spans="23:23" x14ac:dyDescent="0.2">
      <c r="W6259" s="39"/>
    </row>
    <row r="6260" spans="23:23" x14ac:dyDescent="0.2">
      <c r="W6260" s="39"/>
    </row>
    <row r="6261" spans="23:23" x14ac:dyDescent="0.2">
      <c r="W6261" s="39"/>
    </row>
    <row r="6262" spans="23:23" x14ac:dyDescent="0.2">
      <c r="W6262" s="39"/>
    </row>
    <row r="6263" spans="23:23" x14ac:dyDescent="0.2">
      <c r="W6263" s="39"/>
    </row>
    <row r="6264" spans="23:23" x14ac:dyDescent="0.2">
      <c r="W6264" s="39"/>
    </row>
    <row r="6265" spans="23:23" x14ac:dyDescent="0.2">
      <c r="W6265" s="39"/>
    </row>
    <row r="6266" spans="23:23" x14ac:dyDescent="0.2">
      <c r="W6266" s="39"/>
    </row>
    <row r="6267" spans="23:23" x14ac:dyDescent="0.2">
      <c r="W6267" s="39"/>
    </row>
    <row r="6268" spans="23:23" x14ac:dyDescent="0.2">
      <c r="W6268" s="39"/>
    </row>
    <row r="6269" spans="23:23" x14ac:dyDescent="0.2">
      <c r="W6269" s="39"/>
    </row>
    <row r="6270" spans="23:23" x14ac:dyDescent="0.2">
      <c r="W6270" s="39"/>
    </row>
    <row r="6271" spans="23:23" x14ac:dyDescent="0.2">
      <c r="W6271" s="39"/>
    </row>
    <row r="6272" spans="23:23" x14ac:dyDescent="0.2">
      <c r="W6272" s="39"/>
    </row>
    <row r="6273" spans="23:23" x14ac:dyDescent="0.2">
      <c r="W6273" s="39"/>
    </row>
    <row r="6274" spans="23:23" x14ac:dyDescent="0.2">
      <c r="W6274" s="39"/>
    </row>
    <row r="6275" spans="23:23" x14ac:dyDescent="0.2">
      <c r="W6275" s="39"/>
    </row>
    <row r="6276" spans="23:23" x14ac:dyDescent="0.2">
      <c r="W6276" s="39"/>
    </row>
    <row r="6277" spans="23:23" x14ac:dyDescent="0.2">
      <c r="W6277" s="39"/>
    </row>
    <row r="6278" spans="23:23" x14ac:dyDescent="0.2">
      <c r="W6278" s="39"/>
    </row>
    <row r="6279" spans="23:23" x14ac:dyDescent="0.2">
      <c r="W6279" s="39"/>
    </row>
    <row r="6280" spans="23:23" x14ac:dyDescent="0.2">
      <c r="W6280" s="39"/>
    </row>
    <row r="6281" spans="23:23" x14ac:dyDescent="0.2">
      <c r="W6281" s="39"/>
    </row>
    <row r="6282" spans="23:23" x14ac:dyDescent="0.2">
      <c r="W6282" s="39"/>
    </row>
    <row r="6283" spans="23:23" x14ac:dyDescent="0.2">
      <c r="W6283" s="39"/>
    </row>
    <row r="6284" spans="23:23" x14ac:dyDescent="0.2">
      <c r="W6284" s="39"/>
    </row>
    <row r="6285" spans="23:23" x14ac:dyDescent="0.2">
      <c r="W6285" s="39"/>
    </row>
    <row r="6286" spans="23:23" x14ac:dyDescent="0.2">
      <c r="W6286" s="39"/>
    </row>
    <row r="6287" spans="23:23" x14ac:dyDescent="0.2">
      <c r="W6287" s="39"/>
    </row>
    <row r="6288" spans="23:23" x14ac:dyDescent="0.2">
      <c r="W6288" s="39"/>
    </row>
    <row r="6289" spans="23:23" x14ac:dyDescent="0.2">
      <c r="W6289" s="39"/>
    </row>
    <row r="6290" spans="23:23" x14ac:dyDescent="0.2">
      <c r="W6290" s="39"/>
    </row>
    <row r="6291" spans="23:23" x14ac:dyDescent="0.2">
      <c r="W6291" s="39"/>
    </row>
    <row r="6292" spans="23:23" x14ac:dyDescent="0.2">
      <c r="W6292" s="39"/>
    </row>
    <row r="6293" spans="23:23" x14ac:dyDescent="0.2">
      <c r="W6293" s="39"/>
    </row>
    <row r="6294" spans="23:23" x14ac:dyDescent="0.2">
      <c r="W6294" s="39"/>
    </row>
    <row r="6295" spans="23:23" x14ac:dyDescent="0.2">
      <c r="W6295" s="39"/>
    </row>
    <row r="6296" spans="23:23" x14ac:dyDescent="0.2">
      <c r="W6296" s="39"/>
    </row>
    <row r="6297" spans="23:23" x14ac:dyDescent="0.2">
      <c r="W6297" s="39"/>
    </row>
    <row r="6298" spans="23:23" x14ac:dyDescent="0.2">
      <c r="W6298" s="39"/>
    </row>
    <row r="6299" spans="23:23" x14ac:dyDescent="0.2">
      <c r="W6299" s="39"/>
    </row>
    <row r="6300" spans="23:23" x14ac:dyDescent="0.2">
      <c r="W6300" s="39"/>
    </row>
    <row r="6301" spans="23:23" x14ac:dyDescent="0.2">
      <c r="W6301" s="39"/>
    </row>
    <row r="6302" spans="23:23" x14ac:dyDescent="0.2">
      <c r="W6302" s="39"/>
    </row>
    <row r="6303" spans="23:23" x14ac:dyDescent="0.2">
      <c r="W6303" s="39"/>
    </row>
    <row r="6304" spans="23:23" x14ac:dyDescent="0.2">
      <c r="W6304" s="39"/>
    </row>
    <row r="6305" spans="23:23" x14ac:dyDescent="0.2">
      <c r="W6305" s="39"/>
    </row>
    <row r="6306" spans="23:23" x14ac:dyDescent="0.2">
      <c r="W6306" s="39"/>
    </row>
    <row r="6307" spans="23:23" x14ac:dyDescent="0.2">
      <c r="W6307" s="39"/>
    </row>
    <row r="6308" spans="23:23" x14ac:dyDescent="0.2">
      <c r="W6308" s="39"/>
    </row>
    <row r="6309" spans="23:23" x14ac:dyDescent="0.2">
      <c r="W6309" s="39"/>
    </row>
    <row r="6310" spans="23:23" x14ac:dyDescent="0.2">
      <c r="W6310" s="39"/>
    </row>
    <row r="6311" spans="23:23" x14ac:dyDescent="0.2">
      <c r="W6311" s="39"/>
    </row>
    <row r="6312" spans="23:23" x14ac:dyDescent="0.2">
      <c r="W6312" s="39"/>
    </row>
    <row r="6313" spans="23:23" x14ac:dyDescent="0.2">
      <c r="W6313" s="39"/>
    </row>
    <row r="6314" spans="23:23" x14ac:dyDescent="0.2">
      <c r="W6314" s="39"/>
    </row>
    <row r="6315" spans="23:23" x14ac:dyDescent="0.2">
      <c r="W6315" s="39"/>
    </row>
    <row r="6316" spans="23:23" x14ac:dyDescent="0.2">
      <c r="W6316" s="39"/>
    </row>
    <row r="6317" spans="23:23" x14ac:dyDescent="0.2">
      <c r="W6317" s="39"/>
    </row>
    <row r="6318" spans="23:23" x14ac:dyDescent="0.2">
      <c r="W6318" s="39"/>
    </row>
    <row r="6319" spans="23:23" x14ac:dyDescent="0.2">
      <c r="W6319" s="39"/>
    </row>
    <row r="6320" spans="23:23" x14ac:dyDescent="0.2">
      <c r="W6320" s="39"/>
    </row>
    <row r="6321" spans="23:23" x14ac:dyDescent="0.2">
      <c r="W6321" s="39"/>
    </row>
    <row r="6322" spans="23:23" x14ac:dyDescent="0.2">
      <c r="W6322" s="39"/>
    </row>
    <row r="6323" spans="23:23" x14ac:dyDescent="0.2">
      <c r="W6323" s="39"/>
    </row>
    <row r="6324" spans="23:23" x14ac:dyDescent="0.2">
      <c r="W6324" s="39"/>
    </row>
    <row r="6325" spans="23:23" x14ac:dyDescent="0.2">
      <c r="W6325" s="39"/>
    </row>
    <row r="6326" spans="23:23" x14ac:dyDescent="0.2">
      <c r="W6326" s="39"/>
    </row>
    <row r="6327" spans="23:23" x14ac:dyDescent="0.2">
      <c r="W6327" s="39"/>
    </row>
    <row r="6328" spans="23:23" x14ac:dyDescent="0.2">
      <c r="W6328" s="39"/>
    </row>
    <row r="6329" spans="23:23" x14ac:dyDescent="0.2">
      <c r="W6329" s="39"/>
    </row>
    <row r="6330" spans="23:23" x14ac:dyDescent="0.2">
      <c r="W6330" s="39"/>
    </row>
    <row r="6331" spans="23:23" x14ac:dyDescent="0.2">
      <c r="W6331" s="39"/>
    </row>
    <row r="6332" spans="23:23" x14ac:dyDescent="0.2">
      <c r="W6332" s="39"/>
    </row>
    <row r="6333" spans="23:23" x14ac:dyDescent="0.2">
      <c r="W6333" s="39"/>
    </row>
    <row r="6334" spans="23:23" x14ac:dyDescent="0.2">
      <c r="W6334" s="39"/>
    </row>
    <row r="6335" spans="23:23" x14ac:dyDescent="0.2">
      <c r="W6335" s="39"/>
    </row>
    <row r="6336" spans="23:23" x14ac:dyDescent="0.2">
      <c r="W6336" s="39"/>
    </row>
    <row r="6337" spans="23:23" x14ac:dyDescent="0.2">
      <c r="W6337" s="39"/>
    </row>
    <row r="6338" spans="23:23" x14ac:dyDescent="0.2">
      <c r="W6338" s="39"/>
    </row>
    <row r="6339" spans="23:23" x14ac:dyDescent="0.2">
      <c r="W6339" s="39"/>
    </row>
    <row r="6340" spans="23:23" x14ac:dyDescent="0.2">
      <c r="W6340" s="39"/>
    </row>
    <row r="6341" spans="23:23" x14ac:dyDescent="0.2">
      <c r="W6341" s="39"/>
    </row>
    <row r="6342" spans="23:23" x14ac:dyDescent="0.2">
      <c r="W6342" s="39"/>
    </row>
    <row r="6343" spans="23:23" x14ac:dyDescent="0.2">
      <c r="W6343" s="39"/>
    </row>
    <row r="6344" spans="23:23" x14ac:dyDescent="0.2">
      <c r="W6344" s="39"/>
    </row>
    <row r="6345" spans="23:23" x14ac:dyDescent="0.2">
      <c r="W6345" s="39"/>
    </row>
    <row r="6346" spans="23:23" x14ac:dyDescent="0.2">
      <c r="W6346" s="39"/>
    </row>
    <row r="6347" spans="23:23" x14ac:dyDescent="0.2">
      <c r="W6347" s="39"/>
    </row>
    <row r="6348" spans="23:23" x14ac:dyDescent="0.2">
      <c r="W6348" s="39"/>
    </row>
    <row r="6349" spans="23:23" x14ac:dyDescent="0.2">
      <c r="W6349" s="39"/>
    </row>
    <row r="6350" spans="23:23" x14ac:dyDescent="0.2">
      <c r="W6350" s="39"/>
    </row>
    <row r="6351" spans="23:23" x14ac:dyDescent="0.2">
      <c r="W6351" s="39"/>
    </row>
    <row r="6352" spans="23:23" x14ac:dyDescent="0.2">
      <c r="W6352" s="39"/>
    </row>
    <row r="6353" spans="23:23" x14ac:dyDescent="0.2">
      <c r="W6353" s="39"/>
    </row>
    <row r="6354" spans="23:23" x14ac:dyDescent="0.2">
      <c r="W6354" s="39"/>
    </row>
    <row r="6355" spans="23:23" x14ac:dyDescent="0.2">
      <c r="W6355" s="39"/>
    </row>
    <row r="6356" spans="23:23" x14ac:dyDescent="0.2">
      <c r="W6356" s="39"/>
    </row>
    <row r="6357" spans="23:23" x14ac:dyDescent="0.2">
      <c r="W6357" s="39"/>
    </row>
    <row r="6358" spans="23:23" x14ac:dyDescent="0.2">
      <c r="W6358" s="39"/>
    </row>
    <row r="6359" spans="23:23" x14ac:dyDescent="0.2">
      <c r="W6359" s="39"/>
    </row>
    <row r="6360" spans="23:23" x14ac:dyDescent="0.2">
      <c r="W6360" s="39"/>
    </row>
    <row r="6361" spans="23:23" x14ac:dyDescent="0.2">
      <c r="W6361" s="39"/>
    </row>
    <row r="6362" spans="23:23" x14ac:dyDescent="0.2">
      <c r="W6362" s="39"/>
    </row>
    <row r="6363" spans="23:23" x14ac:dyDescent="0.2">
      <c r="W6363" s="39"/>
    </row>
    <row r="6364" spans="23:23" x14ac:dyDescent="0.2">
      <c r="W6364" s="39"/>
    </row>
    <row r="6365" spans="23:23" x14ac:dyDescent="0.2">
      <c r="W6365" s="39"/>
    </row>
    <row r="6366" spans="23:23" x14ac:dyDescent="0.2">
      <c r="W6366" s="39"/>
    </row>
    <row r="6367" spans="23:23" x14ac:dyDescent="0.2">
      <c r="W6367" s="39"/>
    </row>
    <row r="6368" spans="23:23" x14ac:dyDescent="0.2">
      <c r="W6368" s="39"/>
    </row>
    <row r="6369" spans="23:23" x14ac:dyDescent="0.2">
      <c r="W6369" s="39"/>
    </row>
    <row r="6370" spans="23:23" x14ac:dyDescent="0.2">
      <c r="W6370" s="39"/>
    </row>
    <row r="6371" spans="23:23" x14ac:dyDescent="0.2">
      <c r="W6371" s="39"/>
    </row>
    <row r="6372" spans="23:23" x14ac:dyDescent="0.2">
      <c r="W6372" s="39"/>
    </row>
    <row r="6373" spans="23:23" x14ac:dyDescent="0.2">
      <c r="W6373" s="39"/>
    </row>
    <row r="6374" spans="23:23" x14ac:dyDescent="0.2">
      <c r="W6374" s="39"/>
    </row>
    <row r="6375" spans="23:23" x14ac:dyDescent="0.2">
      <c r="W6375" s="39"/>
    </row>
    <row r="6376" spans="23:23" x14ac:dyDescent="0.2">
      <c r="W6376" s="39"/>
    </row>
    <row r="6377" spans="23:23" x14ac:dyDescent="0.2">
      <c r="W6377" s="39"/>
    </row>
    <row r="6378" spans="23:23" x14ac:dyDescent="0.2">
      <c r="W6378" s="39"/>
    </row>
    <row r="6379" spans="23:23" x14ac:dyDescent="0.2">
      <c r="W6379" s="39"/>
    </row>
    <row r="6380" spans="23:23" x14ac:dyDescent="0.2">
      <c r="W6380" s="39"/>
    </row>
    <row r="6381" spans="23:23" x14ac:dyDescent="0.2">
      <c r="W6381" s="39"/>
    </row>
    <row r="6382" spans="23:23" x14ac:dyDescent="0.2">
      <c r="W6382" s="39"/>
    </row>
    <row r="6383" spans="23:23" x14ac:dyDescent="0.2">
      <c r="W6383" s="39"/>
    </row>
    <row r="6384" spans="23:23" x14ac:dyDescent="0.2">
      <c r="W6384" s="39"/>
    </row>
    <row r="6385" spans="23:23" x14ac:dyDescent="0.2">
      <c r="W6385" s="39"/>
    </row>
    <row r="6386" spans="23:23" x14ac:dyDescent="0.2">
      <c r="W6386" s="39"/>
    </row>
    <row r="6387" spans="23:23" x14ac:dyDescent="0.2">
      <c r="W6387" s="39"/>
    </row>
    <row r="6388" spans="23:23" x14ac:dyDescent="0.2">
      <c r="W6388" s="39"/>
    </row>
    <row r="6389" spans="23:23" x14ac:dyDescent="0.2">
      <c r="W6389" s="39"/>
    </row>
    <row r="6390" spans="23:23" x14ac:dyDescent="0.2">
      <c r="W6390" s="39"/>
    </row>
    <row r="6391" spans="23:23" x14ac:dyDescent="0.2">
      <c r="W6391" s="39"/>
    </row>
    <row r="6392" spans="23:23" x14ac:dyDescent="0.2">
      <c r="W6392" s="39"/>
    </row>
    <row r="6393" spans="23:23" x14ac:dyDescent="0.2">
      <c r="W6393" s="39"/>
    </row>
    <row r="6394" spans="23:23" x14ac:dyDescent="0.2">
      <c r="W6394" s="39"/>
    </row>
    <row r="6395" spans="23:23" x14ac:dyDescent="0.2">
      <c r="W6395" s="39"/>
    </row>
    <row r="6396" spans="23:23" x14ac:dyDescent="0.2">
      <c r="W6396" s="39"/>
    </row>
    <row r="6397" spans="23:23" x14ac:dyDescent="0.2">
      <c r="W6397" s="39"/>
    </row>
    <row r="6398" spans="23:23" x14ac:dyDescent="0.2">
      <c r="W6398" s="39"/>
    </row>
    <row r="6399" spans="23:23" x14ac:dyDescent="0.2">
      <c r="W6399" s="39"/>
    </row>
    <row r="6400" spans="23:23" x14ac:dyDescent="0.2">
      <c r="W6400" s="39"/>
    </row>
    <row r="6401" spans="23:23" x14ac:dyDescent="0.2">
      <c r="W6401" s="39"/>
    </row>
    <row r="6402" spans="23:23" x14ac:dyDescent="0.2">
      <c r="W6402" s="39"/>
    </row>
    <row r="6403" spans="23:23" x14ac:dyDescent="0.2">
      <c r="W6403" s="39"/>
    </row>
    <row r="6404" spans="23:23" x14ac:dyDescent="0.2">
      <c r="W6404" s="39"/>
    </row>
    <row r="6405" spans="23:23" x14ac:dyDescent="0.2">
      <c r="W6405" s="39"/>
    </row>
    <row r="6406" spans="23:23" x14ac:dyDescent="0.2">
      <c r="W6406" s="39"/>
    </row>
    <row r="6407" spans="23:23" x14ac:dyDescent="0.2">
      <c r="W6407" s="39"/>
    </row>
    <row r="6408" spans="23:23" x14ac:dyDescent="0.2">
      <c r="W6408" s="39"/>
    </row>
    <row r="6409" spans="23:23" x14ac:dyDescent="0.2">
      <c r="W6409" s="39"/>
    </row>
    <row r="6410" spans="23:23" x14ac:dyDescent="0.2">
      <c r="W6410" s="39"/>
    </row>
    <row r="6411" spans="23:23" x14ac:dyDescent="0.2">
      <c r="W6411" s="39"/>
    </row>
    <row r="6412" spans="23:23" x14ac:dyDescent="0.2">
      <c r="W6412" s="39"/>
    </row>
    <row r="6413" spans="23:23" x14ac:dyDescent="0.2">
      <c r="W6413" s="39"/>
    </row>
    <row r="6414" spans="23:23" x14ac:dyDescent="0.2">
      <c r="W6414" s="39"/>
    </row>
    <row r="6415" spans="23:23" x14ac:dyDescent="0.2">
      <c r="W6415" s="39"/>
    </row>
    <row r="6416" spans="23:23" x14ac:dyDescent="0.2">
      <c r="W6416" s="39"/>
    </row>
    <row r="6417" spans="23:23" x14ac:dyDescent="0.2">
      <c r="W6417" s="39"/>
    </row>
    <row r="6418" spans="23:23" x14ac:dyDescent="0.2">
      <c r="W6418" s="39"/>
    </row>
    <row r="6419" spans="23:23" x14ac:dyDescent="0.2">
      <c r="W6419" s="39"/>
    </row>
    <row r="6420" spans="23:23" x14ac:dyDescent="0.2">
      <c r="W6420" s="39"/>
    </row>
    <row r="6421" spans="23:23" x14ac:dyDescent="0.2">
      <c r="W6421" s="39"/>
    </row>
    <row r="6422" spans="23:23" x14ac:dyDescent="0.2">
      <c r="W6422" s="39"/>
    </row>
    <row r="6423" spans="23:23" x14ac:dyDescent="0.2">
      <c r="W6423" s="39"/>
    </row>
    <row r="6424" spans="23:23" x14ac:dyDescent="0.2">
      <c r="W6424" s="39"/>
    </row>
    <row r="6425" spans="23:23" x14ac:dyDescent="0.2">
      <c r="W6425" s="39"/>
    </row>
    <row r="6426" spans="23:23" x14ac:dyDescent="0.2">
      <c r="W6426" s="39"/>
    </row>
    <row r="6427" spans="23:23" x14ac:dyDescent="0.2">
      <c r="W6427" s="39"/>
    </row>
    <row r="6428" spans="23:23" x14ac:dyDescent="0.2">
      <c r="W6428" s="39"/>
    </row>
    <row r="6429" spans="23:23" x14ac:dyDescent="0.2">
      <c r="W6429" s="39"/>
    </row>
    <row r="6430" spans="23:23" x14ac:dyDescent="0.2">
      <c r="W6430" s="39"/>
    </row>
    <row r="6431" spans="23:23" x14ac:dyDescent="0.2">
      <c r="W6431" s="39"/>
    </row>
    <row r="6432" spans="23:23" x14ac:dyDescent="0.2">
      <c r="W6432" s="39"/>
    </row>
    <row r="6433" spans="23:23" x14ac:dyDescent="0.2">
      <c r="W6433" s="39"/>
    </row>
    <row r="6434" spans="23:23" x14ac:dyDescent="0.2">
      <c r="W6434" s="39"/>
    </row>
    <row r="6435" spans="23:23" x14ac:dyDescent="0.2">
      <c r="W6435" s="39"/>
    </row>
    <row r="6436" spans="23:23" x14ac:dyDescent="0.2">
      <c r="W6436" s="39"/>
    </row>
    <row r="6437" spans="23:23" x14ac:dyDescent="0.2">
      <c r="W6437" s="39"/>
    </row>
    <row r="6438" spans="23:23" x14ac:dyDescent="0.2">
      <c r="W6438" s="39"/>
    </row>
    <row r="6439" spans="23:23" x14ac:dyDescent="0.2">
      <c r="W6439" s="39"/>
    </row>
    <row r="6440" spans="23:23" x14ac:dyDescent="0.2">
      <c r="W6440" s="39"/>
    </row>
    <row r="6441" spans="23:23" x14ac:dyDescent="0.2">
      <c r="W6441" s="39"/>
    </row>
    <row r="6442" spans="23:23" x14ac:dyDescent="0.2">
      <c r="W6442" s="39"/>
    </row>
    <row r="6443" spans="23:23" x14ac:dyDescent="0.2">
      <c r="W6443" s="39"/>
    </row>
    <row r="6444" spans="23:23" x14ac:dyDescent="0.2">
      <c r="W6444" s="39"/>
    </row>
    <row r="6445" spans="23:23" x14ac:dyDescent="0.2">
      <c r="W6445" s="39"/>
    </row>
    <row r="6446" spans="23:23" x14ac:dyDescent="0.2">
      <c r="W6446" s="39"/>
    </row>
    <row r="6447" spans="23:23" x14ac:dyDescent="0.2">
      <c r="W6447" s="39"/>
    </row>
    <row r="6448" spans="23:23" x14ac:dyDescent="0.2">
      <c r="W6448" s="39"/>
    </row>
    <row r="6449" spans="23:23" x14ac:dyDescent="0.2">
      <c r="W6449" s="39"/>
    </row>
    <row r="6450" spans="23:23" x14ac:dyDescent="0.2">
      <c r="W6450" s="39"/>
    </row>
    <row r="6451" spans="23:23" x14ac:dyDescent="0.2">
      <c r="W6451" s="39"/>
    </row>
    <row r="6452" spans="23:23" x14ac:dyDescent="0.2">
      <c r="W6452" s="39"/>
    </row>
    <row r="6453" spans="23:23" x14ac:dyDescent="0.2">
      <c r="W6453" s="39"/>
    </row>
    <row r="6454" spans="23:23" x14ac:dyDescent="0.2">
      <c r="W6454" s="39"/>
    </row>
    <row r="6455" spans="23:23" x14ac:dyDescent="0.2">
      <c r="W6455" s="39"/>
    </row>
    <row r="6456" spans="23:23" x14ac:dyDescent="0.2">
      <c r="W6456" s="39"/>
    </row>
    <row r="6457" spans="23:23" x14ac:dyDescent="0.2">
      <c r="W6457" s="39"/>
    </row>
    <row r="6458" spans="23:23" x14ac:dyDescent="0.2">
      <c r="W6458" s="39"/>
    </row>
    <row r="6459" spans="23:23" x14ac:dyDescent="0.2">
      <c r="W6459" s="39"/>
    </row>
    <row r="6460" spans="23:23" x14ac:dyDescent="0.2">
      <c r="W6460" s="39"/>
    </row>
    <row r="6461" spans="23:23" x14ac:dyDescent="0.2">
      <c r="W6461" s="39"/>
    </row>
    <row r="6462" spans="23:23" x14ac:dyDescent="0.2">
      <c r="W6462" s="39"/>
    </row>
    <row r="6463" spans="23:23" x14ac:dyDescent="0.2">
      <c r="W6463" s="39"/>
    </row>
    <row r="6464" spans="23:23" x14ac:dyDescent="0.2">
      <c r="W6464" s="39"/>
    </row>
    <row r="6465" spans="23:23" x14ac:dyDescent="0.2">
      <c r="W6465" s="39"/>
    </row>
    <row r="6466" spans="23:23" x14ac:dyDescent="0.2">
      <c r="W6466" s="39"/>
    </row>
    <row r="6467" spans="23:23" x14ac:dyDescent="0.2">
      <c r="W6467" s="39"/>
    </row>
    <row r="6468" spans="23:23" x14ac:dyDescent="0.2">
      <c r="W6468" s="39"/>
    </row>
    <row r="6469" spans="23:23" x14ac:dyDescent="0.2">
      <c r="W6469" s="39"/>
    </row>
    <row r="6470" spans="23:23" x14ac:dyDescent="0.2">
      <c r="W6470" s="39"/>
    </row>
    <row r="6471" spans="23:23" x14ac:dyDescent="0.2">
      <c r="W6471" s="39"/>
    </row>
    <row r="6472" spans="23:23" x14ac:dyDescent="0.2">
      <c r="W6472" s="39"/>
    </row>
    <row r="6473" spans="23:23" x14ac:dyDescent="0.2">
      <c r="W6473" s="39"/>
    </row>
    <row r="6474" spans="23:23" x14ac:dyDescent="0.2">
      <c r="W6474" s="39"/>
    </row>
    <row r="6475" spans="23:23" x14ac:dyDescent="0.2">
      <c r="W6475" s="39"/>
    </row>
    <row r="6476" spans="23:23" x14ac:dyDescent="0.2">
      <c r="W6476" s="39"/>
    </row>
    <row r="6477" spans="23:23" x14ac:dyDescent="0.2">
      <c r="W6477" s="39"/>
    </row>
    <row r="6478" spans="23:23" x14ac:dyDescent="0.2">
      <c r="W6478" s="39"/>
    </row>
    <row r="6479" spans="23:23" x14ac:dyDescent="0.2">
      <c r="W6479" s="39"/>
    </row>
    <row r="6480" spans="23:23" x14ac:dyDescent="0.2">
      <c r="W6480" s="39"/>
    </row>
    <row r="6481" spans="23:23" x14ac:dyDescent="0.2">
      <c r="W6481" s="39"/>
    </row>
    <row r="6482" spans="23:23" x14ac:dyDescent="0.2">
      <c r="W6482" s="39"/>
    </row>
    <row r="6483" spans="23:23" x14ac:dyDescent="0.2">
      <c r="W6483" s="39"/>
    </row>
    <row r="6484" spans="23:23" x14ac:dyDescent="0.2">
      <c r="W6484" s="39"/>
    </row>
    <row r="6485" spans="23:23" x14ac:dyDescent="0.2">
      <c r="W6485" s="39"/>
    </row>
    <row r="6486" spans="23:23" x14ac:dyDescent="0.2">
      <c r="W6486" s="39"/>
    </row>
    <row r="6487" spans="23:23" x14ac:dyDescent="0.2">
      <c r="W6487" s="39"/>
    </row>
    <row r="6488" spans="23:23" x14ac:dyDescent="0.2">
      <c r="W6488" s="39"/>
    </row>
    <row r="6489" spans="23:23" x14ac:dyDescent="0.2">
      <c r="W6489" s="39"/>
    </row>
    <row r="6490" spans="23:23" x14ac:dyDescent="0.2">
      <c r="W6490" s="39"/>
    </row>
    <row r="6491" spans="23:23" x14ac:dyDescent="0.2">
      <c r="W6491" s="39"/>
    </row>
    <row r="6492" spans="23:23" x14ac:dyDescent="0.2">
      <c r="W6492" s="39"/>
    </row>
    <row r="6493" spans="23:23" x14ac:dyDescent="0.2">
      <c r="W6493" s="39"/>
    </row>
    <row r="6494" spans="23:23" x14ac:dyDescent="0.2">
      <c r="W6494" s="39"/>
    </row>
    <row r="6495" spans="23:23" x14ac:dyDescent="0.2">
      <c r="W6495" s="39"/>
    </row>
    <row r="6496" spans="23:23" x14ac:dyDescent="0.2">
      <c r="W6496" s="39"/>
    </row>
    <row r="6497" spans="23:23" x14ac:dyDescent="0.2">
      <c r="W6497" s="39"/>
    </row>
    <row r="6498" spans="23:23" x14ac:dyDescent="0.2">
      <c r="W6498" s="39"/>
    </row>
    <row r="6499" spans="23:23" x14ac:dyDescent="0.2">
      <c r="W6499" s="39"/>
    </row>
    <row r="6500" spans="23:23" x14ac:dyDescent="0.2">
      <c r="W6500" s="39"/>
    </row>
    <row r="6501" spans="23:23" x14ac:dyDescent="0.2">
      <c r="W6501" s="39"/>
    </row>
    <row r="6502" spans="23:23" x14ac:dyDescent="0.2">
      <c r="W6502" s="39"/>
    </row>
    <row r="6503" spans="23:23" x14ac:dyDescent="0.2">
      <c r="W6503" s="39"/>
    </row>
    <row r="6504" spans="23:23" x14ac:dyDescent="0.2">
      <c r="W6504" s="39"/>
    </row>
    <row r="6505" spans="23:23" x14ac:dyDescent="0.2">
      <c r="W6505" s="39"/>
    </row>
    <row r="6506" spans="23:23" x14ac:dyDescent="0.2">
      <c r="W6506" s="39"/>
    </row>
    <row r="6507" spans="23:23" x14ac:dyDescent="0.2">
      <c r="W6507" s="39"/>
    </row>
    <row r="6508" spans="23:23" x14ac:dyDescent="0.2">
      <c r="W6508" s="39"/>
    </row>
    <row r="6509" spans="23:23" x14ac:dyDescent="0.2">
      <c r="W6509" s="39"/>
    </row>
    <row r="6510" spans="23:23" x14ac:dyDescent="0.2">
      <c r="W6510" s="39"/>
    </row>
    <row r="6511" spans="23:23" x14ac:dyDescent="0.2">
      <c r="W6511" s="39"/>
    </row>
    <row r="6512" spans="23:23" x14ac:dyDescent="0.2">
      <c r="W6512" s="39"/>
    </row>
    <row r="6513" spans="23:23" x14ac:dyDescent="0.2">
      <c r="W6513" s="39"/>
    </row>
    <row r="6514" spans="23:23" x14ac:dyDescent="0.2">
      <c r="W6514" s="39"/>
    </row>
    <row r="6515" spans="23:23" x14ac:dyDescent="0.2">
      <c r="W6515" s="39"/>
    </row>
    <row r="6516" spans="23:23" x14ac:dyDescent="0.2">
      <c r="W6516" s="39"/>
    </row>
    <row r="6517" spans="23:23" x14ac:dyDescent="0.2">
      <c r="W6517" s="39"/>
    </row>
    <row r="6518" spans="23:23" x14ac:dyDescent="0.2">
      <c r="W6518" s="39"/>
    </row>
    <row r="6519" spans="23:23" x14ac:dyDescent="0.2">
      <c r="W6519" s="39"/>
    </row>
    <row r="6520" spans="23:23" x14ac:dyDescent="0.2">
      <c r="W6520" s="39"/>
    </row>
    <row r="6521" spans="23:23" x14ac:dyDescent="0.2">
      <c r="W6521" s="39"/>
    </row>
    <row r="6522" spans="23:23" x14ac:dyDescent="0.2">
      <c r="W6522" s="39"/>
    </row>
    <row r="6523" spans="23:23" x14ac:dyDescent="0.2">
      <c r="W6523" s="39"/>
    </row>
    <row r="6524" spans="23:23" x14ac:dyDescent="0.2">
      <c r="W6524" s="39"/>
    </row>
    <row r="6525" spans="23:23" x14ac:dyDescent="0.2">
      <c r="W6525" s="39"/>
    </row>
    <row r="6526" spans="23:23" x14ac:dyDescent="0.2">
      <c r="W6526" s="39"/>
    </row>
    <row r="6527" spans="23:23" x14ac:dyDescent="0.2">
      <c r="W6527" s="39"/>
    </row>
    <row r="6528" spans="23:23" x14ac:dyDescent="0.2">
      <c r="W6528" s="39"/>
    </row>
    <row r="6529" spans="23:23" x14ac:dyDescent="0.2">
      <c r="W6529" s="39"/>
    </row>
    <row r="6530" spans="23:23" x14ac:dyDescent="0.2">
      <c r="W6530" s="39"/>
    </row>
    <row r="6531" spans="23:23" x14ac:dyDescent="0.2">
      <c r="W6531" s="39"/>
    </row>
    <row r="6532" spans="23:23" x14ac:dyDescent="0.2">
      <c r="W6532" s="39"/>
    </row>
    <row r="6533" spans="23:23" x14ac:dyDescent="0.2">
      <c r="W6533" s="39"/>
    </row>
    <row r="6534" spans="23:23" x14ac:dyDescent="0.2">
      <c r="W6534" s="39"/>
    </row>
    <row r="6535" spans="23:23" x14ac:dyDescent="0.2">
      <c r="W6535" s="39"/>
    </row>
    <row r="6536" spans="23:23" x14ac:dyDescent="0.2">
      <c r="W6536" s="39"/>
    </row>
    <row r="6537" spans="23:23" x14ac:dyDescent="0.2">
      <c r="W6537" s="39"/>
    </row>
    <row r="6538" spans="23:23" x14ac:dyDescent="0.2">
      <c r="W6538" s="39"/>
    </row>
    <row r="6539" spans="23:23" x14ac:dyDescent="0.2">
      <c r="W6539" s="39"/>
    </row>
    <row r="6540" spans="23:23" x14ac:dyDescent="0.2">
      <c r="W6540" s="39"/>
    </row>
    <row r="6541" spans="23:23" x14ac:dyDescent="0.2">
      <c r="W6541" s="39"/>
    </row>
    <row r="6542" spans="23:23" x14ac:dyDescent="0.2">
      <c r="W6542" s="39"/>
    </row>
    <row r="6543" spans="23:23" x14ac:dyDescent="0.2">
      <c r="W6543" s="39"/>
    </row>
    <row r="6544" spans="23:23" x14ac:dyDescent="0.2">
      <c r="W6544" s="39"/>
    </row>
    <row r="6545" spans="23:23" x14ac:dyDescent="0.2">
      <c r="W6545" s="39"/>
    </row>
    <row r="6546" spans="23:23" x14ac:dyDescent="0.2">
      <c r="W6546" s="39"/>
    </row>
    <row r="6547" spans="23:23" x14ac:dyDescent="0.2">
      <c r="W6547" s="39"/>
    </row>
    <row r="6548" spans="23:23" x14ac:dyDescent="0.2">
      <c r="W6548" s="39"/>
    </row>
    <row r="6549" spans="23:23" x14ac:dyDescent="0.2">
      <c r="W6549" s="39"/>
    </row>
    <row r="6550" spans="23:23" x14ac:dyDescent="0.2">
      <c r="W6550" s="39"/>
    </row>
    <row r="6551" spans="23:23" x14ac:dyDescent="0.2">
      <c r="W6551" s="39"/>
    </row>
    <row r="6552" spans="23:23" x14ac:dyDescent="0.2">
      <c r="W6552" s="39"/>
    </row>
    <row r="6553" spans="23:23" x14ac:dyDescent="0.2">
      <c r="W6553" s="39"/>
    </row>
    <row r="6554" spans="23:23" x14ac:dyDescent="0.2">
      <c r="W6554" s="39"/>
    </row>
    <row r="6555" spans="23:23" x14ac:dyDescent="0.2">
      <c r="W6555" s="39"/>
    </row>
    <row r="6556" spans="23:23" x14ac:dyDescent="0.2">
      <c r="W6556" s="39"/>
    </row>
    <row r="6557" spans="23:23" x14ac:dyDescent="0.2">
      <c r="W6557" s="39"/>
    </row>
    <row r="6558" spans="23:23" x14ac:dyDescent="0.2">
      <c r="W6558" s="39"/>
    </row>
    <row r="6559" spans="23:23" x14ac:dyDescent="0.2">
      <c r="W6559" s="39"/>
    </row>
    <row r="6560" spans="23:23" x14ac:dyDescent="0.2">
      <c r="W6560" s="39"/>
    </row>
    <row r="6561" spans="23:23" x14ac:dyDescent="0.2">
      <c r="W6561" s="39"/>
    </row>
    <row r="6562" spans="23:23" x14ac:dyDescent="0.2">
      <c r="W6562" s="39"/>
    </row>
    <row r="6563" spans="23:23" x14ac:dyDescent="0.2">
      <c r="W6563" s="39"/>
    </row>
    <row r="6564" spans="23:23" x14ac:dyDescent="0.2">
      <c r="W6564" s="39"/>
    </row>
    <row r="6565" spans="23:23" x14ac:dyDescent="0.2">
      <c r="W6565" s="39"/>
    </row>
    <row r="6566" spans="23:23" x14ac:dyDescent="0.2">
      <c r="W6566" s="39"/>
    </row>
    <row r="6567" spans="23:23" x14ac:dyDescent="0.2">
      <c r="W6567" s="39"/>
    </row>
    <row r="6568" spans="23:23" x14ac:dyDescent="0.2">
      <c r="W6568" s="39"/>
    </row>
    <row r="6569" spans="23:23" x14ac:dyDescent="0.2">
      <c r="W6569" s="39"/>
    </row>
    <row r="6570" spans="23:23" x14ac:dyDescent="0.2">
      <c r="W6570" s="39"/>
    </row>
    <row r="6571" spans="23:23" x14ac:dyDescent="0.2">
      <c r="W6571" s="39"/>
    </row>
    <row r="6572" spans="23:23" x14ac:dyDescent="0.2">
      <c r="W6572" s="39"/>
    </row>
    <row r="6573" spans="23:23" x14ac:dyDescent="0.2">
      <c r="W6573" s="39"/>
    </row>
    <row r="6574" spans="23:23" x14ac:dyDescent="0.2">
      <c r="W6574" s="39"/>
    </row>
    <row r="6575" spans="23:23" x14ac:dyDescent="0.2">
      <c r="W6575" s="39"/>
    </row>
    <row r="6576" spans="23:23" x14ac:dyDescent="0.2">
      <c r="W6576" s="39"/>
    </row>
    <row r="6577" spans="23:23" x14ac:dyDescent="0.2">
      <c r="W6577" s="39"/>
    </row>
    <row r="6578" spans="23:23" x14ac:dyDescent="0.2">
      <c r="W6578" s="39"/>
    </row>
    <row r="6579" spans="23:23" x14ac:dyDescent="0.2">
      <c r="W6579" s="39"/>
    </row>
    <row r="6580" spans="23:23" x14ac:dyDescent="0.2">
      <c r="W6580" s="39"/>
    </row>
    <row r="6581" spans="23:23" x14ac:dyDescent="0.2">
      <c r="W6581" s="39"/>
    </row>
    <row r="6582" spans="23:23" x14ac:dyDescent="0.2">
      <c r="W6582" s="39"/>
    </row>
    <row r="6583" spans="23:23" x14ac:dyDescent="0.2">
      <c r="W6583" s="39"/>
    </row>
    <row r="6584" spans="23:23" x14ac:dyDescent="0.2">
      <c r="W6584" s="39"/>
    </row>
    <row r="6585" spans="23:23" x14ac:dyDescent="0.2">
      <c r="W6585" s="39"/>
    </row>
    <row r="6586" spans="23:23" x14ac:dyDescent="0.2">
      <c r="W6586" s="39"/>
    </row>
    <row r="6587" spans="23:23" x14ac:dyDescent="0.2">
      <c r="W6587" s="39"/>
    </row>
    <row r="6588" spans="23:23" x14ac:dyDescent="0.2">
      <c r="W6588" s="39"/>
    </row>
    <row r="6589" spans="23:23" x14ac:dyDescent="0.2">
      <c r="W6589" s="39"/>
    </row>
    <row r="6590" spans="23:23" x14ac:dyDescent="0.2">
      <c r="W6590" s="39"/>
    </row>
    <row r="6591" spans="23:23" x14ac:dyDescent="0.2">
      <c r="W6591" s="39"/>
    </row>
    <row r="6592" spans="23:23" x14ac:dyDescent="0.2">
      <c r="W6592" s="39"/>
    </row>
    <row r="6593" spans="23:23" x14ac:dyDescent="0.2">
      <c r="W6593" s="39"/>
    </row>
    <row r="6594" spans="23:23" x14ac:dyDescent="0.2">
      <c r="W6594" s="39"/>
    </row>
    <row r="6595" spans="23:23" x14ac:dyDescent="0.2">
      <c r="W6595" s="39"/>
    </row>
    <row r="6596" spans="23:23" x14ac:dyDescent="0.2">
      <c r="W6596" s="39"/>
    </row>
    <row r="6597" spans="23:23" x14ac:dyDescent="0.2">
      <c r="W6597" s="39"/>
    </row>
    <row r="6598" spans="23:23" x14ac:dyDescent="0.2">
      <c r="W6598" s="39"/>
    </row>
    <row r="6599" spans="23:23" x14ac:dyDescent="0.2">
      <c r="W6599" s="39"/>
    </row>
    <row r="6600" spans="23:23" x14ac:dyDescent="0.2">
      <c r="W6600" s="39"/>
    </row>
    <row r="6601" spans="23:23" x14ac:dyDescent="0.2">
      <c r="W6601" s="39"/>
    </row>
    <row r="6602" spans="23:23" x14ac:dyDescent="0.2">
      <c r="W6602" s="39"/>
    </row>
    <row r="6603" spans="23:23" x14ac:dyDescent="0.2">
      <c r="W6603" s="39"/>
    </row>
    <row r="6604" spans="23:23" x14ac:dyDescent="0.2">
      <c r="W6604" s="39"/>
    </row>
    <row r="6605" spans="23:23" x14ac:dyDescent="0.2">
      <c r="W6605" s="39"/>
    </row>
    <row r="6606" spans="23:23" x14ac:dyDescent="0.2">
      <c r="W6606" s="39"/>
    </row>
    <row r="6607" spans="23:23" x14ac:dyDescent="0.2">
      <c r="W6607" s="39"/>
    </row>
    <row r="6608" spans="23:23" x14ac:dyDescent="0.2">
      <c r="W6608" s="39"/>
    </row>
    <row r="6609" spans="23:23" x14ac:dyDescent="0.2">
      <c r="W6609" s="39"/>
    </row>
    <row r="6610" spans="23:23" x14ac:dyDescent="0.2">
      <c r="W6610" s="39"/>
    </row>
    <row r="6611" spans="23:23" x14ac:dyDescent="0.2">
      <c r="W6611" s="39"/>
    </row>
    <row r="6612" spans="23:23" x14ac:dyDescent="0.2">
      <c r="W6612" s="39"/>
    </row>
    <row r="6613" spans="23:23" x14ac:dyDescent="0.2">
      <c r="W6613" s="39"/>
    </row>
    <row r="6614" spans="23:23" x14ac:dyDescent="0.2">
      <c r="W6614" s="39"/>
    </row>
    <row r="6615" spans="23:23" x14ac:dyDescent="0.2">
      <c r="W6615" s="39"/>
    </row>
    <row r="6616" spans="23:23" x14ac:dyDescent="0.2">
      <c r="W6616" s="39"/>
    </row>
    <row r="6617" spans="23:23" x14ac:dyDescent="0.2">
      <c r="W6617" s="39"/>
    </row>
    <row r="6618" spans="23:23" x14ac:dyDescent="0.2">
      <c r="W6618" s="39"/>
    </row>
    <row r="6619" spans="23:23" x14ac:dyDescent="0.2">
      <c r="W6619" s="39"/>
    </row>
    <row r="6620" spans="23:23" x14ac:dyDescent="0.2">
      <c r="W6620" s="39"/>
    </row>
    <row r="6621" spans="23:23" x14ac:dyDescent="0.2">
      <c r="W6621" s="39"/>
    </row>
    <row r="6622" spans="23:23" x14ac:dyDescent="0.2">
      <c r="W6622" s="39"/>
    </row>
    <row r="6623" spans="23:23" x14ac:dyDescent="0.2">
      <c r="W6623" s="39"/>
    </row>
    <row r="6624" spans="23:23" x14ac:dyDescent="0.2">
      <c r="W6624" s="39"/>
    </row>
    <row r="6625" spans="23:23" x14ac:dyDescent="0.2">
      <c r="W6625" s="39"/>
    </row>
    <row r="6626" spans="23:23" x14ac:dyDescent="0.2">
      <c r="W6626" s="39"/>
    </row>
    <row r="6627" spans="23:23" x14ac:dyDescent="0.2">
      <c r="W6627" s="39"/>
    </row>
    <row r="6628" spans="23:23" x14ac:dyDescent="0.2">
      <c r="W6628" s="39"/>
    </row>
    <row r="6629" spans="23:23" x14ac:dyDescent="0.2">
      <c r="W6629" s="39"/>
    </row>
    <row r="6630" spans="23:23" x14ac:dyDescent="0.2">
      <c r="W6630" s="39"/>
    </row>
    <row r="6631" spans="23:23" x14ac:dyDescent="0.2">
      <c r="W6631" s="39"/>
    </row>
    <row r="6632" spans="23:23" x14ac:dyDescent="0.2">
      <c r="W6632" s="39"/>
    </row>
    <row r="6633" spans="23:23" x14ac:dyDescent="0.2">
      <c r="W6633" s="39"/>
    </row>
    <row r="6634" spans="23:23" x14ac:dyDescent="0.2">
      <c r="W6634" s="39"/>
    </row>
    <row r="6635" spans="23:23" x14ac:dyDescent="0.2">
      <c r="W6635" s="39"/>
    </row>
    <row r="6636" spans="23:23" x14ac:dyDescent="0.2">
      <c r="W6636" s="39"/>
    </row>
    <row r="6637" spans="23:23" x14ac:dyDescent="0.2">
      <c r="W6637" s="39"/>
    </row>
    <row r="6638" spans="23:23" x14ac:dyDescent="0.2">
      <c r="W6638" s="39"/>
    </row>
    <row r="6639" spans="23:23" x14ac:dyDescent="0.2">
      <c r="W6639" s="39"/>
    </row>
    <row r="6640" spans="23:23" x14ac:dyDescent="0.2">
      <c r="W6640" s="39"/>
    </row>
    <row r="6641" spans="23:23" x14ac:dyDescent="0.2">
      <c r="W6641" s="39"/>
    </row>
    <row r="6642" spans="23:23" x14ac:dyDescent="0.2">
      <c r="W6642" s="39"/>
    </row>
    <row r="6643" spans="23:23" x14ac:dyDescent="0.2">
      <c r="W6643" s="39"/>
    </row>
    <row r="6644" spans="23:23" x14ac:dyDescent="0.2">
      <c r="W6644" s="39"/>
    </row>
    <row r="6645" spans="23:23" x14ac:dyDescent="0.2">
      <c r="W6645" s="39"/>
    </row>
    <row r="6646" spans="23:23" x14ac:dyDescent="0.2">
      <c r="W6646" s="39"/>
    </row>
    <row r="6647" spans="23:23" x14ac:dyDescent="0.2">
      <c r="W6647" s="39"/>
    </row>
    <row r="6648" spans="23:23" x14ac:dyDescent="0.2">
      <c r="W6648" s="39"/>
    </row>
    <row r="6649" spans="23:23" x14ac:dyDescent="0.2">
      <c r="W6649" s="39"/>
    </row>
    <row r="6650" spans="23:23" x14ac:dyDescent="0.2">
      <c r="W6650" s="39"/>
    </row>
    <row r="6651" spans="23:23" x14ac:dyDescent="0.2">
      <c r="W6651" s="39"/>
    </row>
    <row r="6652" spans="23:23" x14ac:dyDescent="0.2">
      <c r="W6652" s="39"/>
    </row>
    <row r="6653" spans="23:23" x14ac:dyDescent="0.2">
      <c r="W6653" s="39"/>
    </row>
    <row r="6654" spans="23:23" x14ac:dyDescent="0.2">
      <c r="W6654" s="39"/>
    </row>
    <row r="6655" spans="23:23" x14ac:dyDescent="0.2">
      <c r="W6655" s="39"/>
    </row>
    <row r="6656" spans="23:23" x14ac:dyDescent="0.2">
      <c r="W6656" s="39"/>
    </row>
    <row r="6657" spans="23:23" x14ac:dyDescent="0.2">
      <c r="W6657" s="39"/>
    </row>
    <row r="6658" spans="23:23" x14ac:dyDescent="0.2">
      <c r="W6658" s="39"/>
    </row>
    <row r="6659" spans="23:23" x14ac:dyDescent="0.2">
      <c r="W6659" s="39"/>
    </row>
    <row r="6660" spans="23:23" x14ac:dyDescent="0.2">
      <c r="W6660" s="39"/>
    </row>
    <row r="6661" spans="23:23" x14ac:dyDescent="0.2">
      <c r="W6661" s="39"/>
    </row>
    <row r="6662" spans="23:23" x14ac:dyDescent="0.2">
      <c r="W6662" s="39"/>
    </row>
    <row r="6663" spans="23:23" x14ac:dyDescent="0.2">
      <c r="W6663" s="39"/>
    </row>
    <row r="6664" spans="23:23" x14ac:dyDescent="0.2">
      <c r="W6664" s="39"/>
    </row>
    <row r="6665" spans="23:23" x14ac:dyDescent="0.2">
      <c r="W6665" s="39"/>
    </row>
    <row r="6666" spans="23:23" x14ac:dyDescent="0.2">
      <c r="W6666" s="39"/>
    </row>
    <row r="6667" spans="23:23" x14ac:dyDescent="0.2">
      <c r="W6667" s="39"/>
    </row>
    <row r="6668" spans="23:23" x14ac:dyDescent="0.2">
      <c r="W6668" s="39"/>
    </row>
    <row r="6669" spans="23:23" x14ac:dyDescent="0.2">
      <c r="W6669" s="39"/>
    </row>
    <row r="6670" spans="23:23" x14ac:dyDescent="0.2">
      <c r="W6670" s="39"/>
    </row>
    <row r="6671" spans="23:23" x14ac:dyDescent="0.2">
      <c r="W6671" s="39"/>
    </row>
    <row r="6672" spans="23:23" x14ac:dyDescent="0.2">
      <c r="W6672" s="39"/>
    </row>
    <row r="6673" spans="23:23" x14ac:dyDescent="0.2">
      <c r="W6673" s="39"/>
    </row>
    <row r="6674" spans="23:23" x14ac:dyDescent="0.2">
      <c r="W6674" s="39"/>
    </row>
    <row r="6675" spans="23:23" x14ac:dyDescent="0.2">
      <c r="W6675" s="39"/>
    </row>
    <row r="6676" spans="23:23" x14ac:dyDescent="0.2">
      <c r="W6676" s="39"/>
    </row>
    <row r="6677" spans="23:23" x14ac:dyDescent="0.2">
      <c r="W6677" s="39"/>
    </row>
    <row r="6678" spans="23:23" x14ac:dyDescent="0.2">
      <c r="W6678" s="39"/>
    </row>
    <row r="6679" spans="23:23" x14ac:dyDescent="0.2">
      <c r="W6679" s="39"/>
    </row>
    <row r="6680" spans="23:23" x14ac:dyDescent="0.2">
      <c r="W6680" s="39"/>
    </row>
    <row r="6681" spans="23:23" x14ac:dyDescent="0.2">
      <c r="W6681" s="39"/>
    </row>
    <row r="6682" spans="23:23" x14ac:dyDescent="0.2">
      <c r="W6682" s="39"/>
    </row>
    <row r="6683" spans="23:23" x14ac:dyDescent="0.2">
      <c r="W6683" s="39"/>
    </row>
    <row r="6684" spans="23:23" x14ac:dyDescent="0.2">
      <c r="W6684" s="39"/>
    </row>
    <row r="6685" spans="23:23" x14ac:dyDescent="0.2">
      <c r="W6685" s="39"/>
    </row>
    <row r="6686" spans="23:23" x14ac:dyDescent="0.2">
      <c r="W6686" s="39"/>
    </row>
    <row r="6687" spans="23:23" x14ac:dyDescent="0.2">
      <c r="W6687" s="39"/>
    </row>
    <row r="6688" spans="23:23" x14ac:dyDescent="0.2">
      <c r="W6688" s="39"/>
    </row>
    <row r="6689" spans="23:23" x14ac:dyDescent="0.2">
      <c r="W6689" s="39"/>
    </row>
    <row r="6690" spans="23:23" x14ac:dyDescent="0.2">
      <c r="W6690" s="39"/>
    </row>
    <row r="6691" spans="23:23" x14ac:dyDescent="0.2">
      <c r="W6691" s="39"/>
    </row>
    <row r="6692" spans="23:23" x14ac:dyDescent="0.2">
      <c r="W6692" s="39"/>
    </row>
    <row r="6693" spans="23:23" x14ac:dyDescent="0.2">
      <c r="W6693" s="39"/>
    </row>
    <row r="6694" spans="23:23" x14ac:dyDescent="0.2">
      <c r="W6694" s="39"/>
    </row>
    <row r="6695" spans="23:23" x14ac:dyDescent="0.2">
      <c r="W6695" s="39"/>
    </row>
    <row r="6696" spans="23:23" x14ac:dyDescent="0.2">
      <c r="W6696" s="39"/>
    </row>
    <row r="6697" spans="23:23" x14ac:dyDescent="0.2">
      <c r="W6697" s="39"/>
    </row>
    <row r="6698" spans="23:23" x14ac:dyDescent="0.2">
      <c r="W6698" s="39"/>
    </row>
    <row r="6699" spans="23:23" x14ac:dyDescent="0.2">
      <c r="W6699" s="39"/>
    </row>
    <row r="6700" spans="23:23" x14ac:dyDescent="0.2">
      <c r="W6700" s="39"/>
    </row>
    <row r="6701" spans="23:23" x14ac:dyDescent="0.2">
      <c r="W6701" s="39"/>
    </row>
    <row r="6702" spans="23:23" x14ac:dyDescent="0.2">
      <c r="W6702" s="39"/>
    </row>
    <row r="6703" spans="23:23" x14ac:dyDescent="0.2">
      <c r="W6703" s="39"/>
    </row>
    <row r="6704" spans="23:23" x14ac:dyDescent="0.2">
      <c r="W6704" s="39"/>
    </row>
    <row r="6705" spans="23:23" x14ac:dyDescent="0.2">
      <c r="W6705" s="39"/>
    </row>
    <row r="6706" spans="23:23" x14ac:dyDescent="0.2">
      <c r="W6706" s="39"/>
    </row>
    <row r="6707" spans="23:23" x14ac:dyDescent="0.2">
      <c r="W6707" s="39"/>
    </row>
    <row r="6708" spans="23:23" x14ac:dyDescent="0.2">
      <c r="W6708" s="39"/>
    </row>
    <row r="6709" spans="23:23" x14ac:dyDescent="0.2">
      <c r="W6709" s="39"/>
    </row>
    <row r="6710" spans="23:23" x14ac:dyDescent="0.2">
      <c r="W6710" s="39"/>
    </row>
    <row r="6711" spans="23:23" x14ac:dyDescent="0.2">
      <c r="W6711" s="39"/>
    </row>
    <row r="6712" spans="23:23" x14ac:dyDescent="0.2">
      <c r="W6712" s="39"/>
    </row>
    <row r="6713" spans="23:23" x14ac:dyDescent="0.2">
      <c r="W6713" s="39"/>
    </row>
    <row r="6714" spans="23:23" x14ac:dyDescent="0.2">
      <c r="W6714" s="39"/>
    </row>
    <row r="6715" spans="23:23" x14ac:dyDescent="0.2">
      <c r="W6715" s="39"/>
    </row>
    <row r="6716" spans="23:23" x14ac:dyDescent="0.2">
      <c r="W6716" s="39"/>
    </row>
    <row r="6717" spans="23:23" x14ac:dyDescent="0.2">
      <c r="W6717" s="39"/>
    </row>
    <row r="6718" spans="23:23" x14ac:dyDescent="0.2">
      <c r="W6718" s="39"/>
    </row>
    <row r="6719" spans="23:23" x14ac:dyDescent="0.2">
      <c r="W6719" s="39"/>
    </row>
    <row r="6720" spans="23:23" x14ac:dyDescent="0.2">
      <c r="W6720" s="39"/>
    </row>
    <row r="6721" spans="23:23" x14ac:dyDescent="0.2">
      <c r="W6721" s="39"/>
    </row>
    <row r="6722" spans="23:23" x14ac:dyDescent="0.2">
      <c r="W6722" s="39"/>
    </row>
    <row r="6723" spans="23:23" x14ac:dyDescent="0.2">
      <c r="W6723" s="39"/>
    </row>
    <row r="6724" spans="23:23" x14ac:dyDescent="0.2">
      <c r="W6724" s="39"/>
    </row>
    <row r="6725" spans="23:23" x14ac:dyDescent="0.2">
      <c r="W6725" s="39"/>
    </row>
    <row r="6726" spans="23:23" x14ac:dyDescent="0.2">
      <c r="W6726" s="39"/>
    </row>
    <row r="6727" spans="23:23" x14ac:dyDescent="0.2">
      <c r="W6727" s="39"/>
    </row>
    <row r="6728" spans="23:23" x14ac:dyDescent="0.2">
      <c r="W6728" s="39"/>
    </row>
    <row r="6729" spans="23:23" x14ac:dyDescent="0.2">
      <c r="W6729" s="39"/>
    </row>
    <row r="6730" spans="23:23" x14ac:dyDescent="0.2">
      <c r="W6730" s="39"/>
    </row>
    <row r="6731" spans="23:23" x14ac:dyDescent="0.2">
      <c r="W6731" s="39"/>
    </row>
    <row r="6732" spans="23:23" x14ac:dyDescent="0.2">
      <c r="W6732" s="39"/>
    </row>
    <row r="6733" spans="23:23" x14ac:dyDescent="0.2">
      <c r="W6733" s="39"/>
    </row>
    <row r="6734" spans="23:23" x14ac:dyDescent="0.2">
      <c r="W6734" s="39"/>
    </row>
    <row r="6735" spans="23:23" x14ac:dyDescent="0.2">
      <c r="W6735" s="39"/>
    </row>
    <row r="6736" spans="23:23" x14ac:dyDescent="0.2">
      <c r="W6736" s="39"/>
    </row>
    <row r="6737" spans="23:23" x14ac:dyDescent="0.2">
      <c r="W6737" s="39"/>
    </row>
    <row r="6738" spans="23:23" x14ac:dyDescent="0.2">
      <c r="W6738" s="39"/>
    </row>
    <row r="6739" spans="23:23" x14ac:dyDescent="0.2">
      <c r="W6739" s="39"/>
    </row>
    <row r="6740" spans="23:23" x14ac:dyDescent="0.2">
      <c r="W6740" s="39"/>
    </row>
    <row r="6741" spans="23:23" x14ac:dyDescent="0.2">
      <c r="W6741" s="39"/>
    </row>
    <row r="6742" spans="23:23" x14ac:dyDescent="0.2">
      <c r="W6742" s="39"/>
    </row>
    <row r="6743" spans="23:23" x14ac:dyDescent="0.2">
      <c r="W6743" s="39"/>
    </row>
    <row r="6744" spans="23:23" x14ac:dyDescent="0.2">
      <c r="W6744" s="39"/>
    </row>
    <row r="6745" spans="23:23" x14ac:dyDescent="0.2">
      <c r="W6745" s="39"/>
    </row>
    <row r="6746" spans="23:23" x14ac:dyDescent="0.2">
      <c r="W6746" s="39"/>
    </row>
    <row r="6747" spans="23:23" x14ac:dyDescent="0.2">
      <c r="W6747" s="39"/>
    </row>
    <row r="6748" spans="23:23" x14ac:dyDescent="0.2">
      <c r="W6748" s="39"/>
    </row>
    <row r="6749" spans="23:23" x14ac:dyDescent="0.2">
      <c r="W6749" s="39"/>
    </row>
    <row r="6750" spans="23:23" x14ac:dyDescent="0.2">
      <c r="W6750" s="39"/>
    </row>
    <row r="6751" spans="23:23" x14ac:dyDescent="0.2">
      <c r="W6751" s="39"/>
    </row>
    <row r="6752" spans="23:23" x14ac:dyDescent="0.2">
      <c r="W6752" s="39"/>
    </row>
    <row r="6753" spans="23:23" x14ac:dyDescent="0.2">
      <c r="W6753" s="39"/>
    </row>
    <row r="6754" spans="23:23" x14ac:dyDescent="0.2">
      <c r="W6754" s="39"/>
    </row>
    <row r="6755" spans="23:23" x14ac:dyDescent="0.2">
      <c r="W6755" s="39"/>
    </row>
    <row r="6756" spans="23:23" x14ac:dyDescent="0.2">
      <c r="W6756" s="39"/>
    </row>
    <row r="6757" spans="23:23" x14ac:dyDescent="0.2">
      <c r="W6757" s="39"/>
    </row>
    <row r="6758" spans="23:23" x14ac:dyDescent="0.2">
      <c r="W6758" s="39"/>
    </row>
    <row r="6759" spans="23:23" x14ac:dyDescent="0.2">
      <c r="W6759" s="39"/>
    </row>
    <row r="6760" spans="23:23" x14ac:dyDescent="0.2">
      <c r="W6760" s="39"/>
    </row>
    <row r="6761" spans="23:23" x14ac:dyDescent="0.2">
      <c r="W6761" s="39"/>
    </row>
    <row r="6762" spans="23:23" x14ac:dyDescent="0.2">
      <c r="W6762" s="39"/>
    </row>
    <row r="6763" spans="23:23" x14ac:dyDescent="0.2">
      <c r="W6763" s="39"/>
    </row>
    <row r="6764" spans="23:23" x14ac:dyDescent="0.2">
      <c r="W6764" s="39"/>
    </row>
    <row r="6765" spans="23:23" x14ac:dyDescent="0.2">
      <c r="W6765" s="39"/>
    </row>
    <row r="6766" spans="23:23" x14ac:dyDescent="0.2">
      <c r="W6766" s="39"/>
    </row>
    <row r="6767" spans="23:23" x14ac:dyDescent="0.2">
      <c r="W6767" s="39"/>
    </row>
    <row r="6768" spans="23:23" x14ac:dyDescent="0.2">
      <c r="W6768" s="39"/>
    </row>
    <row r="6769" spans="23:23" x14ac:dyDescent="0.2">
      <c r="W6769" s="39"/>
    </row>
    <row r="6770" spans="23:23" x14ac:dyDescent="0.2">
      <c r="W6770" s="39"/>
    </row>
    <row r="6771" spans="23:23" x14ac:dyDescent="0.2">
      <c r="W6771" s="39"/>
    </row>
    <row r="6772" spans="23:23" x14ac:dyDescent="0.2">
      <c r="W6772" s="39"/>
    </row>
    <row r="6773" spans="23:23" x14ac:dyDescent="0.2">
      <c r="W6773" s="39"/>
    </row>
    <row r="6774" spans="23:23" x14ac:dyDescent="0.2">
      <c r="W6774" s="39"/>
    </row>
    <row r="6775" spans="23:23" x14ac:dyDescent="0.2">
      <c r="W6775" s="39"/>
    </row>
    <row r="6776" spans="23:23" x14ac:dyDescent="0.2">
      <c r="W6776" s="39"/>
    </row>
    <row r="6777" spans="23:23" x14ac:dyDescent="0.2">
      <c r="W6777" s="39"/>
    </row>
    <row r="6778" spans="23:23" x14ac:dyDescent="0.2">
      <c r="W6778" s="39"/>
    </row>
    <row r="6779" spans="23:23" x14ac:dyDescent="0.2">
      <c r="W6779" s="39"/>
    </row>
    <row r="6780" spans="23:23" x14ac:dyDescent="0.2">
      <c r="W6780" s="39"/>
    </row>
    <row r="6781" spans="23:23" x14ac:dyDescent="0.2">
      <c r="W6781" s="39"/>
    </row>
    <row r="6782" spans="23:23" x14ac:dyDescent="0.2">
      <c r="W6782" s="39"/>
    </row>
    <row r="6783" spans="23:23" x14ac:dyDescent="0.2">
      <c r="W6783" s="39"/>
    </row>
    <row r="6784" spans="23:23" x14ac:dyDescent="0.2">
      <c r="W6784" s="39"/>
    </row>
    <row r="6785" spans="23:23" x14ac:dyDescent="0.2">
      <c r="W6785" s="39"/>
    </row>
    <row r="6786" spans="23:23" x14ac:dyDescent="0.2">
      <c r="W6786" s="39"/>
    </row>
    <row r="6787" spans="23:23" x14ac:dyDescent="0.2">
      <c r="W6787" s="39"/>
    </row>
    <row r="6788" spans="23:23" x14ac:dyDescent="0.2">
      <c r="W6788" s="39"/>
    </row>
    <row r="6789" spans="23:23" x14ac:dyDescent="0.2">
      <c r="W6789" s="39"/>
    </row>
    <row r="6790" spans="23:23" x14ac:dyDescent="0.2">
      <c r="W6790" s="39"/>
    </row>
    <row r="6791" spans="23:23" x14ac:dyDescent="0.2">
      <c r="W6791" s="39"/>
    </row>
    <row r="6792" spans="23:23" x14ac:dyDescent="0.2">
      <c r="W6792" s="39"/>
    </row>
    <row r="6793" spans="23:23" x14ac:dyDescent="0.2">
      <c r="W6793" s="39"/>
    </row>
    <row r="6794" spans="23:23" x14ac:dyDescent="0.2">
      <c r="W6794" s="39"/>
    </row>
    <row r="6795" spans="23:23" x14ac:dyDescent="0.2">
      <c r="W6795" s="39"/>
    </row>
    <row r="6796" spans="23:23" x14ac:dyDescent="0.2">
      <c r="W6796" s="39"/>
    </row>
    <row r="6797" spans="23:23" x14ac:dyDescent="0.2">
      <c r="W6797" s="39"/>
    </row>
    <row r="6798" spans="23:23" x14ac:dyDescent="0.2">
      <c r="W6798" s="39"/>
    </row>
    <row r="6799" spans="23:23" x14ac:dyDescent="0.2">
      <c r="W6799" s="39"/>
    </row>
    <row r="6800" spans="23:23" x14ac:dyDescent="0.2">
      <c r="W6800" s="39"/>
    </row>
    <row r="6801" spans="23:23" x14ac:dyDescent="0.2">
      <c r="W6801" s="39"/>
    </row>
    <row r="6802" spans="23:23" x14ac:dyDescent="0.2">
      <c r="W6802" s="39"/>
    </row>
    <row r="6803" spans="23:23" x14ac:dyDescent="0.2">
      <c r="W6803" s="39"/>
    </row>
    <row r="6804" spans="23:23" x14ac:dyDescent="0.2">
      <c r="W6804" s="39"/>
    </row>
    <row r="6805" spans="23:23" x14ac:dyDescent="0.2">
      <c r="W6805" s="39"/>
    </row>
    <row r="6806" spans="23:23" x14ac:dyDescent="0.2">
      <c r="W6806" s="39"/>
    </row>
    <row r="6807" spans="23:23" x14ac:dyDescent="0.2">
      <c r="W6807" s="39"/>
    </row>
    <row r="6808" spans="23:23" x14ac:dyDescent="0.2">
      <c r="W6808" s="39"/>
    </row>
    <row r="6809" spans="23:23" x14ac:dyDescent="0.2">
      <c r="W6809" s="39"/>
    </row>
    <row r="6810" spans="23:23" x14ac:dyDescent="0.2">
      <c r="W6810" s="39"/>
    </row>
    <row r="6811" spans="23:23" x14ac:dyDescent="0.2">
      <c r="W6811" s="39"/>
    </row>
    <row r="6812" spans="23:23" x14ac:dyDescent="0.2">
      <c r="W6812" s="39"/>
    </row>
    <row r="6813" spans="23:23" x14ac:dyDescent="0.2">
      <c r="W6813" s="39"/>
    </row>
    <row r="6814" spans="23:23" x14ac:dyDescent="0.2">
      <c r="W6814" s="39"/>
    </row>
    <row r="6815" spans="23:23" x14ac:dyDescent="0.2">
      <c r="W6815" s="39"/>
    </row>
    <row r="6816" spans="23:23" x14ac:dyDescent="0.2">
      <c r="W6816" s="39"/>
    </row>
    <row r="6817" spans="23:23" x14ac:dyDescent="0.2">
      <c r="W6817" s="39"/>
    </row>
    <row r="6818" spans="23:23" x14ac:dyDescent="0.2">
      <c r="W6818" s="39"/>
    </row>
    <row r="6819" spans="23:23" x14ac:dyDescent="0.2">
      <c r="W6819" s="39"/>
    </row>
    <row r="6820" spans="23:23" x14ac:dyDescent="0.2">
      <c r="W6820" s="39"/>
    </row>
    <row r="6821" spans="23:23" x14ac:dyDescent="0.2">
      <c r="W6821" s="39"/>
    </row>
    <row r="6822" spans="23:23" x14ac:dyDescent="0.2">
      <c r="W6822" s="39"/>
    </row>
    <row r="6823" spans="23:23" x14ac:dyDescent="0.2">
      <c r="W6823" s="39"/>
    </row>
    <row r="6824" spans="23:23" x14ac:dyDescent="0.2">
      <c r="W6824" s="39"/>
    </row>
    <row r="6825" spans="23:23" x14ac:dyDescent="0.2">
      <c r="W6825" s="39"/>
    </row>
    <row r="6826" spans="23:23" x14ac:dyDescent="0.2">
      <c r="W6826" s="39"/>
    </row>
    <row r="6827" spans="23:23" x14ac:dyDescent="0.2">
      <c r="W6827" s="39"/>
    </row>
    <row r="6828" spans="23:23" x14ac:dyDescent="0.2">
      <c r="W6828" s="39"/>
    </row>
    <row r="6829" spans="23:23" x14ac:dyDescent="0.2">
      <c r="W6829" s="39"/>
    </row>
    <row r="6830" spans="23:23" x14ac:dyDescent="0.2">
      <c r="W6830" s="39"/>
    </row>
    <row r="6831" spans="23:23" x14ac:dyDescent="0.2">
      <c r="W6831" s="39"/>
    </row>
    <row r="6832" spans="23:23" x14ac:dyDescent="0.2">
      <c r="W6832" s="39"/>
    </row>
    <row r="6833" spans="23:23" x14ac:dyDescent="0.2">
      <c r="W6833" s="39"/>
    </row>
    <row r="6834" spans="23:23" x14ac:dyDescent="0.2">
      <c r="W6834" s="39"/>
    </row>
    <row r="6835" spans="23:23" x14ac:dyDescent="0.2">
      <c r="W6835" s="39"/>
    </row>
    <row r="6836" spans="23:23" x14ac:dyDescent="0.2">
      <c r="W6836" s="39"/>
    </row>
    <row r="6837" spans="23:23" x14ac:dyDescent="0.2">
      <c r="W6837" s="39"/>
    </row>
    <row r="6838" spans="23:23" x14ac:dyDescent="0.2">
      <c r="W6838" s="39"/>
    </row>
    <row r="6839" spans="23:23" x14ac:dyDescent="0.2">
      <c r="W6839" s="39"/>
    </row>
    <row r="6840" spans="23:23" x14ac:dyDescent="0.2">
      <c r="W6840" s="39"/>
    </row>
    <row r="6841" spans="23:23" x14ac:dyDescent="0.2">
      <c r="W6841" s="39"/>
    </row>
    <row r="6842" spans="23:23" x14ac:dyDescent="0.2">
      <c r="W6842" s="39"/>
    </row>
    <row r="6843" spans="23:23" x14ac:dyDescent="0.2">
      <c r="W6843" s="39"/>
    </row>
    <row r="6844" spans="23:23" x14ac:dyDescent="0.2">
      <c r="W6844" s="39"/>
    </row>
    <row r="6845" spans="23:23" x14ac:dyDescent="0.2">
      <c r="W6845" s="39"/>
    </row>
    <row r="6846" spans="23:23" x14ac:dyDescent="0.2">
      <c r="W6846" s="39"/>
    </row>
    <row r="6847" spans="23:23" x14ac:dyDescent="0.2">
      <c r="W6847" s="39"/>
    </row>
    <row r="6848" spans="23:23" x14ac:dyDescent="0.2">
      <c r="W6848" s="39"/>
    </row>
    <row r="6849" spans="23:23" x14ac:dyDescent="0.2">
      <c r="W6849" s="39"/>
    </row>
    <row r="6850" spans="23:23" x14ac:dyDescent="0.2">
      <c r="W6850" s="39"/>
    </row>
    <row r="6851" spans="23:23" x14ac:dyDescent="0.2">
      <c r="W6851" s="39"/>
    </row>
    <row r="6852" spans="23:23" x14ac:dyDescent="0.2">
      <c r="W6852" s="39"/>
    </row>
    <row r="6853" spans="23:23" x14ac:dyDescent="0.2">
      <c r="W6853" s="39"/>
    </row>
    <row r="6854" spans="23:23" x14ac:dyDescent="0.2">
      <c r="W6854" s="39"/>
    </row>
    <row r="6855" spans="23:23" x14ac:dyDescent="0.2">
      <c r="W6855" s="39"/>
    </row>
    <row r="6856" spans="23:23" x14ac:dyDescent="0.2">
      <c r="W6856" s="39"/>
    </row>
    <row r="6857" spans="23:23" x14ac:dyDescent="0.2">
      <c r="W6857" s="39"/>
    </row>
    <row r="6858" spans="23:23" x14ac:dyDescent="0.2">
      <c r="W6858" s="39"/>
    </row>
    <row r="6859" spans="23:23" x14ac:dyDescent="0.2">
      <c r="W6859" s="39"/>
    </row>
    <row r="6860" spans="23:23" x14ac:dyDescent="0.2">
      <c r="W6860" s="39"/>
    </row>
    <row r="6861" spans="23:23" x14ac:dyDescent="0.2">
      <c r="W6861" s="39"/>
    </row>
    <row r="6862" spans="23:23" x14ac:dyDescent="0.2">
      <c r="W6862" s="39"/>
    </row>
    <row r="6863" spans="23:23" x14ac:dyDescent="0.2">
      <c r="W6863" s="39"/>
    </row>
    <row r="6864" spans="23:23" x14ac:dyDescent="0.2">
      <c r="W6864" s="39"/>
    </row>
    <row r="6865" spans="23:23" x14ac:dyDescent="0.2">
      <c r="W6865" s="39"/>
    </row>
    <row r="6866" spans="23:23" x14ac:dyDescent="0.2">
      <c r="W6866" s="39"/>
    </row>
    <row r="6867" spans="23:23" x14ac:dyDescent="0.2">
      <c r="W6867" s="39"/>
    </row>
    <row r="6868" spans="23:23" x14ac:dyDescent="0.2">
      <c r="W6868" s="39"/>
    </row>
    <row r="6869" spans="23:23" x14ac:dyDescent="0.2">
      <c r="W6869" s="39"/>
    </row>
    <row r="6870" spans="23:23" x14ac:dyDescent="0.2">
      <c r="W6870" s="39"/>
    </row>
    <row r="6871" spans="23:23" x14ac:dyDescent="0.2">
      <c r="W6871" s="39"/>
    </row>
    <row r="6872" spans="23:23" x14ac:dyDescent="0.2">
      <c r="W6872" s="39"/>
    </row>
    <row r="6873" spans="23:23" x14ac:dyDescent="0.2">
      <c r="W6873" s="39"/>
    </row>
    <row r="6874" spans="23:23" x14ac:dyDescent="0.2">
      <c r="W6874" s="39"/>
    </row>
    <row r="6875" spans="23:23" x14ac:dyDescent="0.2">
      <c r="W6875" s="39"/>
    </row>
    <row r="6876" spans="23:23" x14ac:dyDescent="0.2">
      <c r="W6876" s="39"/>
    </row>
    <row r="6877" spans="23:23" x14ac:dyDescent="0.2">
      <c r="W6877" s="39"/>
    </row>
    <row r="6878" spans="23:23" x14ac:dyDescent="0.2">
      <c r="W6878" s="39"/>
    </row>
    <row r="6879" spans="23:23" x14ac:dyDescent="0.2">
      <c r="W6879" s="39"/>
    </row>
    <row r="6880" spans="23:23" x14ac:dyDescent="0.2">
      <c r="W6880" s="39"/>
    </row>
    <row r="6881" spans="23:23" x14ac:dyDescent="0.2">
      <c r="W6881" s="39"/>
    </row>
    <row r="6882" spans="23:23" x14ac:dyDescent="0.2">
      <c r="W6882" s="39"/>
    </row>
    <row r="6883" spans="23:23" x14ac:dyDescent="0.2">
      <c r="W6883" s="39"/>
    </row>
    <row r="6884" spans="23:23" x14ac:dyDescent="0.2">
      <c r="W6884" s="39"/>
    </row>
    <row r="6885" spans="23:23" x14ac:dyDescent="0.2">
      <c r="W6885" s="39"/>
    </row>
    <row r="6886" spans="23:23" x14ac:dyDescent="0.2">
      <c r="W6886" s="39"/>
    </row>
    <row r="6887" spans="23:23" x14ac:dyDescent="0.2">
      <c r="W6887" s="39"/>
    </row>
    <row r="6888" spans="23:23" x14ac:dyDescent="0.2">
      <c r="W6888" s="39"/>
    </row>
    <row r="6889" spans="23:23" x14ac:dyDescent="0.2">
      <c r="W6889" s="39"/>
    </row>
    <row r="6890" spans="23:23" x14ac:dyDescent="0.2">
      <c r="W6890" s="39"/>
    </row>
    <row r="6891" spans="23:23" x14ac:dyDescent="0.2">
      <c r="W6891" s="39"/>
    </row>
    <row r="6892" spans="23:23" x14ac:dyDescent="0.2">
      <c r="W6892" s="39"/>
    </row>
    <row r="6893" spans="23:23" x14ac:dyDescent="0.2">
      <c r="W6893" s="39"/>
    </row>
    <row r="6894" spans="23:23" x14ac:dyDescent="0.2">
      <c r="W6894" s="39"/>
    </row>
    <row r="6895" spans="23:23" x14ac:dyDescent="0.2">
      <c r="W6895" s="39"/>
    </row>
    <row r="6896" spans="23:23" x14ac:dyDescent="0.2">
      <c r="W6896" s="39"/>
    </row>
    <row r="6897" spans="23:23" x14ac:dyDescent="0.2">
      <c r="W6897" s="39"/>
    </row>
    <row r="6898" spans="23:23" x14ac:dyDescent="0.2">
      <c r="W6898" s="39"/>
    </row>
    <row r="6899" spans="23:23" x14ac:dyDescent="0.2">
      <c r="W6899" s="39"/>
    </row>
    <row r="6900" spans="23:23" x14ac:dyDescent="0.2">
      <c r="W6900" s="39"/>
    </row>
    <row r="6901" spans="23:23" x14ac:dyDescent="0.2">
      <c r="W6901" s="39"/>
    </row>
    <row r="6902" spans="23:23" x14ac:dyDescent="0.2">
      <c r="W6902" s="39"/>
    </row>
    <row r="6903" spans="23:23" x14ac:dyDescent="0.2">
      <c r="W6903" s="39"/>
    </row>
    <row r="6904" spans="23:23" x14ac:dyDescent="0.2">
      <c r="W6904" s="39"/>
    </row>
    <row r="6905" spans="23:23" x14ac:dyDescent="0.2">
      <c r="W6905" s="39"/>
    </row>
    <row r="6906" spans="23:23" x14ac:dyDescent="0.2">
      <c r="W6906" s="39"/>
    </row>
    <row r="6907" spans="23:23" x14ac:dyDescent="0.2">
      <c r="W6907" s="39"/>
    </row>
    <row r="6908" spans="23:23" x14ac:dyDescent="0.2">
      <c r="W6908" s="39"/>
    </row>
    <row r="6909" spans="23:23" x14ac:dyDescent="0.2">
      <c r="W6909" s="39"/>
    </row>
    <row r="6910" spans="23:23" x14ac:dyDescent="0.2">
      <c r="W6910" s="39"/>
    </row>
    <row r="6911" spans="23:23" x14ac:dyDescent="0.2">
      <c r="W6911" s="39"/>
    </row>
    <row r="6912" spans="23:23" x14ac:dyDescent="0.2">
      <c r="W6912" s="39"/>
    </row>
    <row r="6913" spans="23:23" x14ac:dyDescent="0.2">
      <c r="W6913" s="39"/>
    </row>
    <row r="6914" spans="23:23" x14ac:dyDescent="0.2">
      <c r="W6914" s="39"/>
    </row>
    <row r="6915" spans="23:23" x14ac:dyDescent="0.2">
      <c r="W6915" s="39"/>
    </row>
    <row r="6916" spans="23:23" x14ac:dyDescent="0.2">
      <c r="W6916" s="39"/>
    </row>
    <row r="6917" spans="23:23" x14ac:dyDescent="0.2">
      <c r="W6917" s="39"/>
    </row>
    <row r="6918" spans="23:23" x14ac:dyDescent="0.2">
      <c r="W6918" s="39"/>
    </row>
    <row r="6919" spans="23:23" x14ac:dyDescent="0.2">
      <c r="W6919" s="39"/>
    </row>
    <row r="6920" spans="23:23" x14ac:dyDescent="0.2">
      <c r="W6920" s="39"/>
    </row>
    <row r="6921" spans="23:23" x14ac:dyDescent="0.2">
      <c r="W6921" s="39"/>
    </row>
    <row r="6922" spans="23:23" x14ac:dyDescent="0.2">
      <c r="W6922" s="39"/>
    </row>
    <row r="6923" spans="23:23" x14ac:dyDescent="0.2">
      <c r="W6923" s="39"/>
    </row>
    <row r="6924" spans="23:23" x14ac:dyDescent="0.2">
      <c r="W6924" s="39"/>
    </row>
    <row r="6925" spans="23:23" x14ac:dyDescent="0.2">
      <c r="W6925" s="39"/>
    </row>
    <row r="6926" spans="23:23" x14ac:dyDescent="0.2">
      <c r="W6926" s="39"/>
    </row>
    <row r="6927" spans="23:23" x14ac:dyDescent="0.2">
      <c r="W6927" s="39"/>
    </row>
    <row r="6928" spans="23:23" x14ac:dyDescent="0.2">
      <c r="W6928" s="39"/>
    </row>
    <row r="6929" spans="23:23" x14ac:dyDescent="0.2">
      <c r="W6929" s="39"/>
    </row>
    <row r="6930" spans="23:23" x14ac:dyDescent="0.2">
      <c r="W6930" s="39"/>
    </row>
    <row r="6931" spans="23:23" x14ac:dyDescent="0.2">
      <c r="W6931" s="39"/>
    </row>
    <row r="6932" spans="23:23" x14ac:dyDescent="0.2">
      <c r="W6932" s="39"/>
    </row>
    <row r="6933" spans="23:23" x14ac:dyDescent="0.2">
      <c r="W6933" s="39"/>
    </row>
    <row r="6934" spans="23:23" x14ac:dyDescent="0.2">
      <c r="W6934" s="39"/>
    </row>
    <row r="6935" spans="23:23" x14ac:dyDescent="0.2">
      <c r="W6935" s="39"/>
    </row>
    <row r="6936" spans="23:23" x14ac:dyDescent="0.2">
      <c r="W6936" s="39"/>
    </row>
    <row r="6937" spans="23:23" x14ac:dyDescent="0.2">
      <c r="W6937" s="39"/>
    </row>
    <row r="6938" spans="23:23" x14ac:dyDescent="0.2">
      <c r="W6938" s="39"/>
    </row>
    <row r="6939" spans="23:23" x14ac:dyDescent="0.2">
      <c r="W6939" s="39"/>
    </row>
    <row r="6940" spans="23:23" x14ac:dyDescent="0.2">
      <c r="W6940" s="39"/>
    </row>
    <row r="6941" spans="23:23" x14ac:dyDescent="0.2">
      <c r="W6941" s="39"/>
    </row>
    <row r="6942" spans="23:23" x14ac:dyDescent="0.2">
      <c r="W6942" s="39"/>
    </row>
    <row r="6943" spans="23:23" x14ac:dyDescent="0.2">
      <c r="W6943" s="39"/>
    </row>
    <row r="6944" spans="23:23" x14ac:dyDescent="0.2">
      <c r="W6944" s="39"/>
    </row>
    <row r="6945" spans="23:23" x14ac:dyDescent="0.2">
      <c r="W6945" s="39"/>
    </row>
    <row r="6946" spans="23:23" x14ac:dyDescent="0.2">
      <c r="W6946" s="39"/>
    </row>
    <row r="6947" spans="23:23" x14ac:dyDescent="0.2">
      <c r="W6947" s="39"/>
    </row>
    <row r="6948" spans="23:23" x14ac:dyDescent="0.2">
      <c r="W6948" s="39"/>
    </row>
    <row r="6949" spans="23:23" x14ac:dyDescent="0.2">
      <c r="W6949" s="39"/>
    </row>
    <row r="6950" spans="23:23" x14ac:dyDescent="0.2">
      <c r="W6950" s="39"/>
    </row>
    <row r="6951" spans="23:23" x14ac:dyDescent="0.2">
      <c r="W6951" s="39"/>
    </row>
    <row r="6952" spans="23:23" x14ac:dyDescent="0.2">
      <c r="W6952" s="39"/>
    </row>
    <row r="6953" spans="23:23" x14ac:dyDescent="0.2">
      <c r="W6953" s="39"/>
    </row>
    <row r="6954" spans="23:23" x14ac:dyDescent="0.2">
      <c r="W6954" s="39"/>
    </row>
    <row r="6955" spans="23:23" x14ac:dyDescent="0.2">
      <c r="W6955" s="39"/>
    </row>
    <row r="6956" spans="23:23" x14ac:dyDescent="0.2">
      <c r="W6956" s="39"/>
    </row>
    <row r="6957" spans="23:23" x14ac:dyDescent="0.2">
      <c r="W6957" s="39"/>
    </row>
    <row r="6958" spans="23:23" x14ac:dyDescent="0.2">
      <c r="W6958" s="39"/>
    </row>
    <row r="6959" spans="23:23" x14ac:dyDescent="0.2">
      <c r="W6959" s="39"/>
    </row>
    <row r="6960" spans="23:23" x14ac:dyDescent="0.2">
      <c r="W6960" s="39"/>
    </row>
    <row r="6961" spans="23:23" x14ac:dyDescent="0.2">
      <c r="W6961" s="39"/>
    </row>
    <row r="6962" spans="23:23" x14ac:dyDescent="0.2">
      <c r="W6962" s="39"/>
    </row>
    <row r="6963" spans="23:23" x14ac:dyDescent="0.2">
      <c r="W6963" s="39"/>
    </row>
    <row r="6964" spans="23:23" x14ac:dyDescent="0.2">
      <c r="W6964" s="39"/>
    </row>
    <row r="6965" spans="23:23" x14ac:dyDescent="0.2">
      <c r="W6965" s="39"/>
    </row>
    <row r="6966" spans="23:23" x14ac:dyDescent="0.2">
      <c r="W6966" s="39"/>
    </row>
    <row r="6967" spans="23:23" x14ac:dyDescent="0.2">
      <c r="W6967" s="39"/>
    </row>
    <row r="6968" spans="23:23" x14ac:dyDescent="0.2">
      <c r="W6968" s="39"/>
    </row>
    <row r="6969" spans="23:23" x14ac:dyDescent="0.2">
      <c r="W6969" s="39"/>
    </row>
    <row r="6970" spans="23:23" x14ac:dyDescent="0.2">
      <c r="W6970" s="39"/>
    </row>
    <row r="6971" spans="23:23" x14ac:dyDescent="0.2">
      <c r="W6971" s="39"/>
    </row>
    <row r="6972" spans="23:23" x14ac:dyDescent="0.2">
      <c r="W6972" s="39"/>
    </row>
    <row r="6973" spans="23:23" x14ac:dyDescent="0.2">
      <c r="W6973" s="39"/>
    </row>
    <row r="6974" spans="23:23" x14ac:dyDescent="0.2">
      <c r="W6974" s="39"/>
    </row>
    <row r="6975" spans="23:23" x14ac:dyDescent="0.2">
      <c r="W6975" s="39"/>
    </row>
    <row r="6976" spans="23:23" x14ac:dyDescent="0.2">
      <c r="W6976" s="39"/>
    </row>
    <row r="6977" spans="23:23" x14ac:dyDescent="0.2">
      <c r="W6977" s="39"/>
    </row>
    <row r="6978" spans="23:23" x14ac:dyDescent="0.2">
      <c r="W6978" s="39"/>
    </row>
    <row r="6979" spans="23:23" x14ac:dyDescent="0.2">
      <c r="W6979" s="39"/>
    </row>
    <row r="6980" spans="23:23" x14ac:dyDescent="0.2">
      <c r="W6980" s="39"/>
    </row>
    <row r="6981" spans="23:23" x14ac:dyDescent="0.2">
      <c r="W6981" s="39"/>
    </row>
    <row r="6982" spans="23:23" x14ac:dyDescent="0.2">
      <c r="W6982" s="39"/>
    </row>
    <row r="6983" spans="23:23" x14ac:dyDescent="0.2">
      <c r="W6983" s="39"/>
    </row>
    <row r="6984" spans="23:23" x14ac:dyDescent="0.2">
      <c r="W6984" s="39"/>
    </row>
    <row r="6985" spans="23:23" x14ac:dyDescent="0.2">
      <c r="W6985" s="39"/>
    </row>
    <row r="6986" spans="23:23" x14ac:dyDescent="0.2">
      <c r="W6986" s="39"/>
    </row>
    <row r="6987" spans="23:23" x14ac:dyDescent="0.2">
      <c r="W6987" s="39"/>
    </row>
    <row r="6988" spans="23:23" x14ac:dyDescent="0.2">
      <c r="W6988" s="39"/>
    </row>
    <row r="6989" spans="23:23" x14ac:dyDescent="0.2">
      <c r="W6989" s="39"/>
    </row>
    <row r="6990" spans="23:23" x14ac:dyDescent="0.2">
      <c r="W6990" s="39"/>
    </row>
    <row r="6991" spans="23:23" x14ac:dyDescent="0.2">
      <c r="W6991" s="39"/>
    </row>
    <row r="6992" spans="23:23" x14ac:dyDescent="0.2">
      <c r="W6992" s="39"/>
    </row>
    <row r="6993" spans="23:23" x14ac:dyDescent="0.2">
      <c r="W6993" s="39"/>
    </row>
    <row r="6994" spans="23:23" x14ac:dyDescent="0.2">
      <c r="W6994" s="39"/>
    </row>
    <row r="6995" spans="23:23" x14ac:dyDescent="0.2">
      <c r="W6995" s="39"/>
    </row>
    <row r="6996" spans="23:23" x14ac:dyDescent="0.2">
      <c r="W6996" s="39"/>
    </row>
    <row r="6997" spans="23:23" x14ac:dyDescent="0.2">
      <c r="W6997" s="39"/>
    </row>
    <row r="6998" spans="23:23" x14ac:dyDescent="0.2">
      <c r="W6998" s="39"/>
    </row>
    <row r="6999" spans="23:23" x14ac:dyDescent="0.2">
      <c r="W6999" s="39"/>
    </row>
    <row r="7000" spans="23:23" x14ac:dyDescent="0.2">
      <c r="W7000" s="39"/>
    </row>
    <row r="7001" spans="23:23" x14ac:dyDescent="0.2">
      <c r="W7001" s="39"/>
    </row>
    <row r="7002" spans="23:23" x14ac:dyDescent="0.2">
      <c r="W7002" s="39"/>
    </row>
    <row r="7003" spans="23:23" x14ac:dyDescent="0.2">
      <c r="W7003" s="39"/>
    </row>
    <row r="7004" spans="23:23" x14ac:dyDescent="0.2">
      <c r="W7004" s="39"/>
    </row>
    <row r="7005" spans="23:23" x14ac:dyDescent="0.2">
      <c r="W7005" s="39"/>
    </row>
    <row r="7006" spans="23:23" x14ac:dyDescent="0.2">
      <c r="W7006" s="39"/>
    </row>
    <row r="7007" spans="23:23" x14ac:dyDescent="0.2">
      <c r="W7007" s="39"/>
    </row>
    <row r="7008" spans="23:23" x14ac:dyDescent="0.2">
      <c r="W7008" s="39"/>
    </row>
    <row r="7009" spans="23:23" x14ac:dyDescent="0.2">
      <c r="W7009" s="39"/>
    </row>
    <row r="7010" spans="23:23" x14ac:dyDescent="0.2">
      <c r="W7010" s="39"/>
    </row>
    <row r="7011" spans="23:23" x14ac:dyDescent="0.2">
      <c r="W7011" s="39"/>
    </row>
    <row r="7012" spans="23:23" x14ac:dyDescent="0.2">
      <c r="W7012" s="39"/>
    </row>
    <row r="7013" spans="23:23" x14ac:dyDescent="0.2">
      <c r="W7013" s="39"/>
    </row>
    <row r="7014" spans="23:23" x14ac:dyDescent="0.2">
      <c r="W7014" s="39"/>
    </row>
    <row r="7015" spans="23:23" x14ac:dyDescent="0.2">
      <c r="W7015" s="39"/>
    </row>
    <row r="7016" spans="23:23" x14ac:dyDescent="0.2">
      <c r="W7016" s="39"/>
    </row>
    <row r="7017" spans="23:23" x14ac:dyDescent="0.2">
      <c r="W7017" s="39"/>
    </row>
    <row r="7018" spans="23:23" x14ac:dyDescent="0.2">
      <c r="W7018" s="39"/>
    </row>
    <row r="7019" spans="23:23" x14ac:dyDescent="0.2">
      <c r="W7019" s="39"/>
    </row>
    <row r="7020" spans="23:23" x14ac:dyDescent="0.2">
      <c r="W7020" s="39"/>
    </row>
    <row r="7021" spans="23:23" x14ac:dyDescent="0.2">
      <c r="W7021" s="39"/>
    </row>
    <row r="7022" spans="23:23" x14ac:dyDescent="0.2">
      <c r="W7022" s="39"/>
    </row>
    <row r="7023" spans="23:23" x14ac:dyDescent="0.2">
      <c r="W7023" s="39"/>
    </row>
    <row r="7024" spans="23:23" x14ac:dyDescent="0.2">
      <c r="W7024" s="39"/>
    </row>
    <row r="7025" spans="23:23" x14ac:dyDescent="0.2">
      <c r="W7025" s="39"/>
    </row>
    <row r="7026" spans="23:23" x14ac:dyDescent="0.2">
      <c r="W7026" s="39"/>
    </row>
    <row r="7027" spans="23:23" x14ac:dyDescent="0.2">
      <c r="W7027" s="39"/>
    </row>
    <row r="7028" spans="23:23" x14ac:dyDescent="0.2">
      <c r="W7028" s="39"/>
    </row>
    <row r="7029" spans="23:23" x14ac:dyDescent="0.2">
      <c r="W7029" s="39"/>
    </row>
    <row r="7030" spans="23:23" x14ac:dyDescent="0.2">
      <c r="W7030" s="39"/>
    </row>
    <row r="7031" spans="23:23" x14ac:dyDescent="0.2">
      <c r="W7031" s="39"/>
    </row>
    <row r="7032" spans="23:23" x14ac:dyDescent="0.2">
      <c r="W7032" s="39"/>
    </row>
    <row r="7033" spans="23:23" x14ac:dyDescent="0.2">
      <c r="W7033" s="39"/>
    </row>
    <row r="7034" spans="23:23" x14ac:dyDescent="0.2">
      <c r="W7034" s="39"/>
    </row>
    <row r="7035" spans="23:23" x14ac:dyDescent="0.2">
      <c r="W7035" s="39"/>
    </row>
    <row r="7036" spans="23:23" x14ac:dyDescent="0.2">
      <c r="W7036" s="39"/>
    </row>
    <row r="7037" spans="23:23" x14ac:dyDescent="0.2">
      <c r="W7037" s="39"/>
    </row>
    <row r="7038" spans="23:23" x14ac:dyDescent="0.2">
      <c r="W7038" s="39"/>
    </row>
    <row r="7039" spans="23:23" x14ac:dyDescent="0.2">
      <c r="W7039" s="39"/>
    </row>
    <row r="7040" spans="23:23" x14ac:dyDescent="0.2">
      <c r="W7040" s="39"/>
    </row>
    <row r="7041" spans="23:23" x14ac:dyDescent="0.2">
      <c r="W7041" s="39"/>
    </row>
    <row r="7042" spans="23:23" x14ac:dyDescent="0.2">
      <c r="W7042" s="39"/>
    </row>
    <row r="7043" spans="23:23" x14ac:dyDescent="0.2">
      <c r="W7043" s="39"/>
    </row>
    <row r="7044" spans="23:23" x14ac:dyDescent="0.2">
      <c r="W7044" s="39"/>
    </row>
    <row r="7045" spans="23:23" x14ac:dyDescent="0.2">
      <c r="W7045" s="39"/>
    </row>
    <row r="7046" spans="23:23" x14ac:dyDescent="0.2">
      <c r="W7046" s="39"/>
    </row>
    <row r="7047" spans="23:23" x14ac:dyDescent="0.2">
      <c r="W7047" s="39"/>
    </row>
    <row r="7048" spans="23:23" x14ac:dyDescent="0.2">
      <c r="W7048" s="39"/>
    </row>
    <row r="7049" spans="23:23" x14ac:dyDescent="0.2">
      <c r="W7049" s="39"/>
    </row>
    <row r="7050" spans="23:23" x14ac:dyDescent="0.2">
      <c r="W7050" s="39"/>
    </row>
    <row r="7051" spans="23:23" x14ac:dyDescent="0.2">
      <c r="W7051" s="39"/>
    </row>
    <row r="7052" spans="23:23" x14ac:dyDescent="0.2">
      <c r="W7052" s="39"/>
    </row>
    <row r="7053" spans="23:23" x14ac:dyDescent="0.2">
      <c r="W7053" s="39"/>
    </row>
    <row r="7054" spans="23:23" x14ac:dyDescent="0.2">
      <c r="W7054" s="39"/>
    </row>
    <row r="7055" spans="23:23" x14ac:dyDescent="0.2">
      <c r="W7055" s="39"/>
    </row>
    <row r="7056" spans="23:23" x14ac:dyDescent="0.2">
      <c r="W7056" s="39"/>
    </row>
    <row r="7057" spans="23:23" x14ac:dyDescent="0.2">
      <c r="W7057" s="39"/>
    </row>
    <row r="7058" spans="23:23" x14ac:dyDescent="0.2">
      <c r="W7058" s="39"/>
    </row>
    <row r="7059" spans="23:23" x14ac:dyDescent="0.2">
      <c r="W7059" s="39"/>
    </row>
    <row r="7060" spans="23:23" x14ac:dyDescent="0.2">
      <c r="W7060" s="39"/>
    </row>
    <row r="7061" spans="23:23" x14ac:dyDescent="0.2">
      <c r="W7061" s="39"/>
    </row>
    <row r="7062" spans="23:23" x14ac:dyDescent="0.2">
      <c r="W7062" s="39"/>
    </row>
    <row r="7063" spans="23:23" x14ac:dyDescent="0.2">
      <c r="W7063" s="39"/>
    </row>
    <row r="7064" spans="23:23" x14ac:dyDescent="0.2">
      <c r="W7064" s="39"/>
    </row>
    <row r="7065" spans="23:23" x14ac:dyDescent="0.2">
      <c r="W7065" s="39"/>
    </row>
    <row r="7066" spans="23:23" x14ac:dyDescent="0.2">
      <c r="W7066" s="39"/>
    </row>
    <row r="7067" spans="23:23" x14ac:dyDescent="0.2">
      <c r="W7067" s="39"/>
    </row>
    <row r="7068" spans="23:23" x14ac:dyDescent="0.2">
      <c r="W7068" s="39"/>
    </row>
    <row r="7069" spans="23:23" x14ac:dyDescent="0.2">
      <c r="W7069" s="39"/>
    </row>
    <row r="7070" spans="23:23" x14ac:dyDescent="0.2">
      <c r="W7070" s="39"/>
    </row>
    <row r="7071" spans="23:23" x14ac:dyDescent="0.2">
      <c r="W7071" s="39"/>
    </row>
    <row r="7072" spans="23:23" x14ac:dyDescent="0.2">
      <c r="W7072" s="39"/>
    </row>
    <row r="7073" spans="23:23" x14ac:dyDescent="0.2">
      <c r="W7073" s="39"/>
    </row>
    <row r="7074" spans="23:23" x14ac:dyDescent="0.2">
      <c r="W7074" s="39"/>
    </row>
    <row r="7075" spans="23:23" x14ac:dyDescent="0.2">
      <c r="W7075" s="39"/>
    </row>
    <row r="7076" spans="23:23" x14ac:dyDescent="0.2">
      <c r="W7076" s="39"/>
    </row>
    <row r="7077" spans="23:23" x14ac:dyDescent="0.2">
      <c r="W7077" s="39"/>
    </row>
    <row r="7078" spans="23:23" x14ac:dyDescent="0.2">
      <c r="W7078" s="39"/>
    </row>
    <row r="7079" spans="23:23" x14ac:dyDescent="0.2">
      <c r="W7079" s="39"/>
    </row>
    <row r="7080" spans="23:23" x14ac:dyDescent="0.2">
      <c r="W7080" s="39"/>
    </row>
    <row r="7081" spans="23:23" x14ac:dyDescent="0.2">
      <c r="W7081" s="39"/>
    </row>
    <row r="7082" spans="23:23" x14ac:dyDescent="0.2">
      <c r="W7082" s="39"/>
    </row>
    <row r="7083" spans="23:23" x14ac:dyDescent="0.2">
      <c r="W7083" s="39"/>
    </row>
    <row r="7084" spans="23:23" x14ac:dyDescent="0.2">
      <c r="W7084" s="39"/>
    </row>
    <row r="7085" spans="23:23" x14ac:dyDescent="0.2">
      <c r="W7085" s="39"/>
    </row>
    <row r="7086" spans="23:23" x14ac:dyDescent="0.2">
      <c r="W7086" s="39"/>
    </row>
    <row r="7087" spans="23:23" x14ac:dyDescent="0.2">
      <c r="W7087" s="39"/>
    </row>
    <row r="7088" spans="23:23" x14ac:dyDescent="0.2">
      <c r="W7088" s="39"/>
    </row>
    <row r="7089" spans="23:23" x14ac:dyDescent="0.2">
      <c r="W7089" s="39"/>
    </row>
    <row r="7090" spans="23:23" x14ac:dyDescent="0.2">
      <c r="W7090" s="39"/>
    </row>
    <row r="7091" spans="23:23" x14ac:dyDescent="0.2">
      <c r="W7091" s="39"/>
    </row>
    <row r="7092" spans="23:23" x14ac:dyDescent="0.2">
      <c r="W7092" s="39"/>
    </row>
    <row r="7093" spans="23:23" x14ac:dyDescent="0.2">
      <c r="W7093" s="39"/>
    </row>
    <row r="7094" spans="23:23" x14ac:dyDescent="0.2">
      <c r="W7094" s="39"/>
    </row>
    <row r="7095" spans="23:23" x14ac:dyDescent="0.2">
      <c r="W7095" s="39"/>
    </row>
    <row r="7096" spans="23:23" x14ac:dyDescent="0.2">
      <c r="W7096" s="39"/>
    </row>
    <row r="7097" spans="23:23" x14ac:dyDescent="0.2">
      <c r="W7097" s="39"/>
    </row>
    <row r="7098" spans="23:23" x14ac:dyDescent="0.2">
      <c r="W7098" s="39"/>
    </row>
    <row r="7099" spans="23:23" x14ac:dyDescent="0.2">
      <c r="W7099" s="39"/>
    </row>
    <row r="7100" spans="23:23" x14ac:dyDescent="0.2">
      <c r="W7100" s="39"/>
    </row>
    <row r="7101" spans="23:23" x14ac:dyDescent="0.2">
      <c r="W7101" s="39"/>
    </row>
    <row r="7102" spans="23:23" x14ac:dyDescent="0.2">
      <c r="W7102" s="39"/>
    </row>
    <row r="7103" spans="23:23" x14ac:dyDescent="0.2">
      <c r="W7103" s="39"/>
    </row>
    <row r="7104" spans="23:23" x14ac:dyDescent="0.2">
      <c r="W7104" s="39"/>
    </row>
    <row r="7105" spans="23:23" x14ac:dyDescent="0.2">
      <c r="W7105" s="39"/>
    </row>
    <row r="7106" spans="23:23" x14ac:dyDescent="0.2">
      <c r="W7106" s="39"/>
    </row>
    <row r="7107" spans="23:23" x14ac:dyDescent="0.2">
      <c r="W7107" s="39"/>
    </row>
    <row r="7108" spans="23:23" x14ac:dyDescent="0.2">
      <c r="W7108" s="39"/>
    </row>
    <row r="7109" spans="23:23" x14ac:dyDescent="0.2">
      <c r="W7109" s="39"/>
    </row>
    <row r="7110" spans="23:23" x14ac:dyDescent="0.2">
      <c r="W7110" s="39"/>
    </row>
    <row r="7111" spans="23:23" x14ac:dyDescent="0.2">
      <c r="W7111" s="39"/>
    </row>
    <row r="7112" spans="23:23" x14ac:dyDescent="0.2">
      <c r="W7112" s="39"/>
    </row>
    <row r="7113" spans="23:23" x14ac:dyDescent="0.2">
      <c r="W7113" s="39"/>
    </row>
    <row r="7114" spans="23:23" x14ac:dyDescent="0.2">
      <c r="W7114" s="39"/>
    </row>
    <row r="7115" spans="23:23" x14ac:dyDescent="0.2">
      <c r="W7115" s="39"/>
    </row>
    <row r="7116" spans="23:23" x14ac:dyDescent="0.2">
      <c r="W7116" s="39"/>
    </row>
    <row r="7117" spans="23:23" x14ac:dyDescent="0.2">
      <c r="W7117" s="39"/>
    </row>
    <row r="7118" spans="23:23" x14ac:dyDescent="0.2">
      <c r="W7118" s="39"/>
    </row>
    <row r="7119" spans="23:23" x14ac:dyDescent="0.2">
      <c r="W7119" s="39"/>
    </row>
    <row r="7120" spans="23:23" x14ac:dyDescent="0.2">
      <c r="W7120" s="39"/>
    </row>
    <row r="7121" spans="23:23" x14ac:dyDescent="0.2">
      <c r="W7121" s="39"/>
    </row>
    <row r="7122" spans="23:23" x14ac:dyDescent="0.2">
      <c r="W7122" s="39"/>
    </row>
    <row r="7123" spans="23:23" x14ac:dyDescent="0.2">
      <c r="W7123" s="39"/>
    </row>
    <row r="7124" spans="23:23" x14ac:dyDescent="0.2">
      <c r="W7124" s="39"/>
    </row>
    <row r="7125" spans="23:23" x14ac:dyDescent="0.2">
      <c r="W7125" s="39"/>
    </row>
    <row r="7126" spans="23:23" x14ac:dyDescent="0.2">
      <c r="W7126" s="39"/>
    </row>
    <row r="7127" spans="23:23" x14ac:dyDescent="0.2">
      <c r="W7127" s="39"/>
    </row>
    <row r="7128" spans="23:23" x14ac:dyDescent="0.2">
      <c r="W7128" s="39"/>
    </row>
    <row r="7129" spans="23:23" x14ac:dyDescent="0.2">
      <c r="W7129" s="39"/>
    </row>
    <row r="7130" spans="23:23" x14ac:dyDescent="0.2">
      <c r="W7130" s="39"/>
    </row>
    <row r="7131" spans="23:23" x14ac:dyDescent="0.2">
      <c r="W7131" s="39"/>
    </row>
    <row r="7132" spans="23:23" x14ac:dyDescent="0.2">
      <c r="W7132" s="39"/>
    </row>
    <row r="7133" spans="23:23" x14ac:dyDescent="0.2">
      <c r="W7133" s="39"/>
    </row>
    <row r="7134" spans="23:23" x14ac:dyDescent="0.2">
      <c r="W7134" s="39"/>
    </row>
    <row r="7135" spans="23:23" x14ac:dyDescent="0.2">
      <c r="W7135" s="39"/>
    </row>
    <row r="7136" spans="23:23" x14ac:dyDescent="0.2">
      <c r="W7136" s="39"/>
    </row>
    <row r="7137" spans="23:23" x14ac:dyDescent="0.2">
      <c r="W7137" s="39"/>
    </row>
    <row r="7138" spans="23:23" x14ac:dyDescent="0.2">
      <c r="W7138" s="39"/>
    </row>
    <row r="7139" spans="23:23" x14ac:dyDescent="0.2">
      <c r="W7139" s="39"/>
    </row>
    <row r="7140" spans="23:23" x14ac:dyDescent="0.2">
      <c r="W7140" s="39"/>
    </row>
    <row r="7141" spans="23:23" x14ac:dyDescent="0.2">
      <c r="W7141" s="39"/>
    </row>
    <row r="7142" spans="23:23" x14ac:dyDescent="0.2">
      <c r="W7142" s="39"/>
    </row>
    <row r="7143" spans="23:23" x14ac:dyDescent="0.2">
      <c r="W7143" s="39"/>
    </row>
    <row r="7144" spans="23:23" x14ac:dyDescent="0.2">
      <c r="W7144" s="39"/>
    </row>
    <row r="7145" spans="23:23" x14ac:dyDescent="0.2">
      <c r="W7145" s="39"/>
    </row>
    <row r="7146" spans="23:23" x14ac:dyDescent="0.2">
      <c r="W7146" s="39"/>
    </row>
    <row r="7147" spans="23:23" x14ac:dyDescent="0.2">
      <c r="W7147" s="39"/>
    </row>
    <row r="7148" spans="23:23" x14ac:dyDescent="0.2">
      <c r="W7148" s="39"/>
    </row>
    <row r="7149" spans="23:23" x14ac:dyDescent="0.2">
      <c r="W7149" s="39"/>
    </row>
    <row r="7150" spans="23:23" x14ac:dyDescent="0.2">
      <c r="W7150" s="39"/>
    </row>
    <row r="7151" spans="23:23" x14ac:dyDescent="0.2">
      <c r="W7151" s="39"/>
    </row>
    <row r="7152" spans="23:23" x14ac:dyDescent="0.2">
      <c r="W7152" s="39"/>
    </row>
    <row r="7153" spans="23:23" x14ac:dyDescent="0.2">
      <c r="W7153" s="39"/>
    </row>
    <row r="7154" spans="23:23" x14ac:dyDescent="0.2">
      <c r="W7154" s="39"/>
    </row>
    <row r="7155" spans="23:23" x14ac:dyDescent="0.2">
      <c r="W7155" s="39"/>
    </row>
    <row r="7156" spans="23:23" x14ac:dyDescent="0.2">
      <c r="W7156" s="39"/>
    </row>
    <row r="7157" spans="23:23" x14ac:dyDescent="0.2">
      <c r="W7157" s="39"/>
    </row>
    <row r="7158" spans="23:23" x14ac:dyDescent="0.2">
      <c r="W7158" s="39"/>
    </row>
    <row r="7159" spans="23:23" x14ac:dyDescent="0.2">
      <c r="W7159" s="39"/>
    </row>
    <row r="7160" spans="23:23" x14ac:dyDescent="0.2">
      <c r="W7160" s="39"/>
    </row>
    <row r="7161" spans="23:23" x14ac:dyDescent="0.2">
      <c r="W7161" s="39"/>
    </row>
    <row r="7162" spans="23:23" x14ac:dyDescent="0.2">
      <c r="W7162" s="39"/>
    </row>
    <row r="7163" spans="23:23" x14ac:dyDescent="0.2">
      <c r="W7163" s="39"/>
    </row>
    <row r="7164" spans="23:23" x14ac:dyDescent="0.2">
      <c r="W7164" s="39"/>
    </row>
    <row r="7165" spans="23:23" x14ac:dyDescent="0.2">
      <c r="W7165" s="39"/>
    </row>
    <row r="7166" spans="23:23" x14ac:dyDescent="0.2">
      <c r="W7166" s="39"/>
    </row>
    <row r="7167" spans="23:23" x14ac:dyDescent="0.2">
      <c r="W7167" s="39"/>
    </row>
    <row r="7168" spans="23:23" x14ac:dyDescent="0.2">
      <c r="W7168" s="39"/>
    </row>
    <row r="7169" spans="23:23" x14ac:dyDescent="0.2">
      <c r="W7169" s="39"/>
    </row>
    <row r="7170" spans="23:23" x14ac:dyDescent="0.2">
      <c r="W7170" s="39"/>
    </row>
    <row r="7171" spans="23:23" x14ac:dyDescent="0.2">
      <c r="W7171" s="39"/>
    </row>
    <row r="7172" spans="23:23" x14ac:dyDescent="0.2">
      <c r="W7172" s="39"/>
    </row>
    <row r="7173" spans="23:23" x14ac:dyDescent="0.2">
      <c r="W7173" s="39"/>
    </row>
    <row r="7174" spans="23:23" x14ac:dyDescent="0.2">
      <c r="W7174" s="39"/>
    </row>
    <row r="7175" spans="23:23" x14ac:dyDescent="0.2">
      <c r="W7175" s="39"/>
    </row>
    <row r="7176" spans="23:23" x14ac:dyDescent="0.2">
      <c r="W7176" s="39"/>
    </row>
    <row r="7177" spans="23:23" x14ac:dyDescent="0.2">
      <c r="W7177" s="39"/>
    </row>
    <row r="7178" spans="23:23" x14ac:dyDescent="0.2">
      <c r="W7178" s="39"/>
    </row>
    <row r="7179" spans="23:23" x14ac:dyDescent="0.2">
      <c r="W7179" s="39"/>
    </row>
    <row r="7180" spans="23:23" x14ac:dyDescent="0.2">
      <c r="W7180" s="39"/>
    </row>
    <row r="7181" spans="23:23" x14ac:dyDescent="0.2">
      <c r="W7181" s="39"/>
    </row>
    <row r="7182" spans="23:23" x14ac:dyDescent="0.2">
      <c r="W7182" s="39"/>
    </row>
    <row r="7183" spans="23:23" x14ac:dyDescent="0.2">
      <c r="W7183" s="39"/>
    </row>
    <row r="7184" spans="23:23" x14ac:dyDescent="0.2">
      <c r="W7184" s="39"/>
    </row>
    <row r="7185" spans="23:23" x14ac:dyDescent="0.2">
      <c r="W7185" s="39"/>
    </row>
    <row r="7186" spans="23:23" x14ac:dyDescent="0.2">
      <c r="W7186" s="39"/>
    </row>
    <row r="7187" spans="23:23" x14ac:dyDescent="0.2">
      <c r="W7187" s="39"/>
    </row>
    <row r="7188" spans="23:23" x14ac:dyDescent="0.2">
      <c r="W7188" s="39"/>
    </row>
    <row r="7189" spans="23:23" x14ac:dyDescent="0.2">
      <c r="W7189" s="39"/>
    </row>
    <row r="7190" spans="23:23" x14ac:dyDescent="0.2">
      <c r="W7190" s="39"/>
    </row>
    <row r="7191" spans="23:23" x14ac:dyDescent="0.2">
      <c r="W7191" s="39"/>
    </row>
    <row r="7192" spans="23:23" x14ac:dyDescent="0.2">
      <c r="W7192" s="39"/>
    </row>
    <row r="7193" spans="23:23" x14ac:dyDescent="0.2">
      <c r="W7193" s="39"/>
    </row>
    <row r="7194" spans="23:23" x14ac:dyDescent="0.2">
      <c r="W7194" s="39"/>
    </row>
    <row r="7195" spans="23:23" x14ac:dyDescent="0.2">
      <c r="W7195" s="39"/>
    </row>
    <row r="7196" spans="23:23" x14ac:dyDescent="0.2">
      <c r="W7196" s="39"/>
    </row>
    <row r="7197" spans="23:23" x14ac:dyDescent="0.2">
      <c r="W7197" s="39"/>
    </row>
    <row r="7198" spans="23:23" x14ac:dyDescent="0.2">
      <c r="W7198" s="39"/>
    </row>
    <row r="7199" spans="23:23" x14ac:dyDescent="0.2">
      <c r="W7199" s="39"/>
    </row>
    <row r="7200" spans="23:23" x14ac:dyDescent="0.2">
      <c r="W7200" s="39"/>
    </row>
    <row r="7201" spans="23:23" x14ac:dyDescent="0.2">
      <c r="W7201" s="39"/>
    </row>
    <row r="7202" spans="23:23" x14ac:dyDescent="0.2">
      <c r="W7202" s="39"/>
    </row>
    <row r="7203" spans="23:23" x14ac:dyDescent="0.2">
      <c r="W7203" s="39"/>
    </row>
    <row r="7204" spans="23:23" x14ac:dyDescent="0.2">
      <c r="W7204" s="39"/>
    </row>
    <row r="7205" spans="23:23" x14ac:dyDescent="0.2">
      <c r="W7205" s="39"/>
    </row>
    <row r="7206" spans="23:23" x14ac:dyDescent="0.2">
      <c r="W7206" s="39"/>
    </row>
    <row r="7207" spans="23:23" x14ac:dyDescent="0.2">
      <c r="W7207" s="39"/>
    </row>
    <row r="7208" spans="23:23" x14ac:dyDescent="0.2">
      <c r="W7208" s="39"/>
    </row>
    <row r="7209" spans="23:23" x14ac:dyDescent="0.2">
      <c r="W7209" s="39"/>
    </row>
    <row r="7210" spans="23:23" x14ac:dyDescent="0.2">
      <c r="W7210" s="39"/>
    </row>
    <row r="7211" spans="23:23" x14ac:dyDescent="0.2">
      <c r="W7211" s="39"/>
    </row>
    <row r="7212" spans="23:23" x14ac:dyDescent="0.2">
      <c r="W7212" s="39"/>
    </row>
    <row r="7213" spans="23:23" x14ac:dyDescent="0.2">
      <c r="W7213" s="39"/>
    </row>
    <row r="7214" spans="23:23" x14ac:dyDescent="0.2">
      <c r="W7214" s="39"/>
    </row>
    <row r="7215" spans="23:23" x14ac:dyDescent="0.2">
      <c r="W7215" s="39"/>
    </row>
    <row r="7216" spans="23:23" x14ac:dyDescent="0.2">
      <c r="W7216" s="39"/>
    </row>
    <row r="7217" spans="23:23" x14ac:dyDescent="0.2">
      <c r="W7217" s="39"/>
    </row>
    <row r="7218" spans="23:23" x14ac:dyDescent="0.2">
      <c r="W7218" s="39"/>
    </row>
    <row r="7219" spans="23:23" x14ac:dyDescent="0.2">
      <c r="W7219" s="39"/>
    </row>
    <row r="7220" spans="23:23" x14ac:dyDescent="0.2">
      <c r="W7220" s="39"/>
    </row>
    <row r="7221" spans="23:23" x14ac:dyDescent="0.2">
      <c r="W7221" s="39"/>
    </row>
    <row r="7222" spans="23:23" x14ac:dyDescent="0.2">
      <c r="W7222" s="39"/>
    </row>
    <row r="7223" spans="23:23" x14ac:dyDescent="0.2">
      <c r="W7223" s="39"/>
    </row>
    <row r="7224" spans="23:23" x14ac:dyDescent="0.2">
      <c r="W7224" s="39"/>
    </row>
    <row r="7225" spans="23:23" x14ac:dyDescent="0.2">
      <c r="W7225" s="39"/>
    </row>
    <row r="7226" spans="23:23" x14ac:dyDescent="0.2">
      <c r="W7226" s="39"/>
    </row>
    <row r="7227" spans="23:23" x14ac:dyDescent="0.2">
      <c r="W7227" s="39"/>
    </row>
    <row r="7228" spans="23:23" x14ac:dyDescent="0.2">
      <c r="W7228" s="39"/>
    </row>
    <row r="7229" spans="23:23" x14ac:dyDescent="0.2">
      <c r="W7229" s="39"/>
    </row>
    <row r="7230" spans="23:23" x14ac:dyDescent="0.2">
      <c r="W7230" s="39"/>
    </row>
    <row r="7231" spans="23:23" x14ac:dyDescent="0.2">
      <c r="W7231" s="39"/>
    </row>
    <row r="7232" spans="23:23" x14ac:dyDescent="0.2">
      <c r="W7232" s="39"/>
    </row>
    <row r="7233" spans="23:23" x14ac:dyDescent="0.2">
      <c r="W7233" s="39"/>
    </row>
    <row r="7234" spans="23:23" x14ac:dyDescent="0.2">
      <c r="W7234" s="39"/>
    </row>
    <row r="7235" spans="23:23" x14ac:dyDescent="0.2">
      <c r="W7235" s="39"/>
    </row>
    <row r="7236" spans="23:23" x14ac:dyDescent="0.2">
      <c r="W7236" s="39"/>
    </row>
    <row r="7237" spans="23:23" x14ac:dyDescent="0.2">
      <c r="W7237" s="39"/>
    </row>
    <row r="7238" spans="23:23" x14ac:dyDescent="0.2">
      <c r="W7238" s="39"/>
    </row>
    <row r="7239" spans="23:23" x14ac:dyDescent="0.2">
      <c r="W7239" s="39"/>
    </row>
    <row r="7240" spans="23:23" x14ac:dyDescent="0.2">
      <c r="W7240" s="39"/>
    </row>
    <row r="7241" spans="23:23" x14ac:dyDescent="0.2">
      <c r="W7241" s="39"/>
    </row>
    <row r="7242" spans="23:23" x14ac:dyDescent="0.2">
      <c r="W7242" s="39"/>
    </row>
    <row r="7243" spans="23:23" x14ac:dyDescent="0.2">
      <c r="W7243" s="39"/>
    </row>
    <row r="7244" spans="23:23" x14ac:dyDescent="0.2">
      <c r="W7244" s="39"/>
    </row>
    <row r="7245" spans="23:23" x14ac:dyDescent="0.2">
      <c r="W7245" s="39"/>
    </row>
    <row r="7246" spans="23:23" x14ac:dyDescent="0.2">
      <c r="W7246" s="39"/>
    </row>
    <row r="7247" spans="23:23" x14ac:dyDescent="0.2">
      <c r="W7247" s="39"/>
    </row>
    <row r="7248" spans="23:23" x14ac:dyDescent="0.2">
      <c r="W7248" s="39"/>
    </row>
    <row r="7249" spans="23:23" x14ac:dyDescent="0.2">
      <c r="W7249" s="39"/>
    </row>
    <row r="7250" spans="23:23" x14ac:dyDescent="0.2">
      <c r="W7250" s="39"/>
    </row>
    <row r="7251" spans="23:23" x14ac:dyDescent="0.2">
      <c r="W7251" s="39"/>
    </row>
    <row r="7252" spans="23:23" x14ac:dyDescent="0.2">
      <c r="W7252" s="39"/>
    </row>
    <row r="7253" spans="23:23" x14ac:dyDescent="0.2">
      <c r="W7253" s="39"/>
    </row>
    <row r="7254" spans="23:23" x14ac:dyDescent="0.2">
      <c r="W7254" s="39"/>
    </row>
    <row r="7255" spans="23:23" x14ac:dyDescent="0.2">
      <c r="W7255" s="39"/>
    </row>
    <row r="7256" spans="23:23" x14ac:dyDescent="0.2">
      <c r="W7256" s="39"/>
    </row>
    <row r="7257" spans="23:23" x14ac:dyDescent="0.2">
      <c r="W7257" s="39"/>
    </row>
    <row r="7258" spans="23:23" x14ac:dyDescent="0.2">
      <c r="W7258" s="39"/>
    </row>
    <row r="7259" spans="23:23" x14ac:dyDescent="0.2">
      <c r="W7259" s="39"/>
    </row>
    <row r="7260" spans="23:23" x14ac:dyDescent="0.2">
      <c r="W7260" s="39"/>
    </row>
    <row r="7261" spans="23:23" x14ac:dyDescent="0.2">
      <c r="W7261" s="39"/>
    </row>
    <row r="7262" spans="23:23" x14ac:dyDescent="0.2">
      <c r="W7262" s="39"/>
    </row>
    <row r="7263" spans="23:23" x14ac:dyDescent="0.2">
      <c r="W7263" s="39"/>
    </row>
    <row r="7264" spans="23:23" x14ac:dyDescent="0.2">
      <c r="W7264" s="39"/>
    </row>
    <row r="7265" spans="23:23" x14ac:dyDescent="0.2">
      <c r="W7265" s="39"/>
    </row>
    <row r="7266" spans="23:23" x14ac:dyDescent="0.2">
      <c r="W7266" s="39"/>
    </row>
    <row r="7267" spans="23:23" x14ac:dyDescent="0.2">
      <c r="W7267" s="39"/>
    </row>
    <row r="7268" spans="23:23" x14ac:dyDescent="0.2">
      <c r="W7268" s="39"/>
    </row>
    <row r="7269" spans="23:23" x14ac:dyDescent="0.2">
      <c r="W7269" s="39"/>
    </row>
    <row r="7270" spans="23:23" x14ac:dyDescent="0.2">
      <c r="W7270" s="39"/>
    </row>
    <row r="7271" spans="23:23" x14ac:dyDescent="0.2">
      <c r="W7271" s="39"/>
    </row>
    <row r="7272" spans="23:23" x14ac:dyDescent="0.2">
      <c r="W7272" s="39"/>
    </row>
    <row r="7273" spans="23:23" x14ac:dyDescent="0.2">
      <c r="W7273" s="39"/>
    </row>
    <row r="7274" spans="23:23" x14ac:dyDescent="0.2">
      <c r="W7274" s="39"/>
    </row>
    <row r="7275" spans="23:23" x14ac:dyDescent="0.2">
      <c r="W7275" s="39"/>
    </row>
    <row r="7276" spans="23:23" x14ac:dyDescent="0.2">
      <c r="W7276" s="39"/>
    </row>
    <row r="7277" spans="23:23" x14ac:dyDescent="0.2">
      <c r="W7277" s="39"/>
    </row>
    <row r="7278" spans="23:23" x14ac:dyDescent="0.2">
      <c r="W7278" s="39"/>
    </row>
    <row r="7279" spans="23:23" x14ac:dyDescent="0.2">
      <c r="W7279" s="39"/>
    </row>
    <row r="7280" spans="23:23" x14ac:dyDescent="0.2">
      <c r="W7280" s="39"/>
    </row>
    <row r="7281" spans="23:23" x14ac:dyDescent="0.2">
      <c r="W7281" s="39"/>
    </row>
    <row r="7282" spans="23:23" x14ac:dyDescent="0.2">
      <c r="W7282" s="39"/>
    </row>
    <row r="7283" spans="23:23" x14ac:dyDescent="0.2">
      <c r="W7283" s="39"/>
    </row>
    <row r="7284" spans="23:23" x14ac:dyDescent="0.2">
      <c r="W7284" s="39"/>
    </row>
    <row r="7285" spans="23:23" x14ac:dyDescent="0.2">
      <c r="W7285" s="39"/>
    </row>
    <row r="7286" spans="23:23" x14ac:dyDescent="0.2">
      <c r="W7286" s="39"/>
    </row>
    <row r="7287" spans="23:23" x14ac:dyDescent="0.2">
      <c r="W7287" s="39"/>
    </row>
    <row r="7288" spans="23:23" x14ac:dyDescent="0.2">
      <c r="W7288" s="39"/>
    </row>
    <row r="7289" spans="23:23" x14ac:dyDescent="0.2">
      <c r="W7289" s="39"/>
    </row>
    <row r="7290" spans="23:23" x14ac:dyDescent="0.2">
      <c r="W7290" s="39"/>
    </row>
    <row r="7291" spans="23:23" x14ac:dyDescent="0.2">
      <c r="W7291" s="39"/>
    </row>
    <row r="7292" spans="23:23" x14ac:dyDescent="0.2">
      <c r="W7292" s="39"/>
    </row>
    <row r="7293" spans="23:23" x14ac:dyDescent="0.2">
      <c r="W7293" s="39"/>
    </row>
    <row r="7294" spans="23:23" x14ac:dyDescent="0.2">
      <c r="W7294" s="39"/>
    </row>
    <row r="7295" spans="23:23" x14ac:dyDescent="0.2">
      <c r="W7295" s="39"/>
    </row>
    <row r="7296" spans="23:23" x14ac:dyDescent="0.2">
      <c r="W7296" s="39"/>
    </row>
    <row r="7297" spans="23:23" x14ac:dyDescent="0.2">
      <c r="W7297" s="39"/>
    </row>
    <row r="7298" spans="23:23" x14ac:dyDescent="0.2">
      <c r="W7298" s="39"/>
    </row>
    <row r="7299" spans="23:23" x14ac:dyDescent="0.2">
      <c r="W7299" s="39"/>
    </row>
    <row r="7300" spans="23:23" x14ac:dyDescent="0.2">
      <c r="W7300" s="39"/>
    </row>
    <row r="7301" spans="23:23" x14ac:dyDescent="0.2">
      <c r="W7301" s="39"/>
    </row>
    <row r="7302" spans="23:23" x14ac:dyDescent="0.2">
      <c r="W7302" s="39"/>
    </row>
    <row r="7303" spans="23:23" x14ac:dyDescent="0.2">
      <c r="W7303" s="39"/>
    </row>
    <row r="7304" spans="23:23" x14ac:dyDescent="0.2">
      <c r="W7304" s="39"/>
    </row>
    <row r="7305" spans="23:23" x14ac:dyDescent="0.2">
      <c r="W7305" s="39"/>
    </row>
    <row r="7306" spans="23:23" x14ac:dyDescent="0.2">
      <c r="W7306" s="39"/>
    </row>
    <row r="7307" spans="23:23" x14ac:dyDescent="0.2">
      <c r="W7307" s="39"/>
    </row>
    <row r="7308" spans="23:23" x14ac:dyDescent="0.2">
      <c r="W7308" s="39"/>
    </row>
    <row r="7309" spans="23:23" x14ac:dyDescent="0.2">
      <c r="W7309" s="39"/>
    </row>
    <row r="7310" spans="23:23" x14ac:dyDescent="0.2">
      <c r="W7310" s="39"/>
    </row>
    <row r="7311" spans="23:23" x14ac:dyDescent="0.2">
      <c r="W7311" s="39"/>
    </row>
    <row r="7312" spans="23:23" x14ac:dyDescent="0.2">
      <c r="W7312" s="39"/>
    </row>
    <row r="7313" spans="23:23" x14ac:dyDescent="0.2">
      <c r="W7313" s="39"/>
    </row>
    <row r="7314" spans="23:23" x14ac:dyDescent="0.2">
      <c r="W7314" s="39"/>
    </row>
    <row r="7315" spans="23:23" x14ac:dyDescent="0.2">
      <c r="W7315" s="39"/>
    </row>
    <row r="7316" spans="23:23" x14ac:dyDescent="0.2">
      <c r="W7316" s="39"/>
    </row>
    <row r="7317" spans="23:23" x14ac:dyDescent="0.2">
      <c r="W7317" s="39"/>
    </row>
    <row r="7318" spans="23:23" x14ac:dyDescent="0.2">
      <c r="W7318" s="39"/>
    </row>
    <row r="7319" spans="23:23" x14ac:dyDescent="0.2">
      <c r="W7319" s="39"/>
    </row>
    <row r="7320" spans="23:23" x14ac:dyDescent="0.2">
      <c r="W7320" s="39"/>
    </row>
    <row r="7321" spans="23:23" x14ac:dyDescent="0.2">
      <c r="W7321" s="39"/>
    </row>
    <row r="7322" spans="23:23" x14ac:dyDescent="0.2">
      <c r="W7322" s="39"/>
    </row>
    <row r="7323" spans="23:23" x14ac:dyDescent="0.2">
      <c r="W7323" s="39"/>
    </row>
    <row r="7324" spans="23:23" x14ac:dyDescent="0.2">
      <c r="W7324" s="39"/>
    </row>
    <row r="7325" spans="23:23" x14ac:dyDescent="0.2">
      <c r="W7325" s="39"/>
    </row>
    <row r="7326" spans="23:23" x14ac:dyDescent="0.2">
      <c r="W7326" s="39"/>
    </row>
    <row r="7327" spans="23:23" x14ac:dyDescent="0.2">
      <c r="W7327" s="39"/>
    </row>
    <row r="7328" spans="23:23" x14ac:dyDescent="0.2">
      <c r="W7328" s="39"/>
    </row>
    <row r="7329" spans="23:23" x14ac:dyDescent="0.2">
      <c r="W7329" s="39"/>
    </row>
    <row r="7330" spans="23:23" x14ac:dyDescent="0.2">
      <c r="W7330" s="39"/>
    </row>
    <row r="7331" spans="23:23" x14ac:dyDescent="0.2">
      <c r="W7331" s="39"/>
    </row>
    <row r="7332" spans="23:23" x14ac:dyDescent="0.2">
      <c r="W7332" s="39"/>
    </row>
    <row r="7333" spans="23:23" x14ac:dyDescent="0.2">
      <c r="W7333" s="39"/>
    </row>
    <row r="7334" spans="23:23" x14ac:dyDescent="0.2">
      <c r="W7334" s="39"/>
    </row>
    <row r="7335" spans="23:23" x14ac:dyDescent="0.2">
      <c r="W7335" s="39"/>
    </row>
    <row r="7336" spans="23:23" x14ac:dyDescent="0.2">
      <c r="W7336" s="39"/>
    </row>
    <row r="7337" spans="23:23" x14ac:dyDescent="0.2">
      <c r="W7337" s="39"/>
    </row>
    <row r="7338" spans="23:23" x14ac:dyDescent="0.2">
      <c r="W7338" s="39"/>
    </row>
    <row r="7339" spans="23:23" x14ac:dyDescent="0.2">
      <c r="W7339" s="39"/>
    </row>
    <row r="7340" spans="23:23" x14ac:dyDescent="0.2">
      <c r="W7340" s="39"/>
    </row>
    <row r="7341" spans="23:23" x14ac:dyDescent="0.2">
      <c r="W7341" s="39"/>
    </row>
    <row r="7342" spans="23:23" x14ac:dyDescent="0.2">
      <c r="W7342" s="39"/>
    </row>
    <row r="7343" spans="23:23" x14ac:dyDescent="0.2">
      <c r="W7343" s="39"/>
    </row>
    <row r="7344" spans="23:23" x14ac:dyDescent="0.2">
      <c r="W7344" s="39"/>
    </row>
    <row r="7345" spans="23:23" x14ac:dyDescent="0.2">
      <c r="W7345" s="39"/>
    </row>
    <row r="7346" spans="23:23" x14ac:dyDescent="0.2">
      <c r="W7346" s="39"/>
    </row>
    <row r="7347" spans="23:23" x14ac:dyDescent="0.2">
      <c r="W7347" s="39"/>
    </row>
    <row r="7348" spans="23:23" x14ac:dyDescent="0.2">
      <c r="W7348" s="39"/>
    </row>
    <row r="7349" spans="23:23" x14ac:dyDescent="0.2">
      <c r="W7349" s="39"/>
    </row>
    <row r="7350" spans="23:23" x14ac:dyDescent="0.2">
      <c r="W7350" s="39"/>
    </row>
    <row r="7351" spans="23:23" x14ac:dyDescent="0.2">
      <c r="W7351" s="39"/>
    </row>
    <row r="7352" spans="23:23" x14ac:dyDescent="0.2">
      <c r="W7352" s="39"/>
    </row>
    <row r="7353" spans="23:23" x14ac:dyDescent="0.2">
      <c r="W7353" s="39"/>
    </row>
    <row r="7354" spans="23:23" x14ac:dyDescent="0.2">
      <c r="W7354" s="39"/>
    </row>
    <row r="7355" spans="23:23" x14ac:dyDescent="0.2">
      <c r="W7355" s="39"/>
    </row>
    <row r="7356" spans="23:23" x14ac:dyDescent="0.2">
      <c r="W7356" s="39"/>
    </row>
    <row r="7357" spans="23:23" x14ac:dyDescent="0.2">
      <c r="W7357" s="39"/>
    </row>
    <row r="7358" spans="23:23" x14ac:dyDescent="0.2">
      <c r="W7358" s="39"/>
    </row>
    <row r="7359" spans="23:23" x14ac:dyDescent="0.2">
      <c r="W7359" s="39"/>
    </row>
    <row r="7360" spans="23:23" x14ac:dyDescent="0.2">
      <c r="W7360" s="39"/>
    </row>
    <row r="7361" spans="23:23" x14ac:dyDescent="0.2">
      <c r="W7361" s="39"/>
    </row>
    <row r="7362" spans="23:23" x14ac:dyDescent="0.2">
      <c r="W7362" s="39"/>
    </row>
    <row r="7363" spans="23:23" x14ac:dyDescent="0.2">
      <c r="W7363" s="39"/>
    </row>
    <row r="7364" spans="23:23" x14ac:dyDescent="0.2">
      <c r="W7364" s="39"/>
    </row>
    <row r="7365" spans="23:23" x14ac:dyDescent="0.2">
      <c r="W7365" s="39"/>
    </row>
    <row r="7366" spans="23:23" x14ac:dyDescent="0.2">
      <c r="W7366" s="39"/>
    </row>
    <row r="7367" spans="23:23" x14ac:dyDescent="0.2">
      <c r="W7367" s="39"/>
    </row>
    <row r="7368" spans="23:23" x14ac:dyDescent="0.2">
      <c r="W7368" s="39"/>
    </row>
    <row r="7369" spans="23:23" x14ac:dyDescent="0.2">
      <c r="W7369" s="39"/>
    </row>
    <row r="7370" spans="23:23" x14ac:dyDescent="0.2">
      <c r="W7370" s="39"/>
    </row>
    <row r="7371" spans="23:23" x14ac:dyDescent="0.2">
      <c r="W7371" s="39"/>
    </row>
    <row r="7372" spans="23:23" x14ac:dyDescent="0.2">
      <c r="W7372" s="39"/>
    </row>
    <row r="7373" spans="23:23" x14ac:dyDescent="0.2">
      <c r="W7373" s="39"/>
    </row>
    <row r="7374" spans="23:23" x14ac:dyDescent="0.2">
      <c r="W7374" s="39"/>
    </row>
    <row r="7375" spans="23:23" x14ac:dyDescent="0.2">
      <c r="W7375" s="39"/>
    </row>
    <row r="7376" spans="23:23" x14ac:dyDescent="0.2">
      <c r="W7376" s="39"/>
    </row>
    <row r="7377" spans="23:23" x14ac:dyDescent="0.2">
      <c r="W7377" s="39"/>
    </row>
    <row r="7378" spans="23:23" x14ac:dyDescent="0.2">
      <c r="W7378" s="39"/>
    </row>
    <row r="7379" spans="23:23" x14ac:dyDescent="0.2">
      <c r="W7379" s="39"/>
    </row>
    <row r="7380" spans="23:23" x14ac:dyDescent="0.2">
      <c r="W7380" s="39"/>
    </row>
    <row r="7381" spans="23:23" x14ac:dyDescent="0.2">
      <c r="W7381" s="39"/>
    </row>
    <row r="7382" spans="23:23" x14ac:dyDescent="0.2">
      <c r="W7382" s="39"/>
    </row>
    <row r="7383" spans="23:23" x14ac:dyDescent="0.2">
      <c r="W7383" s="39"/>
    </row>
    <row r="7384" spans="23:23" x14ac:dyDescent="0.2">
      <c r="W7384" s="39"/>
    </row>
    <row r="7385" spans="23:23" x14ac:dyDescent="0.2">
      <c r="W7385" s="39"/>
    </row>
    <row r="7386" spans="23:23" x14ac:dyDescent="0.2">
      <c r="W7386" s="39"/>
    </row>
    <row r="7387" spans="23:23" x14ac:dyDescent="0.2">
      <c r="W7387" s="39"/>
    </row>
    <row r="7388" spans="23:23" x14ac:dyDescent="0.2">
      <c r="W7388" s="39"/>
    </row>
    <row r="7389" spans="23:23" x14ac:dyDescent="0.2">
      <c r="W7389" s="39"/>
    </row>
    <row r="7390" spans="23:23" x14ac:dyDescent="0.2">
      <c r="W7390" s="39"/>
    </row>
    <row r="7391" spans="23:23" x14ac:dyDescent="0.2">
      <c r="W7391" s="39"/>
    </row>
    <row r="7392" spans="23:23" x14ac:dyDescent="0.2">
      <c r="W7392" s="39"/>
    </row>
    <row r="7393" spans="23:23" x14ac:dyDescent="0.2">
      <c r="W7393" s="39"/>
    </row>
    <row r="7394" spans="23:23" x14ac:dyDescent="0.2">
      <c r="W7394" s="39"/>
    </row>
    <row r="7395" spans="23:23" x14ac:dyDescent="0.2">
      <c r="W7395" s="39"/>
    </row>
    <row r="7396" spans="23:23" x14ac:dyDescent="0.2">
      <c r="W7396" s="39"/>
    </row>
    <row r="7397" spans="23:23" x14ac:dyDescent="0.2">
      <c r="W7397" s="39"/>
    </row>
    <row r="7398" spans="23:23" x14ac:dyDescent="0.2">
      <c r="W7398" s="39"/>
    </row>
    <row r="7399" spans="23:23" x14ac:dyDescent="0.2">
      <c r="W7399" s="39"/>
    </row>
    <row r="7400" spans="23:23" x14ac:dyDescent="0.2">
      <c r="W7400" s="39"/>
    </row>
    <row r="7401" spans="23:23" x14ac:dyDescent="0.2">
      <c r="W7401" s="39"/>
    </row>
    <row r="7402" spans="23:23" x14ac:dyDescent="0.2">
      <c r="W7402" s="39"/>
    </row>
    <row r="7403" spans="23:23" x14ac:dyDescent="0.2">
      <c r="W7403" s="39"/>
    </row>
    <row r="7404" spans="23:23" x14ac:dyDescent="0.2">
      <c r="W7404" s="39"/>
    </row>
    <row r="7405" spans="23:23" x14ac:dyDescent="0.2">
      <c r="W7405" s="39"/>
    </row>
    <row r="7406" spans="23:23" x14ac:dyDescent="0.2">
      <c r="W7406" s="39"/>
    </row>
    <row r="7407" spans="23:23" x14ac:dyDescent="0.2">
      <c r="W7407" s="39"/>
    </row>
    <row r="7408" spans="23:23" x14ac:dyDescent="0.2">
      <c r="W7408" s="39"/>
    </row>
    <row r="7409" spans="23:23" x14ac:dyDescent="0.2">
      <c r="W7409" s="39"/>
    </row>
    <row r="7410" spans="23:23" x14ac:dyDescent="0.2">
      <c r="W7410" s="39"/>
    </row>
    <row r="7411" spans="23:23" x14ac:dyDescent="0.2">
      <c r="W7411" s="39"/>
    </row>
    <row r="7412" spans="23:23" x14ac:dyDescent="0.2">
      <c r="W7412" s="39"/>
    </row>
    <row r="7413" spans="23:23" x14ac:dyDescent="0.2">
      <c r="W7413" s="39"/>
    </row>
    <row r="7414" spans="23:23" x14ac:dyDescent="0.2">
      <c r="W7414" s="39"/>
    </row>
    <row r="7415" spans="23:23" x14ac:dyDescent="0.2">
      <c r="W7415" s="39"/>
    </row>
    <row r="7416" spans="23:23" x14ac:dyDescent="0.2">
      <c r="W7416" s="39"/>
    </row>
    <row r="7417" spans="23:23" x14ac:dyDescent="0.2">
      <c r="W7417" s="39"/>
    </row>
    <row r="7418" spans="23:23" x14ac:dyDescent="0.2">
      <c r="W7418" s="39"/>
    </row>
    <row r="7419" spans="23:23" x14ac:dyDescent="0.2">
      <c r="W7419" s="39"/>
    </row>
    <row r="7420" spans="23:23" x14ac:dyDescent="0.2">
      <c r="W7420" s="39"/>
    </row>
    <row r="7421" spans="23:23" x14ac:dyDescent="0.2">
      <c r="W7421" s="39"/>
    </row>
    <row r="7422" spans="23:23" x14ac:dyDescent="0.2">
      <c r="W7422" s="39"/>
    </row>
    <row r="7423" spans="23:23" x14ac:dyDescent="0.2">
      <c r="W7423" s="39"/>
    </row>
    <row r="7424" spans="23:23" x14ac:dyDescent="0.2">
      <c r="W7424" s="39"/>
    </row>
    <row r="7425" spans="23:23" x14ac:dyDescent="0.2">
      <c r="W7425" s="39"/>
    </row>
    <row r="7426" spans="23:23" x14ac:dyDescent="0.2">
      <c r="W7426" s="39"/>
    </row>
    <row r="7427" spans="23:23" x14ac:dyDescent="0.2">
      <c r="W7427" s="39"/>
    </row>
    <row r="7428" spans="23:23" x14ac:dyDescent="0.2">
      <c r="W7428" s="39"/>
    </row>
    <row r="7429" spans="23:23" x14ac:dyDescent="0.2">
      <c r="W7429" s="39"/>
    </row>
    <row r="7430" spans="23:23" x14ac:dyDescent="0.2">
      <c r="W7430" s="39"/>
    </row>
    <row r="7431" spans="23:23" x14ac:dyDescent="0.2">
      <c r="W7431" s="39"/>
    </row>
    <row r="7432" spans="23:23" x14ac:dyDescent="0.2">
      <c r="W7432" s="39"/>
    </row>
    <row r="7433" spans="23:23" x14ac:dyDescent="0.2">
      <c r="W7433" s="39"/>
    </row>
    <row r="7434" spans="23:23" x14ac:dyDescent="0.2">
      <c r="W7434" s="39"/>
    </row>
    <row r="7435" spans="23:23" x14ac:dyDescent="0.2">
      <c r="W7435" s="39"/>
    </row>
    <row r="7436" spans="23:23" x14ac:dyDescent="0.2">
      <c r="W7436" s="39"/>
    </row>
    <row r="7437" spans="23:23" x14ac:dyDescent="0.2">
      <c r="W7437" s="39"/>
    </row>
    <row r="7438" spans="23:23" x14ac:dyDescent="0.2">
      <c r="W7438" s="39"/>
    </row>
    <row r="7439" spans="23:23" x14ac:dyDescent="0.2">
      <c r="W7439" s="39"/>
    </row>
    <row r="7440" spans="23:23" x14ac:dyDescent="0.2">
      <c r="W7440" s="39"/>
    </row>
    <row r="7441" spans="23:23" x14ac:dyDescent="0.2">
      <c r="W7441" s="39"/>
    </row>
    <row r="7442" spans="23:23" x14ac:dyDescent="0.2">
      <c r="W7442" s="39"/>
    </row>
    <row r="7443" spans="23:23" x14ac:dyDescent="0.2">
      <c r="W7443" s="39"/>
    </row>
    <row r="7444" spans="23:23" x14ac:dyDescent="0.2">
      <c r="W7444" s="39"/>
    </row>
    <row r="7445" spans="23:23" x14ac:dyDescent="0.2">
      <c r="W7445" s="39"/>
    </row>
    <row r="7446" spans="23:23" x14ac:dyDescent="0.2">
      <c r="W7446" s="39"/>
    </row>
    <row r="7447" spans="23:23" x14ac:dyDescent="0.2">
      <c r="W7447" s="39"/>
    </row>
    <row r="7448" spans="23:23" x14ac:dyDescent="0.2">
      <c r="W7448" s="39"/>
    </row>
    <row r="7449" spans="23:23" x14ac:dyDescent="0.2">
      <c r="W7449" s="39"/>
    </row>
    <row r="7450" spans="23:23" x14ac:dyDescent="0.2">
      <c r="W7450" s="39"/>
    </row>
    <row r="7451" spans="23:23" x14ac:dyDescent="0.2">
      <c r="W7451" s="39"/>
    </row>
    <row r="7452" spans="23:23" x14ac:dyDescent="0.2">
      <c r="W7452" s="39"/>
    </row>
    <row r="7453" spans="23:23" x14ac:dyDescent="0.2">
      <c r="W7453" s="39"/>
    </row>
    <row r="7454" spans="23:23" x14ac:dyDescent="0.2">
      <c r="W7454" s="39"/>
    </row>
    <row r="7455" spans="23:23" x14ac:dyDescent="0.2">
      <c r="W7455" s="39"/>
    </row>
    <row r="7456" spans="23:23" x14ac:dyDescent="0.2">
      <c r="W7456" s="39"/>
    </row>
    <row r="7457" spans="23:23" x14ac:dyDescent="0.2">
      <c r="W7457" s="39"/>
    </row>
    <row r="7458" spans="23:23" x14ac:dyDescent="0.2">
      <c r="W7458" s="39"/>
    </row>
    <row r="7459" spans="23:23" x14ac:dyDescent="0.2">
      <c r="W7459" s="39"/>
    </row>
    <row r="7460" spans="23:23" x14ac:dyDescent="0.2">
      <c r="W7460" s="39"/>
    </row>
    <row r="7461" spans="23:23" x14ac:dyDescent="0.2">
      <c r="W7461" s="39"/>
    </row>
    <row r="7462" spans="23:23" x14ac:dyDescent="0.2">
      <c r="W7462" s="39"/>
    </row>
    <row r="7463" spans="23:23" x14ac:dyDescent="0.2">
      <c r="W7463" s="39"/>
    </row>
    <row r="7464" spans="23:23" x14ac:dyDescent="0.2">
      <c r="W7464" s="39"/>
    </row>
    <row r="7465" spans="23:23" x14ac:dyDescent="0.2">
      <c r="W7465" s="39"/>
    </row>
    <row r="7466" spans="23:23" x14ac:dyDescent="0.2">
      <c r="W7466" s="39"/>
    </row>
    <row r="7467" spans="23:23" x14ac:dyDescent="0.2">
      <c r="W7467" s="39"/>
    </row>
    <row r="7468" spans="23:23" x14ac:dyDescent="0.2">
      <c r="W7468" s="39"/>
    </row>
    <row r="7469" spans="23:23" x14ac:dyDescent="0.2">
      <c r="W7469" s="39"/>
    </row>
    <row r="7470" spans="23:23" x14ac:dyDescent="0.2">
      <c r="W7470" s="39"/>
    </row>
    <row r="7471" spans="23:23" x14ac:dyDescent="0.2">
      <c r="W7471" s="39"/>
    </row>
    <row r="7472" spans="23:23" x14ac:dyDescent="0.2">
      <c r="W7472" s="39"/>
    </row>
    <row r="7473" spans="23:23" x14ac:dyDescent="0.2">
      <c r="W7473" s="39"/>
    </row>
    <row r="7474" spans="23:23" x14ac:dyDescent="0.2">
      <c r="W7474" s="39"/>
    </row>
    <row r="7475" spans="23:23" x14ac:dyDescent="0.2">
      <c r="W7475" s="39"/>
    </row>
    <row r="7476" spans="23:23" x14ac:dyDescent="0.2">
      <c r="W7476" s="39"/>
    </row>
    <row r="7477" spans="23:23" x14ac:dyDescent="0.2">
      <c r="W7477" s="39"/>
    </row>
    <row r="7478" spans="23:23" x14ac:dyDescent="0.2">
      <c r="W7478" s="39"/>
    </row>
    <row r="7479" spans="23:23" x14ac:dyDescent="0.2">
      <c r="W7479" s="39"/>
    </row>
    <row r="7480" spans="23:23" x14ac:dyDescent="0.2">
      <c r="W7480" s="39"/>
    </row>
    <row r="7481" spans="23:23" x14ac:dyDescent="0.2">
      <c r="W7481" s="39"/>
    </row>
    <row r="7482" spans="23:23" x14ac:dyDescent="0.2">
      <c r="W7482" s="39"/>
    </row>
    <row r="7483" spans="23:23" x14ac:dyDescent="0.2">
      <c r="W7483" s="39"/>
    </row>
    <row r="7484" spans="23:23" x14ac:dyDescent="0.2">
      <c r="W7484" s="39"/>
    </row>
    <row r="7485" spans="23:23" x14ac:dyDescent="0.2">
      <c r="W7485" s="39"/>
    </row>
    <row r="7486" spans="23:23" x14ac:dyDescent="0.2">
      <c r="W7486" s="39"/>
    </row>
    <row r="7487" spans="23:23" x14ac:dyDescent="0.2">
      <c r="W7487" s="39"/>
    </row>
    <row r="7488" spans="23:23" x14ac:dyDescent="0.2">
      <c r="W7488" s="39"/>
    </row>
    <row r="7489" spans="23:23" x14ac:dyDescent="0.2">
      <c r="W7489" s="39"/>
    </row>
    <row r="7490" spans="23:23" x14ac:dyDescent="0.2">
      <c r="W7490" s="39"/>
    </row>
    <row r="7491" spans="23:23" x14ac:dyDescent="0.2">
      <c r="W7491" s="39"/>
    </row>
    <row r="7492" spans="23:23" x14ac:dyDescent="0.2">
      <c r="W7492" s="39"/>
    </row>
    <row r="7493" spans="23:23" x14ac:dyDescent="0.2">
      <c r="W7493" s="39"/>
    </row>
    <row r="7494" spans="23:23" x14ac:dyDescent="0.2">
      <c r="W7494" s="39"/>
    </row>
    <row r="7495" spans="23:23" x14ac:dyDescent="0.2">
      <c r="W7495" s="39"/>
    </row>
    <row r="7496" spans="23:23" x14ac:dyDescent="0.2">
      <c r="W7496" s="39"/>
    </row>
    <row r="7497" spans="23:23" x14ac:dyDescent="0.2">
      <c r="W7497" s="39"/>
    </row>
    <row r="7498" spans="23:23" x14ac:dyDescent="0.2">
      <c r="W7498" s="39"/>
    </row>
    <row r="7499" spans="23:23" x14ac:dyDescent="0.2">
      <c r="W7499" s="39"/>
    </row>
    <row r="7500" spans="23:23" x14ac:dyDescent="0.2">
      <c r="W7500" s="39"/>
    </row>
    <row r="7501" spans="23:23" x14ac:dyDescent="0.2">
      <c r="W7501" s="39"/>
    </row>
    <row r="7502" spans="23:23" x14ac:dyDescent="0.2">
      <c r="W7502" s="39"/>
    </row>
    <row r="7503" spans="23:23" x14ac:dyDescent="0.2">
      <c r="W7503" s="39"/>
    </row>
    <row r="7504" spans="23:23" x14ac:dyDescent="0.2">
      <c r="W7504" s="39"/>
    </row>
    <row r="7505" spans="23:23" x14ac:dyDescent="0.2">
      <c r="W7505" s="39"/>
    </row>
    <row r="7506" spans="23:23" x14ac:dyDescent="0.2">
      <c r="W7506" s="39"/>
    </row>
    <row r="7507" spans="23:23" x14ac:dyDescent="0.2">
      <c r="W7507" s="39"/>
    </row>
    <row r="7508" spans="23:23" x14ac:dyDescent="0.2">
      <c r="W7508" s="39"/>
    </row>
    <row r="7509" spans="23:23" x14ac:dyDescent="0.2">
      <c r="W7509" s="39"/>
    </row>
    <row r="7510" spans="23:23" x14ac:dyDescent="0.2">
      <c r="W7510" s="39"/>
    </row>
    <row r="7511" spans="23:23" x14ac:dyDescent="0.2">
      <c r="W7511" s="39"/>
    </row>
    <row r="7512" spans="23:23" x14ac:dyDescent="0.2">
      <c r="W7512" s="39"/>
    </row>
    <row r="7513" spans="23:23" x14ac:dyDescent="0.2">
      <c r="W7513" s="39"/>
    </row>
    <row r="7514" spans="23:23" x14ac:dyDescent="0.2">
      <c r="W7514" s="39"/>
    </row>
    <row r="7515" spans="23:23" x14ac:dyDescent="0.2">
      <c r="W7515" s="39"/>
    </row>
    <row r="7516" spans="23:23" x14ac:dyDescent="0.2">
      <c r="W7516" s="39"/>
    </row>
    <row r="7517" spans="23:23" x14ac:dyDescent="0.2">
      <c r="W7517" s="39"/>
    </row>
    <row r="7518" spans="23:23" x14ac:dyDescent="0.2">
      <c r="W7518" s="39"/>
    </row>
    <row r="7519" spans="23:23" x14ac:dyDescent="0.2">
      <c r="W7519" s="39"/>
    </row>
    <row r="7520" spans="23:23" x14ac:dyDescent="0.2">
      <c r="W7520" s="39"/>
    </row>
    <row r="7521" spans="23:23" x14ac:dyDescent="0.2">
      <c r="W7521" s="39"/>
    </row>
    <row r="7522" spans="23:23" x14ac:dyDescent="0.2">
      <c r="W7522" s="39"/>
    </row>
    <row r="7523" spans="23:23" x14ac:dyDescent="0.2">
      <c r="W7523" s="39"/>
    </row>
    <row r="7524" spans="23:23" x14ac:dyDescent="0.2">
      <c r="W7524" s="39"/>
    </row>
    <row r="7525" spans="23:23" x14ac:dyDescent="0.2">
      <c r="W7525" s="39"/>
    </row>
    <row r="7526" spans="23:23" x14ac:dyDescent="0.2">
      <c r="W7526" s="39"/>
    </row>
    <row r="7527" spans="23:23" x14ac:dyDescent="0.2">
      <c r="W7527" s="39"/>
    </row>
    <row r="7528" spans="23:23" x14ac:dyDescent="0.2">
      <c r="W7528" s="39"/>
    </row>
    <row r="7529" spans="23:23" x14ac:dyDescent="0.2">
      <c r="W7529" s="39"/>
    </row>
    <row r="7530" spans="23:23" x14ac:dyDescent="0.2">
      <c r="W7530" s="39"/>
    </row>
    <row r="7531" spans="23:23" x14ac:dyDescent="0.2">
      <c r="W7531" s="39"/>
    </row>
    <row r="7532" spans="23:23" x14ac:dyDescent="0.2">
      <c r="W7532" s="39"/>
    </row>
    <row r="7533" spans="23:23" x14ac:dyDescent="0.2">
      <c r="W7533" s="39"/>
    </row>
    <row r="7534" spans="23:23" x14ac:dyDescent="0.2">
      <c r="W7534" s="39"/>
    </row>
    <row r="7535" spans="23:23" x14ac:dyDescent="0.2">
      <c r="W7535" s="39"/>
    </row>
    <row r="7536" spans="23:23" x14ac:dyDescent="0.2">
      <c r="W7536" s="39"/>
    </row>
    <row r="7537" spans="23:23" x14ac:dyDescent="0.2">
      <c r="W7537" s="39"/>
    </row>
    <row r="7538" spans="23:23" x14ac:dyDescent="0.2">
      <c r="W7538" s="39"/>
    </row>
    <row r="7539" spans="23:23" x14ac:dyDescent="0.2">
      <c r="W7539" s="39"/>
    </row>
    <row r="7540" spans="23:23" x14ac:dyDescent="0.2">
      <c r="W7540" s="39"/>
    </row>
    <row r="7541" spans="23:23" x14ac:dyDescent="0.2">
      <c r="W7541" s="39"/>
    </row>
    <row r="7542" spans="23:23" x14ac:dyDescent="0.2">
      <c r="W7542" s="39"/>
    </row>
    <row r="7543" spans="23:23" x14ac:dyDescent="0.2">
      <c r="W7543" s="39"/>
    </row>
    <row r="7544" spans="23:23" x14ac:dyDescent="0.2">
      <c r="W7544" s="39"/>
    </row>
    <row r="7545" spans="23:23" x14ac:dyDescent="0.2">
      <c r="W7545" s="39"/>
    </row>
    <row r="7546" spans="23:23" x14ac:dyDescent="0.2">
      <c r="W7546" s="39"/>
    </row>
    <row r="7547" spans="23:23" x14ac:dyDescent="0.2">
      <c r="W7547" s="39"/>
    </row>
    <row r="7548" spans="23:23" x14ac:dyDescent="0.2">
      <c r="W7548" s="39"/>
    </row>
    <row r="7549" spans="23:23" x14ac:dyDescent="0.2">
      <c r="W7549" s="39"/>
    </row>
    <row r="7550" spans="23:23" x14ac:dyDescent="0.2">
      <c r="W7550" s="39"/>
    </row>
    <row r="7551" spans="23:23" x14ac:dyDescent="0.2">
      <c r="W7551" s="39"/>
    </row>
    <row r="7552" spans="23:23" x14ac:dyDescent="0.2">
      <c r="W7552" s="39"/>
    </row>
    <row r="7553" spans="23:23" x14ac:dyDescent="0.2">
      <c r="W7553" s="39"/>
    </row>
    <row r="7554" spans="23:23" x14ac:dyDescent="0.2">
      <c r="W7554" s="39"/>
    </row>
    <row r="7555" spans="23:23" x14ac:dyDescent="0.2">
      <c r="W7555" s="39"/>
    </row>
    <row r="7556" spans="23:23" x14ac:dyDescent="0.2">
      <c r="W7556" s="39"/>
    </row>
    <row r="7557" spans="23:23" x14ac:dyDescent="0.2">
      <c r="W7557" s="39"/>
    </row>
    <row r="7558" spans="23:23" x14ac:dyDescent="0.2">
      <c r="W7558" s="39"/>
    </row>
    <row r="7559" spans="23:23" x14ac:dyDescent="0.2">
      <c r="W7559" s="39"/>
    </row>
    <row r="7560" spans="23:23" x14ac:dyDescent="0.2">
      <c r="W7560" s="39"/>
    </row>
    <row r="7561" spans="23:23" x14ac:dyDescent="0.2">
      <c r="W7561" s="39"/>
    </row>
    <row r="7562" spans="23:23" x14ac:dyDescent="0.2">
      <c r="W7562" s="39"/>
    </row>
    <row r="7563" spans="23:23" x14ac:dyDescent="0.2">
      <c r="W7563" s="39"/>
    </row>
    <row r="7564" spans="23:23" x14ac:dyDescent="0.2">
      <c r="W7564" s="39"/>
    </row>
    <row r="7565" spans="23:23" x14ac:dyDescent="0.2">
      <c r="W7565" s="39"/>
    </row>
    <row r="7566" spans="23:23" x14ac:dyDescent="0.2">
      <c r="W7566" s="39"/>
    </row>
    <row r="7567" spans="23:23" x14ac:dyDescent="0.2">
      <c r="W7567" s="39"/>
    </row>
    <row r="7568" spans="23:23" x14ac:dyDescent="0.2">
      <c r="W7568" s="39"/>
    </row>
    <row r="7569" spans="23:23" x14ac:dyDescent="0.2">
      <c r="W7569" s="39"/>
    </row>
    <row r="7570" spans="23:23" x14ac:dyDescent="0.2">
      <c r="W7570" s="39"/>
    </row>
    <row r="7571" spans="23:23" x14ac:dyDescent="0.2">
      <c r="W7571" s="39"/>
    </row>
    <row r="7572" spans="23:23" x14ac:dyDescent="0.2">
      <c r="W7572" s="39"/>
    </row>
    <row r="7573" spans="23:23" x14ac:dyDescent="0.2">
      <c r="W7573" s="39"/>
    </row>
    <row r="7574" spans="23:23" x14ac:dyDescent="0.2">
      <c r="W7574" s="39"/>
    </row>
    <row r="7575" spans="23:23" x14ac:dyDescent="0.2">
      <c r="W7575" s="39"/>
    </row>
    <row r="7576" spans="23:23" x14ac:dyDescent="0.2">
      <c r="W7576" s="39"/>
    </row>
    <row r="7577" spans="23:23" x14ac:dyDescent="0.2">
      <c r="W7577" s="39"/>
    </row>
    <row r="7578" spans="23:23" x14ac:dyDescent="0.2">
      <c r="W7578" s="39"/>
    </row>
    <row r="7579" spans="23:23" x14ac:dyDescent="0.2">
      <c r="W7579" s="39"/>
    </row>
    <row r="7580" spans="23:23" x14ac:dyDescent="0.2">
      <c r="W7580" s="39"/>
    </row>
    <row r="7581" spans="23:23" x14ac:dyDescent="0.2">
      <c r="W7581" s="39"/>
    </row>
    <row r="7582" spans="23:23" x14ac:dyDescent="0.2">
      <c r="W7582" s="39"/>
    </row>
    <row r="7583" spans="23:23" x14ac:dyDescent="0.2">
      <c r="W7583" s="39"/>
    </row>
    <row r="7584" spans="23:23" x14ac:dyDescent="0.2">
      <c r="W7584" s="39"/>
    </row>
    <row r="7585" spans="23:23" x14ac:dyDescent="0.2">
      <c r="W7585" s="39"/>
    </row>
    <row r="7586" spans="23:23" x14ac:dyDescent="0.2">
      <c r="W7586" s="39"/>
    </row>
    <row r="7587" spans="23:23" x14ac:dyDescent="0.2">
      <c r="W7587" s="39"/>
    </row>
    <row r="7588" spans="23:23" x14ac:dyDescent="0.2">
      <c r="W7588" s="39"/>
    </row>
    <row r="7589" spans="23:23" x14ac:dyDescent="0.2">
      <c r="W7589" s="39"/>
    </row>
    <row r="7590" spans="23:23" x14ac:dyDescent="0.2">
      <c r="W7590" s="39"/>
    </row>
    <row r="7591" spans="23:23" x14ac:dyDescent="0.2">
      <c r="W7591" s="39"/>
    </row>
    <row r="7592" spans="23:23" x14ac:dyDescent="0.2">
      <c r="W7592" s="39"/>
    </row>
    <row r="7593" spans="23:23" x14ac:dyDescent="0.2">
      <c r="W7593" s="39"/>
    </row>
    <row r="7594" spans="23:23" x14ac:dyDescent="0.2">
      <c r="W7594" s="39"/>
    </row>
    <row r="7595" spans="23:23" x14ac:dyDescent="0.2">
      <c r="W7595" s="39"/>
    </row>
    <row r="7596" spans="23:23" x14ac:dyDescent="0.2">
      <c r="W7596" s="39"/>
    </row>
    <row r="7597" spans="23:23" x14ac:dyDescent="0.2">
      <c r="W7597" s="39"/>
    </row>
    <row r="7598" spans="23:23" x14ac:dyDescent="0.2">
      <c r="W7598" s="39"/>
    </row>
    <row r="7599" spans="23:23" x14ac:dyDescent="0.2">
      <c r="W7599" s="39"/>
    </row>
    <row r="7600" spans="23:23" x14ac:dyDescent="0.2">
      <c r="W7600" s="39"/>
    </row>
    <row r="7601" spans="23:23" x14ac:dyDescent="0.2">
      <c r="W7601" s="39"/>
    </row>
    <row r="7602" spans="23:23" x14ac:dyDescent="0.2">
      <c r="W7602" s="39"/>
    </row>
    <row r="7603" spans="23:23" x14ac:dyDescent="0.2">
      <c r="W7603" s="39"/>
    </row>
    <row r="7604" spans="23:23" x14ac:dyDescent="0.2">
      <c r="W7604" s="39"/>
    </row>
    <row r="7605" spans="23:23" x14ac:dyDescent="0.2">
      <c r="W7605" s="39"/>
    </row>
    <row r="7606" spans="23:23" x14ac:dyDescent="0.2">
      <c r="W7606" s="39"/>
    </row>
    <row r="7607" spans="23:23" x14ac:dyDescent="0.2">
      <c r="W7607" s="39"/>
    </row>
    <row r="7608" spans="23:23" x14ac:dyDescent="0.2">
      <c r="W7608" s="39"/>
    </row>
    <row r="7609" spans="23:23" x14ac:dyDescent="0.2">
      <c r="W7609" s="39"/>
    </row>
    <row r="7610" spans="23:23" x14ac:dyDescent="0.2">
      <c r="W7610" s="39"/>
    </row>
    <row r="7611" spans="23:23" x14ac:dyDescent="0.2">
      <c r="W7611" s="39"/>
    </row>
    <row r="7612" spans="23:23" x14ac:dyDescent="0.2">
      <c r="W7612" s="39"/>
    </row>
    <row r="7613" spans="23:23" x14ac:dyDescent="0.2">
      <c r="W7613" s="39"/>
    </row>
    <row r="7614" spans="23:23" x14ac:dyDescent="0.2">
      <c r="W7614" s="39"/>
    </row>
    <row r="7615" spans="23:23" x14ac:dyDescent="0.2">
      <c r="W7615" s="39"/>
    </row>
    <row r="7616" spans="23:23" x14ac:dyDescent="0.2">
      <c r="W7616" s="39"/>
    </row>
    <row r="7617" spans="23:23" x14ac:dyDescent="0.2">
      <c r="W7617" s="39"/>
    </row>
    <row r="7618" spans="23:23" x14ac:dyDescent="0.2">
      <c r="W7618" s="39"/>
    </row>
    <row r="7619" spans="23:23" x14ac:dyDescent="0.2">
      <c r="W7619" s="39"/>
    </row>
    <row r="7620" spans="23:23" x14ac:dyDescent="0.2">
      <c r="W7620" s="39"/>
    </row>
    <row r="7621" spans="23:23" x14ac:dyDescent="0.2">
      <c r="W7621" s="39"/>
    </row>
    <row r="7622" spans="23:23" x14ac:dyDescent="0.2">
      <c r="W7622" s="39"/>
    </row>
    <row r="7623" spans="23:23" x14ac:dyDescent="0.2">
      <c r="W7623" s="39"/>
    </row>
    <row r="7624" spans="23:23" x14ac:dyDescent="0.2">
      <c r="W7624" s="39"/>
    </row>
    <row r="7625" spans="23:23" x14ac:dyDescent="0.2">
      <c r="W7625" s="39"/>
    </row>
    <row r="7626" spans="23:23" x14ac:dyDescent="0.2">
      <c r="W7626" s="39"/>
    </row>
    <row r="7627" spans="23:23" x14ac:dyDescent="0.2">
      <c r="W7627" s="39"/>
    </row>
    <row r="7628" spans="23:23" x14ac:dyDescent="0.2">
      <c r="W7628" s="39"/>
    </row>
    <row r="7629" spans="23:23" x14ac:dyDescent="0.2">
      <c r="W7629" s="39"/>
    </row>
    <row r="7630" spans="23:23" x14ac:dyDescent="0.2">
      <c r="W7630" s="39"/>
    </row>
    <row r="7631" spans="23:23" x14ac:dyDescent="0.2">
      <c r="W7631" s="39"/>
    </row>
    <row r="7632" spans="23:23" x14ac:dyDescent="0.2">
      <c r="W7632" s="39"/>
    </row>
    <row r="7633" spans="23:23" x14ac:dyDescent="0.2">
      <c r="W7633" s="39"/>
    </row>
    <row r="7634" spans="23:23" x14ac:dyDescent="0.2">
      <c r="W7634" s="39"/>
    </row>
    <row r="7635" spans="23:23" x14ac:dyDescent="0.2">
      <c r="W7635" s="39"/>
    </row>
    <row r="7636" spans="23:23" x14ac:dyDescent="0.2">
      <c r="W7636" s="39"/>
    </row>
    <row r="7637" spans="23:23" x14ac:dyDescent="0.2">
      <c r="W7637" s="39"/>
    </row>
    <row r="7638" spans="23:23" x14ac:dyDescent="0.2">
      <c r="W7638" s="39"/>
    </row>
    <row r="7639" spans="23:23" x14ac:dyDescent="0.2">
      <c r="W7639" s="39"/>
    </row>
    <row r="7640" spans="23:23" x14ac:dyDescent="0.2">
      <c r="W7640" s="39"/>
    </row>
    <row r="7641" spans="23:23" x14ac:dyDescent="0.2">
      <c r="W7641" s="39"/>
    </row>
    <row r="7642" spans="23:23" x14ac:dyDescent="0.2">
      <c r="W7642" s="39"/>
    </row>
    <row r="7643" spans="23:23" x14ac:dyDescent="0.2">
      <c r="W7643" s="39"/>
    </row>
    <row r="7644" spans="23:23" x14ac:dyDescent="0.2">
      <c r="W7644" s="39"/>
    </row>
    <row r="7645" spans="23:23" x14ac:dyDescent="0.2">
      <c r="W7645" s="39"/>
    </row>
    <row r="7646" spans="23:23" x14ac:dyDescent="0.2">
      <c r="W7646" s="39"/>
    </row>
    <row r="7647" spans="23:23" x14ac:dyDescent="0.2">
      <c r="W7647" s="39"/>
    </row>
    <row r="7648" spans="23:23" x14ac:dyDescent="0.2">
      <c r="W7648" s="39"/>
    </row>
    <row r="7649" spans="23:23" x14ac:dyDescent="0.2">
      <c r="W7649" s="39"/>
    </row>
    <row r="7650" spans="23:23" x14ac:dyDescent="0.2">
      <c r="W7650" s="39"/>
    </row>
    <row r="7651" spans="23:23" x14ac:dyDescent="0.2">
      <c r="W7651" s="39"/>
    </row>
    <row r="7652" spans="23:23" x14ac:dyDescent="0.2">
      <c r="W7652" s="39"/>
    </row>
    <row r="7653" spans="23:23" x14ac:dyDescent="0.2">
      <c r="W7653" s="39"/>
    </row>
    <row r="7654" spans="23:23" x14ac:dyDescent="0.2">
      <c r="W7654" s="39"/>
    </row>
    <row r="7655" spans="23:23" x14ac:dyDescent="0.2">
      <c r="W7655" s="39"/>
    </row>
    <row r="7656" spans="23:23" x14ac:dyDescent="0.2">
      <c r="W7656" s="39"/>
    </row>
    <row r="7657" spans="23:23" x14ac:dyDescent="0.2">
      <c r="W7657" s="39"/>
    </row>
    <row r="7658" spans="23:23" x14ac:dyDescent="0.2">
      <c r="W7658" s="39"/>
    </row>
    <row r="7659" spans="23:23" x14ac:dyDescent="0.2">
      <c r="W7659" s="39"/>
    </row>
    <row r="7660" spans="23:23" x14ac:dyDescent="0.2">
      <c r="W7660" s="39"/>
    </row>
    <row r="7661" spans="23:23" x14ac:dyDescent="0.2">
      <c r="W7661" s="39"/>
    </row>
    <row r="7662" spans="23:23" x14ac:dyDescent="0.2">
      <c r="W7662" s="39"/>
    </row>
    <row r="7663" spans="23:23" x14ac:dyDescent="0.2">
      <c r="W7663" s="39"/>
    </row>
    <row r="7664" spans="23:23" x14ac:dyDescent="0.2">
      <c r="W7664" s="39"/>
    </row>
    <row r="7665" spans="23:23" x14ac:dyDescent="0.2">
      <c r="W7665" s="39"/>
    </row>
    <row r="7666" spans="23:23" x14ac:dyDescent="0.2">
      <c r="W7666" s="39"/>
    </row>
    <row r="7667" spans="23:23" x14ac:dyDescent="0.2">
      <c r="W7667" s="39"/>
    </row>
    <row r="7668" spans="23:23" x14ac:dyDescent="0.2">
      <c r="W7668" s="39"/>
    </row>
    <row r="7669" spans="23:23" x14ac:dyDescent="0.2">
      <c r="W7669" s="39"/>
    </row>
    <row r="7670" spans="23:23" x14ac:dyDescent="0.2">
      <c r="W7670" s="39"/>
    </row>
    <row r="7671" spans="23:23" x14ac:dyDescent="0.2">
      <c r="W7671" s="39"/>
    </row>
    <row r="7672" spans="23:23" x14ac:dyDescent="0.2">
      <c r="W7672" s="39"/>
    </row>
    <row r="7673" spans="23:23" x14ac:dyDescent="0.2">
      <c r="W7673" s="39"/>
    </row>
    <row r="7674" spans="23:23" x14ac:dyDescent="0.2">
      <c r="W7674" s="39"/>
    </row>
    <row r="7675" spans="23:23" x14ac:dyDescent="0.2">
      <c r="W7675" s="39"/>
    </row>
    <row r="7676" spans="23:23" x14ac:dyDescent="0.2">
      <c r="W7676" s="39"/>
    </row>
    <row r="7677" spans="23:23" x14ac:dyDescent="0.2">
      <c r="W7677" s="39"/>
    </row>
    <row r="7678" spans="23:23" x14ac:dyDescent="0.2">
      <c r="W7678" s="39"/>
    </row>
    <row r="7679" spans="23:23" x14ac:dyDescent="0.2">
      <c r="W7679" s="39"/>
    </row>
    <row r="7680" spans="23:23" x14ac:dyDescent="0.2">
      <c r="W7680" s="39"/>
    </row>
    <row r="7681" spans="23:23" x14ac:dyDescent="0.2">
      <c r="W7681" s="39"/>
    </row>
    <row r="7682" spans="23:23" x14ac:dyDescent="0.2">
      <c r="W7682" s="39"/>
    </row>
    <row r="7683" spans="23:23" x14ac:dyDescent="0.2">
      <c r="W7683" s="39"/>
    </row>
    <row r="7684" spans="23:23" x14ac:dyDescent="0.2">
      <c r="W7684" s="39"/>
    </row>
    <row r="7685" spans="23:23" x14ac:dyDescent="0.2">
      <c r="W7685" s="39"/>
    </row>
    <row r="7686" spans="23:23" x14ac:dyDescent="0.2">
      <c r="W7686" s="39"/>
    </row>
    <row r="7687" spans="23:23" x14ac:dyDescent="0.2">
      <c r="W7687" s="39"/>
    </row>
    <row r="7688" spans="23:23" x14ac:dyDescent="0.2">
      <c r="W7688" s="39"/>
    </row>
    <row r="7689" spans="23:23" x14ac:dyDescent="0.2">
      <c r="W7689" s="39"/>
    </row>
    <row r="7690" spans="23:23" x14ac:dyDescent="0.2">
      <c r="W7690" s="39"/>
    </row>
    <row r="7691" spans="23:23" x14ac:dyDescent="0.2">
      <c r="W7691" s="39"/>
    </row>
    <row r="7692" spans="23:23" x14ac:dyDescent="0.2">
      <c r="W7692" s="39"/>
    </row>
    <row r="7693" spans="23:23" x14ac:dyDescent="0.2">
      <c r="W7693" s="39"/>
    </row>
    <row r="7694" spans="23:23" x14ac:dyDescent="0.2">
      <c r="W7694" s="39"/>
    </row>
    <row r="7695" spans="23:23" x14ac:dyDescent="0.2">
      <c r="W7695" s="39"/>
    </row>
    <row r="7696" spans="23:23" x14ac:dyDescent="0.2">
      <c r="W7696" s="39"/>
    </row>
    <row r="7697" spans="23:23" x14ac:dyDescent="0.2">
      <c r="W7697" s="39"/>
    </row>
    <row r="7698" spans="23:23" x14ac:dyDescent="0.2">
      <c r="W7698" s="39"/>
    </row>
    <row r="7699" spans="23:23" x14ac:dyDescent="0.2">
      <c r="W7699" s="39"/>
    </row>
    <row r="7700" spans="23:23" x14ac:dyDescent="0.2">
      <c r="W7700" s="39"/>
    </row>
    <row r="7701" spans="23:23" x14ac:dyDescent="0.2">
      <c r="W7701" s="39"/>
    </row>
    <row r="7702" spans="23:23" x14ac:dyDescent="0.2">
      <c r="W7702" s="39"/>
    </row>
    <row r="7703" spans="23:23" x14ac:dyDescent="0.2">
      <c r="W7703" s="39"/>
    </row>
    <row r="7704" spans="23:23" x14ac:dyDescent="0.2">
      <c r="W7704" s="39"/>
    </row>
    <row r="7705" spans="23:23" x14ac:dyDescent="0.2">
      <c r="W7705" s="39"/>
    </row>
    <row r="7706" spans="23:23" x14ac:dyDescent="0.2">
      <c r="W7706" s="39"/>
    </row>
    <row r="7707" spans="23:23" x14ac:dyDescent="0.2">
      <c r="W7707" s="39"/>
    </row>
    <row r="7708" spans="23:23" x14ac:dyDescent="0.2">
      <c r="W7708" s="39"/>
    </row>
    <row r="7709" spans="23:23" x14ac:dyDescent="0.2">
      <c r="W7709" s="39"/>
    </row>
    <row r="7710" spans="23:23" x14ac:dyDescent="0.2">
      <c r="W7710" s="39"/>
    </row>
    <row r="7711" spans="23:23" x14ac:dyDescent="0.2">
      <c r="W7711" s="39"/>
    </row>
    <row r="7712" spans="23:23" x14ac:dyDescent="0.2">
      <c r="W7712" s="39"/>
    </row>
    <row r="7713" spans="23:23" x14ac:dyDescent="0.2">
      <c r="W7713" s="39"/>
    </row>
    <row r="7714" spans="23:23" x14ac:dyDescent="0.2">
      <c r="W7714" s="39"/>
    </row>
    <row r="7715" spans="23:23" x14ac:dyDescent="0.2">
      <c r="W7715" s="39"/>
    </row>
    <row r="7716" spans="23:23" x14ac:dyDescent="0.2">
      <c r="W7716" s="39"/>
    </row>
    <row r="7717" spans="23:23" x14ac:dyDescent="0.2">
      <c r="W7717" s="39"/>
    </row>
    <row r="7718" spans="23:23" x14ac:dyDescent="0.2">
      <c r="W7718" s="39"/>
    </row>
    <row r="7719" spans="23:23" x14ac:dyDescent="0.2">
      <c r="W7719" s="39"/>
    </row>
    <row r="7720" spans="23:23" x14ac:dyDescent="0.2">
      <c r="W7720" s="39"/>
    </row>
    <row r="7721" spans="23:23" x14ac:dyDescent="0.2">
      <c r="W7721" s="39"/>
    </row>
    <row r="7722" spans="23:23" x14ac:dyDescent="0.2">
      <c r="W7722" s="39"/>
    </row>
    <row r="7723" spans="23:23" x14ac:dyDescent="0.2">
      <c r="W7723" s="39"/>
    </row>
    <row r="7724" spans="23:23" x14ac:dyDescent="0.2">
      <c r="W7724" s="39"/>
    </row>
    <row r="7725" spans="23:23" x14ac:dyDescent="0.2">
      <c r="W7725" s="39"/>
    </row>
    <row r="7726" spans="23:23" x14ac:dyDescent="0.2">
      <c r="W7726" s="39"/>
    </row>
    <row r="7727" spans="23:23" x14ac:dyDescent="0.2">
      <c r="W7727" s="39"/>
    </row>
    <row r="7728" spans="23:23" x14ac:dyDescent="0.2">
      <c r="W7728" s="39"/>
    </row>
    <row r="7729" spans="23:23" x14ac:dyDescent="0.2">
      <c r="W7729" s="39"/>
    </row>
    <row r="7730" spans="23:23" x14ac:dyDescent="0.2">
      <c r="W7730" s="39"/>
    </row>
    <row r="7731" spans="23:23" x14ac:dyDescent="0.2">
      <c r="W7731" s="39"/>
    </row>
    <row r="7732" spans="23:23" x14ac:dyDescent="0.2">
      <c r="W7732" s="39"/>
    </row>
    <row r="7733" spans="23:23" x14ac:dyDescent="0.2">
      <c r="W7733" s="39"/>
    </row>
    <row r="7734" spans="23:23" x14ac:dyDescent="0.2">
      <c r="W7734" s="39"/>
    </row>
    <row r="7735" spans="23:23" x14ac:dyDescent="0.2">
      <c r="W7735" s="39"/>
    </row>
    <row r="7736" spans="23:23" x14ac:dyDescent="0.2">
      <c r="W7736" s="39"/>
    </row>
    <row r="7737" spans="23:23" x14ac:dyDescent="0.2">
      <c r="W7737" s="39"/>
    </row>
    <row r="7738" spans="23:23" x14ac:dyDescent="0.2">
      <c r="W7738" s="39"/>
    </row>
    <row r="7739" spans="23:23" x14ac:dyDescent="0.2">
      <c r="W7739" s="39"/>
    </row>
    <row r="7740" spans="23:23" x14ac:dyDescent="0.2">
      <c r="W7740" s="39"/>
    </row>
    <row r="7741" spans="23:23" x14ac:dyDescent="0.2">
      <c r="W7741" s="39"/>
    </row>
    <row r="7742" spans="23:23" x14ac:dyDescent="0.2">
      <c r="W7742" s="39"/>
    </row>
    <row r="7743" spans="23:23" x14ac:dyDescent="0.2">
      <c r="W7743" s="39"/>
    </row>
    <row r="7744" spans="23:23" x14ac:dyDescent="0.2">
      <c r="W7744" s="39"/>
    </row>
    <row r="7745" spans="23:23" x14ac:dyDescent="0.2">
      <c r="W7745" s="39"/>
    </row>
    <row r="7746" spans="23:23" x14ac:dyDescent="0.2">
      <c r="W7746" s="39"/>
    </row>
    <row r="7747" spans="23:23" x14ac:dyDescent="0.2">
      <c r="W7747" s="39"/>
    </row>
    <row r="7748" spans="23:23" x14ac:dyDescent="0.2">
      <c r="W7748" s="39"/>
    </row>
    <row r="7749" spans="23:23" x14ac:dyDescent="0.2">
      <c r="W7749" s="39"/>
    </row>
    <row r="7750" spans="23:23" x14ac:dyDescent="0.2">
      <c r="W7750" s="39"/>
    </row>
    <row r="7751" spans="23:23" x14ac:dyDescent="0.2">
      <c r="W7751" s="39"/>
    </row>
    <row r="7752" spans="23:23" x14ac:dyDescent="0.2">
      <c r="W7752" s="39"/>
    </row>
    <row r="7753" spans="23:23" x14ac:dyDescent="0.2">
      <c r="W7753" s="39"/>
    </row>
    <row r="7754" spans="23:23" x14ac:dyDescent="0.2">
      <c r="W7754" s="39"/>
    </row>
    <row r="7755" spans="23:23" x14ac:dyDescent="0.2">
      <c r="W7755" s="39"/>
    </row>
    <row r="7756" spans="23:23" x14ac:dyDescent="0.2">
      <c r="W7756" s="39"/>
    </row>
    <row r="7757" spans="23:23" x14ac:dyDescent="0.2">
      <c r="W7757" s="39"/>
    </row>
    <row r="7758" spans="23:23" x14ac:dyDescent="0.2">
      <c r="W7758" s="39"/>
    </row>
    <row r="7759" spans="23:23" x14ac:dyDescent="0.2">
      <c r="W7759" s="39"/>
    </row>
    <row r="7760" spans="23:23" x14ac:dyDescent="0.2">
      <c r="W7760" s="39"/>
    </row>
    <row r="7761" spans="23:23" x14ac:dyDescent="0.2">
      <c r="W7761" s="39"/>
    </row>
    <row r="7762" spans="23:23" x14ac:dyDescent="0.2">
      <c r="W7762" s="39"/>
    </row>
    <row r="7763" spans="23:23" x14ac:dyDescent="0.2">
      <c r="W7763" s="39"/>
    </row>
    <row r="7764" spans="23:23" x14ac:dyDescent="0.2">
      <c r="W7764" s="39"/>
    </row>
    <row r="7765" spans="23:23" x14ac:dyDescent="0.2">
      <c r="W7765" s="39"/>
    </row>
    <row r="7766" spans="23:23" x14ac:dyDescent="0.2">
      <c r="W7766" s="39"/>
    </row>
    <row r="7767" spans="23:23" x14ac:dyDescent="0.2">
      <c r="W7767" s="39"/>
    </row>
    <row r="7768" spans="23:23" x14ac:dyDescent="0.2">
      <c r="W7768" s="39"/>
    </row>
    <row r="7769" spans="23:23" x14ac:dyDescent="0.2">
      <c r="W7769" s="39"/>
    </row>
    <row r="7770" spans="23:23" x14ac:dyDescent="0.2">
      <c r="W7770" s="39"/>
    </row>
    <row r="7771" spans="23:23" x14ac:dyDescent="0.2">
      <c r="W7771" s="39"/>
    </row>
    <row r="7772" spans="23:23" x14ac:dyDescent="0.2">
      <c r="W7772" s="39"/>
    </row>
    <row r="7773" spans="23:23" x14ac:dyDescent="0.2">
      <c r="W7773" s="39"/>
    </row>
    <row r="7774" spans="23:23" x14ac:dyDescent="0.2">
      <c r="W7774" s="39"/>
    </row>
    <row r="7775" spans="23:23" x14ac:dyDescent="0.2">
      <c r="W7775" s="39"/>
    </row>
    <row r="7776" spans="23:23" x14ac:dyDescent="0.2">
      <c r="W7776" s="39"/>
    </row>
    <row r="7777" spans="23:23" x14ac:dyDescent="0.2">
      <c r="W7777" s="39"/>
    </row>
    <row r="7778" spans="23:23" x14ac:dyDescent="0.2">
      <c r="W7778" s="39"/>
    </row>
    <row r="7779" spans="23:23" x14ac:dyDescent="0.2">
      <c r="W7779" s="39"/>
    </row>
    <row r="7780" spans="23:23" x14ac:dyDescent="0.2">
      <c r="W7780" s="39"/>
    </row>
    <row r="7781" spans="23:23" x14ac:dyDescent="0.2">
      <c r="W7781" s="39"/>
    </row>
    <row r="7782" spans="23:23" x14ac:dyDescent="0.2">
      <c r="W7782" s="39"/>
    </row>
    <row r="7783" spans="23:23" x14ac:dyDescent="0.2">
      <c r="W7783" s="39"/>
    </row>
    <row r="7784" spans="23:23" x14ac:dyDescent="0.2">
      <c r="W7784" s="39"/>
    </row>
    <row r="7785" spans="23:23" x14ac:dyDescent="0.2">
      <c r="W7785" s="39"/>
    </row>
    <row r="7786" spans="23:23" x14ac:dyDescent="0.2">
      <c r="W7786" s="39"/>
    </row>
    <row r="7787" spans="23:23" x14ac:dyDescent="0.2">
      <c r="W7787" s="39"/>
    </row>
    <row r="7788" spans="23:23" x14ac:dyDescent="0.2">
      <c r="W7788" s="39"/>
    </row>
    <row r="7789" spans="23:23" x14ac:dyDescent="0.2">
      <c r="W7789" s="39"/>
    </row>
    <row r="7790" spans="23:23" x14ac:dyDescent="0.2">
      <c r="W7790" s="39"/>
    </row>
    <row r="7791" spans="23:23" x14ac:dyDescent="0.2">
      <c r="W7791" s="39"/>
    </row>
    <row r="7792" spans="23:23" x14ac:dyDescent="0.2">
      <c r="W7792" s="39"/>
    </row>
    <row r="7793" spans="23:23" x14ac:dyDescent="0.2">
      <c r="W7793" s="39"/>
    </row>
    <row r="7794" spans="23:23" x14ac:dyDescent="0.2">
      <c r="W7794" s="39"/>
    </row>
    <row r="7795" spans="23:23" x14ac:dyDescent="0.2">
      <c r="W7795" s="39"/>
    </row>
    <row r="7796" spans="23:23" x14ac:dyDescent="0.2">
      <c r="W7796" s="39"/>
    </row>
    <row r="7797" spans="23:23" x14ac:dyDescent="0.2">
      <c r="W7797" s="39"/>
    </row>
    <row r="7798" spans="23:23" x14ac:dyDescent="0.2">
      <c r="W7798" s="39"/>
    </row>
    <row r="7799" spans="23:23" x14ac:dyDescent="0.2">
      <c r="W7799" s="39"/>
    </row>
    <row r="7800" spans="23:23" x14ac:dyDescent="0.2">
      <c r="W7800" s="39"/>
    </row>
    <row r="7801" spans="23:23" x14ac:dyDescent="0.2">
      <c r="W7801" s="39"/>
    </row>
    <row r="7802" spans="23:23" x14ac:dyDescent="0.2">
      <c r="W7802" s="39"/>
    </row>
    <row r="7803" spans="23:23" x14ac:dyDescent="0.2">
      <c r="W7803" s="39"/>
    </row>
    <row r="7804" spans="23:23" x14ac:dyDescent="0.2">
      <c r="W7804" s="39"/>
    </row>
    <row r="7805" spans="23:23" x14ac:dyDescent="0.2">
      <c r="W7805" s="39"/>
    </row>
    <row r="7806" spans="23:23" x14ac:dyDescent="0.2">
      <c r="W7806" s="39"/>
    </row>
    <row r="7807" spans="23:23" x14ac:dyDescent="0.2">
      <c r="W7807" s="39"/>
    </row>
    <row r="7808" spans="23:23" x14ac:dyDescent="0.2">
      <c r="W7808" s="39"/>
    </row>
    <row r="7809" spans="23:23" x14ac:dyDescent="0.2">
      <c r="W7809" s="39"/>
    </row>
    <row r="7810" spans="23:23" x14ac:dyDescent="0.2">
      <c r="W7810" s="39"/>
    </row>
    <row r="7811" spans="23:23" x14ac:dyDescent="0.2">
      <c r="W7811" s="39"/>
    </row>
    <row r="7812" spans="23:23" x14ac:dyDescent="0.2">
      <c r="W7812" s="39"/>
    </row>
    <row r="7813" spans="23:23" x14ac:dyDescent="0.2">
      <c r="W7813" s="39"/>
    </row>
    <row r="7814" spans="23:23" x14ac:dyDescent="0.2">
      <c r="W7814" s="39"/>
    </row>
    <row r="7815" spans="23:23" x14ac:dyDescent="0.2">
      <c r="W7815" s="39"/>
    </row>
    <row r="7816" spans="23:23" x14ac:dyDescent="0.2">
      <c r="W7816" s="39"/>
    </row>
    <row r="7817" spans="23:23" x14ac:dyDescent="0.2">
      <c r="W7817" s="39"/>
    </row>
    <row r="7818" spans="23:23" x14ac:dyDescent="0.2">
      <c r="W7818" s="39"/>
    </row>
    <row r="7819" spans="23:23" x14ac:dyDescent="0.2">
      <c r="W7819" s="39"/>
    </row>
    <row r="7820" spans="23:23" x14ac:dyDescent="0.2">
      <c r="W7820" s="39"/>
    </row>
    <row r="7821" spans="23:23" x14ac:dyDescent="0.2">
      <c r="W7821" s="39"/>
    </row>
    <row r="7822" spans="23:23" x14ac:dyDescent="0.2">
      <c r="W7822" s="39"/>
    </row>
    <row r="7823" spans="23:23" x14ac:dyDescent="0.2">
      <c r="W7823" s="39"/>
    </row>
    <row r="7824" spans="23:23" x14ac:dyDescent="0.2">
      <c r="W7824" s="39"/>
    </row>
    <row r="7825" spans="23:23" x14ac:dyDescent="0.2">
      <c r="W7825" s="39"/>
    </row>
    <row r="7826" spans="23:23" x14ac:dyDescent="0.2">
      <c r="W7826" s="39"/>
    </row>
    <row r="7827" spans="23:23" x14ac:dyDescent="0.2">
      <c r="W7827" s="39"/>
    </row>
    <row r="7828" spans="23:23" x14ac:dyDescent="0.2">
      <c r="W7828" s="39"/>
    </row>
    <row r="7829" spans="23:23" x14ac:dyDescent="0.2">
      <c r="W7829" s="39"/>
    </row>
    <row r="7830" spans="23:23" x14ac:dyDescent="0.2">
      <c r="W7830" s="39"/>
    </row>
    <row r="7831" spans="23:23" x14ac:dyDescent="0.2">
      <c r="W7831" s="39"/>
    </row>
    <row r="7832" spans="23:23" x14ac:dyDescent="0.2">
      <c r="W7832" s="39"/>
    </row>
    <row r="7833" spans="23:23" x14ac:dyDescent="0.2">
      <c r="W7833" s="39"/>
    </row>
    <row r="7834" spans="23:23" x14ac:dyDescent="0.2">
      <c r="W7834" s="39"/>
    </row>
    <row r="7835" spans="23:23" x14ac:dyDescent="0.2">
      <c r="W7835" s="39"/>
    </row>
    <row r="7836" spans="23:23" x14ac:dyDescent="0.2">
      <c r="W7836" s="39"/>
    </row>
    <row r="7837" spans="23:23" x14ac:dyDescent="0.2">
      <c r="W7837" s="39"/>
    </row>
    <row r="7838" spans="23:23" x14ac:dyDescent="0.2">
      <c r="W7838" s="39"/>
    </row>
    <row r="7839" spans="23:23" x14ac:dyDescent="0.2">
      <c r="W7839" s="39"/>
    </row>
    <row r="7840" spans="23:23" x14ac:dyDescent="0.2">
      <c r="W7840" s="39"/>
    </row>
    <row r="7841" spans="23:23" x14ac:dyDescent="0.2">
      <c r="W7841" s="39"/>
    </row>
    <row r="7842" spans="23:23" x14ac:dyDescent="0.2">
      <c r="W7842" s="39"/>
    </row>
    <row r="7843" spans="23:23" x14ac:dyDescent="0.2">
      <c r="W7843" s="39"/>
    </row>
    <row r="7844" spans="23:23" x14ac:dyDescent="0.2">
      <c r="W7844" s="39"/>
    </row>
    <row r="7845" spans="23:23" x14ac:dyDescent="0.2">
      <c r="W7845" s="39"/>
    </row>
    <row r="7846" spans="23:23" x14ac:dyDescent="0.2">
      <c r="W7846" s="39"/>
    </row>
    <row r="7847" spans="23:23" x14ac:dyDescent="0.2">
      <c r="W7847" s="39"/>
    </row>
    <row r="7848" spans="23:23" x14ac:dyDescent="0.2">
      <c r="W7848" s="39"/>
    </row>
    <row r="7849" spans="23:23" x14ac:dyDescent="0.2">
      <c r="W7849" s="39"/>
    </row>
    <row r="7850" spans="23:23" x14ac:dyDescent="0.2">
      <c r="W7850" s="39"/>
    </row>
    <row r="7851" spans="23:23" x14ac:dyDescent="0.2">
      <c r="W7851" s="39"/>
    </row>
    <row r="7852" spans="23:23" x14ac:dyDescent="0.2">
      <c r="W7852" s="39"/>
    </row>
    <row r="7853" spans="23:23" x14ac:dyDescent="0.2">
      <c r="W7853" s="39"/>
    </row>
    <row r="7854" spans="23:23" x14ac:dyDescent="0.2">
      <c r="W7854" s="39"/>
    </row>
    <row r="7855" spans="23:23" x14ac:dyDescent="0.2">
      <c r="W7855" s="39"/>
    </row>
    <row r="7856" spans="23:23" x14ac:dyDescent="0.2">
      <c r="W7856" s="39"/>
    </row>
    <row r="7857" spans="23:23" x14ac:dyDescent="0.2">
      <c r="W7857" s="39"/>
    </row>
    <row r="7858" spans="23:23" x14ac:dyDescent="0.2">
      <c r="W7858" s="39"/>
    </row>
    <row r="7859" spans="23:23" x14ac:dyDescent="0.2">
      <c r="W7859" s="39"/>
    </row>
    <row r="7860" spans="23:23" x14ac:dyDescent="0.2">
      <c r="W7860" s="39"/>
    </row>
    <row r="7861" spans="23:23" x14ac:dyDescent="0.2">
      <c r="W7861" s="39"/>
    </row>
    <row r="7862" spans="23:23" x14ac:dyDescent="0.2">
      <c r="W7862" s="39"/>
    </row>
    <row r="7863" spans="23:23" x14ac:dyDescent="0.2">
      <c r="W7863" s="39"/>
    </row>
    <row r="7864" spans="23:23" x14ac:dyDescent="0.2">
      <c r="W7864" s="39"/>
    </row>
    <row r="7865" spans="23:23" x14ac:dyDescent="0.2">
      <c r="W7865" s="39"/>
    </row>
    <row r="7866" spans="23:23" x14ac:dyDescent="0.2">
      <c r="W7866" s="39"/>
    </row>
    <row r="7867" spans="23:23" x14ac:dyDescent="0.2">
      <c r="W7867" s="39"/>
    </row>
    <row r="7868" spans="23:23" x14ac:dyDescent="0.2">
      <c r="W7868" s="39"/>
    </row>
    <row r="7869" spans="23:23" x14ac:dyDescent="0.2">
      <c r="W7869" s="39"/>
    </row>
    <row r="7870" spans="23:23" x14ac:dyDescent="0.2">
      <c r="W7870" s="39"/>
    </row>
    <row r="7871" spans="23:23" x14ac:dyDescent="0.2">
      <c r="W7871" s="39"/>
    </row>
    <row r="7872" spans="23:23" x14ac:dyDescent="0.2">
      <c r="W7872" s="39"/>
    </row>
    <row r="7873" spans="23:23" x14ac:dyDescent="0.2">
      <c r="W7873" s="39"/>
    </row>
    <row r="7874" spans="23:23" x14ac:dyDescent="0.2">
      <c r="W7874" s="39"/>
    </row>
    <row r="7875" spans="23:23" x14ac:dyDescent="0.2">
      <c r="W7875" s="39"/>
    </row>
    <row r="7876" spans="23:23" x14ac:dyDescent="0.2">
      <c r="W7876" s="39"/>
    </row>
    <row r="7877" spans="23:23" x14ac:dyDescent="0.2">
      <c r="W7877" s="39"/>
    </row>
    <row r="7878" spans="23:23" x14ac:dyDescent="0.2">
      <c r="W7878" s="39"/>
    </row>
    <row r="7879" spans="23:23" x14ac:dyDescent="0.2">
      <c r="W7879" s="39"/>
    </row>
    <row r="7880" spans="23:23" x14ac:dyDescent="0.2">
      <c r="W7880" s="39"/>
    </row>
    <row r="7881" spans="23:23" x14ac:dyDescent="0.2">
      <c r="W7881" s="39"/>
    </row>
    <row r="7882" spans="23:23" x14ac:dyDescent="0.2">
      <c r="W7882" s="39"/>
    </row>
    <row r="7883" spans="23:23" x14ac:dyDescent="0.2">
      <c r="W7883" s="39"/>
    </row>
    <row r="7884" spans="23:23" x14ac:dyDescent="0.2">
      <c r="W7884" s="39"/>
    </row>
    <row r="7885" spans="23:23" x14ac:dyDescent="0.2">
      <c r="W7885" s="39"/>
    </row>
    <row r="7886" spans="23:23" x14ac:dyDescent="0.2">
      <c r="W7886" s="39"/>
    </row>
    <row r="7887" spans="23:23" x14ac:dyDescent="0.2">
      <c r="W7887" s="39"/>
    </row>
    <row r="7888" spans="23:23" x14ac:dyDescent="0.2">
      <c r="W7888" s="39"/>
    </row>
    <row r="7889" spans="23:23" x14ac:dyDescent="0.2">
      <c r="W7889" s="39"/>
    </row>
    <row r="7890" spans="23:23" x14ac:dyDescent="0.2">
      <c r="W7890" s="39"/>
    </row>
    <row r="7891" spans="23:23" x14ac:dyDescent="0.2">
      <c r="W7891" s="39"/>
    </row>
    <row r="7892" spans="23:23" x14ac:dyDescent="0.2">
      <c r="W7892" s="39"/>
    </row>
    <row r="7893" spans="23:23" x14ac:dyDescent="0.2">
      <c r="W7893" s="39"/>
    </row>
    <row r="7894" spans="23:23" x14ac:dyDescent="0.2">
      <c r="W7894" s="39"/>
    </row>
    <row r="7895" spans="23:23" x14ac:dyDescent="0.2">
      <c r="W7895" s="39"/>
    </row>
    <row r="7896" spans="23:23" x14ac:dyDescent="0.2">
      <c r="W7896" s="39"/>
    </row>
    <row r="7897" spans="23:23" x14ac:dyDescent="0.2">
      <c r="W7897" s="39"/>
    </row>
    <row r="7898" spans="23:23" x14ac:dyDescent="0.2">
      <c r="W7898" s="39"/>
    </row>
    <row r="7899" spans="23:23" x14ac:dyDescent="0.2">
      <c r="W7899" s="39"/>
    </row>
    <row r="7900" spans="23:23" x14ac:dyDescent="0.2">
      <c r="W7900" s="39"/>
    </row>
    <row r="7901" spans="23:23" x14ac:dyDescent="0.2">
      <c r="W7901" s="39"/>
    </row>
    <row r="7902" spans="23:23" x14ac:dyDescent="0.2">
      <c r="W7902" s="39"/>
    </row>
    <row r="7903" spans="23:23" x14ac:dyDescent="0.2">
      <c r="W7903" s="39"/>
    </row>
    <row r="7904" spans="23:23" x14ac:dyDescent="0.2">
      <c r="W7904" s="39"/>
    </row>
    <row r="7905" spans="23:23" x14ac:dyDescent="0.2">
      <c r="W7905" s="39"/>
    </row>
    <row r="7906" spans="23:23" x14ac:dyDescent="0.2">
      <c r="W7906" s="39"/>
    </row>
    <row r="7907" spans="23:23" x14ac:dyDescent="0.2">
      <c r="W7907" s="39"/>
    </row>
    <row r="7908" spans="23:23" x14ac:dyDescent="0.2">
      <c r="W7908" s="39"/>
    </row>
    <row r="7909" spans="23:23" x14ac:dyDescent="0.2">
      <c r="W7909" s="39"/>
    </row>
    <row r="7910" spans="23:23" x14ac:dyDescent="0.2">
      <c r="W7910" s="39"/>
    </row>
    <row r="7911" spans="23:23" x14ac:dyDescent="0.2">
      <c r="W7911" s="39"/>
    </row>
    <row r="7912" spans="23:23" x14ac:dyDescent="0.2">
      <c r="W7912" s="39"/>
    </row>
    <row r="7913" spans="23:23" x14ac:dyDescent="0.2">
      <c r="W7913" s="39"/>
    </row>
    <row r="7914" spans="23:23" x14ac:dyDescent="0.2">
      <c r="W7914" s="39"/>
    </row>
    <row r="7915" spans="23:23" x14ac:dyDescent="0.2">
      <c r="W7915" s="39"/>
    </row>
    <row r="7916" spans="23:23" x14ac:dyDescent="0.2">
      <c r="W7916" s="39"/>
    </row>
    <row r="7917" spans="23:23" x14ac:dyDescent="0.2">
      <c r="W7917" s="39"/>
    </row>
    <row r="7918" spans="23:23" x14ac:dyDescent="0.2">
      <c r="W7918" s="39"/>
    </row>
    <row r="7919" spans="23:23" x14ac:dyDescent="0.2">
      <c r="W7919" s="39"/>
    </row>
    <row r="7920" spans="23:23" x14ac:dyDescent="0.2">
      <c r="W7920" s="39"/>
    </row>
    <row r="7921" spans="23:23" x14ac:dyDescent="0.2">
      <c r="W7921" s="39"/>
    </row>
    <row r="7922" spans="23:23" x14ac:dyDescent="0.2">
      <c r="W7922" s="39"/>
    </row>
    <row r="7923" spans="23:23" x14ac:dyDescent="0.2">
      <c r="W7923" s="39"/>
    </row>
    <row r="7924" spans="23:23" x14ac:dyDescent="0.2">
      <c r="W7924" s="39"/>
    </row>
    <row r="7925" spans="23:23" x14ac:dyDescent="0.2">
      <c r="W7925" s="39"/>
    </row>
    <row r="7926" spans="23:23" x14ac:dyDescent="0.2">
      <c r="W7926" s="39"/>
    </row>
    <row r="7927" spans="23:23" x14ac:dyDescent="0.2">
      <c r="W7927" s="39"/>
    </row>
    <row r="7928" spans="23:23" x14ac:dyDescent="0.2">
      <c r="W7928" s="39"/>
    </row>
    <row r="7929" spans="23:23" x14ac:dyDescent="0.2">
      <c r="W7929" s="39"/>
    </row>
    <row r="7930" spans="23:23" x14ac:dyDescent="0.2">
      <c r="W7930" s="39"/>
    </row>
    <row r="7931" spans="23:23" x14ac:dyDescent="0.2">
      <c r="W7931" s="39"/>
    </row>
    <row r="7932" spans="23:23" x14ac:dyDescent="0.2">
      <c r="W7932" s="39"/>
    </row>
    <row r="7933" spans="23:23" x14ac:dyDescent="0.2">
      <c r="W7933" s="39"/>
    </row>
    <row r="7934" spans="23:23" x14ac:dyDescent="0.2">
      <c r="W7934" s="39"/>
    </row>
    <row r="7935" spans="23:23" x14ac:dyDescent="0.2">
      <c r="W7935" s="39"/>
    </row>
    <row r="7936" spans="23:23" x14ac:dyDescent="0.2">
      <c r="W7936" s="39"/>
    </row>
    <row r="7937" spans="23:23" x14ac:dyDescent="0.2">
      <c r="W7937" s="39"/>
    </row>
    <row r="7938" spans="23:23" x14ac:dyDescent="0.2">
      <c r="W7938" s="39"/>
    </row>
    <row r="7939" spans="23:23" x14ac:dyDescent="0.2">
      <c r="W7939" s="39"/>
    </row>
    <row r="7940" spans="23:23" x14ac:dyDescent="0.2">
      <c r="W7940" s="39"/>
    </row>
    <row r="7941" spans="23:23" x14ac:dyDescent="0.2">
      <c r="W7941" s="39"/>
    </row>
    <row r="7942" spans="23:23" x14ac:dyDescent="0.2">
      <c r="W7942" s="39"/>
    </row>
    <row r="7943" spans="23:23" x14ac:dyDescent="0.2">
      <c r="W7943" s="39"/>
    </row>
    <row r="7944" spans="23:23" x14ac:dyDescent="0.2">
      <c r="W7944" s="39"/>
    </row>
    <row r="7945" spans="23:23" x14ac:dyDescent="0.2">
      <c r="W7945" s="39"/>
    </row>
    <row r="7946" spans="23:23" x14ac:dyDescent="0.2">
      <c r="W7946" s="39"/>
    </row>
    <row r="7947" spans="23:23" x14ac:dyDescent="0.2">
      <c r="W7947" s="39"/>
    </row>
    <row r="7948" spans="23:23" x14ac:dyDescent="0.2">
      <c r="W7948" s="39"/>
    </row>
    <row r="7949" spans="23:23" x14ac:dyDescent="0.2">
      <c r="W7949" s="39"/>
    </row>
    <row r="7950" spans="23:23" x14ac:dyDescent="0.2">
      <c r="W7950" s="39"/>
    </row>
    <row r="7951" spans="23:23" x14ac:dyDescent="0.2">
      <c r="W7951" s="39"/>
    </row>
    <row r="7952" spans="23:23" x14ac:dyDescent="0.2">
      <c r="W7952" s="39"/>
    </row>
    <row r="7953" spans="23:23" x14ac:dyDescent="0.2">
      <c r="W7953" s="39"/>
    </row>
    <row r="7954" spans="23:23" x14ac:dyDescent="0.2">
      <c r="W7954" s="39"/>
    </row>
    <row r="7955" spans="23:23" x14ac:dyDescent="0.2">
      <c r="W7955" s="39"/>
    </row>
    <row r="7956" spans="23:23" x14ac:dyDescent="0.2">
      <c r="W7956" s="39"/>
    </row>
    <row r="7957" spans="23:23" x14ac:dyDescent="0.2">
      <c r="W7957" s="39"/>
    </row>
    <row r="7958" spans="23:23" x14ac:dyDescent="0.2">
      <c r="W7958" s="39"/>
    </row>
    <row r="7959" spans="23:23" x14ac:dyDescent="0.2">
      <c r="W7959" s="39"/>
    </row>
    <row r="7960" spans="23:23" x14ac:dyDescent="0.2">
      <c r="W7960" s="39"/>
    </row>
    <row r="7961" spans="23:23" x14ac:dyDescent="0.2">
      <c r="W7961" s="39"/>
    </row>
    <row r="7962" spans="23:23" x14ac:dyDescent="0.2">
      <c r="W7962" s="39"/>
    </row>
    <row r="7963" spans="23:23" x14ac:dyDescent="0.2">
      <c r="W7963" s="39"/>
    </row>
    <row r="7964" spans="23:23" x14ac:dyDescent="0.2">
      <c r="W7964" s="39"/>
    </row>
    <row r="7965" spans="23:23" x14ac:dyDescent="0.2">
      <c r="W7965" s="39"/>
    </row>
    <row r="7966" spans="23:23" x14ac:dyDescent="0.2">
      <c r="W7966" s="39"/>
    </row>
    <row r="7967" spans="23:23" x14ac:dyDescent="0.2">
      <c r="W7967" s="39"/>
    </row>
    <row r="7968" spans="23:23" x14ac:dyDescent="0.2">
      <c r="W7968" s="39"/>
    </row>
    <row r="7969" spans="23:23" x14ac:dyDescent="0.2">
      <c r="W7969" s="39"/>
    </row>
    <row r="7970" spans="23:23" x14ac:dyDescent="0.2">
      <c r="W7970" s="39"/>
    </row>
    <row r="7971" spans="23:23" x14ac:dyDescent="0.2">
      <c r="W7971" s="39"/>
    </row>
    <row r="7972" spans="23:23" x14ac:dyDescent="0.2">
      <c r="W7972" s="39"/>
    </row>
    <row r="7973" spans="23:23" x14ac:dyDescent="0.2">
      <c r="W7973" s="39"/>
    </row>
    <row r="7974" spans="23:23" x14ac:dyDescent="0.2">
      <c r="W7974" s="39"/>
    </row>
    <row r="7975" spans="23:23" x14ac:dyDescent="0.2">
      <c r="W7975" s="39"/>
    </row>
    <row r="7976" spans="23:23" x14ac:dyDescent="0.2">
      <c r="W7976" s="39"/>
    </row>
    <row r="7977" spans="23:23" x14ac:dyDescent="0.2">
      <c r="W7977" s="39"/>
    </row>
    <row r="7978" spans="23:23" x14ac:dyDescent="0.2">
      <c r="W7978" s="39"/>
    </row>
    <row r="7979" spans="23:23" x14ac:dyDescent="0.2">
      <c r="W7979" s="39"/>
    </row>
    <row r="7980" spans="23:23" x14ac:dyDescent="0.2">
      <c r="W7980" s="39"/>
    </row>
    <row r="7981" spans="23:23" x14ac:dyDescent="0.2">
      <c r="W7981" s="39"/>
    </row>
    <row r="7982" spans="23:23" x14ac:dyDescent="0.2">
      <c r="W7982" s="39"/>
    </row>
    <row r="7983" spans="23:23" x14ac:dyDescent="0.2">
      <c r="W7983" s="39"/>
    </row>
    <row r="7984" spans="23:23" x14ac:dyDescent="0.2">
      <c r="W7984" s="39"/>
    </row>
    <row r="7985" spans="23:23" x14ac:dyDescent="0.2">
      <c r="W7985" s="39"/>
    </row>
    <row r="7986" spans="23:23" x14ac:dyDescent="0.2">
      <c r="W7986" s="39"/>
    </row>
    <row r="7987" spans="23:23" x14ac:dyDescent="0.2">
      <c r="W7987" s="39"/>
    </row>
    <row r="7988" spans="23:23" x14ac:dyDescent="0.2">
      <c r="W7988" s="39"/>
    </row>
    <row r="7989" spans="23:23" x14ac:dyDescent="0.2">
      <c r="W7989" s="39"/>
    </row>
    <row r="7990" spans="23:23" x14ac:dyDescent="0.2">
      <c r="W7990" s="39"/>
    </row>
    <row r="7991" spans="23:23" x14ac:dyDescent="0.2">
      <c r="W7991" s="39"/>
    </row>
    <row r="7992" spans="23:23" x14ac:dyDescent="0.2">
      <c r="W7992" s="39"/>
    </row>
    <row r="7993" spans="23:23" x14ac:dyDescent="0.2">
      <c r="W7993" s="39"/>
    </row>
    <row r="7994" spans="23:23" x14ac:dyDescent="0.2">
      <c r="W7994" s="39"/>
    </row>
    <row r="7995" spans="23:23" x14ac:dyDescent="0.2">
      <c r="W7995" s="39"/>
    </row>
    <row r="7996" spans="23:23" x14ac:dyDescent="0.2">
      <c r="W7996" s="39"/>
    </row>
    <row r="7997" spans="23:23" x14ac:dyDescent="0.2">
      <c r="W7997" s="39"/>
    </row>
    <row r="7998" spans="23:23" x14ac:dyDescent="0.2">
      <c r="W7998" s="39"/>
    </row>
    <row r="7999" spans="23:23" x14ac:dyDescent="0.2">
      <c r="W7999" s="39"/>
    </row>
    <row r="8000" spans="23:23" x14ac:dyDescent="0.2">
      <c r="W8000" s="39"/>
    </row>
    <row r="8001" spans="23:23" x14ac:dyDescent="0.2">
      <c r="W8001" s="39"/>
    </row>
    <row r="8002" spans="23:23" x14ac:dyDescent="0.2">
      <c r="W8002" s="39"/>
    </row>
    <row r="8003" spans="23:23" x14ac:dyDescent="0.2">
      <c r="W8003" s="39"/>
    </row>
    <row r="8004" spans="23:23" x14ac:dyDescent="0.2">
      <c r="W8004" s="39"/>
    </row>
    <row r="8005" spans="23:23" x14ac:dyDescent="0.2">
      <c r="W8005" s="39"/>
    </row>
    <row r="8006" spans="23:23" x14ac:dyDescent="0.2">
      <c r="W8006" s="39"/>
    </row>
    <row r="8007" spans="23:23" x14ac:dyDescent="0.2">
      <c r="W8007" s="39"/>
    </row>
    <row r="8008" spans="23:23" x14ac:dyDescent="0.2">
      <c r="W8008" s="39"/>
    </row>
    <row r="8009" spans="23:23" x14ac:dyDescent="0.2">
      <c r="W8009" s="39"/>
    </row>
    <row r="8010" spans="23:23" x14ac:dyDescent="0.2">
      <c r="W8010" s="39"/>
    </row>
    <row r="8011" spans="23:23" x14ac:dyDescent="0.2">
      <c r="W8011" s="39"/>
    </row>
    <row r="8012" spans="23:23" x14ac:dyDescent="0.2">
      <c r="W8012" s="39"/>
    </row>
    <row r="8013" spans="23:23" x14ac:dyDescent="0.2">
      <c r="W8013" s="39"/>
    </row>
    <row r="8014" spans="23:23" x14ac:dyDescent="0.2">
      <c r="W8014" s="39"/>
    </row>
    <row r="8015" spans="23:23" x14ac:dyDescent="0.2">
      <c r="W8015" s="39"/>
    </row>
    <row r="8016" spans="23:23" x14ac:dyDescent="0.2">
      <c r="W8016" s="39"/>
    </row>
    <row r="8017" spans="23:23" x14ac:dyDescent="0.2">
      <c r="W8017" s="39"/>
    </row>
    <row r="8018" spans="23:23" x14ac:dyDescent="0.2">
      <c r="W8018" s="39"/>
    </row>
    <row r="8019" spans="23:23" x14ac:dyDescent="0.2">
      <c r="W8019" s="39"/>
    </row>
    <row r="8020" spans="23:23" x14ac:dyDescent="0.2">
      <c r="W8020" s="39"/>
    </row>
    <row r="8021" spans="23:23" x14ac:dyDescent="0.2">
      <c r="W8021" s="39"/>
    </row>
    <row r="8022" spans="23:23" x14ac:dyDescent="0.2">
      <c r="W8022" s="39"/>
    </row>
    <row r="8023" spans="23:23" x14ac:dyDescent="0.2">
      <c r="W8023" s="39"/>
    </row>
    <row r="8024" spans="23:23" x14ac:dyDescent="0.2">
      <c r="W8024" s="39"/>
    </row>
    <row r="8025" spans="23:23" x14ac:dyDescent="0.2">
      <c r="W8025" s="39"/>
    </row>
    <row r="8026" spans="23:23" x14ac:dyDescent="0.2">
      <c r="W8026" s="39"/>
    </row>
    <row r="8027" spans="23:23" x14ac:dyDescent="0.2">
      <c r="W8027" s="39"/>
    </row>
    <row r="8028" spans="23:23" x14ac:dyDescent="0.2">
      <c r="W8028" s="39"/>
    </row>
    <row r="8029" spans="23:23" x14ac:dyDescent="0.2">
      <c r="W8029" s="39"/>
    </row>
    <row r="8030" spans="23:23" x14ac:dyDescent="0.2">
      <c r="W8030" s="39"/>
    </row>
    <row r="8031" spans="23:23" x14ac:dyDescent="0.2">
      <c r="W8031" s="39"/>
    </row>
    <row r="8032" spans="23:23" x14ac:dyDescent="0.2">
      <c r="W8032" s="39"/>
    </row>
    <row r="8033" spans="23:23" x14ac:dyDescent="0.2">
      <c r="W8033" s="39"/>
    </row>
    <row r="8034" spans="23:23" x14ac:dyDescent="0.2">
      <c r="W8034" s="39"/>
    </row>
    <row r="8035" spans="23:23" x14ac:dyDescent="0.2">
      <c r="W8035" s="39"/>
    </row>
    <row r="8036" spans="23:23" x14ac:dyDescent="0.2">
      <c r="W8036" s="39"/>
    </row>
    <row r="8037" spans="23:23" x14ac:dyDescent="0.2">
      <c r="W8037" s="39"/>
    </row>
    <row r="8038" spans="23:23" x14ac:dyDescent="0.2">
      <c r="W8038" s="39"/>
    </row>
    <row r="8039" spans="23:23" x14ac:dyDescent="0.2">
      <c r="W8039" s="39"/>
    </row>
    <row r="8040" spans="23:23" x14ac:dyDescent="0.2">
      <c r="W8040" s="39"/>
    </row>
    <row r="8041" spans="23:23" x14ac:dyDescent="0.2">
      <c r="W8041" s="39"/>
    </row>
    <row r="8042" spans="23:23" x14ac:dyDescent="0.2">
      <c r="W8042" s="39"/>
    </row>
    <row r="8043" spans="23:23" x14ac:dyDescent="0.2">
      <c r="W8043" s="39"/>
    </row>
    <row r="8044" spans="23:23" x14ac:dyDescent="0.2">
      <c r="W8044" s="39"/>
    </row>
    <row r="8045" spans="23:23" x14ac:dyDescent="0.2">
      <c r="W8045" s="39"/>
    </row>
    <row r="8046" spans="23:23" x14ac:dyDescent="0.2">
      <c r="W8046" s="39"/>
    </row>
    <row r="8047" spans="23:23" x14ac:dyDescent="0.2">
      <c r="W8047" s="39"/>
    </row>
    <row r="8048" spans="23:23" x14ac:dyDescent="0.2">
      <c r="W8048" s="39"/>
    </row>
    <row r="8049" spans="23:23" x14ac:dyDescent="0.2">
      <c r="W8049" s="39"/>
    </row>
    <row r="8050" spans="23:23" x14ac:dyDescent="0.2">
      <c r="W8050" s="39"/>
    </row>
    <row r="8051" spans="23:23" x14ac:dyDescent="0.2">
      <c r="W8051" s="39"/>
    </row>
    <row r="8052" spans="23:23" x14ac:dyDescent="0.2">
      <c r="W8052" s="39"/>
    </row>
    <row r="8053" spans="23:23" x14ac:dyDescent="0.2">
      <c r="W8053" s="39"/>
    </row>
    <row r="8054" spans="23:23" x14ac:dyDescent="0.2">
      <c r="W8054" s="39"/>
    </row>
    <row r="8055" spans="23:23" x14ac:dyDescent="0.2">
      <c r="W8055" s="39"/>
    </row>
    <row r="8056" spans="23:23" x14ac:dyDescent="0.2">
      <c r="W8056" s="39"/>
    </row>
    <row r="8057" spans="23:23" x14ac:dyDescent="0.2">
      <c r="W8057" s="39"/>
    </row>
    <row r="8058" spans="23:23" x14ac:dyDescent="0.2">
      <c r="W8058" s="39"/>
    </row>
    <row r="8059" spans="23:23" x14ac:dyDescent="0.2">
      <c r="W8059" s="39"/>
    </row>
    <row r="8060" spans="23:23" x14ac:dyDescent="0.2">
      <c r="W8060" s="39"/>
    </row>
    <row r="8061" spans="23:23" x14ac:dyDescent="0.2">
      <c r="W8061" s="39"/>
    </row>
    <row r="8062" spans="23:23" x14ac:dyDescent="0.2">
      <c r="W8062" s="39"/>
    </row>
    <row r="8063" spans="23:23" x14ac:dyDescent="0.2">
      <c r="W8063" s="39"/>
    </row>
    <row r="8064" spans="23:23" x14ac:dyDescent="0.2">
      <c r="W8064" s="39"/>
    </row>
    <row r="8065" spans="23:23" x14ac:dyDescent="0.2">
      <c r="W8065" s="39"/>
    </row>
    <row r="8066" spans="23:23" x14ac:dyDescent="0.2">
      <c r="W8066" s="39"/>
    </row>
    <row r="8067" spans="23:23" x14ac:dyDescent="0.2">
      <c r="W8067" s="39"/>
    </row>
    <row r="8068" spans="23:23" x14ac:dyDescent="0.2">
      <c r="W8068" s="39"/>
    </row>
    <row r="8069" spans="23:23" x14ac:dyDescent="0.2">
      <c r="W8069" s="39"/>
    </row>
    <row r="8070" spans="23:23" x14ac:dyDescent="0.2">
      <c r="W8070" s="39"/>
    </row>
    <row r="8071" spans="23:23" x14ac:dyDescent="0.2">
      <c r="W8071" s="39"/>
    </row>
    <row r="8072" spans="23:23" x14ac:dyDescent="0.2">
      <c r="W8072" s="39"/>
    </row>
    <row r="8073" spans="23:23" x14ac:dyDescent="0.2">
      <c r="W8073" s="39"/>
    </row>
    <row r="8074" spans="23:23" x14ac:dyDescent="0.2">
      <c r="W8074" s="39"/>
    </row>
    <row r="8075" spans="23:23" x14ac:dyDescent="0.2">
      <c r="W8075" s="39"/>
    </row>
    <row r="8076" spans="23:23" x14ac:dyDescent="0.2">
      <c r="W8076" s="39"/>
    </row>
    <row r="8077" spans="23:23" x14ac:dyDescent="0.2">
      <c r="W8077" s="39"/>
    </row>
    <row r="8078" spans="23:23" x14ac:dyDescent="0.2">
      <c r="W8078" s="39"/>
    </row>
    <row r="8079" spans="23:23" x14ac:dyDescent="0.2">
      <c r="W8079" s="39"/>
    </row>
    <row r="8080" spans="23:23" x14ac:dyDescent="0.2">
      <c r="W8080" s="39"/>
    </row>
    <row r="8081" spans="23:23" x14ac:dyDescent="0.2">
      <c r="W8081" s="39"/>
    </row>
    <row r="8082" spans="23:23" x14ac:dyDescent="0.2">
      <c r="W8082" s="39"/>
    </row>
    <row r="8083" spans="23:23" x14ac:dyDescent="0.2">
      <c r="W8083" s="39"/>
    </row>
    <row r="8084" spans="23:23" x14ac:dyDescent="0.2">
      <c r="W8084" s="39"/>
    </row>
    <row r="8085" spans="23:23" x14ac:dyDescent="0.2">
      <c r="W8085" s="39"/>
    </row>
    <row r="8086" spans="23:23" x14ac:dyDescent="0.2">
      <c r="W8086" s="39"/>
    </row>
    <row r="8087" spans="23:23" x14ac:dyDescent="0.2">
      <c r="W8087" s="39"/>
    </row>
    <row r="8088" spans="23:23" x14ac:dyDescent="0.2">
      <c r="W8088" s="39"/>
    </row>
    <row r="8089" spans="23:23" x14ac:dyDescent="0.2">
      <c r="W8089" s="39"/>
    </row>
    <row r="8090" spans="23:23" x14ac:dyDescent="0.2">
      <c r="W8090" s="39"/>
    </row>
    <row r="8091" spans="23:23" x14ac:dyDescent="0.2">
      <c r="W8091" s="39"/>
    </row>
    <row r="8092" spans="23:23" x14ac:dyDescent="0.2">
      <c r="W8092" s="39"/>
    </row>
    <row r="8093" spans="23:23" x14ac:dyDescent="0.2">
      <c r="W8093" s="39"/>
    </row>
    <row r="8094" spans="23:23" x14ac:dyDescent="0.2">
      <c r="W8094" s="39"/>
    </row>
    <row r="8095" spans="23:23" x14ac:dyDescent="0.2">
      <c r="W8095" s="39"/>
    </row>
    <row r="8096" spans="23:23" x14ac:dyDescent="0.2">
      <c r="W8096" s="39"/>
    </row>
    <row r="8097" spans="23:23" x14ac:dyDescent="0.2">
      <c r="W8097" s="39"/>
    </row>
    <row r="8098" spans="23:23" x14ac:dyDescent="0.2">
      <c r="W8098" s="39"/>
    </row>
    <row r="8099" spans="23:23" x14ac:dyDescent="0.2">
      <c r="W8099" s="39"/>
    </row>
    <row r="8100" spans="23:23" x14ac:dyDescent="0.2">
      <c r="W8100" s="39"/>
    </row>
    <row r="8101" spans="23:23" x14ac:dyDescent="0.2">
      <c r="W8101" s="39"/>
    </row>
    <row r="8102" spans="23:23" x14ac:dyDescent="0.2">
      <c r="W8102" s="39"/>
    </row>
    <row r="8103" spans="23:23" x14ac:dyDescent="0.2">
      <c r="W8103" s="39"/>
    </row>
    <row r="8104" spans="23:23" x14ac:dyDescent="0.2">
      <c r="W8104" s="39"/>
    </row>
    <row r="8105" spans="23:23" x14ac:dyDescent="0.2">
      <c r="W8105" s="39"/>
    </row>
    <row r="8106" spans="23:23" x14ac:dyDescent="0.2">
      <c r="W8106" s="39"/>
    </row>
    <row r="8107" spans="23:23" x14ac:dyDescent="0.2">
      <c r="W8107" s="39"/>
    </row>
    <row r="8108" spans="23:23" x14ac:dyDescent="0.2">
      <c r="W8108" s="39"/>
    </row>
    <row r="8109" spans="23:23" x14ac:dyDescent="0.2">
      <c r="W8109" s="39"/>
    </row>
    <row r="8110" spans="23:23" x14ac:dyDescent="0.2">
      <c r="W8110" s="39"/>
    </row>
    <row r="8111" spans="23:23" x14ac:dyDescent="0.2">
      <c r="W8111" s="39"/>
    </row>
    <row r="8112" spans="23:23" x14ac:dyDescent="0.2">
      <c r="W8112" s="39"/>
    </row>
    <row r="8113" spans="23:23" x14ac:dyDescent="0.2">
      <c r="W8113" s="39"/>
    </row>
    <row r="8114" spans="23:23" x14ac:dyDescent="0.2">
      <c r="W8114" s="39"/>
    </row>
    <row r="8115" spans="23:23" x14ac:dyDescent="0.2">
      <c r="W8115" s="39"/>
    </row>
    <row r="8116" spans="23:23" x14ac:dyDescent="0.2">
      <c r="W8116" s="39"/>
    </row>
    <row r="8117" spans="23:23" x14ac:dyDescent="0.2">
      <c r="W8117" s="39"/>
    </row>
    <row r="8118" spans="23:23" x14ac:dyDescent="0.2">
      <c r="W8118" s="39"/>
    </row>
    <row r="8119" spans="23:23" x14ac:dyDescent="0.2">
      <c r="W8119" s="39"/>
    </row>
    <row r="8120" spans="23:23" x14ac:dyDescent="0.2">
      <c r="W8120" s="39"/>
    </row>
    <row r="8121" spans="23:23" x14ac:dyDescent="0.2">
      <c r="W8121" s="39"/>
    </row>
    <row r="8122" spans="23:23" x14ac:dyDescent="0.2">
      <c r="W8122" s="39"/>
    </row>
    <row r="8123" spans="23:23" x14ac:dyDescent="0.2">
      <c r="W8123" s="39"/>
    </row>
    <row r="8124" spans="23:23" x14ac:dyDescent="0.2">
      <c r="W8124" s="39"/>
    </row>
    <row r="8125" spans="23:23" x14ac:dyDescent="0.2">
      <c r="W8125" s="39"/>
    </row>
    <row r="8126" spans="23:23" x14ac:dyDescent="0.2">
      <c r="W8126" s="39"/>
    </row>
    <row r="8127" spans="23:23" x14ac:dyDescent="0.2">
      <c r="W8127" s="39"/>
    </row>
    <row r="8128" spans="23:23" x14ac:dyDescent="0.2">
      <c r="W8128" s="39"/>
    </row>
    <row r="8129" spans="23:23" x14ac:dyDescent="0.2">
      <c r="W8129" s="39"/>
    </row>
    <row r="8130" spans="23:23" x14ac:dyDescent="0.2">
      <c r="W8130" s="39"/>
    </row>
  </sheetData>
  <autoFilter ref="C21:C1437"/>
  <phoneticPr fontId="30" type="noConversion"/>
  <pageMargins left="0.75" right="0.75" top="0.5" bottom="0.5" header="0.5" footer="0.5"/>
  <pageSetup scale="39" orientation="landscape" r:id="rId1"/>
  <headerFooter alignWithMargins="0">
    <oddHeader>&amp;L&amp;"Arial,Regular"Allocation Method: Average 12 CP                                                                                                  &amp;R&amp;"Arial,Regular"Page 9-&amp;P</oddHeader>
  </headerFooter>
  <rowBreaks count="2" manualBreakCount="2">
    <brk id="70" max="16" man="1"/>
    <brk id="110" max="16" man="1"/>
  </rowBreaks>
  <colBreaks count="1" manualBreakCount="1">
    <brk id="11" min="910" max="93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"/>
  <sheetViews>
    <sheetView zoomScale="70" zoomScaleNormal="70" workbookViewId="0">
      <pane xSplit="3" ySplit="3" topLeftCell="D16" activePane="bottomRight" state="frozen"/>
      <selection activeCell="T929" sqref="T929"/>
      <selection pane="topRight" activeCell="T929" sqref="T929"/>
      <selection pane="bottomLeft" activeCell="T929" sqref="T929"/>
      <selection pane="bottomRight" activeCell="K57" sqref="K57"/>
    </sheetView>
  </sheetViews>
  <sheetFormatPr defaultColWidth="9" defaultRowHeight="15" x14ac:dyDescent="0.25"/>
  <cols>
    <col min="1" max="1" width="5.6640625" style="835" customWidth="1"/>
    <col min="2" max="2" width="16" style="835" customWidth="1"/>
    <col min="3" max="3" width="26.88671875" style="791" customWidth="1"/>
    <col min="4" max="4" width="11.33203125" style="836" customWidth="1"/>
    <col min="5" max="5" width="10.44140625" style="788" bestFit="1" customWidth="1"/>
    <col min="6" max="6" width="10.77734375" style="788" bestFit="1" customWidth="1"/>
    <col min="7" max="7" width="10.33203125" style="788" bestFit="1" customWidth="1"/>
    <col min="8" max="8" width="11" style="788" bestFit="1" customWidth="1"/>
    <col min="9" max="17" width="9.33203125" style="788" customWidth="1"/>
    <col min="18" max="18" width="12.5546875" style="788" customWidth="1"/>
    <col min="19" max="16384" width="9" style="788"/>
  </cols>
  <sheetData>
    <row r="1" spans="1:18" s="780" customFormat="1" ht="18.75" x14ac:dyDescent="0.3">
      <c r="A1" s="825"/>
      <c r="B1" s="825"/>
      <c r="C1" s="770"/>
      <c r="D1" s="770"/>
    </row>
    <row r="2" spans="1:18" s="780" customFormat="1" ht="30" x14ac:dyDescent="0.25">
      <c r="A2" s="825" t="s">
        <v>1607</v>
      </c>
      <c r="B2" s="825" t="s">
        <v>2662</v>
      </c>
      <c r="C2" s="826" t="s">
        <v>2437</v>
      </c>
      <c r="D2" s="827" t="s">
        <v>2644</v>
      </c>
      <c r="E2" s="780" t="s">
        <v>1504</v>
      </c>
      <c r="F2" s="780" t="s">
        <v>2454</v>
      </c>
      <c r="G2" s="780" t="s">
        <v>2455</v>
      </c>
      <c r="H2" s="780" t="s">
        <v>2456</v>
      </c>
      <c r="I2" s="780" t="s">
        <v>2457</v>
      </c>
      <c r="J2" s="780" t="s">
        <v>2458</v>
      </c>
      <c r="K2" s="780" t="s">
        <v>2459</v>
      </c>
      <c r="L2" s="780" t="s">
        <v>2460</v>
      </c>
      <c r="M2" s="780" t="s">
        <v>2461</v>
      </c>
      <c r="N2" s="780" t="s">
        <v>2462</v>
      </c>
      <c r="O2" s="780" t="s">
        <v>2463</v>
      </c>
      <c r="P2" s="780" t="s">
        <v>2464</v>
      </c>
      <c r="Q2" s="780" t="s">
        <v>2465</v>
      </c>
      <c r="R2" s="771" t="s">
        <v>1580</v>
      </c>
    </row>
    <row r="3" spans="1:18" s="780" customFormat="1" x14ac:dyDescent="0.25">
      <c r="A3" s="825"/>
      <c r="B3" s="825"/>
      <c r="C3" s="826" t="s">
        <v>2426</v>
      </c>
      <c r="D3" s="827"/>
    </row>
    <row r="4" spans="1:18" s="830" customFormat="1" x14ac:dyDescent="0.25">
      <c r="A4" s="828"/>
      <c r="B4" s="828"/>
      <c r="C4" s="606"/>
      <c r="D4" s="725"/>
      <c r="E4" s="829"/>
      <c r="F4" s="829"/>
      <c r="G4" s="829"/>
      <c r="H4" s="829"/>
      <c r="I4" s="829"/>
      <c r="J4" s="829"/>
      <c r="K4" s="829"/>
      <c r="L4" s="829"/>
      <c r="M4" s="829"/>
      <c r="N4" s="829"/>
      <c r="O4" s="829"/>
      <c r="P4" s="829"/>
      <c r="Q4" s="829"/>
    </row>
    <row r="5" spans="1:18" s="607" customFormat="1" x14ac:dyDescent="0.25">
      <c r="A5" s="831"/>
      <c r="B5" s="831"/>
      <c r="C5" s="832" t="s">
        <v>2287</v>
      </c>
      <c r="D5" s="832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</row>
    <row r="6" spans="1:18" s="607" customFormat="1" x14ac:dyDescent="0.25">
      <c r="A6" s="831" t="str">
        <f t="shared" ref="A6:A39" si="0">IF(ISTEXT(MID($C6,SEARCH("KY",$C6),3)),"KY",IF(ISTEXT(MID($C6,SEARCH("VA",$C6),3)),"VA",IF(ISTEXT(MID($C6,SEARCH("TN",$C6),3)),"TN","KY")))</f>
        <v>KY</v>
      </c>
      <c r="B6" s="831" t="str">
        <f t="shared" ref="B6:B10" si="1">IF(ISTEXT(MID($C6,SEARCH("COMMON",$C6),3)),"COMMON",IF(ISTEXT(MID($C6,SEARCH("GAS",$C6),3)),"",IF(ISTEXT(MID($C6,SEARCH("PRODUCTION",$C6),3)),"PRODUCTION",IF(ISTEXT(MID($C6,SEARCH("TRANSMISSION",$C6),3)),"TRANSMISSION",IF(ISTEXT(MID($C6,SEARCH("DISTRIBUTION",$C6),3)),"DISTRIBUTION",IF(ISTEXT(MID($C6,SEARCH("LAND",$C6),3)),"DISTRIBUTION",IF(ISTEXT(MID($C6,SEARCH("COMMON",$C6),3)),"COMMON",IF(ISTEXT(MID($C6,SEARCH("GENERAL",$C6),3)),"GENERAL",IF(ISTEXT(MID($C6,SEARCH("INTANGIBLE",$C6),3)),"GENERAL",IF(ISTEXT(MID($C6,SEARCH("STORAGE",$C6),3)),"STORAGE AND PROCESSING",""))))))))))</f>
        <v>DISTRIBUTION</v>
      </c>
      <c r="C6" s="606" t="s">
        <v>2288</v>
      </c>
      <c r="D6" s="725" t="str">
        <f t="shared" ref="D6:D53" si="2">IF(ISTEXT(MID($C6,SEARCH("FUTURE USE",$C6),3)),"FUTURE USE",IF(ISTEXT(MID($C6,SEARCH("ECR",$C6),3)),"ECR",IF(ISTEXT(MID($C6,SEARCH("ARO",$C6),3)),"ARO",IF(ISTEXT(MID($C6,SEARCH("DSM",$C6),3)),"DSM",IF(ISTEXT(MID($C6,SEARCH("GLT",$C6),3)),"GLT","")))))</f>
        <v/>
      </c>
      <c r="E6" s="607">
        <v>13866.4780185499</v>
      </c>
      <c r="F6" s="607">
        <v>17028.491357813698</v>
      </c>
      <c r="G6" s="607">
        <v>19362.807304083399</v>
      </c>
      <c r="H6" s="607">
        <v>22211.006528433201</v>
      </c>
      <c r="I6" s="607">
        <v>22975.657683232799</v>
      </c>
      <c r="J6" s="607">
        <v>25095.255432571899</v>
      </c>
      <c r="K6" s="607">
        <v>26267.153306000699</v>
      </c>
      <c r="L6" s="607">
        <v>28779.961507616601</v>
      </c>
      <c r="M6" s="607">
        <v>12935.5360197182</v>
      </c>
      <c r="N6" s="607">
        <v>14542.217266031101</v>
      </c>
      <c r="O6" s="607">
        <v>18369.7662177528</v>
      </c>
      <c r="P6" s="607">
        <v>20155.272555339499</v>
      </c>
      <c r="Q6" s="607">
        <v>21844.415019658802</v>
      </c>
      <c r="R6" s="567">
        <f>SUM(E6:Q6)/13</f>
        <v>20264.15524744635</v>
      </c>
    </row>
    <row r="7" spans="1:18" s="607" customFormat="1" x14ac:dyDescent="0.25">
      <c r="A7" s="831" t="str">
        <f t="shared" si="0"/>
        <v>VA</v>
      </c>
      <c r="B7" s="831" t="str">
        <f t="shared" si="1"/>
        <v>DISTRIBUTION</v>
      </c>
      <c r="C7" s="606" t="s">
        <v>2289</v>
      </c>
      <c r="D7" s="725" t="str">
        <f t="shared" si="2"/>
        <v/>
      </c>
      <c r="E7" s="607">
        <v>6.3063500249427307E-5</v>
      </c>
      <c r="F7" s="607">
        <v>6.0517700291029501E-5</v>
      </c>
      <c r="G7" s="607">
        <v>113.88675404830001</v>
      </c>
      <c r="H7" s="607">
        <v>9.5090000343134307E-5</v>
      </c>
      <c r="I7" s="607">
        <v>8.8550800342090898E-5</v>
      </c>
      <c r="J7" s="607">
        <v>8.5879600362659403E-5</v>
      </c>
      <c r="K7" s="607">
        <v>1.1486670041449501E-4</v>
      </c>
      <c r="L7" s="607">
        <v>1.20949300395523E-4</v>
      </c>
      <c r="M7" s="607">
        <v>1.37390100405809E-4</v>
      </c>
      <c r="N7" s="607">
        <v>1.4090600038230101E-4</v>
      </c>
      <c r="O7" s="607">
        <v>1.50440300387799E-4</v>
      </c>
      <c r="P7" s="607">
        <v>1.5569590036079701E-4</v>
      </c>
      <c r="Q7" s="607">
        <v>1.7147340034284701E-4</v>
      </c>
      <c r="R7" s="567">
        <f t="shared" ref="R7:R51" si="3">SUM(E7:Q7)/13</f>
        <v>8.7606260670464842</v>
      </c>
    </row>
    <row r="8" spans="1:18" s="607" customFormat="1" x14ac:dyDescent="0.25">
      <c r="A8" s="831" t="str">
        <f t="shared" si="0"/>
        <v>KY</v>
      </c>
      <c r="B8" s="831" t="str">
        <f t="shared" si="1"/>
        <v>GENERAL</v>
      </c>
      <c r="C8" s="606" t="s">
        <v>2290</v>
      </c>
      <c r="D8" s="725" t="str">
        <f t="shared" si="2"/>
        <v/>
      </c>
      <c r="E8" s="607">
        <v>11447.6393634207</v>
      </c>
      <c r="F8" s="607">
        <v>13447.2238418261</v>
      </c>
      <c r="G8" s="607">
        <v>8085.8204527278003</v>
      </c>
      <c r="H8" s="607">
        <v>9396.0450718717002</v>
      </c>
      <c r="I8" s="607">
        <v>10532.726522123199</v>
      </c>
      <c r="J8" s="607">
        <v>11392.2311122753</v>
      </c>
      <c r="K8" s="607">
        <v>12546.296884404501</v>
      </c>
      <c r="L8" s="607">
        <v>9482.9080210071006</v>
      </c>
      <c r="M8" s="607">
        <v>6594.2224639263004</v>
      </c>
      <c r="N8" s="607">
        <v>7090.0455394623004</v>
      </c>
      <c r="O8" s="607">
        <v>7765.7072637333004</v>
      </c>
      <c r="P8" s="607">
        <v>9815.9759712976993</v>
      </c>
      <c r="Q8" s="607">
        <v>11632.118774107999</v>
      </c>
      <c r="R8" s="567">
        <f t="shared" si="3"/>
        <v>9940.6893293987687</v>
      </c>
    </row>
    <row r="9" spans="1:18" s="607" customFormat="1" x14ac:dyDescent="0.25">
      <c r="A9" s="831" t="str">
        <f t="shared" si="0"/>
        <v>VA</v>
      </c>
      <c r="B9" s="831" t="str">
        <f t="shared" si="1"/>
        <v>GENERAL</v>
      </c>
      <c r="C9" s="606" t="s">
        <v>2291</v>
      </c>
      <c r="D9" s="725" t="str">
        <f t="shared" si="2"/>
        <v/>
      </c>
      <c r="E9" s="607">
        <v>3609.40281707849</v>
      </c>
      <c r="F9" s="607">
        <v>3924.5825099876902</v>
      </c>
      <c r="G9" s="607">
        <v>4193.2347543276901</v>
      </c>
      <c r="H9" s="607">
        <v>49.035699623698697</v>
      </c>
      <c r="I9" s="607">
        <v>49.035702256498702</v>
      </c>
      <c r="J9" s="607">
        <v>49.035702256498702</v>
      </c>
      <c r="K9" s="607">
        <v>49.035702256498702</v>
      </c>
      <c r="L9" s="607">
        <v>49.035702256498702</v>
      </c>
      <c r="M9" s="607">
        <v>49.035702256498702</v>
      </c>
      <c r="N9" s="607">
        <v>49.035702256498702</v>
      </c>
      <c r="O9" s="607">
        <v>49.035702256498702</v>
      </c>
      <c r="P9" s="607">
        <v>49.035697476498697</v>
      </c>
      <c r="Q9" s="607">
        <v>49.035697476498697</v>
      </c>
      <c r="R9" s="567">
        <f t="shared" si="3"/>
        <v>939.81362244354273</v>
      </c>
    </row>
    <row r="10" spans="1:18" s="607" customFormat="1" x14ac:dyDescent="0.25">
      <c r="A10" s="831" t="str">
        <f t="shared" si="0"/>
        <v>KY</v>
      </c>
      <c r="B10" s="831" t="str">
        <f t="shared" si="1"/>
        <v>PRODUCTION</v>
      </c>
      <c r="C10" s="606" t="s">
        <v>2292</v>
      </c>
      <c r="D10" s="725" t="str">
        <f t="shared" si="2"/>
        <v/>
      </c>
      <c r="E10" s="607">
        <v>216.75023052742199</v>
      </c>
      <c r="F10" s="607">
        <v>216.75023052742199</v>
      </c>
      <c r="G10" s="607">
        <v>216.750231507422</v>
      </c>
      <c r="H10" s="607">
        <v>216.750231507422</v>
      </c>
      <c r="I10" s="607">
        <v>216.750231507422</v>
      </c>
      <c r="J10" s="607">
        <v>216.750231507422</v>
      </c>
      <c r="K10" s="607">
        <v>216.750231507422</v>
      </c>
      <c r="L10" s="607">
        <v>216.750231507422</v>
      </c>
      <c r="M10" s="607">
        <v>216.750231507422</v>
      </c>
      <c r="N10" s="607">
        <v>216.750231507422</v>
      </c>
      <c r="O10" s="607">
        <v>216.750231507422</v>
      </c>
      <c r="P10" s="607">
        <v>216.750231507422</v>
      </c>
      <c r="Q10" s="607">
        <v>216.750231507422</v>
      </c>
      <c r="R10" s="567">
        <f t="shared" si="3"/>
        <v>216.75023135665282</v>
      </c>
    </row>
    <row r="11" spans="1:18" s="607" customFormat="1" x14ac:dyDescent="0.25">
      <c r="A11" s="831" t="str">
        <f t="shared" si="0"/>
        <v>KY</v>
      </c>
      <c r="B11" s="831" t="str">
        <f>IF(ISTEXT(MID($C11,SEARCH("COMMON",$C11),3)),"COMMON",IF(ISTEXT(MID($C11,SEARCH("GAS",$C11),3)),"",IF(ISTEXT(MID($C11,SEARCH("PRODUCTION",$C11),3)),"PRODUCTION",IF(ISTEXT(MID($C11,SEARCH("TRANSMISSION",$C11),3)),"TRANSMISSION",IF(ISTEXT(MID($C11,SEARCH("DISTRIBUTION",$C11),3)),"DISTRIBUTION",IF(ISTEXT(MID($C11,SEARCH("LAND",$C11),3)),"DISTRIBUTION",IF(ISTEXT(MID($C11,SEARCH("COMMON",$C11),3)),"COMMON",IF(ISTEXT(MID($C11,SEARCH("GENERAL",$C11),3)),"GENERAL",IF(ISTEXT(MID($C11,SEARCH("INTANGIBLE",$C11),3)),"GENERAL",IF(ISTEXT(MID($C11,SEARCH("STORAGE",$C11),3)),"STORAGE AND PROCESSING",""))))))))))</f>
        <v>GENERAL</v>
      </c>
      <c r="C11" s="606" t="s">
        <v>2293</v>
      </c>
      <c r="D11" s="725" t="str">
        <f t="shared" si="2"/>
        <v/>
      </c>
      <c r="E11" s="607">
        <v>13940.632753198801</v>
      </c>
      <c r="F11" s="607">
        <v>14892.8958819042</v>
      </c>
      <c r="G11" s="607">
        <v>10037.8700159483</v>
      </c>
      <c r="H11" s="607">
        <v>10880.4930466888</v>
      </c>
      <c r="I11" s="607">
        <v>11848.3978031688</v>
      </c>
      <c r="J11" s="607">
        <v>12835.5623615893</v>
      </c>
      <c r="K11" s="607">
        <v>13599.6069175103</v>
      </c>
      <c r="L11" s="607">
        <v>13365.5280797491</v>
      </c>
      <c r="M11" s="607">
        <v>12105.593893935</v>
      </c>
      <c r="N11" s="607">
        <v>12700.083962454901</v>
      </c>
      <c r="O11" s="607">
        <v>13663.963511755201</v>
      </c>
      <c r="P11" s="607">
        <v>8910.7003278073898</v>
      </c>
      <c r="Q11" s="607">
        <v>9534.4054201548897</v>
      </c>
      <c r="R11" s="567">
        <f t="shared" si="3"/>
        <v>12178.133382758844</v>
      </c>
    </row>
    <row r="12" spans="1:18" s="607" customFormat="1" x14ac:dyDescent="0.25">
      <c r="A12" s="831" t="str">
        <f t="shared" si="0"/>
        <v>KY</v>
      </c>
      <c r="B12" s="831" t="str">
        <f t="shared" ref="B12:B20" si="4">IF(ISTEXT(MID($C12,SEARCH("COMMON",$C12),3)),"COMMON",IF(ISTEXT(MID($C12,SEARCH("GAS",$C12),3)),"",IF(ISTEXT(MID($C12,SEARCH("PRODUCTION",$C12),3)),"PRODUCTION",IF(ISTEXT(MID($C12,SEARCH("TRANSMISSION",$C12),3)),"TRANSMISSION",IF(ISTEXT(MID($C12,SEARCH("DISTRIBUTION",$C12),3)),"DISTRIBUTION",IF(ISTEXT(MID($C12,SEARCH("LAND",$C12),3)),"DISTRIBUTION",IF(ISTEXT(MID($C12,SEARCH("COMMON",$C12),3)),"COMMON",IF(ISTEXT(MID($C12,SEARCH("GENERAL",$C12),3)),"GENERAL",IF(ISTEXT(MID($C12,SEARCH("INTANGIBLE",$C12),3)),"GENERAL",IF(ISTEXT(MID($C12,SEARCH("STORAGE",$C12),3)),"STORAGE AND PROCESSING",""))))))))))</f>
        <v>DISTRIBUTION</v>
      </c>
      <c r="C12" s="606" t="s">
        <v>2294</v>
      </c>
      <c r="D12" s="725" t="str">
        <f t="shared" si="2"/>
        <v/>
      </c>
      <c r="E12" s="607">
        <v>19.205918387799901</v>
      </c>
      <c r="F12" s="607">
        <v>19.205918387799901</v>
      </c>
      <c r="G12" s="607">
        <v>19.205918387799901</v>
      </c>
      <c r="H12" s="607">
        <v>19.205918387799901</v>
      </c>
      <c r="I12" s="607">
        <v>19.205918387799901</v>
      </c>
      <c r="J12" s="607">
        <v>19.205918387799901</v>
      </c>
      <c r="K12" s="607">
        <v>19.205918387799901</v>
      </c>
      <c r="L12" s="607">
        <v>19.205914638899898</v>
      </c>
      <c r="M12" s="607">
        <v>-5.3611000865316698E-6</v>
      </c>
      <c r="N12" s="607">
        <v>-5.3611000865316698E-6</v>
      </c>
      <c r="O12" s="607">
        <v>-5.3611000865316698E-6</v>
      </c>
      <c r="P12" s="607">
        <v>-5.3611000865316698E-6</v>
      </c>
      <c r="Q12" s="607">
        <v>-5.3611000865316698E-6</v>
      </c>
      <c r="R12" s="567">
        <f t="shared" si="3"/>
        <v>11.819024349846062</v>
      </c>
    </row>
    <row r="13" spans="1:18" s="607" customFormat="1" x14ac:dyDescent="0.25">
      <c r="A13" s="831" t="str">
        <f t="shared" si="0"/>
        <v>VA</v>
      </c>
      <c r="B13" s="831" t="str">
        <f t="shared" si="4"/>
        <v>DISTRIBUTION</v>
      </c>
      <c r="C13" s="606" t="s">
        <v>2438</v>
      </c>
      <c r="D13" s="725" t="str">
        <f t="shared" si="2"/>
        <v/>
      </c>
      <c r="E13" s="607">
        <v>-7.15820004870693E-6</v>
      </c>
      <c r="F13" s="607">
        <v>-7.15820004870693E-6</v>
      </c>
      <c r="G13" s="607">
        <v>-7.15820004870693E-6</v>
      </c>
      <c r="H13" s="607">
        <v>-7.15820004870693E-6</v>
      </c>
      <c r="I13" s="607">
        <v>-7.15820004870693E-6</v>
      </c>
      <c r="J13" s="607">
        <v>-7.15820004870693E-6</v>
      </c>
      <c r="K13" s="607">
        <v>-7.15820004870693E-6</v>
      </c>
      <c r="L13" s="607">
        <v>-7.15820004870693E-6</v>
      </c>
      <c r="M13" s="607">
        <v>-7.15820004870693E-6</v>
      </c>
      <c r="N13" s="607">
        <v>-7.15820004870693E-6</v>
      </c>
      <c r="O13" s="607">
        <v>-7.15820004870693E-6</v>
      </c>
      <c r="P13" s="607">
        <v>-7.15820004870693E-6</v>
      </c>
      <c r="Q13" s="607">
        <v>-7.15820004870693E-6</v>
      </c>
      <c r="R13" s="567">
        <f t="shared" si="3"/>
        <v>-7.15820004870693E-6</v>
      </c>
    </row>
    <row r="14" spans="1:18" s="607" customFormat="1" x14ac:dyDescent="0.25">
      <c r="A14" s="831" t="str">
        <f t="shared" si="0"/>
        <v>KY</v>
      </c>
      <c r="B14" s="831" t="str">
        <f t="shared" si="4"/>
        <v>PRODUCTION</v>
      </c>
      <c r="C14" s="606" t="s">
        <v>2295</v>
      </c>
      <c r="D14" s="725" t="str">
        <f t="shared" si="2"/>
        <v/>
      </c>
      <c r="E14" s="607">
        <v>22888.161619981402</v>
      </c>
      <c r="F14" s="607">
        <v>14462.101002273001</v>
      </c>
      <c r="G14" s="607">
        <v>16899.970836307399</v>
      </c>
      <c r="H14" s="607">
        <v>21678.226637178199</v>
      </c>
      <c r="I14" s="607">
        <v>23133.543713999399</v>
      </c>
      <c r="J14" s="607">
        <v>2277.7126355532901</v>
      </c>
      <c r="K14" s="607">
        <v>2989.5674918136901</v>
      </c>
      <c r="L14" s="607">
        <v>2857.09600379529</v>
      </c>
      <c r="M14" s="607">
        <v>933.15757657659196</v>
      </c>
      <c r="N14" s="607">
        <v>1062.16844950219</v>
      </c>
      <c r="O14" s="607">
        <v>831.74077861099204</v>
      </c>
      <c r="P14" s="607">
        <v>12833.318241819599</v>
      </c>
      <c r="Q14" s="607">
        <v>4.3706051972912903</v>
      </c>
      <c r="R14" s="567">
        <f t="shared" si="3"/>
        <v>9450.0873532775659</v>
      </c>
    </row>
    <row r="15" spans="1:18" s="607" customFormat="1" x14ac:dyDescent="0.25">
      <c r="A15" s="831" t="str">
        <f t="shared" si="0"/>
        <v>KY</v>
      </c>
      <c r="B15" s="831" t="str">
        <f t="shared" si="4"/>
        <v>PRODUCTION</v>
      </c>
      <c r="C15" s="606" t="s">
        <v>2296</v>
      </c>
      <c r="D15" s="725" t="str">
        <f t="shared" si="2"/>
        <v/>
      </c>
      <c r="E15" s="607">
        <v>25276.3627691941</v>
      </c>
      <c r="F15" s="607">
        <v>22820.218668151399</v>
      </c>
      <c r="G15" s="607">
        <v>15007.1745599637</v>
      </c>
      <c r="H15" s="607">
        <v>16596.582677923499</v>
      </c>
      <c r="I15" s="607">
        <v>20591.721831332899</v>
      </c>
      <c r="J15" s="607">
        <v>22995.781191360998</v>
      </c>
      <c r="K15" s="607">
        <v>36963.748271617798</v>
      </c>
      <c r="L15" s="607">
        <v>30360.415998928202</v>
      </c>
      <c r="M15" s="607">
        <v>14225.5598159277</v>
      </c>
      <c r="N15" s="607">
        <v>14545.75715652</v>
      </c>
      <c r="O15" s="607">
        <v>18100.504804989101</v>
      </c>
      <c r="P15" s="607">
        <v>26579.194151268199</v>
      </c>
      <c r="Q15" s="607">
        <v>40872.5324988953</v>
      </c>
      <c r="R15" s="567">
        <f t="shared" si="3"/>
        <v>23456.581107390222</v>
      </c>
    </row>
    <row r="16" spans="1:18" s="607" customFormat="1" x14ac:dyDescent="0.25">
      <c r="A16" s="831" t="str">
        <f t="shared" si="0"/>
        <v>KY</v>
      </c>
      <c r="B16" s="831" t="str">
        <f t="shared" si="4"/>
        <v>PRODUCTION</v>
      </c>
      <c r="C16" s="606" t="s">
        <v>2297</v>
      </c>
      <c r="D16" s="725" t="str">
        <f t="shared" si="2"/>
        <v>ECR</v>
      </c>
      <c r="E16" s="607">
        <v>50696.530709999999</v>
      </c>
      <c r="F16" s="607">
        <v>51832.334499999997</v>
      </c>
      <c r="G16" s="607">
        <v>53518.218289999997</v>
      </c>
      <c r="H16" s="607">
        <v>55371.502079999998</v>
      </c>
      <c r="I16" s="607">
        <v>57068.545870000002</v>
      </c>
      <c r="J16" s="607">
        <v>59064.749660000001</v>
      </c>
      <c r="K16" s="607">
        <v>60540.352350000001</v>
      </c>
      <c r="L16" s="607">
        <v>38575.625959999998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567">
        <f t="shared" si="3"/>
        <v>32820.604570769225</v>
      </c>
    </row>
    <row r="17" spans="1:18" s="607" customFormat="1" x14ac:dyDescent="0.25">
      <c r="A17" s="831" t="str">
        <f t="shared" si="0"/>
        <v>KY</v>
      </c>
      <c r="B17" s="831" t="str">
        <f t="shared" si="4"/>
        <v>PRODUCTION</v>
      </c>
      <c r="C17" s="606" t="s">
        <v>2298</v>
      </c>
      <c r="D17" s="725" t="str">
        <f t="shared" si="2"/>
        <v>ECR</v>
      </c>
      <c r="E17" s="607">
        <v>496.01754975832898</v>
      </c>
      <c r="F17" s="607">
        <v>496.20738832702199</v>
      </c>
      <c r="G17" s="607">
        <v>496.40188054579301</v>
      </c>
      <c r="H17" s="607">
        <v>496.65841826730201</v>
      </c>
      <c r="I17" s="607">
        <v>496.923722864448</v>
      </c>
      <c r="J17" s="607">
        <v>497.18844382163098</v>
      </c>
      <c r="K17" s="607">
        <v>2409.2347328897099</v>
      </c>
      <c r="L17" s="607">
        <v>3471.1516709062298</v>
      </c>
      <c r="M17" s="607">
        <v>896.64801185992405</v>
      </c>
      <c r="N17" s="607">
        <v>896.64801185992405</v>
      </c>
      <c r="O17" s="607">
        <v>896.64801185992405</v>
      </c>
      <c r="P17" s="607">
        <v>46.684011859924297</v>
      </c>
      <c r="Q17" s="607">
        <v>46.684011859924297</v>
      </c>
      <c r="R17" s="567">
        <f t="shared" si="3"/>
        <v>895.62275897539143</v>
      </c>
    </row>
    <row r="18" spans="1:18" s="607" customFormat="1" x14ac:dyDescent="0.25">
      <c r="A18" s="831" t="str">
        <f t="shared" si="0"/>
        <v>KY</v>
      </c>
      <c r="B18" s="831" t="str">
        <f t="shared" si="4"/>
        <v>PRODUCTION</v>
      </c>
      <c r="C18" s="606" t="s">
        <v>2299</v>
      </c>
      <c r="D18" s="725" t="str">
        <f t="shared" si="2"/>
        <v>ECR</v>
      </c>
      <c r="E18" s="607">
        <v>187339.020066103</v>
      </c>
      <c r="F18" s="607">
        <v>58268.059592018697</v>
      </c>
      <c r="G18" s="607">
        <v>57686.338509137197</v>
      </c>
      <c r="H18" s="607">
        <v>62404.650887453099</v>
      </c>
      <c r="I18" s="607">
        <v>67770.138903746207</v>
      </c>
      <c r="J18" s="607">
        <v>72027.511097325303</v>
      </c>
      <c r="K18" s="607">
        <v>58568.940530771499</v>
      </c>
      <c r="L18" s="607">
        <v>61026.134817851402</v>
      </c>
      <c r="M18" s="607">
        <v>31924.2379884193</v>
      </c>
      <c r="N18" s="607">
        <v>32184.3260695959</v>
      </c>
      <c r="O18" s="607">
        <v>32444.3643657596</v>
      </c>
      <c r="P18" s="607">
        <v>32804.407595155899</v>
      </c>
      <c r="Q18" s="607">
        <v>33314.467985260198</v>
      </c>
      <c r="R18" s="567">
        <f t="shared" si="3"/>
        <v>60597.122954507475</v>
      </c>
    </row>
    <row r="19" spans="1:18" s="607" customFormat="1" x14ac:dyDescent="0.25">
      <c r="A19" s="831" t="str">
        <f t="shared" si="0"/>
        <v>KY</v>
      </c>
      <c r="B19" s="831" t="str">
        <f t="shared" si="4"/>
        <v>TRANSMISSION</v>
      </c>
      <c r="C19" s="606" t="s">
        <v>2300</v>
      </c>
      <c r="D19" s="725" t="str">
        <f t="shared" si="2"/>
        <v/>
      </c>
      <c r="E19" s="607">
        <v>46920.525958370999</v>
      </c>
      <c r="F19" s="607">
        <v>48954.932625026799</v>
      </c>
      <c r="G19" s="607">
        <v>51547.242679253199</v>
      </c>
      <c r="H19" s="607">
        <v>53851.729566656097</v>
      </c>
      <c r="I19" s="607">
        <v>59243.484404266899</v>
      </c>
      <c r="J19" s="607">
        <v>67476.497882914802</v>
      </c>
      <c r="K19" s="607">
        <v>74456.315548532395</v>
      </c>
      <c r="L19" s="607">
        <v>81685.445530129495</v>
      </c>
      <c r="M19" s="607">
        <v>40394.946890090498</v>
      </c>
      <c r="N19" s="607">
        <v>50843.972411332601</v>
      </c>
      <c r="O19" s="607">
        <v>56834.852163932403</v>
      </c>
      <c r="P19" s="607">
        <v>66913.523255148495</v>
      </c>
      <c r="Q19" s="607">
        <v>69048.819463477295</v>
      </c>
      <c r="R19" s="567">
        <f t="shared" si="3"/>
        <v>59090.176029164002</v>
      </c>
    </row>
    <row r="20" spans="1:18" s="607" customFormat="1" x14ac:dyDescent="0.25">
      <c r="A20" s="831" t="str">
        <f t="shared" si="0"/>
        <v>VA</v>
      </c>
      <c r="B20" s="831" t="str">
        <f t="shared" si="4"/>
        <v>TRANSMISSION</v>
      </c>
      <c r="C20" s="606" t="s">
        <v>2301</v>
      </c>
      <c r="D20" s="725" t="str">
        <f t="shared" si="2"/>
        <v/>
      </c>
      <c r="E20" s="607">
        <v>1663.98460723019</v>
      </c>
      <c r="F20" s="607">
        <v>2187.5629230272998</v>
      </c>
      <c r="G20" s="607">
        <v>2720.5438857897998</v>
      </c>
      <c r="H20" s="607">
        <v>2772.1834805422</v>
      </c>
      <c r="I20" s="607">
        <v>2822.9687038702</v>
      </c>
      <c r="J20" s="607">
        <v>2876.1656068923999</v>
      </c>
      <c r="K20" s="607">
        <v>3124.6315322853902</v>
      </c>
      <c r="L20" s="607">
        <v>3373.0974576783901</v>
      </c>
      <c r="M20" s="607">
        <v>3363.6724660753998</v>
      </c>
      <c r="N20" s="607">
        <v>3804.0795885514999</v>
      </c>
      <c r="O20" s="607">
        <v>4220.4799226167997</v>
      </c>
      <c r="P20" s="607">
        <v>4931.0563880558002</v>
      </c>
      <c r="Q20" s="607">
        <v>6068.9913950893997</v>
      </c>
      <c r="R20" s="567">
        <f t="shared" ref="R20" si="5">SUM(E20:Q20)/13</f>
        <v>3379.1859967465211</v>
      </c>
    </row>
    <row r="21" spans="1:18" s="607" customFormat="1" x14ac:dyDescent="0.25">
      <c r="A21" s="831" t="str">
        <f t="shared" si="0"/>
        <v>KY</v>
      </c>
      <c r="B21" s="831" t="str">
        <f t="shared" ref="B21:B37" si="6">IF(ISTEXT(MID($C21,SEARCH("COMMON",$C21),3)),"COMMON",IF(ISTEXT(MID($C21,SEARCH("GAS",$C21),3)),"",IF(ISTEXT(MID($C21,SEARCH("PRODUCTION",$C21),3)),"PRODUCTION",IF(ISTEXT(MID($C21,SEARCH("TRANSMISSION",$C21),3)),"TRANSMISSION",IF(ISTEXT(MID($C21,SEARCH("DISTRIBUTION",$C21),3)),"DISTRIBUTION",IF(ISTEXT(MID($C21,SEARCH("COMMON",$C21),3)),"COMMON",IF(ISTEXT(MID($C21,SEARCH("GENERAL",$C21),3)),"GENERAL",IF(ISTEXT(MID($C21,SEARCH("INTANGIBLE",$C21),3)),"INTANGIBLE",IF(ISTEXT(MID($C21,SEARCH("STORAGE",$C21),3)),"STORAGE AND PROCESSING","")))))))))</f>
        <v/>
      </c>
      <c r="C21" s="606"/>
      <c r="D21" s="725"/>
      <c r="R21" s="567"/>
    </row>
    <row r="22" spans="1:18" s="607" customFormat="1" x14ac:dyDescent="0.25">
      <c r="A22" s="831"/>
      <c r="B22" s="831"/>
      <c r="C22" s="606"/>
      <c r="D22" s="725"/>
      <c r="R22" s="567"/>
    </row>
    <row r="23" spans="1:18" s="607" customFormat="1" x14ac:dyDescent="0.25">
      <c r="A23" s="831"/>
      <c r="B23" s="831"/>
      <c r="C23" s="606"/>
      <c r="D23" s="725"/>
      <c r="R23" s="567"/>
    </row>
    <row r="24" spans="1:18" s="607" customFormat="1" x14ac:dyDescent="0.25">
      <c r="A24" s="831"/>
      <c r="B24" s="831"/>
      <c r="C24" s="606"/>
      <c r="D24" s="725"/>
      <c r="R24" s="567"/>
    </row>
    <row r="25" spans="1:18" s="607" customFormat="1" x14ac:dyDescent="0.25">
      <c r="A25" s="831"/>
      <c r="B25" s="831"/>
      <c r="C25" s="606"/>
      <c r="D25" s="725"/>
      <c r="R25" s="567"/>
    </row>
    <row r="26" spans="1:18" s="607" customFormat="1" x14ac:dyDescent="0.25">
      <c r="A26" s="831"/>
      <c r="B26" s="831"/>
      <c r="C26" s="606"/>
      <c r="D26" s="725"/>
      <c r="R26" s="567"/>
    </row>
    <row r="27" spans="1:18" s="607" customFormat="1" x14ac:dyDescent="0.25">
      <c r="A27" s="831"/>
      <c r="B27" s="831"/>
      <c r="C27" s="606"/>
      <c r="D27" s="725"/>
      <c r="R27" s="567"/>
    </row>
    <row r="28" spans="1:18" s="607" customFormat="1" x14ac:dyDescent="0.25">
      <c r="A28" s="831"/>
      <c r="B28" s="831"/>
      <c r="C28" s="606"/>
      <c r="D28" s="725"/>
      <c r="R28" s="567"/>
    </row>
    <row r="29" spans="1:18" s="607" customFormat="1" x14ac:dyDescent="0.25">
      <c r="A29" s="831"/>
      <c r="B29" s="831"/>
      <c r="C29" s="606"/>
      <c r="D29" s="725"/>
      <c r="R29" s="777">
        <f>SUM(R6:R28)</f>
        <v>233249.50222749327</v>
      </c>
    </row>
    <row r="30" spans="1:18" s="607" customFormat="1" x14ac:dyDescent="0.25">
      <c r="A30" s="831" t="str">
        <f t="shared" si="0"/>
        <v>KY</v>
      </c>
      <c r="B30" s="831" t="str">
        <f t="shared" si="6"/>
        <v/>
      </c>
      <c r="C30" s="832" t="s">
        <v>2302</v>
      </c>
      <c r="D30" s="832"/>
      <c r="E30" s="607">
        <v>0</v>
      </c>
      <c r="F30" s="607">
        <v>0</v>
      </c>
      <c r="G30" s="607">
        <v>0</v>
      </c>
      <c r="H30" s="607">
        <v>0</v>
      </c>
      <c r="I30" s="607">
        <v>0</v>
      </c>
      <c r="J30" s="607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567">
        <f t="shared" si="3"/>
        <v>0</v>
      </c>
    </row>
    <row r="31" spans="1:18" s="607" customFormat="1" x14ac:dyDescent="0.25">
      <c r="A31" s="831" t="str">
        <f t="shared" si="0"/>
        <v>KY</v>
      </c>
      <c r="B31" s="831" t="str">
        <f t="shared" ref="B31:B36" si="7">IF(ISTEXT(MID($C31,SEARCH("COMMON",$C31),3)),"COMMON",IF(ISTEXT(MID($C31,SEARCH("GAS",$C31),3)),"",IF(ISTEXT(MID($C31,SEARCH("PRODUCTION",$C31),3)),"PRODUCTION",IF(ISTEXT(MID($C31,SEARCH("TRANSMISSION",$C31),3)),"TRANSMISSION",IF(ISTEXT(MID($C31,SEARCH("DISTRIBUTION",$C31),3)),"DISTRIBUTION",IF(ISTEXT(MID($C31,SEARCH("LAND",$C31),3)),"DISTRIBUTION",IF(ISTEXT(MID($C31,SEARCH("COMMON",$C31),3)),"COMMON",IF(ISTEXT(MID($C31,SEARCH("GENERAL",$C31),3)),"GENERAL",IF(ISTEXT(MID($C31,SEARCH("INTANGIBLE",$C31),3)),"INTANGIBLE",IF(ISTEXT(MID($C31,SEARCH("STORAGE",$C31),3)),"STORAGE AND PROCESSING",""))))))))))</f>
        <v>PRODUCTION</v>
      </c>
      <c r="C31" s="606" t="s">
        <v>2292</v>
      </c>
      <c r="D31" s="725" t="str">
        <f t="shared" si="2"/>
        <v/>
      </c>
      <c r="E31" s="607">
        <v>2.9727805274226999</v>
      </c>
      <c r="F31" s="607">
        <v>2.9727805274226999</v>
      </c>
      <c r="G31" s="607">
        <v>2.9727805274226999</v>
      </c>
      <c r="H31" s="607">
        <v>2.9727805274226999</v>
      </c>
      <c r="I31" s="607">
        <v>2.9727805274226999</v>
      </c>
      <c r="J31" s="607">
        <v>2.9727805274226999</v>
      </c>
      <c r="K31" s="607">
        <v>2.9727805274226999</v>
      </c>
      <c r="L31" s="607">
        <v>2.9727805274226999</v>
      </c>
      <c r="M31" s="607">
        <v>2.9727805274226999</v>
      </c>
      <c r="N31" s="607">
        <v>2.9727805274226999</v>
      </c>
      <c r="O31" s="607">
        <v>2.9727805274226999</v>
      </c>
      <c r="P31" s="607">
        <v>2.9727805274226999</v>
      </c>
      <c r="Q31" s="607">
        <v>2.9727805274226999</v>
      </c>
      <c r="R31" s="567">
        <f t="shared" si="3"/>
        <v>2.9727805274226999</v>
      </c>
    </row>
    <row r="32" spans="1:18" s="607" customFormat="1" x14ac:dyDescent="0.25">
      <c r="A32" s="831" t="str">
        <f t="shared" si="0"/>
        <v>KY</v>
      </c>
      <c r="B32" s="831" t="str">
        <f t="shared" si="7"/>
        <v>PRODUCTION</v>
      </c>
      <c r="C32" s="606" t="s">
        <v>2295</v>
      </c>
      <c r="D32" s="725" t="str">
        <f t="shared" si="2"/>
        <v/>
      </c>
      <c r="E32" s="607">
        <v>3.0834617269712998</v>
      </c>
      <c r="F32" s="607">
        <v>3.3382684437142398</v>
      </c>
      <c r="G32" s="607">
        <v>3.6907464351395798</v>
      </c>
      <c r="H32" s="607">
        <v>4.1191675827238896</v>
      </c>
      <c r="I32" s="607">
        <v>4.4918923608999197</v>
      </c>
      <c r="J32" s="607">
        <v>4.49791436508447</v>
      </c>
      <c r="K32" s="607">
        <v>4.49791436508447</v>
      </c>
      <c r="L32" s="607">
        <v>4.49791436508447</v>
      </c>
      <c r="M32" s="607">
        <v>4.49791436508447</v>
      </c>
      <c r="N32" s="607">
        <v>4.49791436508447</v>
      </c>
      <c r="O32" s="607">
        <v>4.49791436508447</v>
      </c>
      <c r="P32" s="607">
        <v>4.49791436508447</v>
      </c>
      <c r="Q32" s="607">
        <v>4.49791436508447</v>
      </c>
      <c r="R32" s="567">
        <f t="shared" si="3"/>
        <v>4.2082193438557445</v>
      </c>
    </row>
    <row r="33" spans="1:18" s="607" customFormat="1" x14ac:dyDescent="0.25">
      <c r="A33" s="831" t="str">
        <f t="shared" si="0"/>
        <v>KY</v>
      </c>
      <c r="B33" s="831" t="str">
        <f t="shared" si="7"/>
        <v>PRODUCTION</v>
      </c>
      <c r="C33" s="606" t="s">
        <v>2296</v>
      </c>
      <c r="D33" s="725" t="str">
        <f t="shared" si="2"/>
        <v/>
      </c>
      <c r="E33" s="607">
        <v>0</v>
      </c>
      <c r="F33" s="607">
        <v>0</v>
      </c>
      <c r="G33" s="607">
        <v>0</v>
      </c>
      <c r="H33" s="607">
        <v>0</v>
      </c>
      <c r="I33" s="607">
        <v>0</v>
      </c>
      <c r="J33" s="607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567">
        <f t="shared" si="3"/>
        <v>0</v>
      </c>
    </row>
    <row r="34" spans="1:18" s="607" customFormat="1" x14ac:dyDescent="0.25">
      <c r="A34" s="831" t="str">
        <f t="shared" si="0"/>
        <v>KY</v>
      </c>
      <c r="B34" s="831" t="str">
        <f t="shared" si="7"/>
        <v>PRODUCTION</v>
      </c>
      <c r="C34" s="606" t="s">
        <v>2297</v>
      </c>
      <c r="D34" s="725" t="str">
        <f t="shared" si="2"/>
        <v>ECR</v>
      </c>
      <c r="E34" s="607">
        <v>607.87933999999996</v>
      </c>
      <c r="F34" s="607">
        <v>607.87933999999996</v>
      </c>
      <c r="G34" s="607">
        <v>607.87933999999996</v>
      </c>
      <c r="H34" s="607">
        <v>607.87933999999996</v>
      </c>
      <c r="I34" s="607">
        <v>607.87933999999996</v>
      </c>
      <c r="J34" s="607">
        <v>607.87933999999996</v>
      </c>
      <c r="K34" s="607">
        <v>607.87933999999996</v>
      </c>
      <c r="L34" s="607">
        <v>607.87933999999996</v>
      </c>
      <c r="M34" s="607">
        <v>607.87933999999996</v>
      </c>
      <c r="N34" s="607">
        <v>607.87933999999996</v>
      </c>
      <c r="O34" s="607">
        <v>607.87933999999996</v>
      </c>
      <c r="P34" s="607">
        <v>607.87933999999996</v>
      </c>
      <c r="Q34" s="607">
        <v>607.87933999999996</v>
      </c>
      <c r="R34" s="567">
        <f t="shared" si="3"/>
        <v>607.87933999999973</v>
      </c>
    </row>
    <row r="35" spans="1:18" s="607" customFormat="1" x14ac:dyDescent="0.25">
      <c r="A35" s="831" t="str">
        <f t="shared" si="0"/>
        <v>KY</v>
      </c>
      <c r="B35" s="831" t="str">
        <f t="shared" si="7"/>
        <v>PRODUCTION</v>
      </c>
      <c r="C35" s="606" t="s">
        <v>2298</v>
      </c>
      <c r="D35" s="725" t="str">
        <f t="shared" si="2"/>
        <v>ECR</v>
      </c>
      <c r="E35" s="607">
        <v>47.735109758329301</v>
      </c>
      <c r="F35" s="607">
        <v>47.924948327022598</v>
      </c>
      <c r="G35" s="607">
        <v>48.119440545792898</v>
      </c>
      <c r="H35" s="607">
        <v>48.375978267302699</v>
      </c>
      <c r="I35" s="607">
        <v>48.641282864448598</v>
      </c>
      <c r="J35" s="607">
        <v>48.906003821631003</v>
      </c>
      <c r="K35" s="607">
        <v>49.138962889716403</v>
      </c>
      <c r="L35" s="607">
        <v>49.206570906238703</v>
      </c>
      <c r="M35" s="607">
        <v>49.2270718599246</v>
      </c>
      <c r="N35" s="607">
        <v>49.2270718599246</v>
      </c>
      <c r="O35" s="607">
        <v>49.2270718599246</v>
      </c>
      <c r="P35" s="607">
        <v>49.2270718599246</v>
      </c>
      <c r="Q35" s="607">
        <v>49.2270718599246</v>
      </c>
      <c r="R35" s="567">
        <f t="shared" si="3"/>
        <v>48.783358206161957</v>
      </c>
    </row>
    <row r="36" spans="1:18" s="607" customFormat="1" x14ac:dyDescent="0.25">
      <c r="A36" s="831" t="str">
        <f t="shared" si="0"/>
        <v>KY</v>
      </c>
      <c r="B36" s="831" t="str">
        <f t="shared" si="7"/>
        <v>PRODUCTION</v>
      </c>
      <c r="C36" s="606" t="s">
        <v>2299</v>
      </c>
      <c r="D36" s="725" t="str">
        <f t="shared" si="2"/>
        <v>ECR</v>
      </c>
      <c r="E36" s="607">
        <v>295.83470610305102</v>
      </c>
      <c r="F36" s="607">
        <v>296.08930201880599</v>
      </c>
      <c r="G36" s="607">
        <v>296.29260913726102</v>
      </c>
      <c r="H36" s="607">
        <v>296.605017453139</v>
      </c>
      <c r="I36" s="607">
        <v>297.15686374624102</v>
      </c>
      <c r="J36" s="607">
        <v>297.75803732532501</v>
      </c>
      <c r="K36" s="607">
        <v>298.26744077161601</v>
      </c>
      <c r="L36" s="607">
        <v>298.69067785147303</v>
      </c>
      <c r="M36" s="607">
        <v>298.90462841937602</v>
      </c>
      <c r="N36" s="607">
        <v>298.992709595961</v>
      </c>
      <c r="O36" s="607">
        <v>299.03100575969398</v>
      </c>
      <c r="P36" s="607">
        <v>299.07423515595201</v>
      </c>
      <c r="Q36" s="607">
        <v>299.134625260299</v>
      </c>
      <c r="R36" s="567">
        <f t="shared" si="3"/>
        <v>297.83321989216876</v>
      </c>
    </row>
    <row r="37" spans="1:18" s="607" customFormat="1" x14ac:dyDescent="0.25">
      <c r="A37" s="831" t="str">
        <f t="shared" si="0"/>
        <v>KY</v>
      </c>
      <c r="B37" s="831" t="str">
        <f t="shared" si="6"/>
        <v/>
      </c>
      <c r="C37" s="606" t="s">
        <v>2303</v>
      </c>
      <c r="D37" s="725" t="str">
        <f t="shared" si="2"/>
        <v/>
      </c>
      <c r="E37" s="607">
        <v>957.50539811577414</v>
      </c>
      <c r="F37" s="607">
        <v>958.20463931696554</v>
      </c>
      <c r="G37" s="607">
        <v>958.95491664561621</v>
      </c>
      <c r="H37" s="607">
        <v>959.95228383058827</v>
      </c>
      <c r="I37" s="607">
        <v>961.14215949901222</v>
      </c>
      <c r="J37" s="607">
        <v>962.01407603946313</v>
      </c>
      <c r="K37" s="607">
        <v>962.75643855383942</v>
      </c>
      <c r="L37" s="607">
        <v>963.24728365021883</v>
      </c>
      <c r="M37" s="607">
        <v>963.48173517180771</v>
      </c>
      <c r="N37" s="607">
        <v>963.56981634839281</v>
      </c>
      <c r="O37" s="607">
        <v>963.60811251212567</v>
      </c>
      <c r="P37" s="607">
        <v>963.65134190838376</v>
      </c>
      <c r="Q37" s="607">
        <v>963.71173201273075</v>
      </c>
      <c r="R37" s="567">
        <f t="shared" si="3"/>
        <v>961.67691796960912</v>
      </c>
    </row>
    <row r="38" spans="1:18" s="607" customFormat="1" x14ac:dyDescent="0.25">
      <c r="A38" s="831" t="str">
        <f t="shared" si="0"/>
        <v>KY</v>
      </c>
      <c r="B38" s="831" t="str">
        <f t="shared" ref="B38:B53" si="8">IF(ISTEXT(MID($C38,SEARCH("PRODUCTION",$C38),3)),"PRODUCTION",IF(ISTEXT(MID($C38,SEARCH("TRANSMISSION",$C38),3)),"TRANSMISSION",IF(ISTEXT(MID($C38,SEARCH("DISTRIBUTION",$C38),3)),"DISTRIBUTION",IF(ISTEXT(MID($C38,SEARCH("COMMON",$C38),3)),"COMMON",IF(ISTEXT(MID($C38,SEARCH("GENERAL",$C38),3)),"GENERAL",IF(ISTEXT(MID($C38,SEARCH("INTANGIBLE",$C38),3)),"INTANGIBLE",IF(ISTEXT(MID($C38,SEARCH("STORAGE",$C38),3)),"STORAGE AND PROCESSING","")))))))</f>
        <v/>
      </c>
      <c r="C38" s="606"/>
      <c r="D38" s="725" t="str">
        <f t="shared" si="2"/>
        <v/>
      </c>
      <c r="E38" s="607">
        <v>0</v>
      </c>
      <c r="F38" s="607">
        <v>0</v>
      </c>
      <c r="G38" s="607">
        <v>0</v>
      </c>
      <c r="H38" s="607">
        <v>0</v>
      </c>
      <c r="I38" s="607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567">
        <f t="shared" si="3"/>
        <v>0</v>
      </c>
    </row>
    <row r="39" spans="1:18" s="607" customFormat="1" x14ac:dyDescent="0.25">
      <c r="A39" s="831" t="str">
        <f t="shared" si="0"/>
        <v>KY</v>
      </c>
      <c r="B39" s="831"/>
      <c r="C39" s="832" t="s">
        <v>2304</v>
      </c>
      <c r="D39" s="832"/>
      <c r="E39" s="607">
        <v>0</v>
      </c>
      <c r="F39" s="607">
        <v>0</v>
      </c>
      <c r="G39" s="607">
        <v>0</v>
      </c>
      <c r="H39" s="607">
        <v>0</v>
      </c>
      <c r="I39" s="607">
        <v>0</v>
      </c>
      <c r="J39" s="607">
        <v>0</v>
      </c>
      <c r="K39" s="607">
        <v>0</v>
      </c>
      <c r="L39" s="607">
        <v>0</v>
      </c>
      <c r="M39" s="607">
        <v>0</v>
      </c>
      <c r="N39" s="607">
        <v>0</v>
      </c>
      <c r="O39" s="607">
        <v>0</v>
      </c>
      <c r="P39" s="607">
        <v>0</v>
      </c>
      <c r="Q39" s="607">
        <v>0</v>
      </c>
      <c r="R39" s="567">
        <f t="shared" si="3"/>
        <v>0</v>
      </c>
    </row>
    <row r="40" spans="1:18" s="607" customFormat="1" x14ac:dyDescent="0.25">
      <c r="A40" s="831" t="str">
        <f>IF(ISTEXT(MID($C40,SEARCH("KY",$C40),3)),"KY",IF(ISTEXT(MID($C40,SEARCH("VA",$C40),3)),"VA",IF(ISTEXT(MID($C40,SEARCH("TN",$C40),3)),"TN","KY")))</f>
        <v>KY</v>
      </c>
      <c r="B40" s="831" t="str">
        <f>IF(ISTEXT(MID($C40,SEARCH("COMMON",$C40),3)),"COMMON",IF(ISTEXT(MID($C40,SEARCH("GAS",$C40),3)),"",IF(ISTEXT(MID($C40,SEARCH("HYDRO PRODUCTION",$C40),9)),"HYDRO",IF(ISTEXT(MID($C40,SEARCH("OTHER PRODUCTION",$C40),9)),"OTHER",IF(ISTEXT(MID($C40,SEARCH("STEAM PRODUCTION",$C40),9)),"STEAM",IF(ISTEXT(MID($C40,SEARCH("TRANSMISSION",$C40),9)),"TRANSMISSION",IF(ISTEXT(MID($C40,SEARCH("DISTRIBUTION",$C40),9)),"DISTRIBUTION",IF(ISTEXT(MID($C40,SEARCH("COMMON",$C40),9)),"COMMON",IF(ISTEXT(MID($C40,SEARCH("GENERAL",$C40),9)),"GENERAL",IF(ISTEXT(MID($C40,SEARCH("INTANGIBLE",$C40),9)),"INTANGIBLE",IF(ISTEXT(MID($C40,SEARCH("STORAGE",$C40),3)),"STORAGE","")))))))))))</f>
        <v>DISTRIBUTION</v>
      </c>
      <c r="C40" s="606" t="s">
        <v>2288</v>
      </c>
      <c r="D40" s="725" t="str">
        <f t="shared" si="2"/>
        <v/>
      </c>
      <c r="E40" s="607">
        <v>684.200000000003</v>
      </c>
      <c r="F40" s="607">
        <v>781.73540000000401</v>
      </c>
      <c r="G40" s="607">
        <v>949.75170000000401</v>
      </c>
      <c r="H40" s="607">
        <v>1000.15587</v>
      </c>
      <c r="I40" s="607">
        <v>992.01077000000396</v>
      </c>
      <c r="J40" s="607">
        <v>991.90691000000402</v>
      </c>
      <c r="K40" s="607">
        <v>1120.1809800000001</v>
      </c>
      <c r="L40" s="607">
        <v>1177.6333</v>
      </c>
      <c r="M40" s="607">
        <v>202.338200000005</v>
      </c>
      <c r="N40" s="607">
        <v>218.98992000000499</v>
      </c>
      <c r="O40" s="607">
        <v>236.801940000005</v>
      </c>
      <c r="P40" s="607">
        <v>267.59245000000499</v>
      </c>
      <c r="Q40" s="607">
        <v>305.80404000000402</v>
      </c>
      <c r="R40" s="567">
        <f t="shared" si="3"/>
        <v>686.85396000000333</v>
      </c>
    </row>
    <row r="41" spans="1:18" s="607" customFormat="1" x14ac:dyDescent="0.25">
      <c r="A41" s="831" t="str">
        <f t="shared" ref="A41:A51" si="9">IF(ISTEXT(MID($C41,SEARCH("KY",$C41),3)),"KY",IF(ISTEXT(MID($C41,SEARCH("VA",$C41),3)),"VA",IF(ISTEXT(MID($C41,SEARCH("TN",$C41),3)),"TN","KY")))</f>
        <v>VA</v>
      </c>
      <c r="B41" s="831" t="str">
        <f t="shared" ref="B41:B51" si="10">IF(ISTEXT(MID($C41,SEARCH("COMMON",$C41),3)),"COMMON",IF(ISTEXT(MID($C41,SEARCH("GAS",$C41),3)),"",IF(ISTEXT(MID($C41,SEARCH("HYDRO PRODUCTION",$C41),9)),"HYDRO",IF(ISTEXT(MID($C41,SEARCH("OTHER PRODUCTION",$C41),9)),"OTHER",IF(ISTEXT(MID($C41,SEARCH("STEAM PRODUCTION",$C41),9)),"STEAM",IF(ISTEXT(MID($C41,SEARCH("TRANSMISSION",$C41),9)),"TRANSMISSION",IF(ISTEXT(MID($C41,SEARCH("DISTRIBUTION",$C41),9)),"DISTRIBUTION",IF(ISTEXT(MID($C41,SEARCH("COMMON",$C41),9)),"COMMON",IF(ISTEXT(MID($C41,SEARCH("GENERAL",$C41),9)),"GENERAL",IF(ISTEXT(MID($C41,SEARCH("INTANGIBLE",$C41),9)),"INTANGIBLE",IF(ISTEXT(MID($C41,SEARCH("STORAGE",$C41),3)),"STORAGE","")))))))))))</f>
        <v>DISTRIBUTION</v>
      </c>
      <c r="C41" s="606" t="s">
        <v>2289</v>
      </c>
      <c r="D41" s="725" t="str">
        <f t="shared" si="2"/>
        <v/>
      </c>
      <c r="E41" s="607">
        <v>-1.06581410364015E-13</v>
      </c>
      <c r="F41" s="607">
        <v>-1.06581410364015E-13</v>
      </c>
      <c r="G41" s="607">
        <v>27.326399999999801</v>
      </c>
      <c r="H41" s="607">
        <v>-9.9475983006414001E-14</v>
      </c>
      <c r="I41" s="607">
        <v>-1.03028696685214E-13</v>
      </c>
      <c r="J41" s="607">
        <v>-1.03028696685214E-13</v>
      </c>
      <c r="K41" s="607">
        <v>-1.03028696685214E-13</v>
      </c>
      <c r="L41" s="607">
        <v>-1.03028696685214E-13</v>
      </c>
      <c r="M41" s="607">
        <v>-1.03028696685214E-13</v>
      </c>
      <c r="N41" s="607">
        <v>-1.03028696685214E-13</v>
      </c>
      <c r="O41" s="607">
        <v>-1.06581410364015E-13</v>
      </c>
      <c r="P41" s="607">
        <v>-1.06581410364015E-13</v>
      </c>
      <c r="Q41" s="607">
        <v>-1.06581410364015E-13</v>
      </c>
      <c r="R41" s="567">
        <f t="shared" si="3"/>
        <v>2.1020307692306579</v>
      </c>
    </row>
    <row r="42" spans="1:18" s="607" customFormat="1" x14ac:dyDescent="0.25">
      <c r="A42" s="831" t="str">
        <f t="shared" si="9"/>
        <v>KY</v>
      </c>
      <c r="B42" s="831" t="str">
        <f t="shared" si="10"/>
        <v>GENERAL</v>
      </c>
      <c r="C42" s="606" t="s">
        <v>2290</v>
      </c>
      <c r="D42" s="725" t="str">
        <f t="shared" si="2"/>
        <v/>
      </c>
      <c r="E42" s="607">
        <v>-1.06581410364015E-14</v>
      </c>
      <c r="F42" s="607">
        <v>-1.06581410364015E-14</v>
      </c>
      <c r="G42" s="607">
        <v>-1.06581410364015E-14</v>
      </c>
      <c r="H42" s="607">
        <v>-1.06581410364015E-14</v>
      </c>
      <c r="I42" s="607">
        <v>-1.06581410364015E-14</v>
      </c>
      <c r="J42" s="607">
        <v>-1.06581410364015E-14</v>
      </c>
      <c r="K42" s="607">
        <v>-1.06581410364015E-14</v>
      </c>
      <c r="L42" s="607">
        <v>-1.06581410364015E-14</v>
      </c>
      <c r="M42" s="607">
        <v>-1.06581410364015E-14</v>
      </c>
      <c r="N42" s="607">
        <v>-1.06581410364015E-14</v>
      </c>
      <c r="O42" s="607">
        <v>-1.06581410364015E-14</v>
      </c>
      <c r="P42" s="607">
        <v>-1.06581410364015E-14</v>
      </c>
      <c r="Q42" s="607">
        <v>-1.06581410364015E-14</v>
      </c>
      <c r="R42" s="567">
        <f t="shared" si="3"/>
        <v>-1.0658141036401501E-14</v>
      </c>
    </row>
    <row r="43" spans="1:18" s="607" customFormat="1" x14ac:dyDescent="0.25">
      <c r="A43" s="831" t="str">
        <f t="shared" si="9"/>
        <v>VA</v>
      </c>
      <c r="B43" s="831" t="str">
        <f t="shared" si="10"/>
        <v>GENERAL</v>
      </c>
      <c r="C43" s="606" t="s">
        <v>2291</v>
      </c>
      <c r="D43" s="725" t="str">
        <f t="shared" si="2"/>
        <v/>
      </c>
      <c r="E43" s="607">
        <v>0</v>
      </c>
      <c r="F43" s="607">
        <v>0</v>
      </c>
      <c r="G43" s="607">
        <v>0</v>
      </c>
      <c r="H43" s="607">
        <v>0</v>
      </c>
      <c r="I43" s="607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567">
        <f t="shared" si="3"/>
        <v>0</v>
      </c>
    </row>
    <row r="44" spans="1:18" s="607" customFormat="1" x14ac:dyDescent="0.25">
      <c r="A44" s="831" t="str">
        <f t="shared" si="9"/>
        <v>KY</v>
      </c>
      <c r="B44" s="831" t="str">
        <f t="shared" si="10"/>
        <v>HYDRO</v>
      </c>
      <c r="C44" s="606" t="s">
        <v>2292</v>
      </c>
      <c r="D44" s="725" t="str">
        <f t="shared" si="2"/>
        <v/>
      </c>
      <c r="E44" s="607">
        <v>0</v>
      </c>
      <c r="F44" s="607">
        <v>0</v>
      </c>
      <c r="G44" s="607">
        <v>0</v>
      </c>
      <c r="H44" s="607">
        <v>0</v>
      </c>
      <c r="I44" s="607">
        <v>0</v>
      </c>
      <c r="J44" s="607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  <c r="Q44" s="607">
        <v>0</v>
      </c>
      <c r="R44" s="567">
        <f t="shared" si="3"/>
        <v>0</v>
      </c>
    </row>
    <row r="45" spans="1:18" s="607" customFormat="1" x14ac:dyDescent="0.25">
      <c r="A45" s="831" t="str">
        <f t="shared" si="9"/>
        <v>KY</v>
      </c>
      <c r="B45" s="831" t="str">
        <f t="shared" si="10"/>
        <v>INTANGIBLE</v>
      </c>
      <c r="C45" s="606" t="s">
        <v>2293</v>
      </c>
      <c r="D45" s="725" t="str">
        <f t="shared" si="2"/>
        <v/>
      </c>
      <c r="E45" s="607">
        <v>3.6753499999999999</v>
      </c>
      <c r="F45" s="607">
        <v>3.6753499999999999</v>
      </c>
      <c r="G45" s="607">
        <v>3.6753499999999999</v>
      </c>
      <c r="H45" s="607">
        <v>3.6753499999999999</v>
      </c>
      <c r="I45" s="607">
        <v>3.6753499999999999</v>
      </c>
      <c r="J45" s="607">
        <v>3.6753499999999999</v>
      </c>
      <c r="K45" s="607">
        <v>3.6753499999999999</v>
      </c>
      <c r="L45" s="607">
        <v>3.6753499999999999</v>
      </c>
      <c r="M45" s="607">
        <v>3.6753499999999999</v>
      </c>
      <c r="N45" s="607">
        <v>3.6753499999999999</v>
      </c>
      <c r="O45" s="607">
        <v>3.6753499999999999</v>
      </c>
      <c r="P45" s="607">
        <v>3.6753499999999999</v>
      </c>
      <c r="Q45" s="607">
        <v>3.6753499999999999</v>
      </c>
      <c r="R45" s="567">
        <f t="shared" si="3"/>
        <v>3.6753500000000012</v>
      </c>
    </row>
    <row r="46" spans="1:18" s="607" customFormat="1" x14ac:dyDescent="0.25">
      <c r="A46" s="831" t="str">
        <f t="shared" si="9"/>
        <v>KY</v>
      </c>
      <c r="B46" s="831" t="str">
        <f t="shared" si="10"/>
        <v>OTHER</v>
      </c>
      <c r="C46" s="606" t="s">
        <v>2295</v>
      </c>
      <c r="D46" s="725" t="str">
        <f t="shared" si="2"/>
        <v/>
      </c>
      <c r="E46" s="607">
        <v>569.52328</v>
      </c>
      <c r="F46" s="607">
        <v>60.000000000000298</v>
      </c>
      <c r="G46" s="607">
        <v>80.000000000000298</v>
      </c>
      <c r="H46" s="607">
        <v>80.000000000000298</v>
      </c>
      <c r="I46" s="607">
        <v>80.000000000000298</v>
      </c>
      <c r="J46" s="607">
        <v>3.4106051316484799E-13</v>
      </c>
      <c r="K46" s="607">
        <v>3.4106051316484799E-13</v>
      </c>
      <c r="L46" s="607">
        <v>3.4106051316484799E-13</v>
      </c>
      <c r="M46" s="607">
        <v>3.4106051316484799E-13</v>
      </c>
      <c r="N46" s="607">
        <v>12.7546400000003</v>
      </c>
      <c r="O46" s="607">
        <v>12.7546400000003</v>
      </c>
      <c r="P46" s="607">
        <v>3023.87003</v>
      </c>
      <c r="Q46" s="607">
        <v>4.5474735088646402E-13</v>
      </c>
      <c r="R46" s="567">
        <f t="shared" si="3"/>
        <v>301.45404538461565</v>
      </c>
    </row>
    <row r="47" spans="1:18" s="607" customFormat="1" x14ac:dyDescent="0.25">
      <c r="A47" s="831" t="str">
        <f t="shared" si="9"/>
        <v>KY</v>
      </c>
      <c r="B47" s="831" t="str">
        <f t="shared" si="10"/>
        <v>STEAM</v>
      </c>
      <c r="C47" s="606" t="s">
        <v>2296</v>
      </c>
      <c r="D47" s="725" t="str">
        <f t="shared" si="2"/>
        <v/>
      </c>
      <c r="E47" s="607">
        <v>26217.684919999901</v>
      </c>
      <c r="F47" s="607">
        <v>29060.884089999901</v>
      </c>
      <c r="G47" s="607">
        <v>29770.634119999901</v>
      </c>
      <c r="H47" s="607">
        <v>31268.525779999902</v>
      </c>
      <c r="I47" s="607">
        <v>31609.803429999902</v>
      </c>
      <c r="J47" s="607">
        <v>17800.6906099999</v>
      </c>
      <c r="K47" s="607">
        <v>19180.464089999899</v>
      </c>
      <c r="L47" s="607">
        <v>19071.0635899999</v>
      </c>
      <c r="M47" s="607">
        <v>24.606439999981301</v>
      </c>
      <c r="N47" s="607">
        <v>24.606439999981301</v>
      </c>
      <c r="O47" s="607">
        <v>130.49416999998101</v>
      </c>
      <c r="P47" s="607">
        <v>2352.9795199999799</v>
      </c>
      <c r="Q47" s="607">
        <v>2883.8430499999799</v>
      </c>
      <c r="R47" s="567">
        <f t="shared" si="3"/>
        <v>16107.406173076855</v>
      </c>
    </row>
    <row r="48" spans="1:18" s="607" customFormat="1" x14ac:dyDescent="0.25">
      <c r="A48" s="831" t="str">
        <f t="shared" si="9"/>
        <v>KY</v>
      </c>
      <c r="B48" s="831" t="str">
        <f t="shared" si="10"/>
        <v>STEAM</v>
      </c>
      <c r="C48" s="606" t="s">
        <v>2297</v>
      </c>
      <c r="D48" s="725" t="str">
        <f t="shared" si="2"/>
        <v>ECR</v>
      </c>
      <c r="E48" s="607">
        <v>-9.9999999960687007E-6</v>
      </c>
      <c r="F48" s="607">
        <v>-9.9999999960687007E-6</v>
      </c>
      <c r="G48" s="607">
        <v>-9.9999999960687007E-6</v>
      </c>
      <c r="H48" s="607">
        <v>-9.9999999960687007E-6</v>
      </c>
      <c r="I48" s="607">
        <v>-9.9999999960687007E-6</v>
      </c>
      <c r="J48" s="607">
        <v>-9.9999999960687007E-6</v>
      </c>
      <c r="K48" s="607">
        <v>32.400889999999997</v>
      </c>
      <c r="L48" s="607">
        <v>64.801789999999997</v>
      </c>
      <c r="M48" s="607">
        <v>1.4210854715202001E-14</v>
      </c>
      <c r="N48" s="607">
        <v>1.4210854715202001E-14</v>
      </c>
      <c r="O48" s="607">
        <v>1.4210854715202001E-14</v>
      </c>
      <c r="P48" s="607">
        <v>1.4210854715202001E-14</v>
      </c>
      <c r="Q48" s="607">
        <v>1.4210854715202001E-14</v>
      </c>
      <c r="R48" s="567">
        <f t="shared" si="3"/>
        <v>7.4771246153846231</v>
      </c>
    </row>
    <row r="49" spans="1:18" s="607" customFormat="1" x14ac:dyDescent="0.25">
      <c r="A49" s="831" t="str">
        <f t="shared" si="9"/>
        <v>KY</v>
      </c>
      <c r="B49" s="831" t="str">
        <f t="shared" si="10"/>
        <v>STEAM</v>
      </c>
      <c r="C49" s="606" t="s">
        <v>2298</v>
      </c>
      <c r="D49" s="725" t="str">
        <f t="shared" si="2"/>
        <v>ECR</v>
      </c>
      <c r="E49" s="607">
        <v>1.81898940354585E-12</v>
      </c>
      <c r="F49" s="607">
        <v>1.81898940354585E-12</v>
      </c>
      <c r="G49" s="607">
        <v>1.81898940354585E-12</v>
      </c>
      <c r="H49" s="607">
        <v>1.81898940354585E-12</v>
      </c>
      <c r="I49" s="607">
        <v>1.81898940354585E-12</v>
      </c>
      <c r="J49" s="607">
        <v>1.81898940354585E-12</v>
      </c>
      <c r="K49" s="607">
        <v>49.372800000001803</v>
      </c>
      <c r="L49" s="607">
        <v>98.745600000001801</v>
      </c>
      <c r="M49" s="607">
        <v>1.81898940354585E-12</v>
      </c>
      <c r="N49" s="607">
        <v>1.81898940354585E-12</v>
      </c>
      <c r="O49" s="607">
        <v>1.81898940354585E-12</v>
      </c>
      <c r="P49" s="607">
        <v>1.81898940354585E-12</v>
      </c>
      <c r="Q49" s="607">
        <v>1.81898940354585E-12</v>
      </c>
      <c r="R49" s="567">
        <f t="shared" si="3"/>
        <v>11.393723076924893</v>
      </c>
    </row>
    <row r="50" spans="1:18" s="607" customFormat="1" x14ac:dyDescent="0.25">
      <c r="A50" s="831" t="str">
        <f t="shared" si="9"/>
        <v>KY</v>
      </c>
      <c r="B50" s="831" t="str">
        <f t="shared" si="10"/>
        <v>TRANSMISSION</v>
      </c>
      <c r="C50" s="606" t="s">
        <v>2300</v>
      </c>
      <c r="D50" s="725" t="str">
        <f t="shared" si="2"/>
        <v/>
      </c>
      <c r="E50" s="607">
        <v>1765.67814</v>
      </c>
      <c r="F50" s="607">
        <v>1173.47999</v>
      </c>
      <c r="G50" s="607">
        <v>1259.7188000000001</v>
      </c>
      <c r="H50" s="607">
        <v>1395.7809299999999</v>
      </c>
      <c r="I50" s="607">
        <v>1561.8547100000001</v>
      </c>
      <c r="J50" s="607">
        <v>1722.3627200000001</v>
      </c>
      <c r="K50" s="607">
        <v>1909.2451000000001</v>
      </c>
      <c r="L50" s="607">
        <v>2091.6500799999999</v>
      </c>
      <c r="M50" s="607">
        <v>1452.6718900000001</v>
      </c>
      <c r="N50" s="607">
        <v>1965.85</v>
      </c>
      <c r="O50" s="607">
        <v>2494.9402599999999</v>
      </c>
      <c r="P50" s="607">
        <v>3027.4346999999998</v>
      </c>
      <c r="Q50" s="607">
        <v>3415.2014300000001</v>
      </c>
      <c r="R50" s="567">
        <f t="shared" si="3"/>
        <v>1941.2206730769233</v>
      </c>
    </row>
    <row r="51" spans="1:18" s="607" customFormat="1" x14ac:dyDescent="0.25">
      <c r="A51" s="831" t="str">
        <f t="shared" si="9"/>
        <v>VA</v>
      </c>
      <c r="B51" s="831" t="str">
        <f t="shared" si="10"/>
        <v>TRANSMISSION</v>
      </c>
      <c r="C51" s="606" t="s">
        <v>2301</v>
      </c>
      <c r="D51" s="725" t="str">
        <f t="shared" si="2"/>
        <v/>
      </c>
      <c r="E51" s="607">
        <v>23.290849999999999</v>
      </c>
      <c r="F51" s="607">
        <v>26.945609999999999</v>
      </c>
      <c r="G51" s="607">
        <v>30.82038</v>
      </c>
      <c r="H51" s="607">
        <v>31.945150000000002</v>
      </c>
      <c r="I51" s="607">
        <v>32.959910000000001</v>
      </c>
      <c r="J51" s="607">
        <v>34.226570000000002</v>
      </c>
      <c r="K51" s="607">
        <v>35.493229999999997</v>
      </c>
      <c r="L51" s="607">
        <v>36.759889999999999</v>
      </c>
      <c r="M51" s="607">
        <v>38.02655</v>
      </c>
      <c r="N51" s="607">
        <v>64.924180000000007</v>
      </c>
      <c r="O51" s="607">
        <v>91.821809999999999</v>
      </c>
      <c r="P51" s="607">
        <v>118.719439999999</v>
      </c>
      <c r="Q51" s="607">
        <v>145.61706999999899</v>
      </c>
      <c r="R51" s="567">
        <f t="shared" si="3"/>
        <v>54.73466461538446</v>
      </c>
    </row>
    <row r="52" spans="1:18" s="607" customFormat="1" x14ac:dyDescent="0.25">
      <c r="A52" s="831"/>
      <c r="B52" s="831"/>
      <c r="C52" s="606"/>
      <c r="D52" s="725"/>
      <c r="Q52" s="834"/>
      <c r="R52" s="834">
        <f>SUM(R40:R51)</f>
        <v>19116.317744615324</v>
      </c>
    </row>
    <row r="53" spans="1:18" x14ac:dyDescent="0.25">
      <c r="B53" s="835" t="str">
        <f t="shared" si="8"/>
        <v/>
      </c>
      <c r="D53" s="836" t="str">
        <f t="shared" si="2"/>
        <v/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2:N64"/>
  <sheetViews>
    <sheetView topLeftCell="A34" zoomScale="85" zoomScaleNormal="85" workbookViewId="0">
      <selection activeCell="A20" sqref="A20"/>
    </sheetView>
  </sheetViews>
  <sheetFormatPr defaultColWidth="7.109375" defaultRowHeight="12.75" x14ac:dyDescent="0.2"/>
  <cols>
    <col min="1" max="1" width="12.88671875" style="454" customWidth="1"/>
    <col min="2" max="2" width="7.109375" style="363" customWidth="1"/>
    <col min="3" max="3" width="10" style="363" customWidth="1"/>
    <col min="4" max="4" width="14.109375" style="363" bestFit="1" customWidth="1"/>
    <col min="5" max="5" width="2.5546875" style="363" customWidth="1"/>
    <col min="6" max="6" width="2.109375" style="363" customWidth="1"/>
    <col min="7" max="7" width="2.33203125" style="363" customWidth="1"/>
    <col min="8" max="8" width="2.44140625" style="363" customWidth="1"/>
    <col min="9" max="9" width="11.33203125" style="363" customWidth="1"/>
    <col min="10" max="10" width="11.21875" style="363" customWidth="1"/>
    <col min="11" max="11" width="7.109375" style="363"/>
    <col min="12" max="12" width="7.88671875" style="363" bestFit="1" customWidth="1"/>
    <col min="13" max="13" width="7.109375" style="363"/>
    <col min="14" max="14" width="8.109375" style="363" bestFit="1" customWidth="1"/>
    <col min="15" max="16384" width="7.109375" style="363"/>
  </cols>
  <sheetData>
    <row r="2" spans="1:10" ht="18" customHeight="1" x14ac:dyDescent="0.25">
      <c r="A2" s="883" t="s">
        <v>852</v>
      </c>
      <c r="B2" s="883"/>
      <c r="C2" s="883"/>
      <c r="D2" s="883"/>
      <c r="E2" s="883"/>
      <c r="F2" s="883"/>
      <c r="G2" s="883"/>
      <c r="H2" s="883"/>
      <c r="I2" s="883"/>
      <c r="J2" s="883"/>
    </row>
    <row r="3" spans="1:10" ht="18" customHeight="1" x14ac:dyDescent="0.25">
      <c r="A3" s="884" t="s">
        <v>853</v>
      </c>
      <c r="B3" s="884"/>
      <c r="C3" s="884"/>
      <c r="D3" s="884"/>
      <c r="E3" s="884"/>
      <c r="F3" s="884"/>
      <c r="G3" s="884"/>
      <c r="H3" s="884"/>
      <c r="I3" s="884"/>
      <c r="J3" s="884"/>
    </row>
    <row r="4" spans="1:10" ht="18" customHeight="1" x14ac:dyDescent="0.2">
      <c r="A4" s="885" t="s">
        <v>2470</v>
      </c>
      <c r="B4" s="885"/>
      <c r="C4" s="885"/>
      <c r="D4" s="885"/>
      <c r="E4" s="885"/>
      <c r="F4" s="885"/>
      <c r="G4" s="885"/>
      <c r="H4" s="885"/>
      <c r="I4" s="885"/>
      <c r="J4" s="885"/>
    </row>
    <row r="5" spans="1:10" ht="15.95" customHeight="1" x14ac:dyDescent="0.2">
      <c r="A5" s="727"/>
      <c r="B5" s="234"/>
      <c r="C5" s="234"/>
      <c r="D5" s="234"/>
      <c r="E5" s="446"/>
      <c r="F5" s="234"/>
      <c r="G5" s="234"/>
      <c r="H5" s="447"/>
      <c r="I5" s="447"/>
      <c r="J5" s="447"/>
    </row>
    <row r="6" spans="1:10" s="450" customFormat="1" ht="15.95" customHeight="1" x14ac:dyDescent="0.2">
      <c r="A6" s="448"/>
      <c r="B6" s="449"/>
      <c r="C6" s="394" t="s">
        <v>854</v>
      </c>
      <c r="D6" s="394"/>
      <c r="E6" s="448"/>
      <c r="F6" s="448"/>
      <c r="G6" s="448"/>
      <c r="H6" s="448"/>
      <c r="I6" s="886" t="s">
        <v>855</v>
      </c>
      <c r="J6" s="886"/>
    </row>
    <row r="7" spans="1:10" s="450" customFormat="1" ht="15.95" customHeight="1" x14ac:dyDescent="0.2">
      <c r="A7" s="448"/>
      <c r="B7" s="449"/>
      <c r="C7" s="394" t="s">
        <v>2471</v>
      </c>
      <c r="D7" s="394"/>
      <c r="E7" s="448"/>
      <c r="F7" s="882"/>
      <c r="G7" s="882"/>
      <c r="H7" s="448"/>
      <c r="I7" s="394" t="s">
        <v>2472</v>
      </c>
      <c r="J7" s="394"/>
    </row>
    <row r="8" spans="1:10" s="450" customFormat="1" ht="15.95" customHeight="1" thickBot="1" x14ac:dyDescent="0.25">
      <c r="A8" s="448"/>
      <c r="B8" s="449"/>
      <c r="C8" s="233" t="s">
        <v>857</v>
      </c>
      <c r="D8" s="233" t="s">
        <v>858</v>
      </c>
      <c r="E8" s="448"/>
      <c r="F8" s="583"/>
      <c r="G8" s="583"/>
      <c r="H8" s="448"/>
      <c r="I8" s="233" t="s">
        <v>857</v>
      </c>
      <c r="J8" s="233" t="s">
        <v>858</v>
      </c>
    </row>
    <row r="9" spans="1:10" ht="15.95" customHeight="1" x14ac:dyDescent="0.2">
      <c r="A9" s="727"/>
      <c r="B9" s="234"/>
      <c r="C9" s="724" t="s">
        <v>2653</v>
      </c>
      <c r="D9" s="724" t="s">
        <v>2654</v>
      </c>
      <c r="E9" s="727"/>
      <c r="F9" s="728"/>
      <c r="G9" s="728"/>
      <c r="H9" s="727"/>
      <c r="I9" s="724" t="s">
        <v>2655</v>
      </c>
      <c r="J9" s="724" t="s">
        <v>2656</v>
      </c>
    </row>
    <row r="10" spans="1:10" ht="15.95" customHeight="1" x14ac:dyDescent="0.2">
      <c r="A10" s="727" t="s">
        <v>859</v>
      </c>
      <c r="B10" s="234"/>
      <c r="C10" s="395"/>
      <c r="D10" s="395"/>
      <c r="E10" s="234"/>
      <c r="F10" s="584"/>
      <c r="G10" s="584"/>
      <c r="H10" s="234"/>
      <c r="I10" s="234"/>
      <c r="J10" s="234"/>
    </row>
    <row r="11" spans="1:10" ht="15.95" customHeight="1" x14ac:dyDescent="0.2">
      <c r="A11" s="727" t="s">
        <v>860</v>
      </c>
      <c r="B11" s="234"/>
      <c r="C11" s="395"/>
      <c r="D11" s="395"/>
      <c r="E11" s="234"/>
      <c r="F11" s="584"/>
      <c r="G11" s="584"/>
      <c r="H11" s="234"/>
      <c r="I11" s="234"/>
      <c r="J11" s="234"/>
    </row>
    <row r="12" spans="1:10" ht="15.95" customHeight="1" x14ac:dyDescent="0.2">
      <c r="A12" s="727" t="s">
        <v>861</v>
      </c>
      <c r="B12" s="234"/>
      <c r="C12" s="395"/>
      <c r="D12" s="395"/>
      <c r="E12" s="234"/>
      <c r="F12" s="584"/>
      <c r="G12" s="584"/>
      <c r="H12" s="234"/>
      <c r="I12" s="234"/>
      <c r="J12" s="234"/>
    </row>
    <row r="13" spans="1:10" ht="15.95" customHeight="1" x14ac:dyDescent="0.2">
      <c r="A13" s="727" t="s">
        <v>862</v>
      </c>
      <c r="B13" s="234"/>
      <c r="C13" s="395"/>
      <c r="D13" s="395"/>
      <c r="E13" s="234"/>
      <c r="F13" s="584"/>
      <c r="G13" s="584"/>
      <c r="H13" s="234"/>
      <c r="I13" s="234"/>
      <c r="J13" s="234"/>
    </row>
    <row r="14" spans="1:10" ht="15.95" customHeight="1" x14ac:dyDescent="0.2">
      <c r="A14" s="727" t="s">
        <v>893</v>
      </c>
      <c r="B14" s="234"/>
      <c r="C14" s="395"/>
      <c r="D14" s="395"/>
      <c r="E14" s="234"/>
      <c r="F14" s="584"/>
      <c r="G14" s="584"/>
      <c r="H14" s="234"/>
      <c r="I14" s="234"/>
      <c r="J14" s="234"/>
    </row>
    <row r="15" spans="1:10" ht="15.95" customHeight="1" x14ac:dyDescent="0.2">
      <c r="A15" s="727" t="s">
        <v>894</v>
      </c>
      <c r="B15" s="234"/>
      <c r="C15" s="395"/>
      <c r="D15" s="395"/>
      <c r="E15" s="234"/>
      <c r="F15" s="584"/>
      <c r="G15" s="584"/>
      <c r="H15" s="234"/>
      <c r="I15" s="234"/>
      <c r="J15" s="234"/>
    </row>
    <row r="16" spans="1:10" ht="15.95" customHeight="1" x14ac:dyDescent="0.2">
      <c r="A16" s="727" t="s">
        <v>895</v>
      </c>
      <c r="B16" s="234"/>
      <c r="C16" s="395"/>
      <c r="D16" s="395"/>
      <c r="E16" s="234"/>
      <c r="F16" s="584"/>
      <c r="G16" s="584"/>
      <c r="H16" s="234"/>
      <c r="I16" s="234"/>
      <c r="J16" s="234"/>
    </row>
    <row r="17" spans="1:10" ht="15.95" customHeight="1" x14ac:dyDescent="0.2">
      <c r="A17" s="727" t="s">
        <v>896</v>
      </c>
      <c r="B17" s="234"/>
      <c r="C17" s="395"/>
      <c r="D17" s="395"/>
      <c r="E17" s="234"/>
      <c r="F17" s="584"/>
      <c r="G17" s="584"/>
      <c r="H17" s="234"/>
      <c r="I17" s="234"/>
      <c r="J17" s="234"/>
    </row>
    <row r="18" spans="1:10" ht="15.95" customHeight="1" x14ac:dyDescent="0.2">
      <c r="A18" s="727" t="s">
        <v>897</v>
      </c>
      <c r="B18" s="234"/>
      <c r="C18" s="395"/>
      <c r="D18" s="395"/>
      <c r="E18" s="234"/>
      <c r="F18" s="584"/>
      <c r="G18" s="584"/>
      <c r="H18" s="234"/>
      <c r="I18" s="234"/>
      <c r="J18" s="234"/>
    </row>
    <row r="19" spans="1:10" ht="15.95" customHeight="1" x14ac:dyDescent="0.2">
      <c r="A19" s="727" t="s">
        <v>898</v>
      </c>
      <c r="B19" s="234"/>
      <c r="C19" s="395"/>
      <c r="D19" s="395"/>
      <c r="E19" s="234"/>
      <c r="F19" s="584"/>
      <c r="G19" s="584"/>
      <c r="H19" s="234"/>
      <c r="I19" s="234"/>
      <c r="J19" s="234"/>
    </row>
    <row r="20" spans="1:10" ht="15.95" customHeight="1" x14ac:dyDescent="0.2">
      <c r="A20" s="727" t="s">
        <v>899</v>
      </c>
      <c r="B20" s="234"/>
      <c r="C20" s="395"/>
      <c r="D20" s="395"/>
      <c r="E20" s="234"/>
      <c r="F20" s="584"/>
      <c r="G20" s="584"/>
      <c r="H20" s="234"/>
      <c r="I20" s="234"/>
      <c r="J20" s="234"/>
    </row>
    <row r="21" spans="1:10" ht="15.95" customHeight="1" x14ac:dyDescent="0.2">
      <c r="A21" s="727" t="s">
        <v>900</v>
      </c>
      <c r="B21" s="234"/>
      <c r="C21" s="395"/>
      <c r="D21" s="395"/>
      <c r="E21" s="234"/>
      <c r="F21" s="584"/>
      <c r="G21" s="584"/>
      <c r="H21" s="234"/>
      <c r="I21" s="234"/>
      <c r="J21" s="234"/>
    </row>
    <row r="22" spans="1:10" ht="15.95" customHeight="1" x14ac:dyDescent="0.2">
      <c r="A22" s="727" t="s">
        <v>1347</v>
      </c>
      <c r="B22" s="234"/>
      <c r="C22" s="395"/>
      <c r="D22" s="395"/>
      <c r="E22" s="234"/>
      <c r="F22" s="584"/>
      <c r="G22" s="584"/>
      <c r="H22" s="234"/>
      <c r="I22" s="234"/>
      <c r="J22" s="234"/>
    </row>
    <row r="23" spans="1:10" ht="15.95" customHeight="1" x14ac:dyDescent="0.2">
      <c r="A23" s="727" t="s">
        <v>1227</v>
      </c>
      <c r="B23" s="234"/>
      <c r="C23" s="395"/>
      <c r="D23" s="395"/>
      <c r="E23" s="234"/>
      <c r="F23" s="584"/>
      <c r="G23" s="584"/>
      <c r="H23" s="234"/>
      <c r="I23" s="234"/>
      <c r="J23" s="234"/>
    </row>
    <row r="24" spans="1:10" ht="15.95" customHeight="1" x14ac:dyDescent="0.2">
      <c r="A24" s="727" t="s">
        <v>555</v>
      </c>
      <c r="B24" s="234"/>
      <c r="C24" s="395"/>
      <c r="D24" s="395"/>
      <c r="E24" s="234"/>
      <c r="F24" s="584"/>
      <c r="G24" s="584"/>
      <c r="H24" s="234"/>
      <c r="I24" s="234"/>
      <c r="J24" s="234"/>
    </row>
    <row r="25" spans="1:10" ht="15.95" customHeight="1" x14ac:dyDescent="0.2">
      <c r="A25" s="453" t="s">
        <v>1191</v>
      </c>
      <c r="B25" s="234"/>
      <c r="C25" s="395"/>
      <c r="D25" s="395"/>
      <c r="E25" s="234"/>
      <c r="F25" s="584"/>
      <c r="G25" s="584"/>
      <c r="H25" s="234"/>
      <c r="I25" s="234"/>
      <c r="J25" s="234"/>
    </row>
    <row r="26" spans="1:10" ht="15.95" customHeight="1" x14ac:dyDescent="0.2">
      <c r="A26" s="727" t="s">
        <v>556</v>
      </c>
      <c r="B26" s="234"/>
      <c r="C26" s="395"/>
      <c r="D26" s="395"/>
      <c r="E26" s="234"/>
      <c r="F26" s="584"/>
      <c r="G26" s="584"/>
      <c r="H26" s="234"/>
      <c r="I26" s="234"/>
      <c r="J26" s="234"/>
    </row>
    <row r="27" spans="1:10" ht="15.95" customHeight="1" x14ac:dyDescent="0.2">
      <c r="A27" s="453" t="s">
        <v>970</v>
      </c>
      <c r="B27" s="234"/>
      <c r="C27" s="395"/>
      <c r="D27" s="395"/>
      <c r="E27" s="234"/>
      <c r="F27" s="584"/>
      <c r="G27" s="584"/>
      <c r="H27" s="234"/>
      <c r="I27" s="234"/>
      <c r="J27" s="234"/>
    </row>
    <row r="28" spans="1:10" ht="15.95" customHeight="1" x14ac:dyDescent="0.2">
      <c r="A28" s="453" t="s">
        <v>1348</v>
      </c>
      <c r="B28" s="234"/>
      <c r="C28" s="395"/>
      <c r="D28" s="395"/>
      <c r="E28" s="234"/>
      <c r="F28" s="584"/>
      <c r="G28" s="584"/>
      <c r="H28" s="234"/>
      <c r="I28" s="234"/>
      <c r="J28" s="234"/>
    </row>
    <row r="29" spans="1:10" ht="15.95" customHeight="1" thickBot="1" x14ac:dyDescent="0.25">
      <c r="A29" s="729" t="s">
        <v>2666</v>
      </c>
      <c r="B29" s="234"/>
      <c r="C29" s="396">
        <f>SUMIFS(FCPIS!$U$6:$U$898,FCPIS!$G$6:$G$898,$A29,FCPIS!$D$6:$D$898,C$9)*1000</f>
        <v>386720.99999999994</v>
      </c>
      <c r="D29" s="396">
        <f>SUMIFS(FCPIS!$U$6:$U$898,FCPIS!$G$6:$G$898,$A29,FCPIS!$D$6:$D$898,D$9)*1000</f>
        <v>690251.00000000047</v>
      </c>
      <c r="E29" s="451"/>
      <c r="F29" s="584"/>
      <c r="G29" s="584"/>
      <c r="H29" s="451"/>
      <c r="I29" s="452">
        <f>SUMIFS(FCPIS!$V$6:$V$898,FCPIS!$G$6:$G$898,$A29,FCPIS!$D$6:$D$898,I$9)*1000</f>
        <v>18008590.653333407</v>
      </c>
      <c r="J29" s="452">
        <f>SUMIFS(FCPIS!$V$6:$V$898,FCPIS!$G$6:$G$898,$A29,FCPIS!$D$6:$D$898,J$9)*1000</f>
        <v>7410604.1733333375</v>
      </c>
    </row>
    <row r="30" spans="1:10" ht="15.95" customHeight="1" thickTop="1" x14ac:dyDescent="0.2">
      <c r="A30" s="727"/>
      <c r="B30" s="234"/>
      <c r="C30" s="397"/>
      <c r="D30" s="397"/>
      <c r="E30" s="234"/>
      <c r="F30" s="584"/>
      <c r="G30" s="584"/>
      <c r="H30" s="234"/>
      <c r="I30" s="234"/>
      <c r="J30" s="234"/>
    </row>
    <row r="31" spans="1:10" ht="15.95" customHeight="1" x14ac:dyDescent="0.2">
      <c r="A31" s="727" t="s">
        <v>901</v>
      </c>
      <c r="B31" s="234"/>
      <c r="C31" s="395"/>
      <c r="D31" s="395"/>
      <c r="E31" s="234"/>
      <c r="F31" s="584"/>
      <c r="G31" s="584"/>
      <c r="H31" s="234"/>
      <c r="I31" s="234"/>
      <c r="J31" s="234"/>
    </row>
    <row r="32" spans="1:10" ht="15.95" customHeight="1" x14ac:dyDescent="0.2">
      <c r="A32" s="727" t="s">
        <v>902</v>
      </c>
      <c r="B32" s="234"/>
      <c r="C32" s="395"/>
      <c r="D32" s="395"/>
      <c r="E32" s="234"/>
      <c r="F32" s="584"/>
      <c r="G32" s="584"/>
      <c r="H32" s="234"/>
      <c r="I32" s="234"/>
      <c r="J32" s="234"/>
    </row>
    <row r="33" spans="1:10" ht="15.95" customHeight="1" thickBot="1" x14ac:dyDescent="0.25">
      <c r="A33" s="729" t="s">
        <v>2667</v>
      </c>
      <c r="B33" s="234"/>
      <c r="C33" s="396">
        <f>SUMIFS(FCPIS!$U$6:$U$898,FCPIS!$G$6:$G$898,$A33,FCPIS!$D$6:$D$898,C$9)*1000</f>
        <v>24.999999999999957</v>
      </c>
      <c r="D33" s="396">
        <f>SUMIFS(FCPIS!$U$6:$U$898,FCPIS!$G$6:$G$898,$A33,FCPIS!$D$6:$D$898,D$9)*1000</f>
        <v>3212.9999999999995</v>
      </c>
      <c r="E33" s="451"/>
      <c r="F33" s="584"/>
      <c r="G33" s="584"/>
      <c r="H33" s="451"/>
      <c r="I33" s="452">
        <f>SUMIFS(FCPIS!$V$6:$V$898,FCPIS!$G$6:$G$898,$A33,FCPIS!$D$6:$D$898,I$9)*1000</f>
        <v>3414.3333333333408</v>
      </c>
      <c r="J33" s="452">
        <f>SUMIFS(FCPIS!$V$6:$V$898,FCPIS!$G$6:$G$898,$A33,FCPIS!$D$6:$D$898,J$9)*1000</f>
        <v>21448.5</v>
      </c>
    </row>
    <row r="34" spans="1:10" ht="15.95" customHeight="1" thickTop="1" x14ac:dyDescent="0.2">
      <c r="A34" s="727"/>
      <c r="B34" s="234"/>
      <c r="C34" s="397"/>
      <c r="D34" s="397"/>
      <c r="E34" s="234"/>
      <c r="F34" s="584"/>
      <c r="G34" s="584"/>
      <c r="H34" s="234"/>
      <c r="I34" s="234"/>
      <c r="J34" s="234"/>
    </row>
    <row r="35" spans="1:10" ht="15.95" customHeight="1" x14ac:dyDescent="0.2">
      <c r="A35" s="453" t="s">
        <v>971</v>
      </c>
      <c r="B35" s="234"/>
      <c r="C35" s="395"/>
      <c r="D35" s="395"/>
      <c r="E35" s="234"/>
      <c r="F35" s="584"/>
      <c r="G35" s="584"/>
      <c r="H35" s="234"/>
      <c r="I35" s="234"/>
      <c r="J35" s="234"/>
    </row>
    <row r="36" spans="1:10" ht="15.95" customHeight="1" x14ac:dyDescent="0.2">
      <c r="A36" s="727" t="s">
        <v>903</v>
      </c>
      <c r="B36" s="234"/>
      <c r="C36" s="395"/>
      <c r="D36" s="395"/>
      <c r="E36" s="234"/>
      <c r="F36" s="584"/>
      <c r="G36" s="584"/>
      <c r="H36" s="234"/>
      <c r="I36" s="234"/>
      <c r="J36" s="234"/>
    </row>
    <row r="37" spans="1:10" ht="15.95" customHeight="1" x14ac:dyDescent="0.2">
      <c r="A37" s="727" t="s">
        <v>904</v>
      </c>
      <c r="B37" s="234"/>
      <c r="C37" s="395"/>
      <c r="D37" s="395"/>
      <c r="E37" s="234"/>
      <c r="F37" s="584"/>
      <c r="G37" s="584"/>
      <c r="H37" s="234"/>
      <c r="I37" s="234"/>
      <c r="J37" s="234"/>
    </row>
    <row r="38" spans="1:10" ht="15.95" customHeight="1" x14ac:dyDescent="0.2">
      <c r="A38" s="727" t="s">
        <v>905</v>
      </c>
      <c r="B38" s="234"/>
      <c r="C38" s="395"/>
      <c r="D38" s="395"/>
      <c r="E38" s="234"/>
      <c r="F38" s="584"/>
      <c r="G38" s="584"/>
      <c r="H38" s="234"/>
      <c r="I38" s="234"/>
      <c r="J38" s="234"/>
    </row>
    <row r="39" spans="1:10" ht="15.95" customHeight="1" x14ac:dyDescent="0.2">
      <c r="A39" s="727" t="s">
        <v>906</v>
      </c>
      <c r="B39" s="234"/>
      <c r="C39" s="395"/>
      <c r="D39" s="395"/>
      <c r="E39" s="234"/>
      <c r="F39" s="584"/>
      <c r="G39" s="584"/>
      <c r="H39" s="234"/>
      <c r="I39" s="234"/>
      <c r="J39" s="234"/>
    </row>
    <row r="40" spans="1:10" ht="15.95" customHeight="1" x14ac:dyDescent="0.2">
      <c r="A40" s="727" t="s">
        <v>1428</v>
      </c>
      <c r="B40" s="234"/>
      <c r="C40" s="395"/>
      <c r="D40" s="395"/>
      <c r="E40" s="234"/>
      <c r="F40" s="584"/>
      <c r="G40" s="584"/>
      <c r="H40" s="234"/>
      <c r="I40" s="234"/>
      <c r="J40" s="234"/>
    </row>
    <row r="41" spans="1:10" ht="15.95" customHeight="1" x14ac:dyDescent="0.2">
      <c r="A41" s="453" t="s">
        <v>1456</v>
      </c>
      <c r="B41" s="234"/>
      <c r="C41" s="395"/>
      <c r="D41" s="395"/>
      <c r="E41" s="234"/>
      <c r="F41" s="584"/>
      <c r="G41" s="584"/>
      <c r="H41" s="234"/>
      <c r="I41" s="234"/>
      <c r="J41" s="234"/>
    </row>
    <row r="42" spans="1:10" ht="15.95" customHeight="1" x14ac:dyDescent="0.2">
      <c r="A42" s="453" t="s">
        <v>1461</v>
      </c>
      <c r="B42" s="234"/>
      <c r="C42" s="395"/>
      <c r="D42" s="395"/>
      <c r="E42" s="234"/>
      <c r="F42" s="584"/>
      <c r="G42" s="584"/>
      <c r="H42" s="234"/>
      <c r="I42" s="234"/>
      <c r="J42" s="234"/>
    </row>
    <row r="43" spans="1:10" ht="15.95" customHeight="1" x14ac:dyDescent="0.2">
      <c r="A43" s="453" t="s">
        <v>907</v>
      </c>
      <c r="B43" s="234"/>
      <c r="C43" s="395"/>
      <c r="D43" s="395"/>
      <c r="E43" s="234"/>
      <c r="F43" s="584"/>
      <c r="G43" s="584"/>
      <c r="H43" s="234"/>
      <c r="I43" s="234"/>
      <c r="J43" s="234"/>
    </row>
    <row r="44" spans="1:10" ht="15.95" customHeight="1" x14ac:dyDescent="0.2">
      <c r="A44" s="453" t="s">
        <v>908</v>
      </c>
      <c r="B44" s="234"/>
      <c r="C44" s="395"/>
      <c r="D44" s="395"/>
      <c r="E44" s="234"/>
      <c r="F44" s="584"/>
      <c r="G44" s="584"/>
      <c r="H44" s="234"/>
      <c r="I44" s="234"/>
      <c r="J44" s="234"/>
    </row>
    <row r="45" spans="1:10" ht="15.95" customHeight="1" x14ac:dyDescent="0.2">
      <c r="A45" s="453" t="s">
        <v>909</v>
      </c>
      <c r="B45" s="234"/>
      <c r="C45" s="395"/>
      <c r="D45" s="395"/>
      <c r="E45" s="234"/>
      <c r="F45" s="584"/>
      <c r="G45" s="584"/>
      <c r="H45" s="234"/>
      <c r="I45" s="234"/>
      <c r="J45" s="234"/>
    </row>
    <row r="46" spans="1:10" ht="15.95" customHeight="1" x14ac:dyDescent="0.2">
      <c r="A46" s="727" t="s">
        <v>910</v>
      </c>
      <c r="B46" s="234"/>
      <c r="C46" s="395"/>
      <c r="D46" s="395"/>
      <c r="E46" s="234"/>
      <c r="F46" s="584"/>
      <c r="G46" s="584"/>
      <c r="H46" s="234"/>
      <c r="I46" s="234"/>
      <c r="J46" s="234"/>
    </row>
    <row r="47" spans="1:10" ht="15.95" customHeight="1" x14ac:dyDescent="0.2">
      <c r="A47" s="727" t="s">
        <v>911</v>
      </c>
      <c r="B47" s="234"/>
      <c r="C47" s="395"/>
      <c r="D47" s="395"/>
      <c r="E47" s="234"/>
      <c r="F47" s="584"/>
      <c r="G47" s="584"/>
      <c r="H47" s="234"/>
      <c r="I47" s="234"/>
      <c r="J47" s="234"/>
    </row>
    <row r="48" spans="1:10" ht="15.95" customHeight="1" x14ac:dyDescent="0.2">
      <c r="A48" s="727" t="s">
        <v>912</v>
      </c>
      <c r="B48" s="234"/>
      <c r="C48" s="395"/>
      <c r="D48" s="395"/>
      <c r="E48" s="234"/>
      <c r="F48" s="584"/>
      <c r="G48" s="584"/>
      <c r="H48" s="234"/>
      <c r="I48" s="234"/>
      <c r="J48" s="234"/>
    </row>
    <row r="49" spans="1:14" ht="15.95" customHeight="1" x14ac:dyDescent="0.2">
      <c r="A49" s="727" t="s">
        <v>913</v>
      </c>
      <c r="B49" s="234"/>
      <c r="C49" s="395"/>
      <c r="D49" s="395"/>
      <c r="E49" s="234"/>
      <c r="F49" s="584"/>
      <c r="G49" s="584"/>
      <c r="H49" s="234"/>
      <c r="I49" s="234"/>
      <c r="J49" s="234"/>
    </row>
    <row r="50" spans="1:14" ht="15.95" customHeight="1" x14ac:dyDescent="0.2">
      <c r="A50" s="727" t="s">
        <v>1192</v>
      </c>
      <c r="B50" s="234"/>
      <c r="C50" s="395"/>
      <c r="D50" s="395"/>
      <c r="E50" s="234"/>
      <c r="F50" s="584"/>
      <c r="G50" s="584"/>
      <c r="H50" s="234"/>
      <c r="I50" s="234"/>
      <c r="J50" s="234"/>
    </row>
    <row r="51" spans="1:14" ht="15.95" customHeight="1" thickBot="1" x14ac:dyDescent="0.25">
      <c r="A51" s="729" t="s">
        <v>2668</v>
      </c>
      <c r="B51" s="234"/>
      <c r="C51" s="396">
        <f>SUMIFS(FCPIS!$U$6:$U$898,FCPIS!$G$6:$G$898,$A51,FCPIS!$D$6:$D$898,C$9)*1000</f>
        <v>93.999999999999957</v>
      </c>
      <c r="D51" s="396">
        <f>SUMIFS(FCPIS!$U$6:$U$898,FCPIS!$G$6:$G$898,$A51,FCPIS!$D$6:$D$898,D$9)*1000</f>
        <v>184266.00000000006</v>
      </c>
      <c r="E51" s="451"/>
      <c r="F51" s="584"/>
      <c r="G51" s="584"/>
      <c r="H51" s="451"/>
      <c r="I51" s="452">
        <f>SUMIFS(FCPIS!$V$6:$V$898,FCPIS!$G$6:$G$898,$A51,FCPIS!$D$6:$D$898,I$9)*1000</f>
        <v>1842.156666666667</v>
      </c>
      <c r="J51" s="452">
        <f>SUMIFS(FCPIS!$V$6:$V$898,FCPIS!$G$6:$G$898,$A51,FCPIS!$D$6:$D$898,J$9)*1000</f>
        <v>1868599.35</v>
      </c>
    </row>
    <row r="52" spans="1:14" ht="15.95" customHeight="1" thickTop="1" x14ac:dyDescent="0.2">
      <c r="A52" s="730"/>
      <c r="B52" s="234"/>
      <c r="C52" s="397"/>
      <c r="D52" s="397"/>
      <c r="E52" s="234"/>
      <c r="F52" s="584"/>
      <c r="G52" s="584"/>
      <c r="H52" s="234"/>
      <c r="I52" s="234"/>
      <c r="J52" s="234"/>
    </row>
    <row r="53" spans="1:14" ht="15.95" customHeight="1" thickBot="1" x14ac:dyDescent="0.25">
      <c r="A53" s="729" t="s">
        <v>914</v>
      </c>
      <c r="B53" s="234"/>
      <c r="C53" s="396">
        <f>C29+C33+C51</f>
        <v>386839.99999999994</v>
      </c>
      <c r="D53" s="396">
        <f>D29+D33+D51</f>
        <v>877730.00000000047</v>
      </c>
      <c r="E53" s="451"/>
      <c r="F53" s="584"/>
      <c r="G53" s="584"/>
      <c r="H53" s="451"/>
      <c r="I53" s="452">
        <f>I29+I33+I51</f>
        <v>18013847.143333405</v>
      </c>
      <c r="J53" s="452">
        <f>J29+J33+J51</f>
        <v>9300652.0233333372</v>
      </c>
    </row>
    <row r="54" spans="1:14" ht="15.95" customHeight="1" thickTop="1" x14ac:dyDescent="0.2">
      <c r="A54" s="730"/>
      <c r="B54" s="234"/>
      <c r="C54" s="397"/>
      <c r="D54" s="397"/>
      <c r="E54" s="234"/>
      <c r="F54" s="584"/>
      <c r="G54" s="584"/>
      <c r="H54" s="234"/>
      <c r="I54" s="234"/>
      <c r="J54" s="234"/>
    </row>
    <row r="55" spans="1:14" ht="15.95" customHeight="1" x14ac:dyDescent="0.2">
      <c r="A55" s="730"/>
      <c r="B55" s="234"/>
      <c r="C55" s="397"/>
      <c r="D55" s="397"/>
      <c r="E55" s="234"/>
      <c r="F55" s="584"/>
      <c r="G55" s="584"/>
      <c r="H55" s="234"/>
      <c r="I55" s="234"/>
      <c r="J55" s="234"/>
    </row>
    <row r="56" spans="1:14" ht="15.95" customHeight="1" thickBot="1" x14ac:dyDescent="0.25">
      <c r="A56" s="729" t="s">
        <v>560</v>
      </c>
      <c r="B56" s="234"/>
      <c r="C56" s="396">
        <f>SUMIFS(FCPIS!$U$6:$U$898,FCPIS!$G$6:$G$898,$A56,FCPIS!$D$6:$D$898,C$9)*1000</f>
        <v>63243.999999999942</v>
      </c>
      <c r="D56" s="396">
        <f>SUMIFS(FCPIS!$U$6:$U$898,FCPIS!$G$6:$G$898,$A56,FCPIS!$D$6:$D$898,D$9)*1000</f>
        <v>32052</v>
      </c>
      <c r="E56" s="451"/>
      <c r="F56" s="584"/>
      <c r="G56" s="584"/>
      <c r="H56" s="451"/>
      <c r="I56" s="452">
        <f>SUMIFS(FCPIS!$V$6:$V$898,FCPIS!$G$6:$G$898,$A56,FCPIS!$D$6:$D$898,I$9)*1000</f>
        <v>2703657.0133333332</v>
      </c>
      <c r="J56" s="452">
        <f>SUMIFS(FCPIS!$V$6:$V$898,FCPIS!$G$6:$G$898,$A56,FCPIS!$D$6:$D$898,J$9)*1000</f>
        <v>355111.563333333</v>
      </c>
    </row>
    <row r="57" spans="1:14" ht="15.95" customHeight="1" thickTop="1" x14ac:dyDescent="0.2">
      <c r="F57" s="585"/>
      <c r="G57" s="585"/>
    </row>
    <row r="58" spans="1:14" ht="15.95" customHeight="1" x14ac:dyDescent="0.2">
      <c r="F58" s="585"/>
      <c r="G58" s="585"/>
      <c r="L58" s="454" t="s">
        <v>1357</v>
      </c>
    </row>
    <row r="59" spans="1:14" s="455" customFormat="1" ht="15.95" customHeight="1" x14ac:dyDescent="0.2">
      <c r="B59" s="456" t="s">
        <v>937</v>
      </c>
      <c r="C59" s="457">
        <f>C56*L59</f>
        <v>4.4999964530260027E-2</v>
      </c>
      <c r="D59" s="457">
        <f>D56*N59</f>
        <v>96.489532370730416</v>
      </c>
      <c r="E59" s="456"/>
      <c r="F59" s="586"/>
      <c r="G59" s="586"/>
      <c r="H59" s="456"/>
      <c r="I59" s="457">
        <f>I56*L59</f>
        <v>1.9237314164503965</v>
      </c>
      <c r="J59" s="457">
        <f>J56*N59</f>
        <v>1069.0299727153476</v>
      </c>
      <c r="L59" s="458">
        <f>AFUDC!E55</f>
        <v>7.1152938666529744E-7</v>
      </c>
      <c r="M59" s="458"/>
      <c r="N59" s="458">
        <f>AFUDC!G55</f>
        <v>3.0104059768729071E-3</v>
      </c>
    </row>
    <row r="60" spans="1:14" s="455" customFormat="1" ht="15.95" customHeight="1" x14ac:dyDescent="0.2">
      <c r="B60" s="456"/>
      <c r="C60" s="456"/>
      <c r="D60" s="456"/>
      <c r="E60" s="456"/>
      <c r="F60" s="587"/>
      <c r="G60" s="587"/>
      <c r="H60" s="456"/>
      <c r="I60" s="456"/>
      <c r="J60" s="456"/>
      <c r="L60" s="455" t="s">
        <v>1358</v>
      </c>
      <c r="N60" s="455" t="s">
        <v>1359</v>
      </c>
    </row>
    <row r="61" spans="1:14" s="455" customFormat="1" ht="15.95" customHeight="1" x14ac:dyDescent="0.2">
      <c r="B61" s="456"/>
      <c r="C61" s="456"/>
      <c r="D61" s="456"/>
      <c r="E61" s="456"/>
      <c r="F61" s="587"/>
      <c r="G61" s="587"/>
      <c r="H61" s="456"/>
      <c r="I61" s="456"/>
      <c r="J61" s="456"/>
    </row>
    <row r="62" spans="1:14" s="455" customFormat="1" ht="15.95" customHeight="1" x14ac:dyDescent="0.2">
      <c r="B62" s="456" t="s">
        <v>935</v>
      </c>
      <c r="C62" s="459">
        <f>C56-C59</f>
        <v>63243.955000035414</v>
      </c>
      <c r="D62" s="459">
        <f>D56-D59</f>
        <v>31955.510467629269</v>
      </c>
      <c r="E62" s="456"/>
      <c r="F62" s="588"/>
      <c r="G62" s="588"/>
      <c r="H62" s="456"/>
      <c r="I62" s="459">
        <f>I56-I59</f>
        <v>2703655.0896019167</v>
      </c>
      <c r="J62" s="459">
        <f>J56-J59</f>
        <v>354042.53336061764</v>
      </c>
    </row>
    <row r="63" spans="1:14" s="455" customFormat="1" ht="15.95" customHeight="1" x14ac:dyDescent="0.2"/>
    <row r="64" spans="1:14" s="455" customFormat="1" ht="15.95" customHeight="1" x14ac:dyDescent="0.2">
      <c r="I64" s="460">
        <f>SUM(I59:I62)</f>
        <v>2703657.0133333332</v>
      </c>
      <c r="J64" s="460">
        <f>SUM(J59:J62)</f>
        <v>355111.563333333</v>
      </c>
    </row>
  </sheetData>
  <mergeCells count="5">
    <mergeCell ref="F7:G7"/>
    <mergeCell ref="A2:J2"/>
    <mergeCell ref="A3:J3"/>
    <mergeCell ref="A4:J4"/>
    <mergeCell ref="I6:J6"/>
  </mergeCells>
  <phoneticPr fontId="31" type="noConversion"/>
  <printOptions horizontalCentered="1"/>
  <pageMargins left="0.25" right="0.25" top="1" bottom="0.5" header="0.5" footer="0.5"/>
  <pageSetup scale="67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J137"/>
  <sheetViews>
    <sheetView zoomScaleNormal="100" workbookViewId="0">
      <pane ySplit="1" topLeftCell="A2" activePane="bottomLeft" state="frozen"/>
      <selection activeCell="C99" sqref="C99"/>
      <selection pane="bottomLeft" activeCell="J38" sqref="J38"/>
    </sheetView>
  </sheetViews>
  <sheetFormatPr defaultColWidth="9" defaultRowHeight="15" x14ac:dyDescent="0.2"/>
  <cols>
    <col min="1" max="1" width="12.44140625" style="235" bestFit="1" customWidth="1"/>
    <col min="2" max="2" width="8.6640625" style="91" customWidth="1"/>
    <col min="3" max="5" width="13.33203125" style="34" customWidth="1"/>
    <col min="6" max="6" width="15.77734375" style="34" customWidth="1"/>
    <col min="7" max="7" width="12.6640625" style="23" bestFit="1" customWidth="1"/>
    <col min="8" max="8" width="9" style="23"/>
    <col min="9" max="9" width="24.21875" style="23" customWidth="1"/>
    <col min="10" max="16384" width="9" style="23"/>
  </cols>
  <sheetData>
    <row r="1" spans="1:7" s="32" customFormat="1" ht="15.95" customHeight="1" x14ac:dyDescent="0.2">
      <c r="A1" s="252"/>
      <c r="B1" s="303" t="s">
        <v>553</v>
      </c>
      <c r="C1" s="249" t="s">
        <v>1121</v>
      </c>
      <c r="D1" s="249" t="s">
        <v>1122</v>
      </c>
      <c r="E1" s="249" t="s">
        <v>1123</v>
      </c>
      <c r="F1" s="501" t="s">
        <v>682</v>
      </c>
      <c r="G1" s="250" t="str">
        <f>C1&amp;"+"&amp;E1</f>
        <v>Labor+Burdens</v>
      </c>
    </row>
    <row r="2" spans="1:7" ht="12.75" x14ac:dyDescent="0.2">
      <c r="A2" s="253"/>
    </row>
    <row r="3" spans="1:7" ht="14.1" customHeight="1" x14ac:dyDescent="0.2">
      <c r="A3" s="412"/>
      <c r="B3" s="325">
        <v>500</v>
      </c>
      <c r="C3" s="302">
        <f>SUMIFS('FC O&amp;M'!B$8:B$103,'FC O&amp;M'!$A$8:$A$103,'O&amp;M'!$B3)</f>
        <v>6135357</v>
      </c>
      <c r="D3" s="302">
        <f>SUMIFS('FC O&amp;M'!C$8:C$103,'FC O&amp;M'!$A$8:$A$103,'O&amp;M'!$B3)</f>
        <v>1547481</v>
      </c>
      <c r="E3" s="302">
        <f>SUMIFS('FC O&amp;M'!D$8:D$103,'FC O&amp;M'!$A$8:$A$103,'O&amp;M'!$B3)</f>
        <v>1659550</v>
      </c>
      <c r="F3" s="301">
        <f>SUM(C3:E3)</f>
        <v>9342388</v>
      </c>
      <c r="G3" s="35">
        <f>C3+E3</f>
        <v>7794907</v>
      </c>
    </row>
    <row r="4" spans="1:7" ht="14.1" customHeight="1" x14ac:dyDescent="0.2">
      <c r="A4" s="412"/>
      <c r="B4" s="325">
        <v>501</v>
      </c>
      <c r="C4" s="302">
        <f>SUMIFS('FC O&amp;M'!B$8:B$103,'FC O&amp;M'!$A$8:$A$103,'O&amp;M'!$B4)</f>
        <v>1875428</v>
      </c>
      <c r="D4" s="302">
        <f>SUMIFS('FC O&amp;M'!C$8:C$103,'FC O&amp;M'!$A$8:$A$103,'O&amp;M'!$B4)</f>
        <v>300042506.23587352</v>
      </c>
      <c r="E4" s="302">
        <f>SUMIFS('FC O&amp;M'!D$8:D$103,'FC O&amp;M'!$A$8:$A$103,'O&amp;M'!$B4)</f>
        <v>505774</v>
      </c>
      <c r="F4" s="301">
        <f t="shared" ref="F4:F70" si="0">SUM(C4:E4)</f>
        <v>302423708.23587352</v>
      </c>
      <c r="G4" s="35">
        <f t="shared" ref="G4:G71" si="1">C4+E4</f>
        <v>2381202</v>
      </c>
    </row>
    <row r="5" spans="1:7" ht="14.1" customHeight="1" x14ac:dyDescent="0.2">
      <c r="A5" s="412"/>
      <c r="B5" s="325">
        <v>502</v>
      </c>
      <c r="C5" s="302">
        <f>SUMIFS('FC O&amp;M'!B$8:B$103,'FC O&amp;M'!$A$8:$A$103,'O&amp;M'!$B5)</f>
        <v>7368131</v>
      </c>
      <c r="D5" s="302">
        <f>SUMIFS('FC O&amp;M'!C$8:C$103,'FC O&amp;M'!$A$8:$A$103,'O&amp;M'!$B5)</f>
        <v>13798689.999999888</v>
      </c>
      <c r="E5" s="302">
        <f>SUMIFS('FC O&amp;M'!D$8:D$103,'FC O&amp;M'!$A$8:$A$103,'O&amp;M'!$B5)</f>
        <v>1868023</v>
      </c>
      <c r="F5" s="301">
        <f t="shared" si="0"/>
        <v>23034843.999999888</v>
      </c>
      <c r="G5" s="35">
        <f t="shared" si="1"/>
        <v>9236154</v>
      </c>
    </row>
    <row r="6" spans="1:7" ht="14.1" customHeight="1" x14ac:dyDescent="0.2">
      <c r="A6" s="412"/>
      <c r="B6" s="325">
        <v>505</v>
      </c>
      <c r="C6" s="302">
        <f>SUMIFS('FC O&amp;M'!B$8:B$103,'FC O&amp;M'!$A$8:$A$103,'O&amp;M'!$B6)</f>
        <v>5431349</v>
      </c>
      <c r="D6" s="302">
        <f>SUMIFS('FC O&amp;M'!C$8:C$103,'FC O&amp;M'!$A$8:$A$103,'O&amp;M'!$B6)</f>
        <v>2066014</v>
      </c>
      <c r="E6" s="302">
        <f>SUMIFS('FC O&amp;M'!D$8:D$103,'FC O&amp;M'!$A$8:$A$103,'O&amp;M'!$B6)</f>
        <v>1268887</v>
      </c>
      <c r="F6" s="301">
        <f t="shared" si="0"/>
        <v>8766250</v>
      </c>
      <c r="G6" s="35">
        <f t="shared" si="1"/>
        <v>6700236</v>
      </c>
    </row>
    <row r="7" spans="1:7" ht="14.1" customHeight="1" x14ac:dyDescent="0.2">
      <c r="A7" s="412"/>
      <c r="B7" s="325">
        <v>506</v>
      </c>
      <c r="C7" s="302">
        <f>SUMIFS('FC O&amp;M'!B$8:B$103,'FC O&amp;M'!$A$8:$A$103,'O&amp;M'!$B7)</f>
        <v>2099875</v>
      </c>
      <c r="D7" s="302">
        <f>SUMIFS('FC O&amp;M'!C$8:C$103,'FC O&amp;M'!$A$8:$A$103,'O&amp;M'!$B7)</f>
        <v>23398179</v>
      </c>
      <c r="E7" s="302">
        <f>SUMIFS('FC O&amp;M'!D$8:D$103,'FC O&amp;M'!$A$8:$A$103,'O&amp;M'!$B7)</f>
        <v>679831</v>
      </c>
      <c r="F7" s="301">
        <f t="shared" si="0"/>
        <v>26177885</v>
      </c>
      <c r="G7" s="35">
        <f t="shared" si="1"/>
        <v>2779706</v>
      </c>
    </row>
    <row r="8" spans="1:7" ht="14.1" customHeight="1" x14ac:dyDescent="0.2">
      <c r="A8" s="412"/>
      <c r="B8" s="325">
        <v>507</v>
      </c>
      <c r="C8" s="302">
        <f>SUMIFS('FC O&amp;M'!B$8:B$103,'FC O&amp;M'!$A$8:$A$103,'O&amp;M'!$B8)</f>
        <v>0</v>
      </c>
      <c r="D8" s="302">
        <f>SUMIFS('FC O&amp;M'!C$8:C$103,'FC O&amp;M'!$A$8:$A$103,'O&amp;M'!$B8)</f>
        <v>0</v>
      </c>
      <c r="E8" s="302">
        <f>SUMIFS('FC O&amp;M'!D$8:D$103,'FC O&amp;M'!$A$8:$A$103,'O&amp;M'!$B8)</f>
        <v>0</v>
      </c>
      <c r="F8" s="301">
        <f t="shared" si="0"/>
        <v>0</v>
      </c>
      <c r="G8" s="35">
        <f t="shared" si="1"/>
        <v>0</v>
      </c>
    </row>
    <row r="9" spans="1:7" ht="14.1" customHeight="1" x14ac:dyDescent="0.2">
      <c r="A9" s="412"/>
      <c r="B9" s="325">
        <v>509</v>
      </c>
      <c r="C9" s="302">
        <f>SUMIFS('FC O&amp;M'!B$8:B$103,'FC O&amp;M'!$A$8:$A$103,'O&amp;M'!$B9)</f>
        <v>0</v>
      </c>
      <c r="D9" s="302">
        <f>SUMIFS('FC O&amp;M'!C$8:C$103,'FC O&amp;M'!$A$8:$A$103,'O&amp;M'!$B9)</f>
        <v>5000</v>
      </c>
      <c r="E9" s="302">
        <f>SUMIFS('FC O&amp;M'!D$8:D$103,'FC O&amp;M'!$A$8:$A$103,'O&amp;M'!$B9)</f>
        <v>0</v>
      </c>
      <c r="F9" s="301">
        <f t="shared" si="0"/>
        <v>5000</v>
      </c>
      <c r="G9" s="35">
        <f t="shared" si="1"/>
        <v>0</v>
      </c>
    </row>
    <row r="10" spans="1:7" ht="14.1" customHeight="1" x14ac:dyDescent="0.2">
      <c r="A10" s="412"/>
      <c r="B10" s="325">
        <v>510</v>
      </c>
      <c r="C10" s="302">
        <f>SUMIFS('FC O&amp;M'!B$8:B$103,'FC O&amp;M'!$A$8:$A$103,'O&amp;M'!$B10)</f>
        <v>6835792</v>
      </c>
      <c r="D10" s="302">
        <f>SUMIFS('FC O&amp;M'!C$8:C$103,'FC O&amp;M'!$A$8:$A$103,'O&amp;M'!$B10)</f>
        <v>1536113</v>
      </c>
      <c r="E10" s="302">
        <f>SUMIFS('FC O&amp;M'!D$8:D$103,'FC O&amp;M'!$A$8:$A$103,'O&amp;M'!$B10)</f>
        <v>1876322</v>
      </c>
      <c r="F10" s="301">
        <f t="shared" si="0"/>
        <v>10248227</v>
      </c>
      <c r="G10" s="35">
        <f t="shared" si="1"/>
        <v>8712114</v>
      </c>
    </row>
    <row r="11" spans="1:7" ht="14.1" customHeight="1" x14ac:dyDescent="0.2">
      <c r="A11" s="412"/>
      <c r="B11" s="325">
        <v>511</v>
      </c>
      <c r="C11" s="302">
        <f>SUMIFS('FC O&amp;M'!B$8:B$103,'FC O&amp;M'!$A$8:$A$103,'O&amp;M'!$B11)</f>
        <v>943830</v>
      </c>
      <c r="D11" s="302">
        <f>SUMIFS('FC O&amp;M'!C$8:C$103,'FC O&amp;M'!$A$8:$A$103,'O&amp;M'!$B11)</f>
        <v>5978996</v>
      </c>
      <c r="E11" s="302">
        <f>SUMIFS('FC O&amp;M'!D$8:D$103,'FC O&amp;M'!$A$8:$A$103,'O&amp;M'!$B11)</f>
        <v>331619</v>
      </c>
      <c r="F11" s="301">
        <f t="shared" si="0"/>
        <v>7254445</v>
      </c>
      <c r="G11" s="35">
        <f t="shared" si="1"/>
        <v>1275449</v>
      </c>
    </row>
    <row r="12" spans="1:7" ht="14.1" customHeight="1" x14ac:dyDescent="0.2">
      <c r="A12" s="412"/>
      <c r="B12" s="325">
        <v>512</v>
      </c>
      <c r="C12" s="302">
        <f>SUMIFS('FC O&amp;M'!B$8:B$103,'FC O&amp;M'!$A$8:$A$103,'O&amp;M'!$B12)</f>
        <v>8431554</v>
      </c>
      <c r="D12" s="302">
        <f>SUMIFS('FC O&amp;M'!C$8:C$103,'FC O&amp;M'!$A$8:$A$103,'O&amp;M'!$B12)</f>
        <v>38189027</v>
      </c>
      <c r="E12" s="302">
        <f>SUMIFS('FC O&amp;M'!D$8:D$103,'FC O&amp;M'!$A$8:$A$103,'O&amp;M'!$B12)</f>
        <v>3459128</v>
      </c>
      <c r="F12" s="301">
        <f t="shared" si="0"/>
        <v>50079709</v>
      </c>
      <c r="G12" s="35">
        <f t="shared" si="1"/>
        <v>11890682</v>
      </c>
    </row>
    <row r="13" spans="1:7" ht="14.1" customHeight="1" x14ac:dyDescent="0.2">
      <c r="A13" s="412"/>
      <c r="B13" s="325">
        <v>513</v>
      </c>
      <c r="C13" s="302">
        <f>SUMIFS('FC O&amp;M'!B$8:B$103,'FC O&amp;M'!$A$8:$A$103,'O&amp;M'!$B13)</f>
        <v>1592174</v>
      </c>
      <c r="D13" s="302">
        <f>SUMIFS('FC O&amp;M'!C$8:C$103,'FC O&amp;M'!$A$8:$A$103,'O&amp;M'!$B13)</f>
        <v>7980956</v>
      </c>
      <c r="E13" s="302">
        <f>SUMIFS('FC O&amp;M'!D$8:D$103,'FC O&amp;M'!$A$8:$A$103,'O&amp;M'!$B13)</f>
        <v>651164</v>
      </c>
      <c r="F13" s="301">
        <f t="shared" si="0"/>
        <v>10224294</v>
      </c>
      <c r="G13" s="35">
        <f t="shared" si="1"/>
        <v>2243338</v>
      </c>
    </row>
    <row r="14" spans="1:7" ht="14.1" customHeight="1" x14ac:dyDescent="0.2">
      <c r="A14" s="412"/>
      <c r="B14" s="325">
        <v>514</v>
      </c>
      <c r="C14" s="302">
        <f>SUMIFS('FC O&amp;M'!B$8:B$103,'FC O&amp;M'!$A$8:$A$103,'O&amp;M'!$B14)</f>
        <v>159747</v>
      </c>
      <c r="D14" s="302">
        <f>SUMIFS('FC O&amp;M'!C$8:C$103,'FC O&amp;M'!$A$8:$A$103,'O&amp;M'!$B14)</f>
        <v>2395112.9999999902</v>
      </c>
      <c r="E14" s="302">
        <f>SUMIFS('FC O&amp;M'!D$8:D$103,'FC O&amp;M'!$A$8:$A$103,'O&amp;M'!$B14)</f>
        <v>115480</v>
      </c>
      <c r="F14" s="301">
        <f t="shared" si="0"/>
        <v>2670339.9999999902</v>
      </c>
      <c r="G14" s="35">
        <f t="shared" si="1"/>
        <v>275227</v>
      </c>
    </row>
    <row r="15" spans="1:7" ht="14.1" customHeight="1" x14ac:dyDescent="0.2">
      <c r="A15" s="412"/>
      <c r="B15" s="325">
        <v>535</v>
      </c>
      <c r="C15" s="302">
        <f>SUMIFS('FC O&amp;M'!B$8:B$103,'FC O&amp;M'!$A$8:$A$103,'O&amp;M'!$B15)</f>
        <v>0</v>
      </c>
      <c r="D15" s="302">
        <f>SUMIFS('FC O&amp;M'!C$8:C$103,'FC O&amp;M'!$A$8:$A$103,'O&amp;M'!$B15)</f>
        <v>0</v>
      </c>
      <c r="E15" s="302">
        <f>SUMIFS('FC O&amp;M'!D$8:D$103,'FC O&amp;M'!$A$8:$A$103,'O&amp;M'!$B15)</f>
        <v>0</v>
      </c>
      <c r="F15" s="301">
        <f t="shared" si="0"/>
        <v>0</v>
      </c>
      <c r="G15" s="35">
        <f t="shared" si="1"/>
        <v>0</v>
      </c>
    </row>
    <row r="16" spans="1:7" ht="14.1" customHeight="1" x14ac:dyDescent="0.2">
      <c r="A16" s="412"/>
      <c r="B16" s="325">
        <v>539</v>
      </c>
      <c r="C16" s="302">
        <f>SUMIFS('FC O&amp;M'!B$8:B$103,'FC O&amp;M'!$A$8:$A$103,'O&amp;M'!$B16)</f>
        <v>0</v>
      </c>
      <c r="D16" s="302">
        <f>SUMIFS('FC O&amp;M'!C$8:C$103,'FC O&amp;M'!$A$8:$A$103,'O&amp;M'!$B16)</f>
        <v>10111.9999999999</v>
      </c>
      <c r="E16" s="302">
        <f>SUMIFS('FC O&amp;M'!D$8:D$103,'FC O&amp;M'!$A$8:$A$103,'O&amp;M'!$B16)</f>
        <v>0</v>
      </c>
      <c r="F16" s="301">
        <f t="shared" si="0"/>
        <v>10111.9999999999</v>
      </c>
      <c r="G16" s="35">
        <f t="shared" si="1"/>
        <v>0</v>
      </c>
    </row>
    <row r="17" spans="1:10" ht="14.1" customHeight="1" x14ac:dyDescent="0.2">
      <c r="A17" s="412"/>
      <c r="B17" s="325">
        <v>541</v>
      </c>
      <c r="C17" s="302">
        <f>SUMIFS('FC O&amp;M'!B$8:B$103,'FC O&amp;M'!$A$8:$A$103,'O&amp;M'!$B17)</f>
        <v>162468</v>
      </c>
      <c r="D17" s="302">
        <f>SUMIFS('FC O&amp;M'!C$8:C$103,'FC O&amp;M'!$A$8:$A$103,'O&amp;M'!$B17)</f>
        <v>22712.99999999901</v>
      </c>
      <c r="E17" s="302">
        <f>SUMIFS('FC O&amp;M'!D$8:D$103,'FC O&amp;M'!$A$8:$A$103,'O&amp;M'!$B17)</f>
        <v>41559</v>
      </c>
      <c r="F17" s="301">
        <f t="shared" si="0"/>
        <v>226739.99999999901</v>
      </c>
      <c r="G17" s="35">
        <f t="shared" si="1"/>
        <v>204027</v>
      </c>
    </row>
    <row r="18" spans="1:10" s="24" customFormat="1" ht="14.1" customHeight="1" x14ac:dyDescent="0.2">
      <c r="A18" s="412"/>
      <c r="B18" s="325">
        <v>542</v>
      </c>
      <c r="C18" s="302">
        <f>SUMIFS('FC O&amp;M'!B$8:B$103,'FC O&amp;M'!$A$8:$A$103,'O&amp;M'!$B18)</f>
        <v>46454</v>
      </c>
      <c r="D18" s="302">
        <f>SUMIFS('FC O&amp;M'!C$8:C$103,'FC O&amp;M'!$A$8:$A$103,'O&amp;M'!$B18)</f>
        <v>165697.99999999901</v>
      </c>
      <c r="E18" s="302">
        <f>SUMIFS('FC O&amp;M'!D$8:D$103,'FC O&amp;M'!$A$8:$A$103,'O&amp;M'!$B18)</f>
        <v>13031</v>
      </c>
      <c r="F18" s="301">
        <f t="shared" si="0"/>
        <v>225182.99999999901</v>
      </c>
      <c r="G18" s="35">
        <f t="shared" si="1"/>
        <v>59485</v>
      </c>
    </row>
    <row r="19" spans="1:10" ht="14.1" customHeight="1" x14ac:dyDescent="0.2">
      <c r="A19" s="412"/>
      <c r="B19" s="325">
        <v>543</v>
      </c>
      <c r="C19" s="302">
        <f>SUMIFS('FC O&amp;M'!B$8:B$103,'FC O&amp;M'!$A$8:$A$103,'O&amp;M'!$B19)</f>
        <v>0</v>
      </c>
      <c r="D19" s="302">
        <f>SUMIFS('FC O&amp;M'!C$8:C$103,'FC O&amp;M'!$A$8:$A$103,'O&amp;M'!$B19)</f>
        <v>32608</v>
      </c>
      <c r="E19" s="302">
        <f>SUMIFS('FC O&amp;M'!D$8:D$103,'FC O&amp;M'!$A$8:$A$103,'O&amp;M'!$B19)</f>
        <v>1308</v>
      </c>
      <c r="F19" s="301">
        <f t="shared" si="0"/>
        <v>33916</v>
      </c>
      <c r="G19" s="273">
        <f>C19+E19</f>
        <v>1308</v>
      </c>
    </row>
    <row r="20" spans="1:10" ht="14.1" customHeight="1" x14ac:dyDescent="0.2">
      <c r="A20" s="412"/>
      <c r="B20" s="325">
        <v>544</v>
      </c>
      <c r="C20" s="302">
        <f>SUMIFS('FC O&amp;M'!B$8:B$103,'FC O&amp;M'!$A$8:$A$103,'O&amp;M'!$B20)</f>
        <v>0</v>
      </c>
      <c r="D20" s="302">
        <f>SUMIFS('FC O&amp;M'!C$8:C$103,'FC O&amp;M'!$A$8:$A$103,'O&amp;M'!$B20)</f>
        <v>42660</v>
      </c>
      <c r="E20" s="302">
        <f>SUMIFS('FC O&amp;M'!D$8:D$103,'FC O&amp;M'!$A$8:$A$103,'O&amp;M'!$B20)</f>
        <v>1464</v>
      </c>
      <c r="F20" s="301">
        <f t="shared" si="0"/>
        <v>44124</v>
      </c>
      <c r="G20" s="35">
        <f t="shared" si="1"/>
        <v>1464</v>
      </c>
    </row>
    <row r="21" spans="1:10" ht="14.1" customHeight="1" x14ac:dyDescent="0.2">
      <c r="A21" s="412"/>
      <c r="B21" s="325">
        <v>545</v>
      </c>
      <c r="C21" s="302">
        <f>SUMIFS('FC O&amp;M'!B$8:B$103,'FC O&amp;M'!$A$8:$A$103,'O&amp;M'!$B21)</f>
        <v>0</v>
      </c>
      <c r="D21" s="302">
        <f>SUMIFS('FC O&amp;M'!C$8:C$103,'FC O&amp;M'!$A$8:$A$103,'O&amp;M'!$B21)</f>
        <v>10375.9999999999</v>
      </c>
      <c r="E21" s="302">
        <f>SUMIFS('FC O&amp;M'!D$8:D$103,'FC O&amp;M'!$A$8:$A$103,'O&amp;M'!$B21)</f>
        <v>768</v>
      </c>
      <c r="F21" s="301">
        <f t="shared" si="0"/>
        <v>11143.9999999999</v>
      </c>
      <c r="G21" s="35">
        <f t="shared" si="1"/>
        <v>768</v>
      </c>
    </row>
    <row r="22" spans="1:10" ht="14.1" customHeight="1" x14ac:dyDescent="0.2">
      <c r="A22" s="412"/>
      <c r="B22" s="325">
        <v>546</v>
      </c>
      <c r="C22" s="302">
        <f>SUMIFS('FC O&amp;M'!B$8:B$103,'FC O&amp;M'!$A$8:$A$103,'O&amp;M'!$B22)</f>
        <v>857084</v>
      </c>
      <c r="D22" s="302">
        <f>SUMIFS('FC O&amp;M'!C$8:C$103,'FC O&amp;M'!$A$8:$A$103,'O&amp;M'!$B22)</f>
        <v>216964</v>
      </c>
      <c r="E22" s="302">
        <f>SUMIFS('FC O&amp;M'!D$8:D$103,'FC O&amp;M'!$A$8:$A$103,'O&amp;M'!$B22)</f>
        <v>232777</v>
      </c>
      <c r="F22" s="301">
        <f t="shared" si="0"/>
        <v>1306825</v>
      </c>
      <c r="G22" s="35">
        <f t="shared" si="1"/>
        <v>1089861</v>
      </c>
    </row>
    <row r="23" spans="1:10" ht="14.1" customHeight="1" x14ac:dyDescent="0.2">
      <c r="A23" s="412"/>
      <c r="B23" s="325">
        <v>547</v>
      </c>
      <c r="C23" s="302">
        <f>SUMIFS('FC O&amp;M'!B$8:B$103,'FC O&amp;M'!$A$8:$A$103,'O&amp;M'!$B23)</f>
        <v>0</v>
      </c>
      <c r="D23" s="302">
        <f>SUMIFS('FC O&amp;M'!C$8:C$103,'FC O&amp;M'!$A$8:$A$103,'O&amp;M'!$B23)</f>
        <v>125544025.15006199</v>
      </c>
      <c r="E23" s="302">
        <f>SUMIFS('FC O&amp;M'!D$8:D$103,'FC O&amp;M'!$A$8:$A$103,'O&amp;M'!$B23)</f>
        <v>0</v>
      </c>
      <c r="F23" s="301">
        <f t="shared" si="0"/>
        <v>125544025.15006199</v>
      </c>
      <c r="G23" s="35">
        <f t="shared" si="1"/>
        <v>0</v>
      </c>
    </row>
    <row r="24" spans="1:10" ht="14.1" customHeight="1" x14ac:dyDescent="0.2">
      <c r="A24" s="412"/>
      <c r="B24" s="325">
        <v>548</v>
      </c>
      <c r="C24" s="302">
        <f>SUMIFS('FC O&amp;M'!B$8:B$103,'FC O&amp;M'!$A$8:$A$103,'O&amp;M'!$B24)</f>
        <v>259978</v>
      </c>
      <c r="D24" s="302">
        <f>SUMIFS('FC O&amp;M'!C$8:C$103,'FC O&amp;M'!$A$8:$A$103,'O&amp;M'!$B24)</f>
        <v>291547</v>
      </c>
      <c r="E24" s="302">
        <f>SUMIFS('FC O&amp;M'!D$8:D$103,'FC O&amp;M'!$A$8:$A$103,'O&amp;M'!$B24)</f>
        <v>79593</v>
      </c>
      <c r="F24" s="301">
        <f t="shared" si="0"/>
        <v>631118</v>
      </c>
      <c r="G24" s="35">
        <f t="shared" si="1"/>
        <v>339571</v>
      </c>
    </row>
    <row r="25" spans="1:10" ht="14.1" customHeight="1" x14ac:dyDescent="0.2">
      <c r="A25" s="412"/>
      <c r="B25" s="325">
        <v>549</v>
      </c>
      <c r="C25" s="302">
        <f>SUMIFS('FC O&amp;M'!B$8:B$103,'FC O&amp;M'!$A$8:$A$103,'O&amp;M'!$B25)</f>
        <v>1675157</v>
      </c>
      <c r="D25" s="302">
        <f>SUMIFS('FC O&amp;M'!C$8:C$103,'FC O&amp;M'!$A$8:$A$103,'O&amp;M'!$B25)</f>
        <v>2450004</v>
      </c>
      <c r="E25" s="302">
        <f>SUMIFS('FC O&amp;M'!D$8:D$103,'FC O&amp;M'!$A$8:$A$103,'O&amp;M'!$B25)</f>
        <v>485165</v>
      </c>
      <c r="F25" s="301">
        <f t="shared" si="0"/>
        <v>4610326</v>
      </c>
      <c r="G25" s="35">
        <f t="shared" si="1"/>
        <v>2160322</v>
      </c>
    </row>
    <row r="26" spans="1:10" ht="14.1" customHeight="1" x14ac:dyDescent="0.2">
      <c r="A26" s="412"/>
      <c r="B26" s="325">
        <v>550</v>
      </c>
      <c r="C26" s="302">
        <f>SUMIFS('FC O&amp;M'!B$8:B$103,'FC O&amp;M'!$A$8:$A$103,'O&amp;M'!$B26)</f>
        <v>0</v>
      </c>
      <c r="D26" s="302">
        <f>SUMIFS('FC O&amp;M'!C$8:C$103,'FC O&amp;M'!$A$8:$A$103,'O&amp;M'!$B26)</f>
        <v>10000</v>
      </c>
      <c r="E26" s="302">
        <f>SUMIFS('FC O&amp;M'!D$8:D$103,'FC O&amp;M'!$A$8:$A$103,'O&amp;M'!$B26)</f>
        <v>0</v>
      </c>
      <c r="F26" s="301">
        <f t="shared" si="0"/>
        <v>10000</v>
      </c>
      <c r="G26" s="35">
        <f t="shared" si="1"/>
        <v>0</v>
      </c>
    </row>
    <row r="27" spans="1:10" ht="14.1" customHeight="1" x14ac:dyDescent="0.2">
      <c r="A27" s="412"/>
      <c r="B27" s="325">
        <v>551</v>
      </c>
      <c r="C27" s="302">
        <f>SUMIFS('FC O&amp;M'!B$8:B$103,'FC O&amp;M'!$A$8:$A$103,'O&amp;M'!$B27)</f>
        <v>238254</v>
      </c>
      <c r="D27" s="302">
        <f>SUMIFS('FC O&amp;M'!C$8:C$103,'FC O&amp;M'!$A$8:$A$103,'O&amp;M'!$B27)</f>
        <v>150468</v>
      </c>
      <c r="E27" s="302">
        <f>SUMIFS('FC O&amp;M'!D$8:D$103,'FC O&amp;M'!$A$8:$A$103,'O&amp;M'!$B27)</f>
        <v>62551</v>
      </c>
      <c r="F27" s="301">
        <f t="shared" si="0"/>
        <v>451273</v>
      </c>
      <c r="G27" s="35">
        <f t="shared" si="1"/>
        <v>300805</v>
      </c>
    </row>
    <row r="28" spans="1:10" ht="14.1" customHeight="1" x14ac:dyDescent="0.2">
      <c r="A28" s="412"/>
      <c r="B28" s="325">
        <v>552</v>
      </c>
      <c r="C28" s="302">
        <f>SUMIFS('FC O&amp;M'!B$8:B$103,'FC O&amp;M'!$A$8:$A$103,'O&amp;M'!$B28)</f>
        <v>198661</v>
      </c>
      <c r="D28" s="302">
        <f>SUMIFS('FC O&amp;M'!C$8:C$103,'FC O&amp;M'!$A$8:$A$103,'O&amp;M'!$B28)</f>
        <v>507703</v>
      </c>
      <c r="E28" s="302">
        <f>SUMIFS('FC O&amp;M'!D$8:D$103,'FC O&amp;M'!$A$8:$A$103,'O&amp;M'!$B28)</f>
        <v>50388</v>
      </c>
      <c r="F28" s="301">
        <f t="shared" si="0"/>
        <v>756752</v>
      </c>
      <c r="G28" s="35">
        <f t="shared" si="1"/>
        <v>249049</v>
      </c>
    </row>
    <row r="29" spans="1:10" ht="14.1" customHeight="1" x14ac:dyDescent="0.2">
      <c r="A29" s="412"/>
      <c r="B29" s="325">
        <v>553</v>
      </c>
      <c r="C29" s="302">
        <f>SUMIFS('FC O&amp;M'!B$8:B$103,'FC O&amp;M'!$A$8:$A$103,'O&amp;M'!$B29)</f>
        <v>1317226</v>
      </c>
      <c r="D29" s="302">
        <f>SUMIFS('FC O&amp;M'!C$8:C$103,'FC O&amp;M'!$A$8:$A$103,'O&amp;M'!$B29)</f>
        <v>4136725</v>
      </c>
      <c r="E29" s="302">
        <f>SUMIFS('FC O&amp;M'!D$8:D$103,'FC O&amp;M'!$A$8:$A$103,'O&amp;M'!$B29)</f>
        <v>395563</v>
      </c>
      <c r="F29" s="301">
        <f t="shared" si="0"/>
        <v>5849514</v>
      </c>
      <c r="G29" s="35">
        <f t="shared" si="1"/>
        <v>1712789</v>
      </c>
    </row>
    <row r="30" spans="1:10" ht="14.1" customHeight="1" x14ac:dyDescent="0.2">
      <c r="A30" s="412"/>
      <c r="B30" s="325">
        <v>554</v>
      </c>
      <c r="C30" s="302">
        <f>SUMIFS('FC O&amp;M'!B$8:B$103,'FC O&amp;M'!$A$8:$A$103,'O&amp;M'!$B30)</f>
        <v>1183302</v>
      </c>
      <c r="D30" s="302">
        <f>SUMIFS('FC O&amp;M'!C$8:C$103,'FC O&amp;M'!$A$8:$A$103,'O&amp;M'!$B30)</f>
        <v>4579784</v>
      </c>
      <c r="E30" s="302">
        <f>SUMIFS('FC O&amp;M'!D$8:D$103,'FC O&amp;M'!$A$8:$A$103,'O&amp;M'!$B30)</f>
        <v>348881</v>
      </c>
      <c r="F30" s="301">
        <f t="shared" si="0"/>
        <v>6111967</v>
      </c>
      <c r="G30" s="35">
        <f t="shared" si="1"/>
        <v>1532183</v>
      </c>
    </row>
    <row r="31" spans="1:10" ht="14.1" customHeight="1" x14ac:dyDescent="0.2">
      <c r="A31" s="412"/>
      <c r="B31" s="325">
        <v>555</v>
      </c>
      <c r="C31" s="302">
        <f>SUMIFS('FC O&amp;M'!B$8:B$103,'FC O&amp;M'!$A$8:$A$103,'O&amp;M'!$B31)</f>
        <v>0</v>
      </c>
      <c r="D31" s="302">
        <f>SUMIFS('FC O&amp;M'!C$8:C$103,'FC O&amp;M'!$A$8:$A$103,'O&amp;M'!$B31)</f>
        <v>58036196.183791012</v>
      </c>
      <c r="E31" s="302">
        <f>SUMIFS('FC O&amp;M'!D$8:D$103,'FC O&amp;M'!$A$8:$A$103,'O&amp;M'!$B31)</f>
        <v>0</v>
      </c>
      <c r="F31" s="301">
        <f t="shared" si="0"/>
        <v>58036196.183791012</v>
      </c>
      <c r="G31" s="35">
        <f t="shared" si="1"/>
        <v>0</v>
      </c>
      <c r="I31" s="23" t="s">
        <v>1861</v>
      </c>
      <c r="J31" s="591">
        <v>7467.063699999997</v>
      </c>
    </row>
    <row r="32" spans="1:10" ht="14.1" customHeight="1" x14ac:dyDescent="0.2">
      <c r="A32" s="412"/>
      <c r="B32" s="325">
        <v>556</v>
      </c>
      <c r="C32" s="302">
        <f>SUMIFS('FC O&amp;M'!B$8:B$103,'FC O&amp;M'!$A$8:$A$103,'O&amp;M'!$B32)</f>
        <v>1410266</v>
      </c>
      <c r="D32" s="302">
        <f>SUMIFS('FC O&amp;M'!C$8:C$103,'FC O&amp;M'!$A$8:$A$103,'O&amp;M'!$B32)</f>
        <v>24300</v>
      </c>
      <c r="E32" s="302">
        <f>SUMIFS('FC O&amp;M'!D$8:D$103,'FC O&amp;M'!$A$8:$A$103,'O&amp;M'!$B32)</f>
        <v>397692</v>
      </c>
      <c r="F32" s="301">
        <f t="shared" si="0"/>
        <v>1832258</v>
      </c>
      <c r="G32" s="35">
        <f t="shared" si="1"/>
        <v>1807958</v>
      </c>
      <c r="I32" s="23" t="s">
        <v>1862</v>
      </c>
      <c r="J32" s="591">
        <v>37562.391899999995</v>
      </c>
    </row>
    <row r="33" spans="1:10" ht="14.1" customHeight="1" x14ac:dyDescent="0.2">
      <c r="A33" s="412"/>
      <c r="B33" s="325">
        <v>557</v>
      </c>
      <c r="C33" s="302">
        <f>SUMIFS('FC O&amp;M'!B$8:B$103,'FC O&amp;M'!$A$8:$A$103,'O&amp;M'!$B33)</f>
        <v>0</v>
      </c>
      <c r="D33" s="302">
        <f>SUMIFS('FC O&amp;M'!C$8:C$103,'FC O&amp;M'!$A$8:$A$103,'O&amp;M'!$B33)</f>
        <v>179236.99999999991</v>
      </c>
      <c r="E33" s="302">
        <f>SUMIFS('FC O&amp;M'!D$8:D$103,'FC O&amp;M'!$A$8:$A$103,'O&amp;M'!$B33)</f>
        <v>0</v>
      </c>
      <c r="F33" s="301">
        <f t="shared" si="0"/>
        <v>179236.99999999991</v>
      </c>
      <c r="G33" s="35">
        <f t="shared" si="1"/>
        <v>0</v>
      </c>
      <c r="I33" s="23" t="s">
        <v>1863</v>
      </c>
      <c r="J33" s="591">
        <v>9.2562474079254404E-3</v>
      </c>
    </row>
    <row r="34" spans="1:10" ht="14.1" customHeight="1" x14ac:dyDescent="0.2">
      <c r="A34" s="412"/>
      <c r="B34" s="325">
        <v>560</v>
      </c>
      <c r="C34" s="302">
        <f>SUMIFS('FC O&amp;M'!B$8:B$103,'FC O&amp;M'!$A$8:$A$103,'O&amp;M'!$B34)</f>
        <v>1250373</v>
      </c>
      <c r="D34" s="302">
        <f>SUMIFS('FC O&amp;M'!C$8:C$103,'FC O&amp;M'!$A$8:$A$103,'O&amp;M'!$B34)</f>
        <v>265055</v>
      </c>
      <c r="E34" s="302">
        <f>SUMIFS('FC O&amp;M'!D$8:D$103,'FC O&amp;M'!$A$8:$A$103,'O&amp;M'!$B34)</f>
        <v>421669</v>
      </c>
      <c r="F34" s="301">
        <f t="shared" si="0"/>
        <v>1937097</v>
      </c>
      <c r="G34" s="35">
        <f t="shared" si="1"/>
        <v>1672042</v>
      </c>
      <c r="I34" s="23" t="s">
        <v>1864</v>
      </c>
      <c r="J34" s="591">
        <v>896.44840000000022</v>
      </c>
    </row>
    <row r="35" spans="1:10" ht="14.1" customHeight="1" x14ac:dyDescent="0.2">
      <c r="A35" s="412"/>
      <c r="B35" s="325">
        <v>561</v>
      </c>
      <c r="C35" s="302">
        <f>SUMIFS('FC O&amp;M'!B$8:B$103,'FC O&amp;M'!$A$8:$A$103,'O&amp;M'!$B35)</f>
        <v>2678744</v>
      </c>
      <c r="D35" s="302">
        <f>SUMIFS('FC O&amp;M'!C$8:C$103,'FC O&amp;M'!$A$8:$A$103,'O&amp;M'!$B35)</f>
        <v>285044</v>
      </c>
      <c r="E35" s="302">
        <f>SUMIFS('FC O&amp;M'!D$8:D$103,'FC O&amp;M'!$A$8:$A$103,'O&amp;M'!$B35)</f>
        <v>758692</v>
      </c>
      <c r="F35" s="301">
        <f t="shared" si="0"/>
        <v>3722480</v>
      </c>
      <c r="G35" s="35">
        <f t="shared" si="1"/>
        <v>3437436</v>
      </c>
      <c r="I35" s="23" t="s">
        <v>1865</v>
      </c>
      <c r="J35" s="591">
        <v>12110.282927543649</v>
      </c>
    </row>
    <row r="36" spans="1:10" ht="14.1" customHeight="1" x14ac:dyDescent="0.2">
      <c r="A36" s="412"/>
      <c r="B36" s="325">
        <v>562</v>
      </c>
      <c r="C36" s="302">
        <f>SUMIFS('FC O&amp;M'!B$8:B$103,'FC O&amp;M'!$A$8:$A$103,'O&amp;M'!$B36)</f>
        <v>363424</v>
      </c>
      <c r="D36" s="302">
        <f>SUMIFS('FC O&amp;M'!C$8:C$103,'FC O&amp;M'!$A$8:$A$103,'O&amp;M'!$B36)</f>
        <v>797273</v>
      </c>
      <c r="E36" s="302">
        <f>SUMIFS('FC O&amp;M'!D$8:D$103,'FC O&amp;M'!$A$8:$A$103,'O&amp;M'!$B36)</f>
        <v>164168</v>
      </c>
      <c r="F36" s="301">
        <f t="shared" si="0"/>
        <v>1324865</v>
      </c>
      <c r="G36" s="35">
        <f t="shared" si="1"/>
        <v>527592</v>
      </c>
      <c r="J36" s="591">
        <f>SUM(J31:J35)</f>
        <v>58036.196183791049</v>
      </c>
    </row>
    <row r="37" spans="1:10" ht="14.1" customHeight="1" x14ac:dyDescent="0.2">
      <c r="A37" s="412"/>
      <c r="B37" s="325">
        <v>563</v>
      </c>
      <c r="C37" s="302">
        <f>SUMIFS('FC O&amp;M'!B$8:B$103,'FC O&amp;M'!$A$8:$A$103,'O&amp;M'!$B37)</f>
        <v>45680</v>
      </c>
      <c r="D37" s="302">
        <f>SUMIFS('FC O&amp;M'!C$8:C$103,'FC O&amp;M'!$A$8:$A$103,'O&amp;M'!$B37)</f>
        <v>929348</v>
      </c>
      <c r="E37" s="302">
        <f>SUMIFS('FC O&amp;M'!D$8:D$103,'FC O&amp;M'!$A$8:$A$103,'O&amp;M'!$B37)</f>
        <v>0</v>
      </c>
      <c r="F37" s="301">
        <f t="shared" si="0"/>
        <v>975028</v>
      </c>
      <c r="G37" s="35">
        <f t="shared" si="1"/>
        <v>45680</v>
      </c>
    </row>
    <row r="38" spans="1:10" ht="14.1" customHeight="1" x14ac:dyDescent="0.2">
      <c r="A38" s="412"/>
      <c r="B38" s="325">
        <v>565</v>
      </c>
      <c r="C38" s="302">
        <f>SUMIFS('FC O&amp;M'!B$8:B$103,'FC O&amp;M'!$A$8:$A$103,'O&amp;M'!$B38)</f>
        <v>0</v>
      </c>
      <c r="D38" s="302">
        <f>SUMIFS('FC O&amp;M'!C$8:C$103,'FC O&amp;M'!$A$8:$A$103,'O&amp;M'!$B38)</f>
        <v>4099659</v>
      </c>
      <c r="E38" s="302">
        <f>SUMIFS('FC O&amp;M'!D$8:D$103,'FC O&amp;M'!$A$8:$A$103,'O&amp;M'!$B38)</f>
        <v>0</v>
      </c>
      <c r="F38" s="301">
        <f t="shared" si="0"/>
        <v>4099659</v>
      </c>
      <c r="G38" s="35">
        <f t="shared" si="1"/>
        <v>0</v>
      </c>
    </row>
    <row r="39" spans="1:10" ht="14.1" customHeight="1" x14ac:dyDescent="0.2">
      <c r="A39" s="412"/>
      <c r="B39" s="325">
        <v>566</v>
      </c>
      <c r="C39" s="302">
        <f>SUMIFS('FC O&amp;M'!B$8:B$103,'FC O&amp;M'!$A$8:$A$103,'O&amp;M'!$B39)</f>
        <v>200729</v>
      </c>
      <c r="D39" s="302">
        <f>SUMIFS('FC O&amp;M'!C$8:C$103,'FC O&amp;M'!$A$8:$A$103,'O&amp;M'!$B39)</f>
        <v>23023579.999999888</v>
      </c>
      <c r="E39" s="302">
        <f>SUMIFS('FC O&amp;M'!D$8:D$103,'FC O&amp;M'!$A$8:$A$103,'O&amp;M'!$B39)</f>
        <v>55495</v>
      </c>
      <c r="F39" s="301">
        <f t="shared" si="0"/>
        <v>23279803.999999888</v>
      </c>
      <c r="G39" s="35">
        <f t="shared" si="1"/>
        <v>256224</v>
      </c>
    </row>
    <row r="40" spans="1:10" ht="14.1" customHeight="1" x14ac:dyDescent="0.2">
      <c r="A40" s="412"/>
      <c r="B40" s="325">
        <v>567</v>
      </c>
      <c r="C40" s="302">
        <f>SUMIFS('FC O&amp;M'!B$8:B$103,'FC O&amp;M'!$A$8:$A$103,'O&amp;M'!$B40)</f>
        <v>0</v>
      </c>
      <c r="D40" s="302">
        <f>SUMIFS('FC O&amp;M'!C$8:C$103,'FC O&amp;M'!$A$8:$A$103,'O&amp;M'!$B40)</f>
        <v>124236</v>
      </c>
      <c r="E40" s="302">
        <f>SUMIFS('FC O&amp;M'!D$8:D$103,'FC O&amp;M'!$A$8:$A$103,'O&amp;M'!$B40)</f>
        <v>0</v>
      </c>
      <c r="F40" s="301">
        <f t="shared" si="0"/>
        <v>124236</v>
      </c>
      <c r="G40" s="35">
        <f t="shared" si="1"/>
        <v>0</v>
      </c>
    </row>
    <row r="41" spans="1:10" s="24" customFormat="1" ht="14.1" customHeight="1" x14ac:dyDescent="0.2">
      <c r="A41" s="413"/>
      <c r="B41" s="325">
        <v>569</v>
      </c>
      <c r="C41" s="302">
        <f>SUMIFS('FC O&amp;M'!B$8:B$103,'FC O&amp;M'!$A$8:$A$103,'O&amp;M'!$B41)</f>
        <v>0</v>
      </c>
      <c r="D41" s="302">
        <f>SUMIFS('FC O&amp;M'!C$8:C$103,'FC O&amp;M'!$A$8:$A$103,'O&amp;M'!$B41)</f>
        <v>0</v>
      </c>
      <c r="E41" s="302">
        <f>SUMIFS('FC O&amp;M'!D$8:D$103,'FC O&amp;M'!$A$8:$A$103,'O&amp;M'!$B41)</f>
        <v>0</v>
      </c>
      <c r="F41" s="301">
        <f t="shared" si="0"/>
        <v>0</v>
      </c>
      <c r="G41" s="273"/>
    </row>
    <row r="42" spans="1:10" ht="14.1" customHeight="1" x14ac:dyDescent="0.2">
      <c r="A42" s="412"/>
      <c r="B42" s="325">
        <v>570</v>
      </c>
      <c r="C42" s="302">
        <f>SUMIFS('FC O&amp;M'!B$8:B$103,'FC O&amp;M'!$A$8:$A$103,'O&amp;M'!$B42)</f>
        <v>881082</v>
      </c>
      <c r="D42" s="302">
        <f>SUMIFS('FC O&amp;M'!C$8:C$103,'FC O&amp;M'!$A$8:$A$103,'O&amp;M'!$B42)</f>
        <v>808961</v>
      </c>
      <c r="E42" s="302">
        <f>SUMIFS('FC O&amp;M'!D$8:D$103,'FC O&amp;M'!$A$8:$A$103,'O&amp;M'!$B42)</f>
        <v>268150</v>
      </c>
      <c r="F42" s="301">
        <f t="shared" si="0"/>
        <v>1958193</v>
      </c>
      <c r="G42" s="35">
        <f t="shared" si="1"/>
        <v>1149232</v>
      </c>
    </row>
    <row r="43" spans="1:10" ht="14.1" customHeight="1" x14ac:dyDescent="0.2">
      <c r="A43" s="412"/>
      <c r="B43" s="325">
        <v>571</v>
      </c>
      <c r="C43" s="302">
        <f>SUMIFS('FC O&amp;M'!B$8:B$103,'FC O&amp;M'!$A$8:$A$103,'O&amp;M'!$B43)</f>
        <v>308406</v>
      </c>
      <c r="D43" s="302">
        <f>SUMIFS('FC O&amp;M'!C$8:C$103,'FC O&amp;M'!$A$8:$A$103,'O&amp;M'!$B43)</f>
        <v>13302465</v>
      </c>
      <c r="E43" s="302">
        <f>SUMIFS('FC O&amp;M'!D$8:D$103,'FC O&amp;M'!$A$8:$A$103,'O&amp;M'!$B43)</f>
        <v>13149</v>
      </c>
      <c r="F43" s="301">
        <f t="shared" si="0"/>
        <v>13624020</v>
      </c>
      <c r="G43" s="35">
        <f t="shared" si="1"/>
        <v>321555</v>
      </c>
    </row>
    <row r="44" spans="1:10" ht="14.1" customHeight="1" x14ac:dyDescent="0.2">
      <c r="A44" s="412"/>
      <c r="B44" s="325">
        <v>573</v>
      </c>
      <c r="C44" s="302">
        <f>SUMIFS('FC O&amp;M'!B$8:B$103,'FC O&amp;M'!$A$8:$A$103,'O&amp;M'!$B44)</f>
        <v>0</v>
      </c>
      <c r="D44" s="302">
        <f>SUMIFS('FC O&amp;M'!C$8:C$103,'FC O&amp;M'!$A$8:$A$103,'O&amp;M'!$B44)</f>
        <v>325694</v>
      </c>
      <c r="E44" s="302">
        <f>SUMIFS('FC O&amp;M'!D$8:D$103,'FC O&amp;M'!$A$8:$A$103,'O&amp;M'!$B44)</f>
        <v>0</v>
      </c>
      <c r="F44" s="301">
        <f t="shared" si="0"/>
        <v>325694</v>
      </c>
      <c r="G44" s="35">
        <f t="shared" si="1"/>
        <v>0</v>
      </c>
    </row>
    <row r="45" spans="1:10" ht="14.1" customHeight="1" x14ac:dyDescent="0.2">
      <c r="A45" s="412"/>
      <c r="B45" s="325">
        <v>575.70000000000005</v>
      </c>
      <c r="C45" s="302">
        <f>SUMIFS('FC O&amp;M'!B$8:B$103,'FC O&amp;M'!$A$8:$A$103,'O&amp;M'!$B45)</f>
        <v>0</v>
      </c>
      <c r="D45" s="302">
        <f>SUMIFS('FC O&amp;M'!C$8:C$103,'FC O&amp;M'!$A$8:$A$103,'O&amp;M'!$B45)</f>
        <v>0</v>
      </c>
      <c r="E45" s="302">
        <f>SUMIFS('FC O&amp;M'!D$8:D$103,'FC O&amp;M'!$A$8:$A$103,'O&amp;M'!$B45)</f>
        <v>0</v>
      </c>
      <c r="F45" s="301">
        <f t="shared" si="0"/>
        <v>0</v>
      </c>
      <c r="G45" s="35">
        <f t="shared" si="1"/>
        <v>0</v>
      </c>
    </row>
    <row r="46" spans="1:10" ht="14.1" customHeight="1" x14ac:dyDescent="0.2">
      <c r="A46" s="412"/>
      <c r="B46" s="325">
        <v>580</v>
      </c>
      <c r="C46" s="302">
        <f>SUMIFS('FC O&amp;M'!B$8:B$103,'FC O&amp;M'!$A$8:$A$103,'O&amp;M'!$B46)</f>
        <v>1113993</v>
      </c>
      <c r="D46" s="302">
        <f>SUMIFS('FC O&amp;M'!C$8:C$103,'FC O&amp;M'!$A$8:$A$103,'O&amp;M'!$B46)</f>
        <v>550330</v>
      </c>
      <c r="E46" s="302">
        <f>SUMIFS('FC O&amp;M'!D$8:D$103,'FC O&amp;M'!$A$8:$A$103,'O&amp;M'!$B46)</f>
        <v>318230</v>
      </c>
      <c r="F46" s="301">
        <f t="shared" si="0"/>
        <v>1982553</v>
      </c>
      <c r="G46" s="35">
        <f t="shared" si="1"/>
        <v>1432223</v>
      </c>
    </row>
    <row r="47" spans="1:10" ht="14.1" customHeight="1" x14ac:dyDescent="0.2">
      <c r="A47" s="412"/>
      <c r="B47" s="325">
        <v>581</v>
      </c>
      <c r="C47" s="302">
        <f>SUMIFS('FC O&amp;M'!B$8:B$103,'FC O&amp;M'!$A$8:$A$103,'O&amp;M'!$B47)</f>
        <v>274055</v>
      </c>
      <c r="D47" s="302">
        <f>SUMIFS('FC O&amp;M'!C$8:C$103,'FC O&amp;M'!$A$8:$A$103,'O&amp;M'!$B47)</f>
        <v>21348</v>
      </c>
      <c r="E47" s="302">
        <f>SUMIFS('FC O&amp;M'!D$8:D$103,'FC O&amp;M'!$A$8:$A$103,'O&amp;M'!$B47)</f>
        <v>78291</v>
      </c>
      <c r="F47" s="301">
        <f t="shared" si="0"/>
        <v>373694</v>
      </c>
      <c r="G47" s="35">
        <f t="shared" si="1"/>
        <v>352346</v>
      </c>
    </row>
    <row r="48" spans="1:10" ht="14.1" customHeight="1" x14ac:dyDescent="0.2">
      <c r="A48" s="412"/>
      <c r="B48" s="325">
        <v>582</v>
      </c>
      <c r="C48" s="302">
        <f>SUMIFS('FC O&amp;M'!B$8:B$103,'FC O&amp;M'!$A$8:$A$103,'O&amp;M'!$B48)</f>
        <v>897248</v>
      </c>
      <c r="D48" s="302">
        <f>SUMIFS('FC O&amp;M'!C$8:C$103,'FC O&amp;M'!$A$8:$A$103,'O&amp;M'!$B48)</f>
        <v>1004585</v>
      </c>
      <c r="E48" s="302">
        <f>SUMIFS('FC O&amp;M'!D$8:D$103,'FC O&amp;M'!$A$8:$A$103,'O&amp;M'!$B48)</f>
        <v>258892</v>
      </c>
      <c r="F48" s="301">
        <f t="shared" si="0"/>
        <v>2160725</v>
      </c>
      <c r="G48" s="35">
        <f t="shared" si="1"/>
        <v>1156140</v>
      </c>
    </row>
    <row r="49" spans="1:7" ht="14.1" customHeight="1" x14ac:dyDescent="0.2">
      <c r="A49" s="412"/>
      <c r="B49" s="325">
        <v>583</v>
      </c>
      <c r="C49" s="302">
        <f>SUMIFS('FC O&amp;M'!B$8:B$103,'FC O&amp;M'!$A$8:$A$103,'O&amp;M'!$B49)</f>
        <v>2054830</v>
      </c>
      <c r="D49" s="302">
        <f>SUMIFS('FC O&amp;M'!C$8:C$103,'FC O&amp;M'!$A$8:$A$103,'O&amp;M'!$B49)</f>
        <v>3278432</v>
      </c>
      <c r="E49" s="302">
        <f>SUMIFS('FC O&amp;M'!D$8:D$103,'FC O&amp;M'!$A$8:$A$103,'O&amp;M'!$B49)</f>
        <v>607695</v>
      </c>
      <c r="F49" s="301">
        <f t="shared" si="0"/>
        <v>5940957</v>
      </c>
      <c r="G49" s="35">
        <f t="shared" si="1"/>
        <v>2662525</v>
      </c>
    </row>
    <row r="50" spans="1:7" ht="14.1" customHeight="1" x14ac:dyDescent="0.2">
      <c r="A50" s="412"/>
      <c r="B50" s="325">
        <v>584</v>
      </c>
      <c r="C50" s="302">
        <f>SUMIFS('FC O&amp;M'!B$8:B$103,'FC O&amp;M'!$A$8:$A$103,'O&amp;M'!$B50)</f>
        <v>0</v>
      </c>
      <c r="D50" s="302">
        <f>SUMIFS('FC O&amp;M'!C$8:C$103,'FC O&amp;M'!$A$8:$A$103,'O&amp;M'!$B50)</f>
        <v>319</v>
      </c>
      <c r="E50" s="302">
        <f>SUMIFS('FC O&amp;M'!D$8:D$103,'FC O&amp;M'!$A$8:$A$103,'O&amp;M'!$B50)</f>
        <v>0</v>
      </c>
      <c r="F50" s="301">
        <f t="shared" si="0"/>
        <v>319</v>
      </c>
      <c r="G50" s="35">
        <f t="shared" si="1"/>
        <v>0</v>
      </c>
    </row>
    <row r="51" spans="1:7" s="24" customFormat="1" ht="14.1" customHeight="1" x14ac:dyDescent="0.2">
      <c r="A51" s="412"/>
      <c r="B51" s="325">
        <v>585</v>
      </c>
      <c r="C51" s="302">
        <f>SUMIFS('FC O&amp;M'!B$8:B$103,'FC O&amp;M'!$A$8:$A$103,'O&amp;M'!$B51)</f>
        <v>0</v>
      </c>
      <c r="D51" s="302">
        <f>SUMIFS('FC O&amp;M'!C$8:C$103,'FC O&amp;M'!$A$8:$A$103,'O&amp;M'!$B51)</f>
        <v>0</v>
      </c>
      <c r="E51" s="302">
        <f>SUMIFS('FC O&amp;M'!D$8:D$103,'FC O&amp;M'!$A$8:$A$103,'O&amp;M'!$B51)</f>
        <v>0</v>
      </c>
      <c r="F51" s="301">
        <f>SUM(C51:E51)</f>
        <v>0</v>
      </c>
      <c r="G51" s="273">
        <f t="shared" si="1"/>
        <v>0</v>
      </c>
    </row>
    <row r="52" spans="1:7" ht="14.1" customHeight="1" x14ac:dyDescent="0.2">
      <c r="A52" s="412"/>
      <c r="B52" s="325">
        <v>586</v>
      </c>
      <c r="C52" s="302">
        <f>SUMIFS('FC O&amp;M'!B$8:B$103,'FC O&amp;M'!$A$8:$A$103,'O&amp;M'!$B52)</f>
        <v>4187590</v>
      </c>
      <c r="D52" s="302">
        <f>SUMIFS('FC O&amp;M'!C$8:C$103,'FC O&amp;M'!$A$8:$A$103,'O&amp;M'!$B52)</f>
        <v>3760495</v>
      </c>
      <c r="E52" s="302">
        <f>SUMIFS('FC O&amp;M'!D$8:D$103,'FC O&amp;M'!$A$8:$A$103,'O&amp;M'!$B52)</f>
        <v>1095541</v>
      </c>
      <c r="F52" s="301">
        <f t="shared" si="0"/>
        <v>9043626</v>
      </c>
      <c r="G52" s="35">
        <f t="shared" si="1"/>
        <v>5283131</v>
      </c>
    </row>
    <row r="53" spans="1:7" ht="14.1" customHeight="1" x14ac:dyDescent="0.2">
      <c r="A53" s="412"/>
      <c r="B53" s="325">
        <v>587</v>
      </c>
      <c r="C53" s="302">
        <f>SUMIFS('FC O&amp;M'!B$8:B$103,'FC O&amp;M'!$A$8:$A$103,'O&amp;M'!$B53)</f>
        <v>0</v>
      </c>
      <c r="D53" s="302">
        <f>SUMIFS('FC O&amp;M'!C$8:C$103,'FC O&amp;M'!$A$8:$A$103,'O&amp;M'!$B53)</f>
        <v>0</v>
      </c>
      <c r="E53" s="302">
        <f>SUMIFS('FC O&amp;M'!D$8:D$103,'FC O&amp;M'!$A$8:$A$103,'O&amp;M'!$B53)</f>
        <v>0</v>
      </c>
      <c r="F53" s="301">
        <f t="shared" si="0"/>
        <v>0</v>
      </c>
      <c r="G53" s="35">
        <f t="shared" si="1"/>
        <v>0</v>
      </c>
    </row>
    <row r="54" spans="1:7" ht="14.1" customHeight="1" x14ac:dyDescent="0.2">
      <c r="A54" s="412"/>
      <c r="B54" s="325">
        <v>588</v>
      </c>
      <c r="C54" s="302">
        <f>SUMIFS('FC O&amp;M'!B$8:B$103,'FC O&amp;M'!$A$8:$A$103,'O&amp;M'!$B54)</f>
        <v>2669753</v>
      </c>
      <c r="D54" s="302">
        <f>SUMIFS('FC O&amp;M'!C$8:C$103,'FC O&amp;M'!$A$8:$A$103,'O&amp;M'!$B54)</f>
        <v>4556143</v>
      </c>
      <c r="E54" s="302">
        <f>SUMIFS('FC O&amp;M'!D$8:D$103,'FC O&amp;M'!$A$8:$A$103,'O&amp;M'!$B54)</f>
        <v>754433</v>
      </c>
      <c r="F54" s="301">
        <f t="shared" si="0"/>
        <v>7980329</v>
      </c>
      <c r="G54" s="35">
        <f t="shared" si="1"/>
        <v>3424186</v>
      </c>
    </row>
    <row r="55" spans="1:7" ht="14.1" customHeight="1" x14ac:dyDescent="0.2">
      <c r="A55" s="412"/>
      <c r="B55" s="325">
        <v>589</v>
      </c>
      <c r="C55" s="302">
        <f>SUMIFS('FC O&amp;M'!B$8:B$103,'FC O&amp;M'!$A$8:$A$103,'O&amp;M'!$B55)</f>
        <v>0</v>
      </c>
      <c r="D55" s="302">
        <f>SUMIFS('FC O&amp;M'!C$8:C$103,'FC O&amp;M'!$A$8:$A$103,'O&amp;M'!$B55)</f>
        <v>0</v>
      </c>
      <c r="E55" s="302">
        <f>SUMIFS('FC O&amp;M'!D$8:D$103,'FC O&amp;M'!$A$8:$A$103,'O&amp;M'!$B55)</f>
        <v>0</v>
      </c>
      <c r="F55" s="301">
        <f t="shared" si="0"/>
        <v>0</v>
      </c>
      <c r="G55" s="35">
        <f t="shared" si="1"/>
        <v>0</v>
      </c>
    </row>
    <row r="56" spans="1:7" ht="14.1" customHeight="1" x14ac:dyDescent="0.2">
      <c r="A56" s="412"/>
      <c r="B56" s="325">
        <v>590</v>
      </c>
      <c r="C56" s="302">
        <f>SUMIFS('FC O&amp;M'!B$8:B$103,'FC O&amp;M'!$A$8:$A$103,'O&amp;M'!$B56)</f>
        <v>0</v>
      </c>
      <c r="D56" s="302">
        <f>SUMIFS('FC O&amp;M'!C$8:C$103,'FC O&amp;M'!$A$8:$A$103,'O&amp;M'!$B56)</f>
        <v>77820</v>
      </c>
      <c r="E56" s="302">
        <f>SUMIFS('FC O&amp;M'!D$8:D$103,'FC O&amp;M'!$A$8:$A$103,'O&amp;M'!$B56)</f>
        <v>0</v>
      </c>
      <c r="F56" s="301">
        <f t="shared" si="0"/>
        <v>77820</v>
      </c>
      <c r="G56" s="35">
        <f t="shared" si="1"/>
        <v>0</v>
      </c>
    </row>
    <row r="57" spans="1:7" ht="14.1" customHeight="1" x14ac:dyDescent="0.2">
      <c r="A57" s="412"/>
      <c r="B57" s="325">
        <v>592</v>
      </c>
      <c r="C57" s="302">
        <f>SUMIFS('FC O&amp;M'!B$8:B$103,'FC O&amp;M'!$A$8:$A$103,'O&amp;M'!$B57)</f>
        <v>496978</v>
      </c>
      <c r="D57" s="302">
        <f>SUMIFS('FC O&amp;M'!C$8:C$103,'FC O&amp;M'!$A$8:$A$103,'O&amp;M'!$B57)</f>
        <v>627361</v>
      </c>
      <c r="E57" s="302">
        <f>SUMIFS('FC O&amp;M'!D$8:D$103,'FC O&amp;M'!$A$8:$A$103,'O&amp;M'!$B57)</f>
        <v>137579</v>
      </c>
      <c r="F57" s="301">
        <f t="shared" si="0"/>
        <v>1261918</v>
      </c>
      <c r="G57" s="35">
        <f t="shared" si="1"/>
        <v>634557</v>
      </c>
    </row>
    <row r="58" spans="1:7" ht="14.1" customHeight="1" x14ac:dyDescent="0.2">
      <c r="A58" s="412"/>
      <c r="B58" s="325">
        <v>593</v>
      </c>
      <c r="C58" s="302">
        <f>SUMIFS('FC O&amp;M'!B$8:B$103,'FC O&amp;M'!$A$8:$A$103,'O&amp;M'!$B58)</f>
        <v>6206529</v>
      </c>
      <c r="D58" s="302">
        <f>SUMIFS('FC O&amp;M'!C$8:C$103,'FC O&amp;M'!$A$8:$A$103,'O&amp;M'!$B58)</f>
        <v>25057758</v>
      </c>
      <c r="E58" s="302">
        <f>SUMIFS('FC O&amp;M'!D$8:D$103,'FC O&amp;M'!$A$8:$A$103,'O&amp;M'!$B58)</f>
        <v>1233587</v>
      </c>
      <c r="F58" s="301">
        <f t="shared" si="0"/>
        <v>32497874</v>
      </c>
      <c r="G58" s="35">
        <f t="shared" si="1"/>
        <v>7440116</v>
      </c>
    </row>
    <row r="59" spans="1:7" ht="14.1" customHeight="1" x14ac:dyDescent="0.2">
      <c r="A59" s="412"/>
      <c r="B59" s="325">
        <v>594</v>
      </c>
      <c r="C59" s="302">
        <f>SUMIFS('FC O&amp;M'!B$8:B$103,'FC O&amp;M'!$A$8:$A$103,'O&amp;M'!$B59)</f>
        <v>275376</v>
      </c>
      <c r="D59" s="302">
        <f>SUMIFS('FC O&amp;M'!C$8:C$103,'FC O&amp;M'!$A$8:$A$103,'O&amp;M'!$B59)</f>
        <v>335239</v>
      </c>
      <c r="E59" s="302">
        <f>SUMIFS('FC O&amp;M'!D$8:D$103,'FC O&amp;M'!$A$8:$A$103,'O&amp;M'!$B59)</f>
        <v>66379</v>
      </c>
      <c r="F59" s="301">
        <f t="shared" si="0"/>
        <v>676994</v>
      </c>
      <c r="G59" s="35">
        <f t="shared" si="1"/>
        <v>341755</v>
      </c>
    </row>
    <row r="60" spans="1:7" ht="14.1" customHeight="1" x14ac:dyDescent="0.2">
      <c r="A60" s="412"/>
      <c r="B60" s="325">
        <v>595</v>
      </c>
      <c r="C60" s="302">
        <f>SUMIFS('FC O&amp;M'!B$8:B$103,'FC O&amp;M'!$A$8:$A$103,'O&amp;M'!$B60)</f>
        <v>46000</v>
      </c>
      <c r="D60" s="302">
        <f>SUMIFS('FC O&amp;M'!C$8:C$103,'FC O&amp;M'!$A$8:$A$103,'O&amp;M'!$B60)</f>
        <v>54731</v>
      </c>
      <c r="E60" s="302">
        <f>SUMIFS('FC O&amp;M'!D$8:D$103,'FC O&amp;M'!$A$8:$A$103,'O&amp;M'!$B60)</f>
        <v>11972</v>
      </c>
      <c r="F60" s="301">
        <f t="shared" si="0"/>
        <v>112703</v>
      </c>
      <c r="G60" s="35">
        <f t="shared" si="1"/>
        <v>57972</v>
      </c>
    </row>
    <row r="61" spans="1:7" s="24" customFormat="1" ht="14.1" customHeight="1" x14ac:dyDescent="0.2">
      <c r="A61" s="413"/>
      <c r="B61" s="325">
        <v>596</v>
      </c>
      <c r="C61" s="302">
        <f>SUMIFS('FC O&amp;M'!B$8:B$103,'FC O&amp;M'!$A$8:$A$103,'O&amp;M'!$B61)</f>
        <v>0</v>
      </c>
      <c r="D61" s="302">
        <f>SUMIFS('FC O&amp;M'!C$8:C$103,'FC O&amp;M'!$A$8:$A$103,'O&amp;M'!$B61)</f>
        <v>0</v>
      </c>
      <c r="E61" s="302">
        <f>SUMIFS('FC O&amp;M'!D$8:D$103,'FC O&amp;M'!$A$8:$A$103,'O&amp;M'!$B61)</f>
        <v>0</v>
      </c>
      <c r="F61" s="301">
        <f t="shared" si="0"/>
        <v>0</v>
      </c>
      <c r="G61" s="273">
        <f t="shared" si="1"/>
        <v>0</v>
      </c>
    </row>
    <row r="62" spans="1:7" ht="14.1" customHeight="1" x14ac:dyDescent="0.2">
      <c r="A62" s="412"/>
      <c r="B62" s="325">
        <v>598</v>
      </c>
      <c r="C62" s="302">
        <f>SUMIFS('FC O&amp;M'!B$8:B$103,'FC O&amp;M'!$A$8:$A$103,'O&amp;M'!$B62)</f>
        <v>0</v>
      </c>
      <c r="D62" s="302">
        <f>SUMIFS('FC O&amp;M'!C$8:C$103,'FC O&amp;M'!$A$8:$A$103,'O&amp;M'!$B62)</f>
        <v>343399</v>
      </c>
      <c r="E62" s="302">
        <f>SUMIFS('FC O&amp;M'!D$8:D$103,'FC O&amp;M'!$A$8:$A$103,'O&amp;M'!$B62)</f>
        <v>9209</v>
      </c>
      <c r="F62" s="301">
        <f t="shared" si="0"/>
        <v>352608</v>
      </c>
      <c r="G62" s="35">
        <f t="shared" si="1"/>
        <v>9209</v>
      </c>
    </row>
    <row r="63" spans="1:7" ht="14.1" customHeight="1" x14ac:dyDescent="0.2">
      <c r="A63" s="412"/>
      <c r="B63" s="325">
        <v>901</v>
      </c>
      <c r="C63" s="302">
        <f>SUMIFS('FC O&amp;M'!B$8:B$103,'FC O&amp;M'!$A$8:$A$103,'O&amp;M'!$B63)</f>
        <v>2853128</v>
      </c>
      <c r="D63" s="302">
        <f>SUMIFS('FC O&amp;M'!C$8:C$103,'FC O&amp;M'!$A$8:$A$103,'O&amp;M'!$B63)</f>
        <v>560833.99999998976</v>
      </c>
      <c r="E63" s="302">
        <f>SUMIFS('FC O&amp;M'!D$8:D$103,'FC O&amp;M'!$A$8:$A$103,'O&amp;M'!$B63)</f>
        <v>788026</v>
      </c>
      <c r="F63" s="301">
        <f t="shared" si="0"/>
        <v>4201987.9999999898</v>
      </c>
      <c r="G63" s="35">
        <f t="shared" si="1"/>
        <v>3641154</v>
      </c>
    </row>
    <row r="64" spans="1:7" ht="14.1" customHeight="1" x14ac:dyDescent="0.2">
      <c r="A64" s="412"/>
      <c r="B64" s="325">
        <v>902</v>
      </c>
      <c r="C64" s="302">
        <f>SUMIFS('FC O&amp;M'!B$8:B$103,'FC O&amp;M'!$A$8:$A$103,'O&amp;M'!$B64)</f>
        <v>568138</v>
      </c>
      <c r="D64" s="302">
        <f>SUMIFS('FC O&amp;M'!C$8:C$103,'FC O&amp;M'!$A$8:$A$103,'O&amp;M'!$B64)</f>
        <v>8429519</v>
      </c>
      <c r="E64" s="302">
        <f>SUMIFS('FC O&amp;M'!D$8:D$103,'FC O&amp;M'!$A$8:$A$103,'O&amp;M'!$B64)</f>
        <v>156368</v>
      </c>
      <c r="F64" s="301">
        <f t="shared" si="0"/>
        <v>9154025</v>
      </c>
      <c r="G64" s="35">
        <f t="shared" si="1"/>
        <v>724506</v>
      </c>
    </row>
    <row r="65" spans="1:7" ht="14.1" customHeight="1" x14ac:dyDescent="0.2">
      <c r="A65" s="412"/>
      <c r="B65" s="325">
        <v>903</v>
      </c>
      <c r="C65" s="302">
        <f>SUMIFS('FC O&amp;M'!B$8:B$103,'FC O&amp;M'!$A$8:$A$103,'O&amp;M'!$B65)</f>
        <v>11238809</v>
      </c>
      <c r="D65" s="302">
        <f>SUMIFS('FC O&amp;M'!C$8:C$103,'FC O&amp;M'!$A$8:$A$103,'O&amp;M'!$B65)</f>
        <v>6788201</v>
      </c>
      <c r="E65" s="302">
        <f>SUMIFS('FC O&amp;M'!D$8:D$103,'FC O&amp;M'!$A$8:$A$103,'O&amp;M'!$B65)</f>
        <v>3108394</v>
      </c>
      <c r="F65" s="301">
        <f t="shared" si="0"/>
        <v>21135404</v>
      </c>
      <c r="G65" s="35">
        <f t="shared" si="1"/>
        <v>14347203</v>
      </c>
    </row>
    <row r="66" spans="1:7" ht="14.1" customHeight="1" x14ac:dyDescent="0.2">
      <c r="A66" s="412"/>
      <c r="B66" s="325">
        <v>904</v>
      </c>
      <c r="C66" s="302">
        <f>SUMIFS('FC O&amp;M'!B$8:B$103,'FC O&amp;M'!$A$8:$A$103,'O&amp;M'!$B66)</f>
        <v>0</v>
      </c>
      <c r="D66" s="302">
        <f>SUMIFS('FC O&amp;M'!C$8:C$103,'FC O&amp;M'!$A$8:$A$103,'O&amp;M'!$B66)</f>
        <v>5155113.13</v>
      </c>
      <c r="E66" s="302">
        <f>SUMIFS('FC O&amp;M'!D$8:D$103,'FC O&amp;M'!$A$8:$A$103,'O&amp;M'!$B66)</f>
        <v>0</v>
      </c>
      <c r="F66" s="301">
        <f t="shared" si="0"/>
        <v>5155113.13</v>
      </c>
      <c r="G66" s="35">
        <f t="shared" si="1"/>
        <v>0</v>
      </c>
    </row>
    <row r="67" spans="1:7" ht="14.1" customHeight="1" x14ac:dyDescent="0.2">
      <c r="A67" s="412"/>
      <c r="B67" s="325">
        <v>905</v>
      </c>
      <c r="C67" s="302">
        <f>SUMIFS('FC O&amp;M'!B$8:B$103,'FC O&amp;M'!$A$8:$A$103,'O&amp;M'!$B67)</f>
        <v>0</v>
      </c>
      <c r="D67" s="302">
        <f>SUMIFS('FC O&amp;M'!C$8:C$103,'FC O&amp;M'!$A$8:$A$103,'O&amp;M'!$B67)</f>
        <v>0</v>
      </c>
      <c r="E67" s="302">
        <f>SUMIFS('FC O&amp;M'!D$8:D$103,'FC O&amp;M'!$A$8:$A$103,'O&amp;M'!$B67)</f>
        <v>0</v>
      </c>
      <c r="F67" s="301">
        <f t="shared" si="0"/>
        <v>0</v>
      </c>
      <c r="G67" s="35">
        <f t="shared" si="1"/>
        <v>0</v>
      </c>
    </row>
    <row r="68" spans="1:7" ht="14.1" customHeight="1" x14ac:dyDescent="0.2">
      <c r="A68" s="412"/>
      <c r="B68" s="325">
        <v>907</v>
      </c>
      <c r="C68" s="302">
        <f>SUMIFS('FC O&amp;M'!B$8:B$103,'FC O&amp;M'!$A$8:$A$103,'O&amp;M'!$B68)</f>
        <v>485288</v>
      </c>
      <c r="D68" s="302">
        <f>SUMIFS('FC O&amp;M'!C$8:C$103,'FC O&amp;M'!$A$8:$A$103,'O&amp;M'!$B68)</f>
        <v>32329</v>
      </c>
      <c r="E68" s="302">
        <f>SUMIFS('FC O&amp;M'!D$8:D$103,'FC O&amp;M'!$A$8:$A$103,'O&amp;M'!$B68)</f>
        <v>138756</v>
      </c>
      <c r="F68" s="301">
        <f t="shared" si="0"/>
        <v>656373</v>
      </c>
      <c r="G68" s="35">
        <f t="shared" si="1"/>
        <v>624044</v>
      </c>
    </row>
    <row r="69" spans="1:7" ht="14.1" customHeight="1" x14ac:dyDescent="0.2">
      <c r="A69" s="412"/>
      <c r="B69" s="325">
        <v>908</v>
      </c>
      <c r="C69" s="302">
        <f>SUMIFS('FC O&amp;M'!B$8:B$103,'FC O&amp;M'!$A$8:$A$103,'O&amp;M'!$B69)</f>
        <v>704513</v>
      </c>
      <c r="D69" s="302">
        <f>SUMIFS('FC O&amp;M'!C$8:C$103,'FC O&amp;M'!$A$8:$A$103,'O&amp;M'!$B69)</f>
        <v>7269030.9999999991</v>
      </c>
      <c r="E69" s="302">
        <f>SUMIFS('FC O&amp;M'!D$8:D$103,'FC O&amp;M'!$A$8:$A$103,'O&amp;M'!$B69)</f>
        <v>372668</v>
      </c>
      <c r="F69" s="301">
        <f t="shared" si="0"/>
        <v>8346211.9999999991</v>
      </c>
      <c r="G69" s="35">
        <f t="shared" si="1"/>
        <v>1077181</v>
      </c>
    </row>
    <row r="70" spans="1:7" ht="14.1" customHeight="1" x14ac:dyDescent="0.2">
      <c r="A70" s="412"/>
      <c r="B70" s="325">
        <v>909</v>
      </c>
      <c r="C70" s="302">
        <f>SUMIFS('FC O&amp;M'!B$8:B$103,'FC O&amp;M'!$A$8:$A$103,'O&amp;M'!$B70)</f>
        <v>0</v>
      </c>
      <c r="D70" s="302">
        <f>SUMIFS('FC O&amp;M'!C$8:C$103,'FC O&amp;M'!$A$8:$A$103,'O&amp;M'!$B70)</f>
        <v>1859152</v>
      </c>
      <c r="E70" s="302">
        <f>SUMIFS('FC O&amp;M'!D$8:D$103,'FC O&amp;M'!$A$8:$A$103,'O&amp;M'!$B70)</f>
        <v>0</v>
      </c>
      <c r="F70" s="301">
        <f t="shared" si="0"/>
        <v>1859152</v>
      </c>
      <c r="G70" s="35">
        <f t="shared" si="1"/>
        <v>0</v>
      </c>
    </row>
    <row r="71" spans="1:7" ht="14.1" customHeight="1" x14ac:dyDescent="0.2">
      <c r="A71" s="412"/>
      <c r="B71" s="325">
        <v>910</v>
      </c>
      <c r="C71" s="302">
        <f>SUMIFS('FC O&amp;M'!B$8:B$103,'FC O&amp;M'!$A$8:$A$103,'O&amp;M'!$B71)</f>
        <v>0</v>
      </c>
      <c r="D71" s="302">
        <f>SUMIFS('FC O&amp;M'!C$8:C$103,'FC O&amp;M'!$A$8:$A$103,'O&amp;M'!$B71)</f>
        <v>1520197.99999999</v>
      </c>
      <c r="E71" s="302">
        <f>SUMIFS('FC O&amp;M'!D$8:D$103,'FC O&amp;M'!$A$8:$A$103,'O&amp;M'!$B71)</f>
        <v>0</v>
      </c>
      <c r="F71" s="301">
        <f t="shared" ref="F71:F88" si="2">SUM(C71:E71)</f>
        <v>1520197.99999999</v>
      </c>
      <c r="G71" s="35">
        <f t="shared" si="1"/>
        <v>0</v>
      </c>
    </row>
    <row r="72" spans="1:7" ht="14.1" customHeight="1" x14ac:dyDescent="0.2">
      <c r="A72" s="412"/>
      <c r="B72" s="325">
        <v>912</v>
      </c>
      <c r="C72" s="302">
        <f>SUMIFS('FC O&amp;M'!B$8:B$103,'FC O&amp;M'!$A$8:$A$103,'O&amp;M'!$B72)</f>
        <v>0</v>
      </c>
      <c r="D72" s="302">
        <f>SUMIFS('FC O&amp;M'!C$8:C$103,'FC O&amp;M'!$A$8:$A$103,'O&amp;M'!$B72)</f>
        <v>0</v>
      </c>
      <c r="E72" s="302">
        <f>SUMIFS('FC O&amp;M'!D$8:D$103,'FC O&amp;M'!$A$8:$A$103,'O&amp;M'!$B72)</f>
        <v>0</v>
      </c>
      <c r="F72" s="301">
        <f t="shared" si="2"/>
        <v>0</v>
      </c>
      <c r="G72" s="35">
        <f t="shared" ref="G72:G88" si="3">C72+E72</f>
        <v>0</v>
      </c>
    </row>
    <row r="73" spans="1:7" s="24" customFormat="1" ht="14.1" customHeight="1" x14ac:dyDescent="0.2">
      <c r="A73" s="413"/>
      <c r="B73" s="325">
        <v>913</v>
      </c>
      <c r="C73" s="302">
        <f>SUMIFS('FC O&amp;M'!B$8:B$103,'FC O&amp;M'!$A$8:$A$103,'O&amp;M'!$B73)</f>
        <v>0</v>
      </c>
      <c r="D73" s="302">
        <f>SUMIFS('FC O&amp;M'!C$8:C$103,'FC O&amp;M'!$A$8:$A$103,'O&amp;M'!$B73)</f>
        <v>1044482</v>
      </c>
      <c r="E73" s="302">
        <f>SUMIFS('FC O&amp;M'!D$8:D$103,'FC O&amp;M'!$A$8:$A$103,'O&amp;M'!$B73)</f>
        <v>0</v>
      </c>
      <c r="F73" s="301">
        <f t="shared" si="2"/>
        <v>1044482</v>
      </c>
      <c r="G73" s="273">
        <f t="shared" si="3"/>
        <v>0</v>
      </c>
    </row>
    <row r="74" spans="1:7" s="24" customFormat="1" ht="14.1" customHeight="1" x14ac:dyDescent="0.2">
      <c r="A74" s="412"/>
      <c r="B74" s="325">
        <v>920</v>
      </c>
      <c r="C74" s="302">
        <f>SUMIFS('FC O&amp;M'!B$8:B$103,'FC O&amp;M'!$A$8:$A$103,'O&amp;M'!$B74)</f>
        <v>29468789</v>
      </c>
      <c r="D74" s="302">
        <f>SUMIFS('FC O&amp;M'!C$8:C$103,'FC O&amp;M'!$A$8:$A$103,'O&amp;M'!$B74)</f>
        <v>-1</v>
      </c>
      <c r="E74" s="302">
        <f>SUMIFS('FC O&amp;M'!D$8:D$103,'FC O&amp;M'!$A$8:$A$103,'O&amp;M'!$B74)</f>
        <v>8341773</v>
      </c>
      <c r="F74" s="301">
        <f t="shared" si="2"/>
        <v>37810561</v>
      </c>
      <c r="G74" s="273">
        <f t="shared" si="3"/>
        <v>37810562</v>
      </c>
    </row>
    <row r="75" spans="1:7" ht="14.1" customHeight="1" x14ac:dyDescent="0.2">
      <c r="A75" s="412"/>
      <c r="B75" s="325">
        <v>921</v>
      </c>
      <c r="C75" s="302">
        <f>SUMIFS('FC O&amp;M'!B$8:B$103,'FC O&amp;M'!$A$8:$A$103,'O&amp;M'!$B75)</f>
        <v>42167</v>
      </c>
      <c r="D75" s="302">
        <f>SUMIFS('FC O&amp;M'!C$8:C$103,'FC O&amp;M'!$A$8:$A$103,'O&amp;M'!$B75)</f>
        <v>10278616</v>
      </c>
      <c r="E75" s="302">
        <f>SUMIFS('FC O&amp;M'!D$8:D$103,'FC O&amp;M'!$A$8:$A$103,'O&amp;M'!$B75)</f>
        <v>34458</v>
      </c>
      <c r="F75" s="301">
        <f t="shared" si="2"/>
        <v>10355241</v>
      </c>
      <c r="G75" s="35">
        <f t="shared" si="3"/>
        <v>76625</v>
      </c>
    </row>
    <row r="76" spans="1:7" ht="14.1" customHeight="1" x14ac:dyDescent="0.2">
      <c r="A76" s="412"/>
      <c r="B76" s="325">
        <v>922</v>
      </c>
      <c r="C76" s="302">
        <f>SUMIFS('FC O&amp;M'!B$8:B$103,'FC O&amp;M'!$A$8:$A$103,'O&amp;M'!$B76)</f>
        <v>-3519203</v>
      </c>
      <c r="D76" s="302">
        <f>SUMIFS('FC O&amp;M'!C$8:C$103,'FC O&amp;M'!$A$8:$A$103,'O&amp;M'!$B76)</f>
        <v>-1631906</v>
      </c>
      <c r="E76" s="302">
        <f>SUMIFS('FC O&amp;M'!D$8:D$103,'FC O&amp;M'!$A$8:$A$103,'O&amp;M'!$B76)</f>
        <v>-1002548</v>
      </c>
      <c r="F76" s="301">
        <f t="shared" si="2"/>
        <v>-6153657</v>
      </c>
      <c r="G76" s="35">
        <f t="shared" si="3"/>
        <v>-4521751</v>
      </c>
    </row>
    <row r="77" spans="1:7" ht="14.1" customHeight="1" x14ac:dyDescent="0.2">
      <c r="A77" s="412"/>
      <c r="B77" s="325">
        <v>923</v>
      </c>
      <c r="C77" s="302">
        <f>SUMIFS('FC O&amp;M'!B$8:B$103,'FC O&amp;M'!$A$8:$A$103,'O&amp;M'!$B77)</f>
        <v>0</v>
      </c>
      <c r="D77" s="302">
        <f>SUMIFS('FC O&amp;M'!C$8:C$103,'FC O&amp;M'!$A$8:$A$103,'O&amp;M'!$B77)</f>
        <v>22071003</v>
      </c>
      <c r="E77" s="302">
        <f>SUMIFS('FC O&amp;M'!D$8:D$103,'FC O&amp;M'!$A$8:$A$103,'O&amp;M'!$B77)</f>
        <v>0</v>
      </c>
      <c r="F77" s="301">
        <f t="shared" si="2"/>
        <v>22071003</v>
      </c>
      <c r="G77" s="35">
        <f t="shared" si="3"/>
        <v>0</v>
      </c>
    </row>
    <row r="78" spans="1:7" ht="14.1" customHeight="1" x14ac:dyDescent="0.2">
      <c r="A78" s="412"/>
      <c r="B78" s="325">
        <v>924</v>
      </c>
      <c r="C78" s="302">
        <f>SUMIFS('FC O&amp;M'!B$8:B$103,'FC O&amp;M'!$A$8:$A$103,'O&amp;M'!$B78)</f>
        <v>0</v>
      </c>
      <c r="D78" s="302">
        <f>SUMIFS('FC O&amp;M'!C$8:C$103,'FC O&amp;M'!$A$8:$A$103,'O&amp;M'!$B78)</f>
        <v>6197670</v>
      </c>
      <c r="E78" s="302">
        <f>SUMIFS('FC O&amp;M'!D$8:D$103,'FC O&amp;M'!$A$8:$A$103,'O&amp;M'!$B78)</f>
        <v>0</v>
      </c>
      <c r="F78" s="301">
        <f t="shared" si="2"/>
        <v>6197670</v>
      </c>
      <c r="G78" s="35">
        <f t="shared" si="3"/>
        <v>0</v>
      </c>
    </row>
    <row r="79" spans="1:7" ht="14.1" customHeight="1" x14ac:dyDescent="0.2">
      <c r="A79" s="412"/>
      <c r="B79" s="325">
        <v>925</v>
      </c>
      <c r="C79" s="302">
        <f>SUMIFS('FC O&amp;M'!B$8:B$103,'FC O&amp;M'!$A$8:$A$103,'O&amp;M'!$B79)</f>
        <v>0</v>
      </c>
      <c r="D79" s="302">
        <f>SUMIFS('FC O&amp;M'!C$8:C$103,'FC O&amp;M'!$A$8:$A$103,'O&amp;M'!$B79)</f>
        <v>4251192</v>
      </c>
      <c r="E79" s="302">
        <f>SUMIFS('FC O&amp;M'!D$8:D$103,'FC O&amp;M'!$A$8:$A$103,'O&amp;M'!$B79)</f>
        <v>757233</v>
      </c>
      <c r="F79" s="301">
        <f t="shared" si="2"/>
        <v>5008425</v>
      </c>
      <c r="G79" s="35">
        <f t="shared" si="3"/>
        <v>757233</v>
      </c>
    </row>
    <row r="80" spans="1:7" ht="14.1" customHeight="1" x14ac:dyDescent="0.2">
      <c r="A80" s="412"/>
      <c r="B80" s="325">
        <v>926</v>
      </c>
      <c r="C80" s="302">
        <f>SUMIFS('FC O&amp;M'!B$8:B$103,'FC O&amp;M'!$A$8:$A$103,'O&amp;M'!$B80)</f>
        <v>0</v>
      </c>
      <c r="D80" s="302">
        <f>SUMIFS('FC O&amp;M'!C$8:C$103,'FC O&amp;M'!$A$8:$A$103,'O&amp;M'!$B80)</f>
        <v>-6</v>
      </c>
      <c r="E80" s="302">
        <f>SUMIFS('FC O&amp;M'!D$8:D$103,'FC O&amp;M'!$A$8:$A$103,'O&amp;M'!$B80)</f>
        <v>30537150</v>
      </c>
      <c r="F80" s="301">
        <f t="shared" si="2"/>
        <v>30537144</v>
      </c>
      <c r="G80" s="35">
        <f t="shared" si="3"/>
        <v>30537150</v>
      </c>
    </row>
    <row r="81" spans="1:7" ht="14.1" customHeight="1" x14ac:dyDescent="0.2">
      <c r="A81" s="412"/>
      <c r="B81" s="325">
        <v>927</v>
      </c>
      <c r="C81" s="302">
        <f>SUMIFS('FC O&amp;M'!B$8:B$103,'FC O&amp;M'!$A$8:$A$103,'O&amp;M'!$B81)</f>
        <v>0</v>
      </c>
      <c r="D81" s="302">
        <f>SUMIFS('FC O&amp;M'!C$8:C$103,'FC O&amp;M'!$A$8:$A$103,'O&amp;M'!$B81)</f>
        <v>0</v>
      </c>
      <c r="E81" s="302">
        <f>SUMIFS('FC O&amp;M'!D$8:D$103,'FC O&amp;M'!$A$8:$A$103,'O&amp;M'!$B81)</f>
        <v>0</v>
      </c>
      <c r="F81" s="301">
        <f t="shared" si="2"/>
        <v>0</v>
      </c>
      <c r="G81" s="35">
        <f t="shared" si="3"/>
        <v>0</v>
      </c>
    </row>
    <row r="82" spans="1:7" ht="14.1" customHeight="1" x14ac:dyDescent="0.2">
      <c r="A82" s="412"/>
      <c r="B82" s="325">
        <v>928</v>
      </c>
      <c r="C82" s="302">
        <f>SUMIFS('FC O&amp;M'!B$8:B$103,'FC O&amp;M'!$A$8:$A$103,'O&amp;M'!$B82)</f>
        <v>0</v>
      </c>
      <c r="D82" s="302">
        <f>SUMIFS('FC O&amp;M'!C$8:C$103,'FC O&amp;M'!$A$8:$A$103,'O&amp;M'!$B82)</f>
        <v>2057951</v>
      </c>
      <c r="E82" s="302">
        <f>SUMIFS('FC O&amp;M'!D$8:D$103,'FC O&amp;M'!$A$8:$A$103,'O&amp;M'!$B82)</f>
        <v>0</v>
      </c>
      <c r="F82" s="301">
        <f t="shared" si="2"/>
        <v>2057951</v>
      </c>
      <c r="G82" s="35">
        <f t="shared" si="3"/>
        <v>0</v>
      </c>
    </row>
    <row r="83" spans="1:7" ht="14.1" customHeight="1" x14ac:dyDescent="0.2">
      <c r="A83" s="412"/>
      <c r="B83" s="325">
        <v>929</v>
      </c>
      <c r="C83" s="302">
        <f>SUMIFS('FC O&amp;M'!B$8:B$103,'FC O&amp;M'!$A$8:$A$103,'O&amp;M'!$B83)</f>
        <v>0</v>
      </c>
      <c r="D83" s="302">
        <f>SUMIFS('FC O&amp;M'!C$8:C$103,'FC O&amp;M'!$A$8:$A$103,'O&amp;M'!$B83)</f>
        <v>0</v>
      </c>
      <c r="E83" s="302">
        <f>SUMIFS('FC O&amp;M'!D$8:D$103,'FC O&amp;M'!$A$8:$A$103,'O&amp;M'!$B83)</f>
        <v>0</v>
      </c>
      <c r="F83" s="301">
        <f t="shared" si="2"/>
        <v>0</v>
      </c>
      <c r="G83" s="35">
        <f t="shared" si="3"/>
        <v>0</v>
      </c>
    </row>
    <row r="84" spans="1:7" ht="14.1" customHeight="1" x14ac:dyDescent="0.2">
      <c r="A84" s="412"/>
      <c r="B84" s="325">
        <v>930.1</v>
      </c>
      <c r="C84" s="302">
        <f>SUMIFS('FC O&amp;M'!B$8:B$103,'FC O&amp;M'!$A$8:$A$103,'O&amp;M'!$B84)</f>
        <v>0</v>
      </c>
      <c r="D84" s="302">
        <f>SUMIFS('FC O&amp;M'!C$8:C$103,'FC O&amp;M'!$A$8:$A$103,'O&amp;M'!$B84)</f>
        <v>3317</v>
      </c>
      <c r="E84" s="302">
        <f>SUMIFS('FC O&amp;M'!D$8:D$103,'FC O&amp;M'!$A$8:$A$103,'O&amp;M'!$B84)</f>
        <v>0</v>
      </c>
      <c r="F84" s="301">
        <f t="shared" si="2"/>
        <v>3317</v>
      </c>
      <c r="G84" s="35">
        <f t="shared" si="3"/>
        <v>0</v>
      </c>
    </row>
    <row r="85" spans="1:7" ht="14.1" customHeight="1" x14ac:dyDescent="0.2">
      <c r="A85" s="412"/>
      <c r="B85" s="325">
        <v>930.2</v>
      </c>
      <c r="C85" s="302">
        <f>SUMIFS('FC O&amp;M'!B$8:B$103,'FC O&amp;M'!$A$8:$A$103,'O&amp;M'!$B85)</f>
        <v>0</v>
      </c>
      <c r="D85" s="302">
        <f>SUMIFS('FC O&amp;M'!C$8:C$103,'FC O&amp;M'!$A$8:$A$103,'O&amp;M'!$B85)</f>
        <v>3706329.9999999902</v>
      </c>
      <c r="E85" s="302">
        <f>SUMIFS('FC O&amp;M'!D$8:D$103,'FC O&amp;M'!$A$8:$A$103,'O&amp;M'!$B85)</f>
        <v>0</v>
      </c>
      <c r="F85" s="301">
        <f t="shared" si="2"/>
        <v>3706329.9999999902</v>
      </c>
      <c r="G85" s="35">
        <f t="shared" si="3"/>
        <v>0</v>
      </c>
    </row>
    <row r="86" spans="1:7" s="24" customFormat="1" ht="14.1" customHeight="1" x14ac:dyDescent="0.2">
      <c r="A86" s="412"/>
      <c r="B86" s="325">
        <v>930.9</v>
      </c>
      <c r="C86" s="302">
        <f>SUMIFS('FC O&amp;M'!B$8:B$103,'FC O&amp;M'!$A$8:$A$103,'O&amp;M'!$B86)</f>
        <v>0</v>
      </c>
      <c r="D86" s="302">
        <f>SUMIFS('FC O&amp;M'!C$8:C$103,'FC O&amp;M'!$A$8:$A$103,'O&amp;M'!$B86)</f>
        <v>0</v>
      </c>
      <c r="E86" s="302">
        <f>SUMIFS('FC O&amp;M'!D$8:D$103,'FC O&amp;M'!$A$8:$A$103,'O&amp;M'!$B86)</f>
        <v>0</v>
      </c>
      <c r="F86" s="301">
        <f t="shared" si="2"/>
        <v>0</v>
      </c>
      <c r="G86" s="273">
        <f t="shared" si="3"/>
        <v>0</v>
      </c>
    </row>
    <row r="87" spans="1:7" ht="14.1" customHeight="1" x14ac:dyDescent="0.2">
      <c r="A87" s="412"/>
      <c r="B87" s="325">
        <v>931</v>
      </c>
      <c r="C87" s="302">
        <f>SUMIFS('FC O&amp;M'!B$8:B$103,'FC O&amp;M'!$A$8:$A$103,'O&amp;M'!$B87)</f>
        <v>0</v>
      </c>
      <c r="D87" s="302">
        <f>SUMIFS('FC O&amp;M'!C$8:C$103,'FC O&amp;M'!$A$8:$A$103,'O&amp;M'!$B87)</f>
        <v>2989607</v>
      </c>
      <c r="E87" s="302">
        <f>SUMIFS('FC O&amp;M'!D$8:D$103,'FC O&amp;M'!$A$8:$A$103,'O&amp;M'!$B87)</f>
        <v>0</v>
      </c>
      <c r="F87" s="301">
        <f t="shared" si="2"/>
        <v>2989607</v>
      </c>
      <c r="G87" s="35">
        <f t="shared" si="3"/>
        <v>0</v>
      </c>
    </row>
    <row r="88" spans="1:7" ht="14.1" customHeight="1" x14ac:dyDescent="0.2">
      <c r="A88" s="414"/>
      <c r="B88" s="325">
        <v>935</v>
      </c>
      <c r="C88" s="302">
        <f>SUMIFS('FC O&amp;M'!B$8:B$103,'FC O&amp;M'!$A$8:$A$103,'O&amp;M'!$B88)</f>
        <v>693858</v>
      </c>
      <c r="D88" s="302">
        <f>SUMIFS('FC O&amp;M'!C$8:C$103,'FC O&amp;M'!$A$8:$A$103,'O&amp;M'!$B88)</f>
        <v>558044.99999998999</v>
      </c>
      <c r="E88" s="302">
        <f>SUMIFS('FC O&amp;M'!D$8:D$103,'FC O&amp;M'!$A$8:$A$103,'O&amp;M'!$B88)</f>
        <v>146883</v>
      </c>
      <c r="F88" s="301">
        <f t="shared" si="2"/>
        <v>1398785.99999999</v>
      </c>
      <c r="G88" s="35">
        <f t="shared" si="3"/>
        <v>840741</v>
      </c>
    </row>
    <row r="89" spans="1:7" ht="12.75" x14ac:dyDescent="0.2">
      <c r="A89" s="414"/>
      <c r="B89" s="325"/>
      <c r="C89" s="302"/>
      <c r="D89" s="302"/>
      <c r="E89" s="302"/>
      <c r="F89" s="301"/>
      <c r="G89" s="35"/>
    </row>
    <row r="90" spans="1:7" ht="12.75" x14ac:dyDescent="0.2">
      <c r="A90" s="414"/>
      <c r="B90" s="304"/>
      <c r="C90" s="301"/>
      <c r="D90" s="301"/>
      <c r="E90" s="301"/>
      <c r="F90" s="301"/>
      <c r="G90" s="35"/>
    </row>
    <row r="91" spans="1:7" ht="12.75" x14ac:dyDescent="0.2">
      <c r="A91" s="414"/>
      <c r="D91" s="23"/>
      <c r="E91" s="23"/>
    </row>
    <row r="92" spans="1:7" ht="15.95" customHeight="1" x14ac:dyDescent="0.2">
      <c r="A92" s="414"/>
      <c r="C92" s="33">
        <f>SUM(C3:C91)</f>
        <v>114708364</v>
      </c>
      <c r="D92" s="33">
        <f>SUM(D3:D91)</f>
        <v>760119147.69972634</v>
      </c>
      <c r="E92" s="33">
        <f>SUM(E3:E91)</f>
        <v>64158810</v>
      </c>
      <c r="F92" s="33">
        <f>SUM(F3:F91)</f>
        <v>938986321.69972634</v>
      </c>
      <c r="G92" s="33">
        <f>SUM(G3:G91)</f>
        <v>178867174</v>
      </c>
    </row>
    <row r="93" spans="1:7" ht="12.75" x14ac:dyDescent="0.2">
      <c r="A93" s="414"/>
      <c r="C93" s="34">
        <f>'FC O&amp;M'!B104</f>
        <v>114708364</v>
      </c>
      <c r="D93" s="34">
        <f>'FC O&amp;M'!C104</f>
        <v>760119147.69972634</v>
      </c>
      <c r="E93" s="34">
        <f>'FC O&amp;M'!D104</f>
        <v>64158810</v>
      </c>
      <c r="F93" s="34">
        <f>'FC O&amp;M'!E104</f>
        <v>938986321.69972634</v>
      </c>
      <c r="G93" s="35"/>
    </row>
    <row r="94" spans="1:7" ht="12.75" x14ac:dyDescent="0.2">
      <c r="A94" s="414"/>
      <c r="C94" s="34">
        <f>C92-C93</f>
        <v>0</v>
      </c>
      <c r="D94" s="34">
        <f>D92-D93</f>
        <v>0</v>
      </c>
      <c r="E94" s="34">
        <f>E92-E93</f>
        <v>0</v>
      </c>
      <c r="F94" s="34">
        <f>F92-F93</f>
        <v>0</v>
      </c>
    </row>
    <row r="95" spans="1:7" ht="12.75" x14ac:dyDescent="0.2">
      <c r="A95" s="414"/>
    </row>
    <row r="96" spans="1:7" ht="12.75" x14ac:dyDescent="0.2">
      <c r="A96" s="414"/>
    </row>
    <row r="97" spans="1:1" ht="12.75" x14ac:dyDescent="0.2">
      <c r="A97" s="414"/>
    </row>
    <row r="98" spans="1:1" ht="12.75" x14ac:dyDescent="0.2">
      <c r="A98" s="414"/>
    </row>
    <row r="99" spans="1:1" ht="12.75" x14ac:dyDescent="0.2">
      <c r="A99" s="414"/>
    </row>
    <row r="100" spans="1:1" ht="12.75" x14ac:dyDescent="0.2">
      <c r="A100" s="414"/>
    </row>
    <row r="101" spans="1:1" ht="12.75" x14ac:dyDescent="0.2">
      <c r="A101" s="414"/>
    </row>
    <row r="102" spans="1:1" ht="12.75" x14ac:dyDescent="0.2">
      <c r="A102" s="414"/>
    </row>
    <row r="103" spans="1:1" ht="12.75" x14ac:dyDescent="0.2">
      <c r="A103" s="414"/>
    </row>
    <row r="104" spans="1:1" ht="12.75" x14ac:dyDescent="0.2">
      <c r="A104" s="414"/>
    </row>
    <row r="105" spans="1:1" x14ac:dyDescent="0.2">
      <c r="A105" s="415"/>
    </row>
    <row r="106" spans="1:1" x14ac:dyDescent="0.2">
      <c r="A106" s="415"/>
    </row>
    <row r="107" spans="1:1" x14ac:dyDescent="0.2">
      <c r="A107" s="415"/>
    </row>
    <row r="108" spans="1:1" x14ac:dyDescent="0.2">
      <c r="A108" s="415"/>
    </row>
    <row r="109" spans="1:1" x14ac:dyDescent="0.2">
      <c r="A109" s="415"/>
    </row>
    <row r="110" spans="1:1" x14ac:dyDescent="0.2">
      <c r="A110" s="415"/>
    </row>
    <row r="111" spans="1:1" x14ac:dyDescent="0.2">
      <c r="A111" s="415"/>
    </row>
    <row r="112" spans="1:1" x14ac:dyDescent="0.2">
      <c r="A112" s="415"/>
    </row>
    <row r="113" spans="1:1" x14ac:dyDescent="0.2">
      <c r="A113" s="415"/>
    </row>
    <row r="114" spans="1:1" x14ac:dyDescent="0.2">
      <c r="A114" s="415"/>
    </row>
    <row r="115" spans="1:1" x14ac:dyDescent="0.2">
      <c r="A115" s="415"/>
    </row>
    <row r="116" spans="1:1" x14ac:dyDescent="0.2">
      <c r="A116" s="415"/>
    </row>
    <row r="117" spans="1:1" x14ac:dyDescent="0.2">
      <c r="A117" s="415"/>
    </row>
    <row r="118" spans="1:1" x14ac:dyDescent="0.2">
      <c r="A118" s="415"/>
    </row>
    <row r="119" spans="1:1" x14ac:dyDescent="0.2">
      <c r="A119" s="415"/>
    </row>
    <row r="120" spans="1:1" x14ac:dyDescent="0.2">
      <c r="A120" s="415"/>
    </row>
    <row r="121" spans="1:1" x14ac:dyDescent="0.2">
      <c r="A121" s="415"/>
    </row>
    <row r="122" spans="1:1" x14ac:dyDescent="0.2">
      <c r="A122" s="415"/>
    </row>
    <row r="123" spans="1:1" x14ac:dyDescent="0.2">
      <c r="A123" s="415"/>
    </row>
    <row r="124" spans="1:1" x14ac:dyDescent="0.2">
      <c r="A124" s="415"/>
    </row>
    <row r="125" spans="1:1" x14ac:dyDescent="0.2">
      <c r="A125" s="415"/>
    </row>
    <row r="126" spans="1:1" x14ac:dyDescent="0.2">
      <c r="A126" s="415"/>
    </row>
    <row r="127" spans="1:1" x14ac:dyDescent="0.2">
      <c r="A127" s="415"/>
    </row>
    <row r="128" spans="1:1" x14ac:dyDescent="0.2">
      <c r="A128" s="415"/>
    </row>
    <row r="129" spans="1:1" x14ac:dyDescent="0.2">
      <c r="A129" s="415"/>
    </row>
    <row r="130" spans="1:1" x14ac:dyDescent="0.2">
      <c r="A130" s="415"/>
    </row>
    <row r="131" spans="1:1" x14ac:dyDescent="0.2">
      <c r="A131" s="415"/>
    </row>
    <row r="132" spans="1:1" x14ac:dyDescent="0.2">
      <c r="A132" s="415"/>
    </row>
    <row r="133" spans="1:1" x14ac:dyDescent="0.2">
      <c r="A133" s="415"/>
    </row>
    <row r="134" spans="1:1" x14ac:dyDescent="0.2">
      <c r="A134" s="415"/>
    </row>
    <row r="135" spans="1:1" x14ac:dyDescent="0.2">
      <c r="A135" s="415"/>
    </row>
    <row r="136" spans="1:1" x14ac:dyDescent="0.2">
      <c r="A136" s="415"/>
    </row>
    <row r="137" spans="1:1" x14ac:dyDescent="0.2">
      <c r="A137" s="415"/>
    </row>
  </sheetData>
  <phoneticPr fontId="30" type="noConversion"/>
  <pageMargins left="0.75" right="0.75" top="1" bottom="1" header="0.5" footer="0.5"/>
  <pageSetup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"/>
  <sheetViews>
    <sheetView workbookViewId="0">
      <pane xSplit="1" ySplit="7" topLeftCell="B8" activePane="bottomRight" state="frozen"/>
      <selection activeCell="C99" sqref="C99"/>
      <selection pane="topRight" activeCell="C99" sqref="C99"/>
      <selection pane="bottomLeft" activeCell="C99" sqref="C99"/>
      <selection pane="bottomRight" activeCell="E104" sqref="E104"/>
    </sheetView>
  </sheetViews>
  <sheetFormatPr defaultColWidth="9" defaultRowHeight="11.25" x14ac:dyDescent="0.2"/>
  <cols>
    <col min="1" max="1" width="11.6640625" style="589" bestFit="1" customWidth="1"/>
    <col min="2" max="5" width="12.44140625" style="589" customWidth="1"/>
    <col min="6" max="6" width="9.21875" style="589" bestFit="1" customWidth="1"/>
    <col min="7" max="7" width="5.109375" style="589" bestFit="1" customWidth="1"/>
    <col min="8" max="8" width="8.109375" style="589" bestFit="1" customWidth="1"/>
    <col min="9" max="9" width="8.6640625" style="589" bestFit="1" customWidth="1"/>
    <col min="10" max="10" width="7.21875" style="589" bestFit="1" customWidth="1"/>
    <col min="11" max="11" width="5.109375" style="589" bestFit="1" customWidth="1"/>
    <col min="12" max="12" width="8.109375" style="589" bestFit="1" customWidth="1"/>
    <col min="13" max="13" width="8.6640625" style="589" bestFit="1" customWidth="1"/>
    <col min="14" max="14" width="7.21875" style="589" bestFit="1" customWidth="1"/>
    <col min="15" max="15" width="5.109375" style="589" bestFit="1" customWidth="1"/>
    <col min="16" max="16" width="8.109375" style="589" bestFit="1" customWidth="1"/>
    <col min="17" max="17" width="8.6640625" style="589" bestFit="1" customWidth="1"/>
    <col min="18" max="18" width="7.21875" style="589" bestFit="1" customWidth="1"/>
    <col min="19" max="19" width="5.109375" style="589" bestFit="1" customWidth="1"/>
    <col min="20" max="20" width="8.109375" style="589" bestFit="1" customWidth="1"/>
    <col min="21" max="21" width="8.6640625" style="589" bestFit="1" customWidth="1"/>
    <col min="22" max="22" width="9" style="589"/>
    <col min="23" max="23" width="6.33203125" style="589" customWidth="1"/>
    <col min="24" max="24" width="10.6640625" style="589" bestFit="1" customWidth="1"/>
    <col min="25" max="16384" width="9" style="589"/>
  </cols>
  <sheetData>
    <row r="1" spans="1:6" x14ac:dyDescent="0.2">
      <c r="A1" s="633" t="s">
        <v>863</v>
      </c>
      <c r="B1" s="634"/>
      <c r="C1" s="635"/>
      <c r="D1" s="635"/>
      <c r="E1" s="635"/>
    </row>
    <row r="2" spans="1:6" x14ac:dyDescent="0.2">
      <c r="A2" s="633" t="s">
        <v>2310</v>
      </c>
      <c r="B2" s="635"/>
      <c r="C2" s="635"/>
      <c r="D2" s="635"/>
      <c r="E2" s="635"/>
    </row>
    <row r="3" spans="1:6" x14ac:dyDescent="0.2">
      <c r="A3" s="633" t="s">
        <v>2583</v>
      </c>
      <c r="B3" s="635"/>
      <c r="C3" s="635"/>
      <c r="D3" s="635"/>
      <c r="E3" s="635"/>
    </row>
    <row r="4" spans="1:6" x14ac:dyDescent="0.2">
      <c r="A4" s="635"/>
      <c r="B4" s="635"/>
      <c r="C4" s="635"/>
      <c r="D4" s="635"/>
      <c r="E4" s="635"/>
    </row>
    <row r="5" spans="1:6" x14ac:dyDescent="0.2">
      <c r="A5" s="636"/>
      <c r="B5" s="636"/>
      <c r="C5" s="636"/>
      <c r="D5" s="636"/>
      <c r="E5" s="636"/>
    </row>
    <row r="6" spans="1:6" x14ac:dyDescent="0.2">
      <c r="A6" s="636"/>
      <c r="B6" s="887" t="s">
        <v>2311</v>
      </c>
      <c r="C6" s="887"/>
      <c r="D6" s="887"/>
      <c r="E6" s="637"/>
    </row>
    <row r="7" spans="1:6" x14ac:dyDescent="0.2">
      <c r="A7" s="638" t="s">
        <v>553</v>
      </c>
      <c r="B7" s="639" t="s">
        <v>2312</v>
      </c>
      <c r="C7" s="639" t="s">
        <v>2313</v>
      </c>
      <c r="D7" s="639" t="s">
        <v>2314</v>
      </c>
      <c r="E7" s="638" t="s">
        <v>682</v>
      </c>
    </row>
    <row r="8" spans="1:6" x14ac:dyDescent="0.2">
      <c r="A8" s="640" t="s">
        <v>1429</v>
      </c>
      <c r="B8" s="641">
        <v>6135357</v>
      </c>
      <c r="C8" s="641">
        <v>1547481</v>
      </c>
      <c r="D8" s="641">
        <v>1659550</v>
      </c>
      <c r="E8" s="641">
        <f>SUM(B8:D8)</f>
        <v>9342388</v>
      </c>
      <c r="F8" s="590"/>
    </row>
    <row r="9" spans="1:6" x14ac:dyDescent="0.2">
      <c r="A9" s="640" t="s">
        <v>1430</v>
      </c>
      <c r="B9" s="641">
        <v>1875428</v>
      </c>
      <c r="C9" s="641">
        <v>300042506.23587352</v>
      </c>
      <c r="D9" s="641">
        <v>505774</v>
      </c>
      <c r="E9" s="641">
        <f t="shared" ref="E9:E72" si="0">SUM(B9:D9)</f>
        <v>302423708.23587352</v>
      </c>
      <c r="F9" s="590"/>
    </row>
    <row r="10" spans="1:6" x14ac:dyDescent="0.2">
      <c r="A10" s="640" t="s">
        <v>1431</v>
      </c>
      <c r="B10" s="641">
        <v>7368131</v>
      </c>
      <c r="C10" s="641">
        <v>13798689.999999888</v>
      </c>
      <c r="D10" s="641">
        <v>1868023</v>
      </c>
      <c r="E10" s="641">
        <f t="shared" si="0"/>
        <v>23034843.999999888</v>
      </c>
      <c r="F10" s="590"/>
    </row>
    <row r="11" spans="1:6" x14ac:dyDescent="0.2">
      <c r="A11" s="640" t="s">
        <v>2315</v>
      </c>
      <c r="B11" s="641">
        <v>0</v>
      </c>
      <c r="C11" s="641">
        <v>0</v>
      </c>
      <c r="D11" s="641">
        <v>0</v>
      </c>
      <c r="E11" s="641">
        <f t="shared" si="0"/>
        <v>0</v>
      </c>
      <c r="F11" s="590"/>
    </row>
    <row r="12" spans="1:6" x14ac:dyDescent="0.2">
      <c r="A12" s="640" t="s">
        <v>1432</v>
      </c>
      <c r="B12" s="641">
        <v>5431349</v>
      </c>
      <c r="C12" s="641">
        <v>2066014</v>
      </c>
      <c r="D12" s="641">
        <v>1268887</v>
      </c>
      <c r="E12" s="641">
        <f t="shared" si="0"/>
        <v>8766250</v>
      </c>
      <c r="F12" s="590"/>
    </row>
    <row r="13" spans="1:6" x14ac:dyDescent="0.2">
      <c r="A13" s="640" t="s">
        <v>1433</v>
      </c>
      <c r="B13" s="641">
        <v>2099875</v>
      </c>
      <c r="C13" s="641">
        <v>23398179</v>
      </c>
      <c r="D13" s="641">
        <v>679831</v>
      </c>
      <c r="E13" s="641">
        <f t="shared" si="0"/>
        <v>26177885</v>
      </c>
      <c r="F13" s="590"/>
    </row>
    <row r="14" spans="1:6" x14ac:dyDescent="0.2">
      <c r="A14" s="640" t="s">
        <v>2316</v>
      </c>
      <c r="B14" s="641">
        <v>0</v>
      </c>
      <c r="C14" s="641">
        <v>0</v>
      </c>
      <c r="D14" s="641">
        <v>0</v>
      </c>
      <c r="E14" s="641">
        <f t="shared" si="0"/>
        <v>0</v>
      </c>
      <c r="F14" s="590"/>
    </row>
    <row r="15" spans="1:6" x14ac:dyDescent="0.2">
      <c r="A15" s="640" t="s">
        <v>2317</v>
      </c>
      <c r="B15" s="641">
        <v>0</v>
      </c>
      <c r="C15" s="641">
        <v>5000</v>
      </c>
      <c r="D15" s="641">
        <v>0</v>
      </c>
      <c r="E15" s="641">
        <f t="shared" si="0"/>
        <v>5000</v>
      </c>
      <c r="F15" s="590"/>
    </row>
    <row r="16" spans="1:6" x14ac:dyDescent="0.2">
      <c r="A16" s="640" t="s">
        <v>1434</v>
      </c>
      <c r="B16" s="641">
        <v>6835792</v>
      </c>
      <c r="C16" s="641">
        <v>1536113</v>
      </c>
      <c r="D16" s="641">
        <v>1876322</v>
      </c>
      <c r="E16" s="641">
        <f t="shared" si="0"/>
        <v>10248227</v>
      </c>
      <c r="F16" s="590"/>
    </row>
    <row r="17" spans="1:6" x14ac:dyDescent="0.2">
      <c r="A17" s="640" t="s">
        <v>1435</v>
      </c>
      <c r="B17" s="641">
        <v>943830</v>
      </c>
      <c r="C17" s="641">
        <v>5978996</v>
      </c>
      <c r="D17" s="641">
        <v>331619</v>
      </c>
      <c r="E17" s="641">
        <f t="shared" si="0"/>
        <v>7254445</v>
      </c>
      <c r="F17" s="590"/>
    </row>
    <row r="18" spans="1:6" x14ac:dyDescent="0.2">
      <c r="A18" s="640" t="s">
        <v>1436</v>
      </c>
      <c r="B18" s="641">
        <v>8431554</v>
      </c>
      <c r="C18" s="641">
        <v>38189027</v>
      </c>
      <c r="D18" s="641">
        <v>3459128</v>
      </c>
      <c r="E18" s="641">
        <f t="shared" si="0"/>
        <v>50079709</v>
      </c>
      <c r="F18" s="590"/>
    </row>
    <row r="19" spans="1:6" x14ac:dyDescent="0.2">
      <c r="A19" s="640" t="s">
        <v>1437</v>
      </c>
      <c r="B19" s="641">
        <v>1592174</v>
      </c>
      <c r="C19" s="641">
        <v>7980956</v>
      </c>
      <c r="D19" s="641">
        <v>651164</v>
      </c>
      <c r="E19" s="641">
        <f t="shared" si="0"/>
        <v>10224294</v>
      </c>
      <c r="F19" s="590"/>
    </row>
    <row r="20" spans="1:6" x14ac:dyDescent="0.2">
      <c r="A20" s="640" t="s">
        <v>1438</v>
      </c>
      <c r="B20" s="641">
        <v>159747</v>
      </c>
      <c r="C20" s="641">
        <v>2395112.9999999902</v>
      </c>
      <c r="D20" s="641">
        <v>115480</v>
      </c>
      <c r="E20" s="641">
        <f t="shared" si="0"/>
        <v>2670339.9999999902</v>
      </c>
      <c r="F20" s="590"/>
    </row>
    <row r="21" spans="1:6" x14ac:dyDescent="0.2">
      <c r="A21" s="640" t="s">
        <v>2318</v>
      </c>
      <c r="B21" s="641">
        <v>0</v>
      </c>
      <c r="C21" s="641">
        <v>0</v>
      </c>
      <c r="D21" s="641">
        <v>0</v>
      </c>
      <c r="E21" s="641">
        <f t="shared" si="0"/>
        <v>0</v>
      </c>
      <c r="F21" s="590"/>
    </row>
    <row r="22" spans="1:6" x14ac:dyDescent="0.2">
      <c r="A22" s="640" t="s">
        <v>2319</v>
      </c>
      <c r="B22" s="641">
        <v>0</v>
      </c>
      <c r="C22" s="641">
        <v>0</v>
      </c>
      <c r="D22" s="641">
        <v>0</v>
      </c>
      <c r="E22" s="641">
        <f t="shared" si="0"/>
        <v>0</v>
      </c>
      <c r="F22" s="590"/>
    </row>
    <row r="23" spans="1:6" x14ac:dyDescent="0.2">
      <c r="A23" s="640" t="s">
        <v>2320</v>
      </c>
      <c r="B23" s="641">
        <v>0</v>
      </c>
      <c r="C23" s="641">
        <v>0</v>
      </c>
      <c r="D23" s="641">
        <v>0</v>
      </c>
      <c r="E23" s="641">
        <f t="shared" si="0"/>
        <v>0</v>
      </c>
      <c r="F23" s="590"/>
    </row>
    <row r="24" spans="1:6" x14ac:dyDescent="0.2">
      <c r="A24" s="640" t="s">
        <v>2321</v>
      </c>
      <c r="B24" s="641">
        <v>0</v>
      </c>
      <c r="C24" s="641">
        <v>10111.9999999999</v>
      </c>
      <c r="D24" s="641">
        <v>0</v>
      </c>
      <c r="E24" s="641">
        <f t="shared" si="0"/>
        <v>10111.9999999999</v>
      </c>
      <c r="F24" s="590"/>
    </row>
    <row r="25" spans="1:6" x14ac:dyDescent="0.2">
      <c r="A25" s="640" t="s">
        <v>2322</v>
      </c>
      <c r="B25" s="641">
        <v>0</v>
      </c>
      <c r="C25" s="641">
        <v>0</v>
      </c>
      <c r="D25" s="641">
        <v>0</v>
      </c>
      <c r="E25" s="641">
        <f t="shared" si="0"/>
        <v>0</v>
      </c>
      <c r="F25" s="590"/>
    </row>
    <row r="26" spans="1:6" x14ac:dyDescent="0.2">
      <c r="A26" s="640" t="s">
        <v>2323</v>
      </c>
      <c r="B26" s="641">
        <v>162468</v>
      </c>
      <c r="C26" s="641">
        <v>22712.99999999901</v>
      </c>
      <c r="D26" s="641">
        <v>41559</v>
      </c>
      <c r="E26" s="641">
        <f t="shared" si="0"/>
        <v>226739.99999999901</v>
      </c>
      <c r="F26" s="590"/>
    </row>
    <row r="27" spans="1:6" x14ac:dyDescent="0.2">
      <c r="A27" s="640" t="s">
        <v>2324</v>
      </c>
      <c r="B27" s="641">
        <v>46454</v>
      </c>
      <c r="C27" s="641">
        <v>165697.99999999901</v>
      </c>
      <c r="D27" s="641">
        <v>13031</v>
      </c>
      <c r="E27" s="641">
        <f t="shared" si="0"/>
        <v>225182.99999999901</v>
      </c>
      <c r="F27" s="590"/>
    </row>
    <row r="28" spans="1:6" x14ac:dyDescent="0.2">
      <c r="A28" s="640" t="s">
        <v>2325</v>
      </c>
      <c r="B28" s="641">
        <v>0</v>
      </c>
      <c r="C28" s="641">
        <v>32608</v>
      </c>
      <c r="D28" s="641">
        <v>1308</v>
      </c>
      <c r="E28" s="641">
        <f t="shared" si="0"/>
        <v>33916</v>
      </c>
      <c r="F28" s="590"/>
    </row>
    <row r="29" spans="1:6" x14ac:dyDescent="0.2">
      <c r="A29" s="640" t="s">
        <v>2326</v>
      </c>
      <c r="B29" s="641">
        <v>0</v>
      </c>
      <c r="C29" s="641">
        <v>42660</v>
      </c>
      <c r="D29" s="641">
        <v>1464</v>
      </c>
      <c r="E29" s="641">
        <f t="shared" si="0"/>
        <v>44124</v>
      </c>
      <c r="F29" s="590"/>
    </row>
    <row r="30" spans="1:6" x14ac:dyDescent="0.2">
      <c r="A30" s="640" t="s">
        <v>2327</v>
      </c>
      <c r="B30" s="641">
        <v>0</v>
      </c>
      <c r="C30" s="641">
        <v>10375.9999999999</v>
      </c>
      <c r="D30" s="641">
        <v>768</v>
      </c>
      <c r="E30" s="641">
        <f t="shared" si="0"/>
        <v>11143.9999999999</v>
      </c>
      <c r="F30" s="590"/>
    </row>
    <row r="31" spans="1:6" x14ac:dyDescent="0.2">
      <c r="A31" s="640" t="s">
        <v>2328</v>
      </c>
      <c r="B31" s="641">
        <v>857084</v>
      </c>
      <c r="C31" s="641">
        <v>216964</v>
      </c>
      <c r="D31" s="641">
        <v>232777</v>
      </c>
      <c r="E31" s="641">
        <f t="shared" si="0"/>
        <v>1306825</v>
      </c>
      <c r="F31" s="590"/>
    </row>
    <row r="32" spans="1:6" x14ac:dyDescent="0.2">
      <c r="A32" s="640" t="s">
        <v>2329</v>
      </c>
      <c r="B32" s="641">
        <v>0</v>
      </c>
      <c r="C32" s="641">
        <v>125544025.15006199</v>
      </c>
      <c r="D32" s="641">
        <v>0</v>
      </c>
      <c r="E32" s="641">
        <f t="shared" si="0"/>
        <v>125544025.15006199</v>
      </c>
      <c r="F32" s="590"/>
    </row>
    <row r="33" spans="1:6" x14ac:dyDescent="0.2">
      <c r="A33" s="640" t="s">
        <v>2330</v>
      </c>
      <c r="B33" s="641">
        <v>259978</v>
      </c>
      <c r="C33" s="641">
        <v>291547</v>
      </c>
      <c r="D33" s="641">
        <v>79593</v>
      </c>
      <c r="E33" s="641">
        <f t="shared" si="0"/>
        <v>631118</v>
      </c>
      <c r="F33" s="590"/>
    </row>
    <row r="34" spans="1:6" x14ac:dyDescent="0.2">
      <c r="A34" s="640" t="s">
        <v>2331</v>
      </c>
      <c r="B34" s="641">
        <v>1675157</v>
      </c>
      <c r="C34" s="641">
        <v>2450004</v>
      </c>
      <c r="D34" s="641">
        <v>485165</v>
      </c>
      <c r="E34" s="641">
        <f t="shared" si="0"/>
        <v>4610326</v>
      </c>
      <c r="F34" s="590"/>
    </row>
    <row r="35" spans="1:6" x14ac:dyDescent="0.2">
      <c r="A35" s="640" t="s">
        <v>2332</v>
      </c>
      <c r="B35" s="641">
        <v>0</v>
      </c>
      <c r="C35" s="641">
        <v>10000</v>
      </c>
      <c r="D35" s="641">
        <v>0</v>
      </c>
      <c r="E35" s="641">
        <f t="shared" si="0"/>
        <v>10000</v>
      </c>
      <c r="F35" s="590"/>
    </row>
    <row r="36" spans="1:6" x14ac:dyDescent="0.2">
      <c r="A36" s="640" t="s">
        <v>2333</v>
      </c>
      <c r="B36" s="641">
        <v>238254</v>
      </c>
      <c r="C36" s="641">
        <v>150468</v>
      </c>
      <c r="D36" s="641">
        <v>62551</v>
      </c>
      <c r="E36" s="641">
        <f t="shared" si="0"/>
        <v>451273</v>
      </c>
      <c r="F36" s="590"/>
    </row>
    <row r="37" spans="1:6" x14ac:dyDescent="0.2">
      <c r="A37" s="640" t="s">
        <v>2334</v>
      </c>
      <c r="B37" s="641">
        <v>198661</v>
      </c>
      <c r="C37" s="641">
        <v>507703</v>
      </c>
      <c r="D37" s="641">
        <v>50388</v>
      </c>
      <c r="E37" s="641">
        <f t="shared" si="0"/>
        <v>756752</v>
      </c>
      <c r="F37" s="590"/>
    </row>
    <row r="38" spans="1:6" x14ac:dyDescent="0.2">
      <c r="A38" s="640" t="s">
        <v>2335</v>
      </c>
      <c r="B38" s="641">
        <v>1317226</v>
      </c>
      <c r="C38" s="641">
        <v>4136725</v>
      </c>
      <c r="D38" s="641">
        <v>395563</v>
      </c>
      <c r="E38" s="641">
        <f t="shared" si="0"/>
        <v>5849514</v>
      </c>
      <c r="F38" s="590"/>
    </row>
    <row r="39" spans="1:6" x14ac:dyDescent="0.2">
      <c r="A39" s="640" t="s">
        <v>2336</v>
      </c>
      <c r="B39" s="641">
        <v>1183302</v>
      </c>
      <c r="C39" s="641">
        <v>4579784</v>
      </c>
      <c r="D39" s="641">
        <v>348881</v>
      </c>
      <c r="E39" s="641">
        <f t="shared" si="0"/>
        <v>6111967</v>
      </c>
      <c r="F39" s="590"/>
    </row>
    <row r="40" spans="1:6" x14ac:dyDescent="0.2">
      <c r="A40" s="640" t="s">
        <v>2337</v>
      </c>
      <c r="B40" s="641">
        <v>0</v>
      </c>
      <c r="C40" s="641">
        <v>58036196.183791012</v>
      </c>
      <c r="D40" s="641">
        <v>0</v>
      </c>
      <c r="E40" s="641">
        <f t="shared" si="0"/>
        <v>58036196.183791012</v>
      </c>
      <c r="F40" s="590"/>
    </row>
    <row r="41" spans="1:6" x14ac:dyDescent="0.2">
      <c r="A41" s="640" t="s">
        <v>2338</v>
      </c>
      <c r="B41" s="641">
        <v>1410266</v>
      </c>
      <c r="C41" s="641">
        <v>24300</v>
      </c>
      <c r="D41" s="641">
        <v>397692</v>
      </c>
      <c r="E41" s="641">
        <f t="shared" si="0"/>
        <v>1832258</v>
      </c>
      <c r="F41" s="590"/>
    </row>
    <row r="42" spans="1:6" x14ac:dyDescent="0.2">
      <c r="A42" s="640" t="s">
        <v>2339</v>
      </c>
      <c r="B42" s="641">
        <v>0</v>
      </c>
      <c r="C42" s="641">
        <v>179236.99999999991</v>
      </c>
      <c r="D42" s="641">
        <v>0</v>
      </c>
      <c r="E42" s="641">
        <f t="shared" si="0"/>
        <v>179236.99999999991</v>
      </c>
      <c r="F42" s="590"/>
    </row>
    <row r="43" spans="1:6" x14ac:dyDescent="0.2">
      <c r="A43" s="640" t="s">
        <v>2340</v>
      </c>
      <c r="B43" s="641">
        <v>1250373</v>
      </c>
      <c r="C43" s="641">
        <v>265055</v>
      </c>
      <c r="D43" s="641">
        <v>421669</v>
      </c>
      <c r="E43" s="641">
        <f t="shared" si="0"/>
        <v>1937097</v>
      </c>
      <c r="F43" s="590"/>
    </row>
    <row r="44" spans="1:6" x14ac:dyDescent="0.2">
      <c r="A44" s="640" t="s">
        <v>2341</v>
      </c>
      <c r="B44" s="641">
        <v>2678744</v>
      </c>
      <c r="C44" s="641">
        <v>285044</v>
      </c>
      <c r="D44" s="641">
        <v>758692</v>
      </c>
      <c r="E44" s="641">
        <f t="shared" si="0"/>
        <v>3722480</v>
      </c>
      <c r="F44" s="590"/>
    </row>
    <row r="45" spans="1:6" x14ac:dyDescent="0.2">
      <c r="A45" s="640" t="s">
        <v>2342</v>
      </c>
      <c r="B45" s="641">
        <v>363424</v>
      </c>
      <c r="C45" s="641">
        <v>797273</v>
      </c>
      <c r="D45" s="641">
        <v>164168</v>
      </c>
      <c r="E45" s="641">
        <f t="shared" si="0"/>
        <v>1324865</v>
      </c>
      <c r="F45" s="590"/>
    </row>
    <row r="46" spans="1:6" x14ac:dyDescent="0.2">
      <c r="A46" s="640" t="s">
        <v>2343</v>
      </c>
      <c r="B46" s="641">
        <v>45680</v>
      </c>
      <c r="C46" s="641">
        <v>929348</v>
      </c>
      <c r="D46" s="641">
        <v>0</v>
      </c>
      <c r="E46" s="641">
        <f t="shared" si="0"/>
        <v>975028</v>
      </c>
      <c r="F46" s="590"/>
    </row>
    <row r="47" spans="1:6" x14ac:dyDescent="0.2">
      <c r="A47" s="642" t="s">
        <v>2344</v>
      </c>
      <c r="B47" s="641">
        <v>0</v>
      </c>
      <c r="C47" s="641">
        <v>0</v>
      </c>
      <c r="D47" s="641">
        <v>0</v>
      </c>
      <c r="E47" s="641">
        <f t="shared" si="0"/>
        <v>0</v>
      </c>
      <c r="F47" s="590"/>
    </row>
    <row r="48" spans="1:6" x14ac:dyDescent="0.2">
      <c r="A48" s="642" t="s">
        <v>2345</v>
      </c>
      <c r="B48" s="641">
        <v>0</v>
      </c>
      <c r="C48" s="641">
        <v>4099659</v>
      </c>
      <c r="D48" s="641">
        <v>0</v>
      </c>
      <c r="E48" s="641">
        <f t="shared" si="0"/>
        <v>4099659</v>
      </c>
      <c r="F48" s="590"/>
    </row>
    <row r="49" spans="1:6" x14ac:dyDescent="0.2">
      <c r="A49" s="642" t="s">
        <v>2346</v>
      </c>
      <c r="B49" s="641">
        <v>200729</v>
      </c>
      <c r="C49" s="641">
        <v>23023579.999999888</v>
      </c>
      <c r="D49" s="641">
        <v>55495</v>
      </c>
      <c r="E49" s="641">
        <f t="shared" si="0"/>
        <v>23279803.999999888</v>
      </c>
      <c r="F49" s="590"/>
    </row>
    <row r="50" spans="1:6" x14ac:dyDescent="0.2">
      <c r="A50" s="642" t="s">
        <v>2347</v>
      </c>
      <c r="B50" s="641">
        <v>0</v>
      </c>
      <c r="C50" s="641">
        <v>124236</v>
      </c>
      <c r="D50" s="641">
        <v>0</v>
      </c>
      <c r="E50" s="641">
        <f t="shared" si="0"/>
        <v>124236</v>
      </c>
      <c r="F50" s="590"/>
    </row>
    <row r="51" spans="1:6" x14ac:dyDescent="0.2">
      <c r="A51" s="642" t="s">
        <v>2348</v>
      </c>
      <c r="B51" s="641">
        <v>0</v>
      </c>
      <c r="C51" s="641">
        <v>0</v>
      </c>
      <c r="D51" s="641">
        <v>0</v>
      </c>
      <c r="E51" s="641">
        <f t="shared" si="0"/>
        <v>0</v>
      </c>
      <c r="F51" s="590"/>
    </row>
    <row r="52" spans="1:6" x14ac:dyDescent="0.2">
      <c r="A52" s="642" t="s">
        <v>2349</v>
      </c>
      <c r="B52" s="641">
        <v>0</v>
      </c>
      <c r="C52" s="641">
        <v>0</v>
      </c>
      <c r="D52" s="641">
        <v>0</v>
      </c>
      <c r="E52" s="641">
        <f t="shared" si="0"/>
        <v>0</v>
      </c>
      <c r="F52" s="590"/>
    </row>
    <row r="53" spans="1:6" x14ac:dyDescent="0.2">
      <c r="A53" s="642" t="s">
        <v>2350</v>
      </c>
      <c r="B53" s="641">
        <v>881082</v>
      </c>
      <c r="C53" s="641">
        <v>808961</v>
      </c>
      <c r="D53" s="641">
        <v>268150</v>
      </c>
      <c r="E53" s="641">
        <f t="shared" si="0"/>
        <v>1958193</v>
      </c>
      <c r="F53" s="590"/>
    </row>
    <row r="54" spans="1:6" x14ac:dyDescent="0.2">
      <c r="A54" s="642" t="s">
        <v>2351</v>
      </c>
      <c r="B54" s="641">
        <v>308406</v>
      </c>
      <c r="C54" s="641">
        <v>13302465</v>
      </c>
      <c r="D54" s="641">
        <v>13149</v>
      </c>
      <c r="E54" s="641">
        <f t="shared" si="0"/>
        <v>13624020</v>
      </c>
      <c r="F54" s="590"/>
    </row>
    <row r="55" spans="1:6" x14ac:dyDescent="0.2">
      <c r="A55" s="642" t="s">
        <v>2352</v>
      </c>
      <c r="B55" s="641">
        <v>0</v>
      </c>
      <c r="C55" s="641">
        <v>0</v>
      </c>
      <c r="D55" s="641">
        <v>0</v>
      </c>
      <c r="E55" s="641">
        <f t="shared" si="0"/>
        <v>0</v>
      </c>
      <c r="F55" s="590"/>
    </row>
    <row r="56" spans="1:6" x14ac:dyDescent="0.2">
      <c r="A56" s="642" t="s">
        <v>2353</v>
      </c>
      <c r="B56" s="641">
        <v>0</v>
      </c>
      <c r="C56" s="641">
        <v>325694</v>
      </c>
      <c r="D56" s="641">
        <v>0</v>
      </c>
      <c r="E56" s="641">
        <f t="shared" si="0"/>
        <v>325694</v>
      </c>
      <c r="F56" s="590"/>
    </row>
    <row r="57" spans="1:6" x14ac:dyDescent="0.2">
      <c r="A57" s="642" t="s">
        <v>2354</v>
      </c>
      <c r="B57" s="641">
        <v>0</v>
      </c>
      <c r="C57" s="641">
        <v>0</v>
      </c>
      <c r="D57" s="641">
        <v>0</v>
      </c>
      <c r="E57" s="641">
        <f t="shared" si="0"/>
        <v>0</v>
      </c>
      <c r="F57" s="590"/>
    </row>
    <row r="58" spans="1:6" x14ac:dyDescent="0.2">
      <c r="A58" s="642" t="s">
        <v>2355</v>
      </c>
      <c r="B58" s="641">
        <v>1113993</v>
      </c>
      <c r="C58" s="641">
        <v>550330</v>
      </c>
      <c r="D58" s="641">
        <v>318230</v>
      </c>
      <c r="E58" s="641">
        <f t="shared" si="0"/>
        <v>1982553</v>
      </c>
      <c r="F58" s="590"/>
    </row>
    <row r="59" spans="1:6" x14ac:dyDescent="0.2">
      <c r="A59" s="642" t="s">
        <v>2356</v>
      </c>
      <c r="B59" s="641">
        <v>274055</v>
      </c>
      <c r="C59" s="641">
        <v>21348</v>
      </c>
      <c r="D59" s="641">
        <v>78291</v>
      </c>
      <c r="E59" s="641">
        <f t="shared" si="0"/>
        <v>373694</v>
      </c>
      <c r="F59" s="590"/>
    </row>
    <row r="60" spans="1:6" x14ac:dyDescent="0.2">
      <c r="A60" s="642" t="s">
        <v>2357</v>
      </c>
      <c r="B60" s="641">
        <v>897248</v>
      </c>
      <c r="C60" s="641">
        <v>1004585</v>
      </c>
      <c r="D60" s="641">
        <v>258892</v>
      </c>
      <c r="E60" s="641">
        <f t="shared" si="0"/>
        <v>2160725</v>
      </c>
      <c r="F60" s="590"/>
    </row>
    <row r="61" spans="1:6" x14ac:dyDescent="0.2">
      <c r="A61" s="642" t="s">
        <v>2358</v>
      </c>
      <c r="B61" s="641">
        <v>2054830</v>
      </c>
      <c r="C61" s="641">
        <v>3278432</v>
      </c>
      <c r="D61" s="641">
        <v>607695</v>
      </c>
      <c r="E61" s="641">
        <f t="shared" si="0"/>
        <v>5940957</v>
      </c>
      <c r="F61" s="590"/>
    </row>
    <row r="62" spans="1:6" x14ac:dyDescent="0.2">
      <c r="A62" s="642" t="s">
        <v>2359</v>
      </c>
      <c r="B62" s="641">
        <v>0</v>
      </c>
      <c r="C62" s="641">
        <v>319</v>
      </c>
      <c r="D62" s="641">
        <v>0</v>
      </c>
      <c r="E62" s="641">
        <f t="shared" si="0"/>
        <v>319</v>
      </c>
      <c r="F62" s="590"/>
    </row>
    <row r="63" spans="1:6" x14ac:dyDescent="0.2">
      <c r="A63" s="642" t="s">
        <v>2360</v>
      </c>
      <c r="B63" s="641">
        <v>0</v>
      </c>
      <c r="C63" s="641">
        <v>0</v>
      </c>
      <c r="D63" s="641">
        <v>0</v>
      </c>
      <c r="E63" s="641">
        <f t="shared" si="0"/>
        <v>0</v>
      </c>
      <c r="F63" s="590"/>
    </row>
    <row r="64" spans="1:6" x14ac:dyDescent="0.2">
      <c r="A64" s="642" t="s">
        <v>2361</v>
      </c>
      <c r="B64" s="641">
        <v>4187590</v>
      </c>
      <c r="C64" s="641">
        <v>3760495</v>
      </c>
      <c r="D64" s="641">
        <v>1095541</v>
      </c>
      <c r="E64" s="641">
        <f t="shared" si="0"/>
        <v>9043626</v>
      </c>
      <c r="F64" s="590"/>
    </row>
    <row r="65" spans="1:6" x14ac:dyDescent="0.2">
      <c r="A65" s="642" t="s">
        <v>2362</v>
      </c>
      <c r="B65" s="641">
        <v>0</v>
      </c>
      <c r="C65" s="641">
        <v>0</v>
      </c>
      <c r="D65" s="641">
        <v>0</v>
      </c>
      <c r="E65" s="641">
        <f t="shared" si="0"/>
        <v>0</v>
      </c>
      <c r="F65" s="590"/>
    </row>
    <row r="66" spans="1:6" x14ac:dyDescent="0.2">
      <c r="A66" s="642" t="s">
        <v>2363</v>
      </c>
      <c r="B66" s="641">
        <v>2669753</v>
      </c>
      <c r="C66" s="641">
        <v>4556143</v>
      </c>
      <c r="D66" s="641">
        <v>754433</v>
      </c>
      <c r="E66" s="641">
        <f t="shared" si="0"/>
        <v>7980329</v>
      </c>
      <c r="F66" s="590"/>
    </row>
    <row r="67" spans="1:6" x14ac:dyDescent="0.2">
      <c r="A67" s="642" t="s">
        <v>2364</v>
      </c>
      <c r="B67" s="641">
        <v>0</v>
      </c>
      <c r="C67" s="641">
        <v>0</v>
      </c>
      <c r="D67" s="641">
        <v>0</v>
      </c>
      <c r="E67" s="641">
        <f t="shared" si="0"/>
        <v>0</v>
      </c>
      <c r="F67" s="590"/>
    </row>
    <row r="68" spans="1:6" x14ac:dyDescent="0.2">
      <c r="A68" s="642" t="s">
        <v>2365</v>
      </c>
      <c r="B68" s="641">
        <v>0</v>
      </c>
      <c r="C68" s="641">
        <v>77820</v>
      </c>
      <c r="D68" s="641">
        <v>0</v>
      </c>
      <c r="E68" s="641">
        <f t="shared" si="0"/>
        <v>77820</v>
      </c>
      <c r="F68" s="590"/>
    </row>
    <row r="69" spans="1:6" x14ac:dyDescent="0.2">
      <c r="A69" s="642" t="s">
        <v>2366</v>
      </c>
      <c r="B69" s="641">
        <v>0</v>
      </c>
      <c r="C69" s="641">
        <v>0</v>
      </c>
      <c r="D69" s="641">
        <v>0</v>
      </c>
      <c r="E69" s="641">
        <f t="shared" si="0"/>
        <v>0</v>
      </c>
      <c r="F69" s="590"/>
    </row>
    <row r="70" spans="1:6" x14ac:dyDescent="0.2">
      <c r="A70" s="642" t="s">
        <v>2367</v>
      </c>
      <c r="B70" s="641">
        <v>496978</v>
      </c>
      <c r="C70" s="641">
        <v>627361</v>
      </c>
      <c r="D70" s="641">
        <v>137579</v>
      </c>
      <c r="E70" s="641">
        <f t="shared" si="0"/>
        <v>1261918</v>
      </c>
      <c r="F70" s="590"/>
    </row>
    <row r="71" spans="1:6" x14ac:dyDescent="0.2">
      <c r="A71" s="642" t="s">
        <v>2368</v>
      </c>
      <c r="B71" s="641">
        <v>6206529</v>
      </c>
      <c r="C71" s="641">
        <v>25057758</v>
      </c>
      <c r="D71" s="641">
        <v>1233587</v>
      </c>
      <c r="E71" s="641">
        <f t="shared" si="0"/>
        <v>32497874</v>
      </c>
      <c r="F71" s="590"/>
    </row>
    <row r="72" spans="1:6" x14ac:dyDescent="0.2">
      <c r="A72" s="642" t="s">
        <v>2369</v>
      </c>
      <c r="B72" s="641">
        <v>275376</v>
      </c>
      <c r="C72" s="641">
        <v>335239</v>
      </c>
      <c r="D72" s="641">
        <v>66379</v>
      </c>
      <c r="E72" s="641">
        <f t="shared" si="0"/>
        <v>676994</v>
      </c>
      <c r="F72" s="590"/>
    </row>
    <row r="73" spans="1:6" x14ac:dyDescent="0.2">
      <c r="A73" s="642" t="s">
        <v>2370</v>
      </c>
      <c r="B73" s="641">
        <v>46000</v>
      </c>
      <c r="C73" s="641">
        <v>54731</v>
      </c>
      <c r="D73" s="641">
        <v>11972</v>
      </c>
      <c r="E73" s="641">
        <f t="shared" ref="E73:E103" si="1">SUM(B73:D73)</f>
        <v>112703</v>
      </c>
      <c r="F73" s="590"/>
    </row>
    <row r="74" spans="1:6" x14ac:dyDescent="0.2">
      <c r="A74" s="642" t="s">
        <v>2371</v>
      </c>
      <c r="B74" s="641">
        <v>0</v>
      </c>
      <c r="C74" s="641">
        <v>0</v>
      </c>
      <c r="D74" s="641">
        <v>0</v>
      </c>
      <c r="E74" s="641">
        <f t="shared" si="1"/>
        <v>0</v>
      </c>
      <c r="F74" s="590"/>
    </row>
    <row r="75" spans="1:6" x14ac:dyDescent="0.2">
      <c r="A75" s="642" t="s">
        <v>2372</v>
      </c>
      <c r="B75" s="641">
        <v>0</v>
      </c>
      <c r="C75" s="641">
        <v>0</v>
      </c>
      <c r="D75" s="641">
        <v>0</v>
      </c>
      <c r="E75" s="641">
        <f t="shared" si="1"/>
        <v>0</v>
      </c>
      <c r="F75" s="590"/>
    </row>
    <row r="76" spans="1:6" x14ac:dyDescent="0.2">
      <c r="A76" s="642" t="s">
        <v>2373</v>
      </c>
      <c r="B76" s="641">
        <v>0</v>
      </c>
      <c r="C76" s="641">
        <v>343399</v>
      </c>
      <c r="D76" s="641">
        <v>9209</v>
      </c>
      <c r="E76" s="641">
        <f t="shared" si="1"/>
        <v>352608</v>
      </c>
      <c r="F76" s="590"/>
    </row>
    <row r="77" spans="1:6" x14ac:dyDescent="0.2">
      <c r="A77" s="642" t="s">
        <v>2374</v>
      </c>
      <c r="B77" s="641">
        <v>2853128</v>
      </c>
      <c r="C77" s="641">
        <v>560833.99999998976</v>
      </c>
      <c r="D77" s="641">
        <v>788026</v>
      </c>
      <c r="E77" s="641">
        <f t="shared" si="1"/>
        <v>4201987.9999999898</v>
      </c>
      <c r="F77" s="590"/>
    </row>
    <row r="78" spans="1:6" x14ac:dyDescent="0.2">
      <c r="A78" s="642" t="s">
        <v>2375</v>
      </c>
      <c r="B78" s="641">
        <v>568138</v>
      </c>
      <c r="C78" s="641">
        <v>8429519</v>
      </c>
      <c r="D78" s="641">
        <v>156368</v>
      </c>
      <c r="E78" s="641">
        <f t="shared" si="1"/>
        <v>9154025</v>
      </c>
      <c r="F78" s="590"/>
    </row>
    <row r="79" spans="1:6" x14ac:dyDescent="0.2">
      <c r="A79" s="642" t="s">
        <v>2376</v>
      </c>
      <c r="B79" s="641">
        <v>11238809</v>
      </c>
      <c r="C79" s="641">
        <v>6788201</v>
      </c>
      <c r="D79" s="641">
        <v>3108394</v>
      </c>
      <c r="E79" s="641">
        <f t="shared" si="1"/>
        <v>21135404</v>
      </c>
      <c r="F79" s="590"/>
    </row>
    <row r="80" spans="1:6" x14ac:dyDescent="0.2">
      <c r="A80" s="642" t="s">
        <v>2377</v>
      </c>
      <c r="B80" s="641">
        <v>0</v>
      </c>
      <c r="C80" s="641">
        <v>5155113.13</v>
      </c>
      <c r="D80" s="641">
        <v>0</v>
      </c>
      <c r="E80" s="641">
        <f t="shared" si="1"/>
        <v>5155113.13</v>
      </c>
      <c r="F80" s="590"/>
    </row>
    <row r="81" spans="1:6" x14ac:dyDescent="0.2">
      <c r="A81" s="642" t="s">
        <v>2378</v>
      </c>
      <c r="B81" s="641">
        <v>0</v>
      </c>
      <c r="C81" s="641">
        <v>0</v>
      </c>
      <c r="D81" s="641">
        <v>0</v>
      </c>
      <c r="E81" s="641">
        <f t="shared" si="1"/>
        <v>0</v>
      </c>
      <c r="F81" s="590"/>
    </row>
    <row r="82" spans="1:6" x14ac:dyDescent="0.2">
      <c r="A82" s="642" t="s">
        <v>2379</v>
      </c>
      <c r="B82" s="641">
        <v>485288</v>
      </c>
      <c r="C82" s="641">
        <v>32329</v>
      </c>
      <c r="D82" s="641">
        <v>138756</v>
      </c>
      <c r="E82" s="641">
        <f t="shared" si="1"/>
        <v>656373</v>
      </c>
      <c r="F82" s="590"/>
    </row>
    <row r="83" spans="1:6" x14ac:dyDescent="0.2">
      <c r="A83" s="642" t="s">
        <v>2380</v>
      </c>
      <c r="B83" s="641">
        <v>704513</v>
      </c>
      <c r="C83" s="641">
        <v>7269030.9999999991</v>
      </c>
      <c r="D83" s="641">
        <v>372668</v>
      </c>
      <c r="E83" s="641">
        <f t="shared" si="1"/>
        <v>8346211.9999999991</v>
      </c>
      <c r="F83" s="590"/>
    </row>
    <row r="84" spans="1:6" x14ac:dyDescent="0.2">
      <c r="A84" s="642" t="s">
        <v>2381</v>
      </c>
      <c r="B84" s="641">
        <v>0</v>
      </c>
      <c r="C84" s="641">
        <v>1859152</v>
      </c>
      <c r="D84" s="641">
        <v>0</v>
      </c>
      <c r="E84" s="641">
        <f t="shared" si="1"/>
        <v>1859152</v>
      </c>
      <c r="F84" s="590"/>
    </row>
    <row r="85" spans="1:6" x14ac:dyDescent="0.2">
      <c r="A85" s="642" t="s">
        <v>2382</v>
      </c>
      <c r="B85" s="641">
        <v>0</v>
      </c>
      <c r="C85" s="641">
        <v>1520197.99999999</v>
      </c>
      <c r="D85" s="641">
        <v>0</v>
      </c>
      <c r="E85" s="641">
        <f t="shared" si="1"/>
        <v>1520197.99999999</v>
      </c>
      <c r="F85" s="590"/>
    </row>
    <row r="86" spans="1:6" x14ac:dyDescent="0.2">
      <c r="A86" s="642" t="s">
        <v>2383</v>
      </c>
      <c r="B86" s="641">
        <v>0</v>
      </c>
      <c r="C86" s="641">
        <v>0</v>
      </c>
      <c r="D86" s="641">
        <v>0</v>
      </c>
      <c r="E86" s="641">
        <f t="shared" si="1"/>
        <v>0</v>
      </c>
      <c r="F86" s="590"/>
    </row>
    <row r="87" spans="1:6" x14ac:dyDescent="0.2">
      <c r="A87" s="642" t="s">
        <v>2384</v>
      </c>
      <c r="B87" s="641">
        <v>0</v>
      </c>
      <c r="C87" s="641">
        <v>0</v>
      </c>
      <c r="D87" s="641">
        <v>0</v>
      </c>
      <c r="E87" s="641">
        <f t="shared" si="1"/>
        <v>0</v>
      </c>
      <c r="F87" s="590"/>
    </row>
    <row r="88" spans="1:6" x14ac:dyDescent="0.2">
      <c r="A88" s="642" t="s">
        <v>2385</v>
      </c>
      <c r="B88" s="641">
        <v>0</v>
      </c>
      <c r="C88" s="641">
        <v>1044482</v>
      </c>
      <c r="D88" s="641">
        <v>0</v>
      </c>
      <c r="E88" s="641">
        <f t="shared" si="1"/>
        <v>1044482</v>
      </c>
      <c r="F88" s="590"/>
    </row>
    <row r="89" spans="1:6" x14ac:dyDescent="0.2">
      <c r="A89" s="642" t="s">
        <v>2386</v>
      </c>
      <c r="B89" s="641">
        <v>0</v>
      </c>
      <c r="C89" s="641">
        <v>0</v>
      </c>
      <c r="D89" s="641">
        <v>0</v>
      </c>
      <c r="E89" s="641">
        <f t="shared" si="1"/>
        <v>0</v>
      </c>
      <c r="F89" s="590"/>
    </row>
    <row r="90" spans="1:6" x14ac:dyDescent="0.2">
      <c r="A90" s="642" t="s">
        <v>2387</v>
      </c>
      <c r="B90" s="641">
        <v>29468789</v>
      </c>
      <c r="C90" s="641">
        <v>-1</v>
      </c>
      <c r="D90" s="641">
        <v>8341773</v>
      </c>
      <c r="E90" s="641">
        <f t="shared" si="1"/>
        <v>37810561</v>
      </c>
      <c r="F90" s="590"/>
    </row>
    <row r="91" spans="1:6" x14ac:dyDescent="0.2">
      <c r="A91" s="643" t="s">
        <v>2388</v>
      </c>
      <c r="B91" s="641">
        <v>42167</v>
      </c>
      <c r="C91" s="641">
        <v>10278616</v>
      </c>
      <c r="D91" s="641">
        <v>34458</v>
      </c>
      <c r="E91" s="641">
        <f t="shared" si="1"/>
        <v>10355241</v>
      </c>
      <c r="F91" s="590"/>
    </row>
    <row r="92" spans="1:6" x14ac:dyDescent="0.2">
      <c r="A92" s="643" t="s">
        <v>2389</v>
      </c>
      <c r="B92" s="641">
        <v>-3519203</v>
      </c>
      <c r="C92" s="641">
        <v>-1631906</v>
      </c>
      <c r="D92" s="641">
        <v>-1002548</v>
      </c>
      <c r="E92" s="641">
        <f t="shared" si="1"/>
        <v>-6153657</v>
      </c>
    </row>
    <row r="93" spans="1:6" x14ac:dyDescent="0.2">
      <c r="A93" s="643" t="s">
        <v>2390</v>
      </c>
      <c r="B93" s="641">
        <v>0</v>
      </c>
      <c r="C93" s="641">
        <v>22071003</v>
      </c>
      <c r="D93" s="641">
        <v>0</v>
      </c>
      <c r="E93" s="641">
        <f t="shared" si="1"/>
        <v>22071003</v>
      </c>
    </row>
    <row r="94" spans="1:6" x14ac:dyDescent="0.2">
      <c r="A94" s="643" t="s">
        <v>2391</v>
      </c>
      <c r="B94" s="641">
        <v>0</v>
      </c>
      <c r="C94" s="641">
        <v>6197670</v>
      </c>
      <c r="D94" s="641">
        <v>0</v>
      </c>
      <c r="E94" s="641">
        <f t="shared" si="1"/>
        <v>6197670</v>
      </c>
    </row>
    <row r="95" spans="1:6" x14ac:dyDescent="0.2">
      <c r="A95" s="643" t="s">
        <v>1439</v>
      </c>
      <c r="B95" s="641">
        <v>0</v>
      </c>
      <c r="C95" s="641">
        <v>4251192</v>
      </c>
      <c r="D95" s="641">
        <v>757233</v>
      </c>
      <c r="E95" s="641">
        <f t="shared" si="1"/>
        <v>5008425</v>
      </c>
    </row>
    <row r="96" spans="1:6" x14ac:dyDescent="0.2">
      <c r="A96" s="643" t="s">
        <v>1440</v>
      </c>
      <c r="B96" s="641">
        <v>0</v>
      </c>
      <c r="C96" s="641">
        <v>-6</v>
      </c>
      <c r="D96" s="641">
        <v>30537150</v>
      </c>
      <c r="E96" s="641">
        <f t="shared" si="1"/>
        <v>30537144</v>
      </c>
    </row>
    <row r="97" spans="1:5" x14ac:dyDescent="0.2">
      <c r="A97" s="643" t="s">
        <v>2392</v>
      </c>
      <c r="B97" s="641">
        <v>0</v>
      </c>
      <c r="C97" s="641">
        <v>0</v>
      </c>
      <c r="D97" s="641">
        <v>0</v>
      </c>
      <c r="E97" s="641">
        <f t="shared" si="1"/>
        <v>0</v>
      </c>
    </row>
    <row r="98" spans="1:5" x14ac:dyDescent="0.2">
      <c r="A98" s="643" t="s">
        <v>2393</v>
      </c>
      <c r="B98" s="641">
        <v>0</v>
      </c>
      <c r="C98" s="641">
        <v>2057951</v>
      </c>
      <c r="D98" s="641">
        <v>0</v>
      </c>
      <c r="E98" s="641">
        <f t="shared" si="1"/>
        <v>2057951</v>
      </c>
    </row>
    <row r="99" spans="1:5" x14ac:dyDescent="0.2">
      <c r="A99" s="643" t="s">
        <v>2394</v>
      </c>
      <c r="B99" s="641">
        <v>0</v>
      </c>
      <c r="C99" s="641">
        <v>0</v>
      </c>
      <c r="D99" s="641">
        <v>0</v>
      </c>
      <c r="E99" s="641">
        <f t="shared" si="1"/>
        <v>0</v>
      </c>
    </row>
    <row r="100" spans="1:5" x14ac:dyDescent="0.2">
      <c r="A100" s="643" t="s">
        <v>2395</v>
      </c>
      <c r="B100" s="641">
        <v>0</v>
      </c>
      <c r="C100" s="641">
        <v>3317</v>
      </c>
      <c r="D100" s="641">
        <v>0</v>
      </c>
      <c r="E100" s="641">
        <f t="shared" si="1"/>
        <v>3317</v>
      </c>
    </row>
    <row r="101" spans="1:5" x14ac:dyDescent="0.2">
      <c r="A101" s="643" t="s">
        <v>2396</v>
      </c>
      <c r="B101" s="641">
        <v>0</v>
      </c>
      <c r="C101" s="641">
        <v>3706329.9999999902</v>
      </c>
      <c r="D101" s="641">
        <v>0</v>
      </c>
      <c r="E101" s="641">
        <f t="shared" si="1"/>
        <v>3706329.9999999902</v>
      </c>
    </row>
    <row r="102" spans="1:5" x14ac:dyDescent="0.2">
      <c r="A102" s="643" t="s">
        <v>2397</v>
      </c>
      <c r="B102" s="641">
        <v>0</v>
      </c>
      <c r="C102" s="641">
        <v>2989607</v>
      </c>
      <c r="D102" s="641">
        <v>0</v>
      </c>
      <c r="E102" s="641">
        <f t="shared" si="1"/>
        <v>2989607</v>
      </c>
    </row>
    <row r="103" spans="1:5" x14ac:dyDescent="0.2">
      <c r="A103" s="643" t="s">
        <v>2398</v>
      </c>
      <c r="B103" s="641">
        <v>693858</v>
      </c>
      <c r="C103" s="641">
        <v>558044.99999998999</v>
      </c>
      <c r="D103" s="641">
        <v>146883</v>
      </c>
      <c r="E103" s="641">
        <f t="shared" si="1"/>
        <v>1398785.99999999</v>
      </c>
    </row>
    <row r="104" spans="1:5" x14ac:dyDescent="0.2">
      <c r="A104" s="644" t="s">
        <v>2399</v>
      </c>
      <c r="B104" s="645">
        <f>SUM(B8:B103)</f>
        <v>114708364</v>
      </c>
      <c r="C104" s="645">
        <f>SUM(C8:C103)</f>
        <v>760119147.69972634</v>
      </c>
      <c r="D104" s="645">
        <f>SUM(D8:D103)</f>
        <v>64158810</v>
      </c>
      <c r="E104" s="645">
        <f>SUM(E8:E103)</f>
        <v>938986321.69972634</v>
      </c>
    </row>
  </sheetData>
  <mergeCells count="1">
    <mergeCell ref="B6:D6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"/>
  <sheetViews>
    <sheetView workbookViewId="0">
      <selection activeCell="A2" sqref="A2"/>
    </sheetView>
  </sheetViews>
  <sheetFormatPr defaultRowHeight="15" x14ac:dyDescent="0.25"/>
  <cols>
    <col min="1" max="1" width="15.33203125" style="617" customWidth="1"/>
    <col min="2" max="10" width="7.5546875" style="617" bestFit="1" customWidth="1"/>
    <col min="11" max="13" width="8.33203125" style="617" bestFit="1" customWidth="1"/>
    <col min="14" max="14" width="10.21875" style="617" customWidth="1"/>
    <col min="15" max="23" width="7.5546875" style="617" bestFit="1" customWidth="1"/>
    <col min="24" max="26" width="8.33203125" style="617" bestFit="1" customWidth="1"/>
    <col min="27" max="30" width="7.5546875" style="617" bestFit="1" customWidth="1"/>
    <col min="31" max="31" width="10.5546875" style="617" customWidth="1"/>
    <col min="32" max="16384" width="8.88671875" style="617"/>
  </cols>
  <sheetData>
    <row r="1" spans="1:31" x14ac:dyDescent="0.25">
      <c r="A1" s="617" t="s">
        <v>2484</v>
      </c>
    </row>
    <row r="2" spans="1:31" x14ac:dyDescent="0.25">
      <c r="A2" s="617" t="s">
        <v>2485</v>
      </c>
    </row>
    <row r="3" spans="1:31" x14ac:dyDescent="0.25">
      <c r="B3" s="618">
        <v>43131</v>
      </c>
      <c r="C3" s="618">
        <f>EOMONTH(B3,1)</f>
        <v>43159</v>
      </c>
      <c r="D3" s="618">
        <f t="shared" ref="D3:AD3" si="0">EOMONTH(C3,1)</f>
        <v>43190</v>
      </c>
      <c r="E3" s="618">
        <f t="shared" si="0"/>
        <v>43220</v>
      </c>
      <c r="F3" s="618">
        <f t="shared" si="0"/>
        <v>43251</v>
      </c>
      <c r="G3" s="618">
        <f t="shared" si="0"/>
        <v>43281</v>
      </c>
      <c r="H3" s="618">
        <f t="shared" si="0"/>
        <v>43312</v>
      </c>
      <c r="I3" s="618">
        <f t="shared" si="0"/>
        <v>43343</v>
      </c>
      <c r="J3" s="618">
        <f t="shared" si="0"/>
        <v>43373</v>
      </c>
      <c r="K3" s="618">
        <f t="shared" si="0"/>
        <v>43404</v>
      </c>
      <c r="L3" s="618">
        <f t="shared" si="0"/>
        <v>43434</v>
      </c>
      <c r="M3" s="618">
        <f t="shared" si="0"/>
        <v>43465</v>
      </c>
      <c r="N3" s="617" t="s">
        <v>2490</v>
      </c>
      <c r="O3" s="618">
        <f>EOMONTH(M3,1)</f>
        <v>43496</v>
      </c>
      <c r="P3" s="618">
        <f t="shared" si="0"/>
        <v>43524</v>
      </c>
      <c r="Q3" s="618">
        <f t="shared" si="0"/>
        <v>43555</v>
      </c>
      <c r="R3" s="618">
        <f t="shared" si="0"/>
        <v>43585</v>
      </c>
      <c r="S3" s="618">
        <f t="shared" si="0"/>
        <v>43616</v>
      </c>
      <c r="T3" s="618">
        <f t="shared" si="0"/>
        <v>43646</v>
      </c>
      <c r="U3" s="618">
        <f t="shared" si="0"/>
        <v>43677</v>
      </c>
      <c r="V3" s="618">
        <f t="shared" si="0"/>
        <v>43708</v>
      </c>
      <c r="W3" s="618">
        <f t="shared" si="0"/>
        <v>43738</v>
      </c>
      <c r="X3" s="618">
        <f t="shared" si="0"/>
        <v>43769</v>
      </c>
      <c r="Y3" s="618">
        <f t="shared" si="0"/>
        <v>43799</v>
      </c>
      <c r="Z3" s="618">
        <f t="shared" si="0"/>
        <v>43830</v>
      </c>
      <c r="AA3" s="618">
        <f t="shared" si="0"/>
        <v>43861</v>
      </c>
      <c r="AB3" s="618">
        <f t="shared" si="0"/>
        <v>43890</v>
      </c>
      <c r="AC3" s="618">
        <f t="shared" si="0"/>
        <v>43921</v>
      </c>
      <c r="AD3" s="618">
        <f t="shared" si="0"/>
        <v>43951</v>
      </c>
      <c r="AE3" s="617" t="s">
        <v>2491</v>
      </c>
    </row>
    <row r="4" spans="1:31" x14ac:dyDescent="0.25">
      <c r="A4" s="617" t="s">
        <v>2486</v>
      </c>
      <c r="B4" s="619">
        <v>0</v>
      </c>
      <c r="C4" s="619">
        <v>0</v>
      </c>
      <c r="D4" s="619">
        <v>0</v>
      </c>
      <c r="E4" s="619">
        <v>0</v>
      </c>
      <c r="F4" s="619">
        <v>0</v>
      </c>
      <c r="G4" s="619">
        <v>-12.867540000000002</v>
      </c>
      <c r="H4" s="619">
        <v>-12.867540000000002</v>
      </c>
      <c r="I4" s="619">
        <v>-12.867540000000002</v>
      </c>
      <c r="J4" s="619">
        <v>-12.867540000000002</v>
      </c>
      <c r="K4" s="619">
        <v>-12.867540000000002</v>
      </c>
      <c r="L4" s="619">
        <v>-12.867540000000002</v>
      </c>
      <c r="M4" s="619">
        <v>-12.867540000000002</v>
      </c>
      <c r="N4" s="622">
        <f>SUM(B4:M4)</f>
        <v>-90.072780000000023</v>
      </c>
      <c r="O4" s="619">
        <v>-12.867540000000002</v>
      </c>
      <c r="P4" s="619">
        <v>-12.867540000000002</v>
      </c>
      <c r="Q4" s="619">
        <v>-12.867540000000002</v>
      </c>
      <c r="R4" s="619">
        <v>-12.867540000000002</v>
      </c>
      <c r="S4" s="619">
        <v>-12.867540000000002</v>
      </c>
      <c r="T4" s="619">
        <v>-12.867540000000002</v>
      </c>
      <c r="U4" s="619">
        <v>-12.867540000000002</v>
      </c>
      <c r="V4" s="619">
        <v>-12.867540000000002</v>
      </c>
      <c r="W4" s="619">
        <v>-12.867540000000002</v>
      </c>
      <c r="X4" s="619">
        <v>-12.867540000000002</v>
      </c>
      <c r="Y4" s="619">
        <v>-12.867540000000002</v>
      </c>
      <c r="Z4" s="619">
        <v>-12.867540000000002</v>
      </c>
      <c r="AA4" s="619">
        <v>-12.867540000000002</v>
      </c>
      <c r="AB4" s="619">
        <v>-12.867540000000002</v>
      </c>
      <c r="AC4" s="619">
        <v>-12.867540000000002</v>
      </c>
      <c r="AD4" s="619">
        <v>-12.867540000000002</v>
      </c>
      <c r="AE4" s="622">
        <f>SUM(S4:AD4)</f>
        <v>-154.41048000000001</v>
      </c>
    </row>
    <row r="5" spans="1:31" x14ac:dyDescent="0.25">
      <c r="A5" s="617" t="s">
        <v>2487</v>
      </c>
      <c r="B5" s="620">
        <v>-229.48190000000002</v>
      </c>
      <c r="C5" s="620">
        <v>-229.48190000000002</v>
      </c>
      <c r="D5" s="620">
        <v>-229.48190000000002</v>
      </c>
      <c r="E5" s="620">
        <v>-229.48190000000002</v>
      </c>
      <c r="F5" s="620">
        <v>-229.48190000000002</v>
      </c>
      <c r="G5" s="620">
        <v>-229.48190000000002</v>
      </c>
      <c r="H5" s="620">
        <v>-229.48190000000002</v>
      </c>
      <c r="I5" s="620">
        <v>-229.48190000000002</v>
      </c>
      <c r="J5" s="620">
        <v>-229.48190000000002</v>
      </c>
      <c r="K5" s="620">
        <v>-229.48190000000002</v>
      </c>
      <c r="L5" s="620">
        <v>-229.48190000000002</v>
      </c>
      <c r="M5" s="620">
        <v>-229.48190000000002</v>
      </c>
      <c r="N5" s="622">
        <f>SUM(B5:M5)</f>
        <v>-2753.7828000000009</v>
      </c>
      <c r="O5" s="620">
        <v>-229.48190000000002</v>
      </c>
      <c r="P5" s="620">
        <v>-229.48190000000002</v>
      </c>
      <c r="Q5" s="620">
        <v>-229.48190000000002</v>
      </c>
      <c r="R5" s="620">
        <v>-229.48190000000002</v>
      </c>
      <c r="S5" s="620">
        <v>-245.63741000000002</v>
      </c>
      <c r="T5" s="620">
        <v>-245.63741000000002</v>
      </c>
      <c r="U5" s="620">
        <v>-245.63741000000002</v>
      </c>
      <c r="V5" s="620">
        <v>-245.63741000000002</v>
      </c>
      <c r="W5" s="620">
        <v>-245.63741000000002</v>
      </c>
      <c r="X5" s="620">
        <v>-245.63741000000002</v>
      </c>
      <c r="Y5" s="620">
        <v>-245.63741000000002</v>
      </c>
      <c r="Z5" s="620">
        <v>-245.63741000000002</v>
      </c>
      <c r="AA5" s="620">
        <v>-245.63741000000002</v>
      </c>
      <c r="AB5" s="620">
        <v>-245.63741000000002</v>
      </c>
      <c r="AC5" s="620">
        <v>-245.63741000000002</v>
      </c>
      <c r="AD5" s="620">
        <v>-245.63741000000002</v>
      </c>
      <c r="AE5" s="622">
        <f>SUM(S5:AD5)</f>
        <v>-2947.6489199999996</v>
      </c>
    </row>
    <row r="6" spans="1:31" x14ac:dyDescent="0.25">
      <c r="A6" s="617" t="s">
        <v>2488</v>
      </c>
      <c r="B6" s="620">
        <v>-20.63991</v>
      </c>
      <c r="C6" s="620">
        <v>-20.485949999999999</v>
      </c>
      <c r="D6" s="620">
        <v>-20.485949999999999</v>
      </c>
      <c r="E6" s="620">
        <v>-20.485949999999999</v>
      </c>
      <c r="F6" s="620">
        <v>-20.485949999999999</v>
      </c>
      <c r="G6" s="620">
        <v>-20.485949999999999</v>
      </c>
      <c r="H6" s="620">
        <v>-20.485949999999981</v>
      </c>
      <c r="I6" s="620">
        <v>-20.485949999999981</v>
      </c>
      <c r="J6" s="620">
        <v>-20.485949999999981</v>
      </c>
      <c r="K6" s="620">
        <v>-20.485949999999981</v>
      </c>
      <c r="L6" s="620">
        <v>-20.485949999999981</v>
      </c>
      <c r="M6" s="620">
        <v>-20.485949999999981</v>
      </c>
      <c r="N6" s="622">
        <f>SUM(B6:M6)</f>
        <v>-245.98535999999987</v>
      </c>
      <c r="O6" s="620">
        <v>-20.485949999999981</v>
      </c>
      <c r="P6" s="620">
        <v>-20.485949999999981</v>
      </c>
      <c r="Q6" s="620">
        <v>-20.485949999999981</v>
      </c>
      <c r="R6" s="620">
        <v>-20.485949999999981</v>
      </c>
      <c r="S6" s="620">
        <v>-5.0341199999999953</v>
      </c>
      <c r="T6" s="620">
        <v>-5.0341199999999953</v>
      </c>
      <c r="U6" s="620">
        <v>-5.0341199999999953</v>
      </c>
      <c r="V6" s="620">
        <v>-5.0341199999999953</v>
      </c>
      <c r="W6" s="620">
        <v>-5.0341199999999953</v>
      </c>
      <c r="X6" s="620">
        <v>-5.0341199999999953</v>
      </c>
      <c r="Y6" s="620">
        <v>-5.0341199999999953</v>
      </c>
      <c r="Z6" s="620">
        <v>-5.0341199999999953</v>
      </c>
      <c r="AA6" s="620">
        <v>-5.0341199999999953</v>
      </c>
      <c r="AB6" s="620">
        <v>-5.0341199999999953</v>
      </c>
      <c r="AC6" s="620">
        <v>-5.0341199999999953</v>
      </c>
      <c r="AD6" s="620">
        <v>-5.0341199999999953</v>
      </c>
      <c r="AE6" s="622">
        <f>SUM(S6:AD6)</f>
        <v>-60.40943999999994</v>
      </c>
    </row>
    <row r="7" spans="1:31" ht="15.75" thickBot="1" x14ac:dyDescent="0.3">
      <c r="A7" s="617" t="s">
        <v>2489</v>
      </c>
      <c r="B7" s="621">
        <f>SUM(B4:B6)</f>
        <v>-250.12181000000004</v>
      </c>
      <c r="C7" s="621">
        <f t="shared" ref="C7:AD7" si="1">SUM(C4:C6)</f>
        <v>-249.96785000000003</v>
      </c>
      <c r="D7" s="621">
        <f t="shared" si="1"/>
        <v>-249.96785000000003</v>
      </c>
      <c r="E7" s="621">
        <f t="shared" si="1"/>
        <v>-249.96785000000003</v>
      </c>
      <c r="F7" s="621">
        <f t="shared" si="1"/>
        <v>-249.96785000000003</v>
      </c>
      <c r="G7" s="621">
        <f t="shared" si="1"/>
        <v>-262.83539000000002</v>
      </c>
      <c r="H7" s="621">
        <f t="shared" si="1"/>
        <v>-262.83539000000002</v>
      </c>
      <c r="I7" s="621">
        <f t="shared" si="1"/>
        <v>-262.83539000000002</v>
      </c>
      <c r="J7" s="621">
        <f t="shared" si="1"/>
        <v>-262.83539000000002</v>
      </c>
      <c r="K7" s="621">
        <f t="shared" si="1"/>
        <v>-262.83539000000002</v>
      </c>
      <c r="L7" s="621">
        <f t="shared" si="1"/>
        <v>-262.83539000000002</v>
      </c>
      <c r="M7" s="621">
        <f t="shared" si="1"/>
        <v>-262.83539000000002</v>
      </c>
      <c r="N7" s="623">
        <f>SUM(B7:M7)</f>
        <v>-3089.8409400000005</v>
      </c>
      <c r="O7" s="621">
        <f t="shared" si="1"/>
        <v>-262.83539000000002</v>
      </c>
      <c r="P7" s="621">
        <f t="shared" si="1"/>
        <v>-262.83539000000002</v>
      </c>
      <c r="Q7" s="621">
        <f t="shared" si="1"/>
        <v>-262.83539000000002</v>
      </c>
      <c r="R7" s="621">
        <f t="shared" si="1"/>
        <v>-262.83539000000002</v>
      </c>
      <c r="S7" s="621">
        <f t="shared" si="1"/>
        <v>-263.53906999999998</v>
      </c>
      <c r="T7" s="621">
        <f t="shared" si="1"/>
        <v>-263.53906999999998</v>
      </c>
      <c r="U7" s="621">
        <f t="shared" si="1"/>
        <v>-263.53906999999998</v>
      </c>
      <c r="V7" s="621">
        <f t="shared" si="1"/>
        <v>-263.53906999999998</v>
      </c>
      <c r="W7" s="621">
        <f t="shared" si="1"/>
        <v>-263.53906999999998</v>
      </c>
      <c r="X7" s="621">
        <f t="shared" si="1"/>
        <v>-263.53906999999998</v>
      </c>
      <c r="Y7" s="621">
        <f t="shared" si="1"/>
        <v>-263.53906999999998</v>
      </c>
      <c r="Z7" s="621">
        <f t="shared" si="1"/>
        <v>-263.53906999999998</v>
      </c>
      <c r="AA7" s="621">
        <f t="shared" si="1"/>
        <v>-263.53906999999998</v>
      </c>
      <c r="AB7" s="621">
        <f t="shared" si="1"/>
        <v>-263.53906999999998</v>
      </c>
      <c r="AC7" s="621">
        <f t="shared" si="1"/>
        <v>-263.53906999999998</v>
      </c>
      <c r="AD7" s="621">
        <f t="shared" si="1"/>
        <v>-263.53906999999998</v>
      </c>
      <c r="AE7" s="623">
        <f>SUM(S7:AD7)</f>
        <v>-3162.4688399999991</v>
      </c>
    </row>
    <row r="8" spans="1:31" ht="15.75" thickTop="1" x14ac:dyDescent="0.25"/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52"/>
  <sheetViews>
    <sheetView workbookViewId="0">
      <selection activeCell="L7" sqref="L7"/>
    </sheetView>
  </sheetViews>
  <sheetFormatPr defaultColWidth="9" defaultRowHeight="15" x14ac:dyDescent="0.25"/>
  <cols>
    <col min="1" max="1" width="44.6640625" style="424" customWidth="1"/>
    <col min="2" max="2" width="11.21875" style="424" bestFit="1" customWidth="1"/>
    <col min="3" max="3" width="14.6640625" style="424" customWidth="1"/>
    <col min="4" max="4" width="2.44140625" style="424" customWidth="1"/>
    <col min="5" max="5" width="12.77734375" style="424" customWidth="1"/>
    <col min="6" max="6" width="12.33203125" style="424" customWidth="1"/>
    <col min="7" max="10" width="9" style="424"/>
    <col min="11" max="13" width="15.77734375" style="424" customWidth="1"/>
    <col min="14" max="14" width="14.109375" style="424" customWidth="1"/>
    <col min="15" max="15" width="9" style="424"/>
    <col min="16" max="16" width="11.88671875" style="424" customWidth="1"/>
    <col min="17" max="16384" width="9" style="424"/>
  </cols>
  <sheetData>
    <row r="1" spans="1:14" ht="15.95" customHeight="1" x14ac:dyDescent="0.25">
      <c r="A1" s="888" t="s">
        <v>1518</v>
      </c>
      <c r="B1" s="888"/>
      <c r="C1" s="888"/>
      <c r="K1" s="632" t="s">
        <v>2547</v>
      </c>
      <c r="M1" s="632" t="s">
        <v>2549</v>
      </c>
    </row>
    <row r="2" spans="1:14" ht="15.95" customHeight="1" x14ac:dyDescent="0.25">
      <c r="A2" s="492" t="s">
        <v>332</v>
      </c>
      <c r="B2" s="492" t="s">
        <v>1443</v>
      </c>
      <c r="C2" s="492" t="s">
        <v>934</v>
      </c>
      <c r="K2" s="502" t="s">
        <v>1519</v>
      </c>
      <c r="L2" s="632" t="s">
        <v>2548</v>
      </c>
      <c r="M2" s="502" t="s">
        <v>1519</v>
      </c>
      <c r="N2" s="632" t="s">
        <v>2548</v>
      </c>
    </row>
    <row r="3" spans="1:14" ht="15.95" customHeight="1" x14ac:dyDescent="0.25">
      <c r="A3" s="425" t="s">
        <v>1507</v>
      </c>
      <c r="B3" s="426">
        <v>510</v>
      </c>
      <c r="C3" s="427">
        <f>L3+N3</f>
        <v>875481.74640830699</v>
      </c>
      <c r="L3" s="427">
        <f>'Outage Maintenance'!AG7*1000</f>
        <v>876026.22079734376</v>
      </c>
      <c r="N3" s="427">
        <f>'Outage Maintenance'!AG34*1000</f>
        <v>-544.47438903674777</v>
      </c>
    </row>
    <row r="4" spans="1:14" ht="15.95" customHeight="1" x14ac:dyDescent="0.25">
      <c r="A4" s="424" t="s">
        <v>1508</v>
      </c>
      <c r="B4" s="425">
        <v>511</v>
      </c>
      <c r="C4" s="427">
        <f t="shared" ref="C4:C12" si="0">L4+N4</f>
        <v>166761.4654212051</v>
      </c>
      <c r="L4" s="427">
        <f>'Outage Maintenance'!AG8*1000</f>
        <v>138231.28871055905</v>
      </c>
      <c r="N4" s="427">
        <f>'Outage Maintenance'!AG35*1000</f>
        <v>28530.176710646043</v>
      </c>
    </row>
    <row r="5" spans="1:14" ht="15.95" customHeight="1" x14ac:dyDescent="0.25">
      <c r="A5" s="424" t="s">
        <v>1509</v>
      </c>
      <c r="B5" s="426">
        <v>512</v>
      </c>
      <c r="C5" s="427">
        <f t="shared" si="0"/>
        <v>13814100.733696936</v>
      </c>
      <c r="L5" s="427">
        <f>'Outage Maintenance'!AG9*1000</f>
        <v>14142301.638282865</v>
      </c>
      <c r="N5" s="427">
        <f>'Outage Maintenance'!AG36*1000</f>
        <v>-328200.90458592965</v>
      </c>
    </row>
    <row r="6" spans="1:14" ht="15.95" customHeight="1" x14ac:dyDescent="0.25">
      <c r="A6" s="424" t="s">
        <v>1510</v>
      </c>
      <c r="B6" s="426">
        <v>513</v>
      </c>
      <c r="C6" s="427">
        <f t="shared" si="0"/>
        <v>5347856.9026975324</v>
      </c>
      <c r="L6" s="427">
        <f>'Outage Maintenance'!AG10*1000</f>
        <v>5403981.3272639019</v>
      </c>
      <c r="N6" s="427">
        <f>'Outage Maintenance'!AG37*1000</f>
        <v>-56124.42456636922</v>
      </c>
    </row>
    <row r="7" spans="1:14" ht="15.95" customHeight="1" x14ac:dyDescent="0.25">
      <c r="A7" s="424" t="s">
        <v>1511</v>
      </c>
      <c r="B7" s="426">
        <v>514</v>
      </c>
      <c r="C7" s="427">
        <f t="shared" si="0"/>
        <v>946.26015581286288</v>
      </c>
      <c r="E7" s="421" t="s">
        <v>1441</v>
      </c>
      <c r="L7" s="427">
        <f>'Outage Maintenance'!AG11*1000</f>
        <v>1209.2164651547009</v>
      </c>
      <c r="N7" s="427">
        <f>'Outage Maintenance'!AG38*1000</f>
        <v>-262.95630934183799</v>
      </c>
    </row>
    <row r="8" spans="1:14" ht="15.95" customHeight="1" x14ac:dyDescent="0.25">
      <c r="A8" s="424" t="s">
        <v>1512</v>
      </c>
      <c r="B8" s="426">
        <v>549</v>
      </c>
      <c r="C8" s="427">
        <f t="shared" si="0"/>
        <v>44445.725053310118</v>
      </c>
      <c r="L8" s="427">
        <f>'Outage Maintenance'!AG12*1000</f>
        <v>26247.773627775441</v>
      </c>
      <c r="N8" s="427">
        <f>'Outage Maintenance'!AG39*1000</f>
        <v>18197.95142553468</v>
      </c>
    </row>
    <row r="9" spans="1:14" ht="15.95" customHeight="1" x14ac:dyDescent="0.25">
      <c r="A9" s="424" t="s">
        <v>1513</v>
      </c>
      <c r="B9" s="426">
        <v>551</v>
      </c>
      <c r="C9" s="427">
        <f t="shared" si="0"/>
        <v>51950.460312343057</v>
      </c>
      <c r="L9" s="427">
        <f>'Outage Maintenance'!AG13*1000</f>
        <v>57076.854688968298</v>
      </c>
      <c r="N9" s="427">
        <f>'Outage Maintenance'!AG40*1000</f>
        <v>-5126.3943766252432</v>
      </c>
    </row>
    <row r="10" spans="1:14" ht="15.95" customHeight="1" x14ac:dyDescent="0.25">
      <c r="A10" s="424" t="s">
        <v>1514</v>
      </c>
      <c r="B10" s="426">
        <v>552</v>
      </c>
      <c r="C10" s="427">
        <f t="shared" si="0"/>
        <v>-86538.128423362068</v>
      </c>
      <c r="L10" s="427">
        <f>'Outage Maintenance'!AG14*1000</f>
        <v>26071.818916350108</v>
      </c>
      <c r="N10" s="427">
        <f>'Outage Maintenance'!AG41*1000</f>
        <v>-112609.94733971218</v>
      </c>
    </row>
    <row r="11" spans="1:14" ht="15.95" customHeight="1" x14ac:dyDescent="0.25">
      <c r="A11" s="424" t="s">
        <v>1515</v>
      </c>
      <c r="B11" s="426">
        <v>553</v>
      </c>
      <c r="C11" s="427">
        <f t="shared" si="0"/>
        <v>1652681.3216301992</v>
      </c>
      <c r="L11" s="427">
        <f>'Outage Maintenance'!AG15*1000</f>
        <v>1440639.338579234</v>
      </c>
      <c r="N11" s="427">
        <f>'Outage Maintenance'!AG42*1000</f>
        <v>212041.98305096524</v>
      </c>
    </row>
    <row r="12" spans="1:14" ht="15.95" customHeight="1" x14ac:dyDescent="0.25">
      <c r="A12" s="424" t="s">
        <v>1516</v>
      </c>
      <c r="B12" s="426">
        <v>554</v>
      </c>
      <c r="C12" s="427">
        <f t="shared" si="0"/>
        <v>1016304.1047057747</v>
      </c>
      <c r="L12" s="427">
        <f>'Outage Maintenance'!AG16*1000</f>
        <v>1007729.0263262911</v>
      </c>
      <c r="N12" s="427">
        <f>'Outage Maintenance'!AG43*1000</f>
        <v>8575.0783794834952</v>
      </c>
    </row>
    <row r="13" spans="1:14" ht="15.95" customHeight="1" x14ac:dyDescent="0.25">
      <c r="A13" s="424" t="s">
        <v>1517</v>
      </c>
      <c r="C13" s="427">
        <f>SUM(C3:C12)</f>
        <v>22883990.591658056</v>
      </c>
      <c r="K13" s="427">
        <f>SUM(L3:M12)</f>
        <v>23119514.503658447</v>
      </c>
      <c r="L13" s="427">
        <f>SUM(L3:L12)</f>
        <v>23119514.503658447</v>
      </c>
      <c r="M13" s="427">
        <f>SUM(N3:O12)</f>
        <v>-235523.9120003854</v>
      </c>
      <c r="N13" s="427">
        <f>SUM(N3:N12)</f>
        <v>-235523.9120003854</v>
      </c>
    </row>
    <row r="14" spans="1:14" ht="15.95" customHeight="1" x14ac:dyDescent="0.25"/>
    <row r="15" spans="1:14" ht="15.95" customHeight="1" x14ac:dyDescent="0.25">
      <c r="A15" s="710" t="s">
        <v>332</v>
      </c>
      <c r="B15" s="710" t="s">
        <v>1443</v>
      </c>
      <c r="C15" s="710" t="s">
        <v>934</v>
      </c>
      <c r="K15" s="502" t="s">
        <v>1519</v>
      </c>
      <c r="L15" s="632" t="s">
        <v>2548</v>
      </c>
      <c r="M15" s="502"/>
      <c r="N15" s="632"/>
    </row>
    <row r="16" spans="1:14" ht="15.95" customHeight="1" x14ac:dyDescent="0.25">
      <c r="A16" s="425" t="s">
        <v>1507</v>
      </c>
      <c r="B16" s="426">
        <v>510</v>
      </c>
      <c r="C16" s="427">
        <f>L16+N16</f>
        <v>65557.965677464716</v>
      </c>
      <c r="L16" s="427">
        <f>'Outage Maintenance'!AG63*1000</f>
        <v>65557.965677464716</v>
      </c>
      <c r="N16" s="427"/>
    </row>
    <row r="17" spans="1:14" ht="15.95" customHeight="1" x14ac:dyDescent="0.25">
      <c r="A17" s="424" t="s">
        <v>1508</v>
      </c>
      <c r="B17" s="425">
        <v>511</v>
      </c>
      <c r="C17" s="427">
        <f t="shared" ref="C17:C25" si="1">L17+N17</f>
        <v>0</v>
      </c>
      <c r="L17" s="427">
        <f>'Outage Maintenance'!AG64*1000</f>
        <v>0</v>
      </c>
      <c r="N17" s="427"/>
    </row>
    <row r="18" spans="1:14" ht="15.95" customHeight="1" x14ac:dyDescent="0.25">
      <c r="A18" s="424" t="s">
        <v>1509</v>
      </c>
      <c r="B18" s="426">
        <v>512</v>
      </c>
      <c r="C18" s="427">
        <f t="shared" si="1"/>
        <v>915342.23314861651</v>
      </c>
      <c r="L18" s="427">
        <f>'Outage Maintenance'!AG65*1000</f>
        <v>915342.23314861651</v>
      </c>
      <c r="N18" s="427"/>
    </row>
    <row r="19" spans="1:14" ht="15.95" customHeight="1" x14ac:dyDescent="0.25">
      <c r="A19" s="424" t="s">
        <v>1510</v>
      </c>
      <c r="B19" s="426">
        <v>513</v>
      </c>
      <c r="C19" s="427">
        <f t="shared" si="1"/>
        <v>529737.96938548086</v>
      </c>
      <c r="L19" s="427">
        <f>'Outage Maintenance'!AG66*1000</f>
        <v>529737.96938548086</v>
      </c>
      <c r="N19" s="427"/>
    </row>
    <row r="20" spans="1:14" ht="15.95" customHeight="1" x14ac:dyDescent="0.25">
      <c r="A20" s="424" t="s">
        <v>1511</v>
      </c>
      <c r="B20" s="426">
        <v>514</v>
      </c>
      <c r="C20" s="427">
        <f t="shared" si="1"/>
        <v>0</v>
      </c>
      <c r="E20" s="715" t="s">
        <v>2625</v>
      </c>
      <c r="L20" s="427">
        <f>'Outage Maintenance'!AG67*1000</f>
        <v>0</v>
      </c>
      <c r="N20" s="427"/>
    </row>
    <row r="21" spans="1:14" ht="15.95" customHeight="1" x14ac:dyDescent="0.25">
      <c r="A21" s="424" t="s">
        <v>1512</v>
      </c>
      <c r="B21" s="426">
        <v>549</v>
      </c>
      <c r="C21" s="427">
        <f t="shared" si="1"/>
        <v>0</v>
      </c>
      <c r="L21" s="427">
        <f>'Outage Maintenance'!AG68*1000</f>
        <v>0</v>
      </c>
      <c r="N21" s="427"/>
    </row>
    <row r="22" spans="1:14" ht="15.95" customHeight="1" x14ac:dyDescent="0.25">
      <c r="A22" s="424" t="s">
        <v>1513</v>
      </c>
      <c r="B22" s="426">
        <v>551</v>
      </c>
      <c r="C22" s="427">
        <f t="shared" si="1"/>
        <v>20824.883261444389</v>
      </c>
      <c r="L22" s="427">
        <f>'Outage Maintenance'!AG69*1000</f>
        <v>20824.883261444389</v>
      </c>
      <c r="N22" s="427"/>
    </row>
    <row r="23" spans="1:14" ht="15.95" customHeight="1" x14ac:dyDescent="0.25">
      <c r="A23" s="424" t="s">
        <v>1514</v>
      </c>
      <c r="B23" s="426">
        <v>552</v>
      </c>
      <c r="C23" s="427">
        <f t="shared" si="1"/>
        <v>0</v>
      </c>
      <c r="L23" s="427">
        <f>'Outage Maintenance'!AG70*1000</f>
        <v>0</v>
      </c>
      <c r="N23" s="427"/>
    </row>
    <row r="24" spans="1:14" ht="15.95" customHeight="1" x14ac:dyDescent="0.25">
      <c r="A24" s="424" t="s">
        <v>1515</v>
      </c>
      <c r="B24" s="426">
        <v>553</v>
      </c>
      <c r="C24" s="427">
        <f t="shared" si="1"/>
        <v>155416.89405778068</v>
      </c>
      <c r="L24" s="427">
        <f>'Outage Maintenance'!AG71*1000</f>
        <v>155416.89405778068</v>
      </c>
      <c r="N24" s="427"/>
    </row>
    <row r="25" spans="1:14" ht="15.95" customHeight="1" x14ac:dyDescent="0.25">
      <c r="A25" s="424" t="s">
        <v>1516</v>
      </c>
      <c r="B25" s="426">
        <v>554</v>
      </c>
      <c r="C25" s="427">
        <f t="shared" si="1"/>
        <v>191429.37536122376</v>
      </c>
      <c r="L25" s="427">
        <f>'Outage Maintenance'!AG72*1000</f>
        <v>191429.37536122376</v>
      </c>
      <c r="N25" s="427"/>
    </row>
    <row r="26" spans="1:14" ht="15.95" customHeight="1" x14ac:dyDescent="0.25">
      <c r="A26" s="424" t="s">
        <v>1517</v>
      </c>
      <c r="C26" s="427">
        <f>SUM(C16:C25)</f>
        <v>1878309.3208920108</v>
      </c>
      <c r="K26" s="427">
        <f>SUM(L16:M25)</f>
        <v>1878309.3208920108</v>
      </c>
      <c r="L26" s="427">
        <f>SUM(L16:L25)</f>
        <v>1878309.3208920108</v>
      </c>
      <c r="M26" s="427">
        <f>SUM(N16:O25)</f>
        <v>0</v>
      </c>
      <c r="N26" s="427">
        <f>SUM(N16:N25)</f>
        <v>0</v>
      </c>
    </row>
    <row r="27" spans="1:14" x14ac:dyDescent="0.25">
      <c r="K27" s="427"/>
      <c r="L27" s="427"/>
    </row>
    <row r="28" spans="1:14" ht="15.95" customHeight="1" x14ac:dyDescent="0.25">
      <c r="A28" s="710" t="s">
        <v>332</v>
      </c>
      <c r="B28" s="710" t="s">
        <v>1443</v>
      </c>
      <c r="C28" s="710" t="s">
        <v>934</v>
      </c>
      <c r="K28" s="502" t="s">
        <v>1519</v>
      </c>
      <c r="L28" s="632" t="s">
        <v>2548</v>
      </c>
      <c r="M28" s="502"/>
      <c r="N28" s="632"/>
    </row>
    <row r="29" spans="1:14" ht="15.95" customHeight="1" x14ac:dyDescent="0.25">
      <c r="A29" s="425" t="s">
        <v>1507</v>
      </c>
      <c r="B29" s="426">
        <v>510</v>
      </c>
      <c r="C29" s="427">
        <f>L29+N29</f>
        <v>16025.797883541432</v>
      </c>
      <c r="L29" s="427">
        <f>'Outage Maintenance'!AG76*1000</f>
        <v>16025.797883541432</v>
      </c>
      <c r="N29" s="427"/>
    </row>
    <row r="30" spans="1:14" ht="15.95" customHeight="1" x14ac:dyDescent="0.25">
      <c r="A30" s="424" t="s">
        <v>1508</v>
      </c>
      <c r="B30" s="425">
        <v>511</v>
      </c>
      <c r="C30" s="427">
        <f t="shared" ref="C30:C38" si="2">L30+N30</f>
        <v>0</v>
      </c>
      <c r="L30" s="427">
        <f>'Outage Maintenance'!AG77*1000</f>
        <v>0</v>
      </c>
      <c r="N30" s="427"/>
    </row>
    <row r="31" spans="1:14" ht="15.95" customHeight="1" x14ac:dyDescent="0.25">
      <c r="A31" s="424" t="s">
        <v>1509</v>
      </c>
      <c r="B31" s="426">
        <v>512</v>
      </c>
      <c r="C31" s="427">
        <f t="shared" si="2"/>
        <v>248712.73651828247</v>
      </c>
      <c r="L31" s="427">
        <f>'Outage Maintenance'!AG78*1000</f>
        <v>248712.73651828247</v>
      </c>
      <c r="N31" s="427"/>
    </row>
    <row r="32" spans="1:14" ht="15.95" customHeight="1" x14ac:dyDescent="0.25">
      <c r="A32" s="424" t="s">
        <v>1510</v>
      </c>
      <c r="B32" s="426">
        <v>513</v>
      </c>
      <c r="C32" s="427">
        <f t="shared" si="2"/>
        <v>143938.05424042913</v>
      </c>
      <c r="L32" s="427">
        <f>'Outage Maintenance'!AG79*1000</f>
        <v>143938.05424042913</v>
      </c>
      <c r="N32" s="427"/>
    </row>
    <row r="33" spans="1:14" ht="15.95" customHeight="1" x14ac:dyDescent="0.25">
      <c r="A33" s="424" t="s">
        <v>1511</v>
      </c>
      <c r="B33" s="426">
        <v>514</v>
      </c>
      <c r="C33" s="427">
        <f t="shared" si="2"/>
        <v>0</v>
      </c>
      <c r="E33" s="715" t="s">
        <v>2626</v>
      </c>
      <c r="L33" s="427">
        <f>'Outage Maintenance'!AG80*1000</f>
        <v>0</v>
      </c>
      <c r="N33" s="427"/>
    </row>
    <row r="34" spans="1:14" ht="15.95" customHeight="1" x14ac:dyDescent="0.25">
      <c r="A34" s="424" t="s">
        <v>1512</v>
      </c>
      <c r="B34" s="426">
        <v>549</v>
      </c>
      <c r="C34" s="427">
        <f t="shared" si="2"/>
        <v>0</v>
      </c>
      <c r="L34" s="427">
        <f>'Outage Maintenance'!AG81*1000</f>
        <v>0</v>
      </c>
      <c r="N34" s="427"/>
    </row>
    <row r="35" spans="1:14" ht="15.95" customHeight="1" x14ac:dyDescent="0.25">
      <c r="A35" s="424" t="s">
        <v>1513</v>
      </c>
      <c r="B35" s="426">
        <v>551</v>
      </c>
      <c r="C35" s="427">
        <f t="shared" si="2"/>
        <v>5101.5521190868158</v>
      </c>
      <c r="L35" s="427">
        <f>'Outage Maintenance'!AG82*1000</f>
        <v>5101.5521190868158</v>
      </c>
      <c r="N35" s="427"/>
    </row>
    <row r="36" spans="1:14" ht="15.95" customHeight="1" x14ac:dyDescent="0.25">
      <c r="A36" s="424" t="s">
        <v>1514</v>
      </c>
      <c r="B36" s="426">
        <v>552</v>
      </c>
      <c r="C36" s="427">
        <f t="shared" si="2"/>
        <v>0</v>
      </c>
      <c r="L36" s="427">
        <f>'Outage Maintenance'!AG83*1000</f>
        <v>0</v>
      </c>
      <c r="N36" s="427"/>
    </row>
    <row r="37" spans="1:14" ht="15.95" customHeight="1" x14ac:dyDescent="0.25">
      <c r="A37" s="424" t="s">
        <v>1515</v>
      </c>
      <c r="B37" s="426">
        <v>553</v>
      </c>
      <c r="C37" s="427">
        <f t="shared" si="2"/>
        <v>38073.077062107375</v>
      </c>
      <c r="L37" s="427">
        <f>'Outage Maintenance'!AG84*1000</f>
        <v>38073.077062107375</v>
      </c>
      <c r="N37" s="427"/>
    </row>
    <row r="38" spans="1:14" ht="15.95" customHeight="1" x14ac:dyDescent="0.25">
      <c r="A38" s="424" t="s">
        <v>1516</v>
      </c>
      <c r="B38" s="426">
        <v>554</v>
      </c>
      <c r="C38" s="427">
        <f t="shared" si="2"/>
        <v>46895.193757824774</v>
      </c>
      <c r="L38" s="427">
        <f>'Outage Maintenance'!AG85*1000</f>
        <v>46895.193757824774</v>
      </c>
      <c r="N38" s="427"/>
    </row>
    <row r="39" spans="1:14" ht="15.95" customHeight="1" x14ac:dyDescent="0.25">
      <c r="A39" s="424" t="s">
        <v>1517</v>
      </c>
      <c r="C39" s="427">
        <f>SUM(C29:C38)</f>
        <v>498746.41158127197</v>
      </c>
      <c r="K39" s="427">
        <f>SUM(L29:M38)</f>
        <v>498746.41158127197</v>
      </c>
      <c r="L39" s="427">
        <f>SUM(L29:L38)</f>
        <v>498746.41158127197</v>
      </c>
      <c r="M39" s="427">
        <f>SUM(N29:O38)</f>
        <v>0</v>
      </c>
      <c r="N39" s="427">
        <f>SUM(N29:N38)</f>
        <v>0</v>
      </c>
    </row>
    <row r="41" spans="1:14" ht="15.95" customHeight="1" x14ac:dyDescent="0.25">
      <c r="A41" s="710" t="s">
        <v>332</v>
      </c>
      <c r="B41" s="710" t="s">
        <v>1443</v>
      </c>
      <c r="C41" s="710" t="s">
        <v>934</v>
      </c>
      <c r="K41" s="502" t="s">
        <v>1519</v>
      </c>
      <c r="L41" s="632" t="s">
        <v>2548</v>
      </c>
      <c r="M41" s="502"/>
      <c r="N41" s="632"/>
    </row>
    <row r="42" spans="1:14" ht="15.95" customHeight="1" x14ac:dyDescent="0.25">
      <c r="A42" s="425" t="s">
        <v>1507</v>
      </c>
      <c r="B42" s="426">
        <v>510</v>
      </c>
      <c r="C42" s="427">
        <f>L42+N42</f>
        <v>15572.547880013564</v>
      </c>
      <c r="L42" s="427">
        <f>'Outage Maintenance'!AG89*1000</f>
        <v>15572.547880013564</v>
      </c>
      <c r="N42" s="427"/>
    </row>
    <row r="43" spans="1:14" ht="15.95" customHeight="1" x14ac:dyDescent="0.25">
      <c r="A43" s="424" t="s">
        <v>1508</v>
      </c>
      <c r="B43" s="425">
        <v>511</v>
      </c>
      <c r="C43" s="427">
        <f t="shared" ref="C43:C51" si="3">L43+N43</f>
        <v>0</v>
      </c>
      <c r="L43" s="427">
        <f>'Outage Maintenance'!AG90*1000</f>
        <v>0</v>
      </c>
      <c r="N43" s="427"/>
    </row>
    <row r="44" spans="1:14" ht="15.95" customHeight="1" x14ac:dyDescent="0.25">
      <c r="A44" s="424" t="s">
        <v>1509</v>
      </c>
      <c r="B44" s="426">
        <v>512</v>
      </c>
      <c r="C44" s="427">
        <f t="shared" si="3"/>
        <v>242418.73166250036</v>
      </c>
      <c r="L44" s="427">
        <f>'Outage Maintenance'!AG91*1000</f>
        <v>242418.73166250036</v>
      </c>
      <c r="N44" s="427"/>
    </row>
    <row r="45" spans="1:14" ht="15.95" customHeight="1" x14ac:dyDescent="0.25">
      <c r="A45" s="424" t="s">
        <v>1510</v>
      </c>
      <c r="B45" s="426">
        <v>513</v>
      </c>
      <c r="C45" s="427">
        <f t="shared" si="3"/>
        <v>140295.51134132635</v>
      </c>
      <c r="L45" s="427">
        <f>'Outage Maintenance'!AG92*1000</f>
        <v>140295.51134132635</v>
      </c>
      <c r="N45" s="427"/>
    </row>
    <row r="46" spans="1:14" ht="15.95" customHeight="1" x14ac:dyDescent="0.25">
      <c r="A46" s="424" t="s">
        <v>1511</v>
      </c>
      <c r="B46" s="426">
        <v>514</v>
      </c>
      <c r="C46" s="427">
        <f t="shared" si="3"/>
        <v>0</v>
      </c>
      <c r="E46" s="715" t="s">
        <v>2627</v>
      </c>
      <c r="L46" s="427">
        <f>'Outage Maintenance'!AG93*1000</f>
        <v>0</v>
      </c>
      <c r="N46" s="427"/>
    </row>
    <row r="47" spans="1:14" ht="15.95" customHeight="1" x14ac:dyDescent="0.25">
      <c r="A47" s="424" t="s">
        <v>1512</v>
      </c>
      <c r="B47" s="426">
        <v>549</v>
      </c>
      <c r="C47" s="427">
        <f t="shared" si="3"/>
        <v>0</v>
      </c>
      <c r="L47" s="427">
        <f>'Outage Maintenance'!AG94*1000</f>
        <v>0</v>
      </c>
      <c r="N47" s="427"/>
    </row>
    <row r="48" spans="1:14" ht="15.95" customHeight="1" x14ac:dyDescent="0.25">
      <c r="A48" s="424" t="s">
        <v>1513</v>
      </c>
      <c r="B48" s="426">
        <v>551</v>
      </c>
      <c r="C48" s="427">
        <f t="shared" si="3"/>
        <v>4957.2673519396876</v>
      </c>
      <c r="L48" s="427">
        <f>'Outage Maintenance'!AG95*1000</f>
        <v>4957.2673519396876</v>
      </c>
      <c r="N48" s="427"/>
    </row>
    <row r="49" spans="1:14" ht="15.95" customHeight="1" x14ac:dyDescent="0.25">
      <c r="A49" s="424" t="s">
        <v>1514</v>
      </c>
      <c r="B49" s="426">
        <v>552</v>
      </c>
      <c r="C49" s="427">
        <f t="shared" si="3"/>
        <v>0</v>
      </c>
      <c r="L49" s="427">
        <f>'Outage Maintenance'!AG96*1000</f>
        <v>0</v>
      </c>
      <c r="N49" s="427"/>
    </row>
    <row r="50" spans="1:14" ht="15.95" customHeight="1" x14ac:dyDescent="0.25">
      <c r="A50" s="424" t="s">
        <v>1515</v>
      </c>
      <c r="B50" s="426">
        <v>553</v>
      </c>
      <c r="C50" s="427">
        <f t="shared" si="3"/>
        <v>36996.274369466424</v>
      </c>
      <c r="L50" s="427">
        <f>'Outage Maintenance'!AG97*1000</f>
        <v>36996.274369466424</v>
      </c>
      <c r="N50" s="427"/>
    </row>
    <row r="51" spans="1:14" ht="15.95" customHeight="1" x14ac:dyDescent="0.25">
      <c r="A51" s="424" t="s">
        <v>1516</v>
      </c>
      <c r="B51" s="426">
        <v>554</v>
      </c>
      <c r="C51" s="427">
        <f t="shared" si="3"/>
        <v>45568.879343364119</v>
      </c>
      <c r="L51" s="427">
        <f>'Outage Maintenance'!AG98*1000</f>
        <v>45568.879343364119</v>
      </c>
      <c r="N51" s="427"/>
    </row>
    <row r="52" spans="1:14" ht="15.95" customHeight="1" x14ac:dyDescent="0.25">
      <c r="A52" s="424" t="s">
        <v>1517</v>
      </c>
      <c r="C52" s="427">
        <f>SUM(C42:C51)</f>
        <v>485809.21194861049</v>
      </c>
      <c r="K52" s="427">
        <f>SUM(L42:M51)</f>
        <v>485809.21194861049</v>
      </c>
      <c r="L52" s="427">
        <f>SUM(L42:L51)</f>
        <v>485809.21194861049</v>
      </c>
      <c r="M52" s="427">
        <f>SUM(N42:O51)</f>
        <v>0</v>
      </c>
      <c r="N52" s="427">
        <f>SUM(N42:N51)</f>
        <v>0</v>
      </c>
    </row>
  </sheetData>
  <mergeCells count="1">
    <mergeCell ref="A1:C1"/>
  </mergeCells>
  <pageMargins left="0.95" right="0.7" top="1.25" bottom="0.75" header="0.3" footer="0.3"/>
  <pageSetup scale="67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1" sqref="A21"/>
    </sheetView>
  </sheetViews>
  <sheetFormatPr defaultRowHeight="15" x14ac:dyDescent="0.25"/>
  <cols>
    <col min="1" max="1" width="59.6640625" style="601" customWidth="1"/>
    <col min="2" max="3" width="10.109375" style="601" customWidth="1"/>
    <col min="4" max="33" width="8.33203125" style="600" customWidth="1"/>
    <col min="34" max="16384" width="8.88671875" style="600"/>
  </cols>
  <sheetData>
    <row r="1" spans="1:35" s="598" customFormat="1" ht="15" customHeight="1" x14ac:dyDescent="0.25">
      <c r="A1" s="624" t="s">
        <v>2618</v>
      </c>
      <c r="B1" s="624"/>
      <c r="C1" s="624"/>
    </row>
    <row r="2" spans="1:35" s="598" customFormat="1" ht="15" customHeight="1" x14ac:dyDescent="0.25">
      <c r="A2" s="624"/>
      <c r="B2" s="624"/>
      <c r="C2" s="624"/>
      <c r="D2" s="598" t="s">
        <v>2515</v>
      </c>
      <c r="E2" s="598" t="s">
        <v>2516</v>
      </c>
      <c r="F2" s="598" t="s">
        <v>2517</v>
      </c>
      <c r="G2" s="598" t="s">
        <v>2518</v>
      </c>
      <c r="H2" s="598" t="s">
        <v>2519</v>
      </c>
      <c r="I2" s="598" t="s">
        <v>2520</v>
      </c>
      <c r="J2" s="598" t="s">
        <v>1495</v>
      </c>
      <c r="K2" s="598" t="s">
        <v>1496</v>
      </c>
      <c r="L2" s="598" t="s">
        <v>1497</v>
      </c>
      <c r="M2" s="598" t="s">
        <v>1498</v>
      </c>
      <c r="N2" s="598" t="s">
        <v>1499</v>
      </c>
      <c r="O2" s="598" t="s">
        <v>1500</v>
      </c>
      <c r="P2" s="598" t="s">
        <v>2490</v>
      </c>
      <c r="Q2" s="598" t="s">
        <v>1501</v>
      </c>
      <c r="R2" s="598" t="s">
        <v>1502</v>
      </c>
      <c r="S2" s="598" t="s">
        <v>1503</v>
      </c>
      <c r="T2" s="598" t="s">
        <v>1504</v>
      </c>
      <c r="U2" s="598" t="s">
        <v>2454</v>
      </c>
      <c r="V2" s="598" t="s">
        <v>2455</v>
      </c>
      <c r="W2" s="598" t="s">
        <v>2456</v>
      </c>
      <c r="X2" s="598" t="s">
        <v>2457</v>
      </c>
      <c r="Y2" s="598" t="s">
        <v>2458</v>
      </c>
      <c r="Z2" s="598" t="s">
        <v>2459</v>
      </c>
      <c r="AA2" s="598" t="s">
        <v>2460</v>
      </c>
      <c r="AB2" s="598" t="s">
        <v>2461</v>
      </c>
      <c r="AC2" s="598" t="s">
        <v>2462</v>
      </c>
      <c r="AD2" s="598" t="s">
        <v>2463</v>
      </c>
      <c r="AE2" s="598" t="s">
        <v>2464</v>
      </c>
      <c r="AF2" s="598" t="s">
        <v>2465</v>
      </c>
      <c r="AG2" s="598" t="s">
        <v>2491</v>
      </c>
    </row>
    <row r="3" spans="1:35" s="598" customFormat="1" x14ac:dyDescent="0.25">
      <c r="A3" s="625" t="s">
        <v>1505</v>
      </c>
      <c r="B3" s="625"/>
      <c r="C3" s="625"/>
    </row>
    <row r="4" spans="1:35" x14ac:dyDescent="0.25">
      <c r="A4" s="599" t="s">
        <v>1506</v>
      </c>
      <c r="B4" s="599"/>
      <c r="C4" s="599"/>
    </row>
    <row r="5" spans="1:35" x14ac:dyDescent="0.25">
      <c r="A5" s="627" t="s">
        <v>2521</v>
      </c>
      <c r="B5" s="627"/>
      <c r="C5" s="627"/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</row>
    <row r="6" spans="1:35" x14ac:dyDescent="0.25">
      <c r="A6" s="628" t="s">
        <v>2522</v>
      </c>
      <c r="B6" s="628"/>
      <c r="C6" s="628"/>
      <c r="D6" s="626"/>
      <c r="E6" s="626"/>
      <c r="F6" s="626"/>
      <c r="G6" s="626"/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</row>
    <row r="7" spans="1:35" x14ac:dyDescent="0.25">
      <c r="A7" s="601" t="s">
        <v>1507</v>
      </c>
      <c r="D7" s="626">
        <v>-0.46785290627797099</v>
      </c>
      <c r="E7" s="626">
        <v>4.0874357204546898</v>
      </c>
      <c r="F7" s="626">
        <v>171.74614727432001</v>
      </c>
      <c r="G7" s="626">
        <v>49.052155053043897</v>
      </c>
      <c r="H7" s="626">
        <v>147.499016091935</v>
      </c>
      <c r="I7" s="626">
        <v>113.762592275364</v>
      </c>
      <c r="J7" s="626">
        <v>8.1449604156867306E-2</v>
      </c>
      <c r="K7" s="626">
        <v>9.1908510751747006</v>
      </c>
      <c r="L7" s="626">
        <v>18.3221143636781</v>
      </c>
      <c r="M7" s="626">
        <v>366.86566335779702</v>
      </c>
      <c r="N7" s="626">
        <v>53.438074623425003</v>
      </c>
      <c r="O7" s="626">
        <v>25.466410685612502</v>
      </c>
      <c r="P7" s="626">
        <f t="shared" ref="P7:P60" si="0">SUM(D7:O7)</f>
        <v>959.04405721868375</v>
      </c>
      <c r="Q7" s="626">
        <v>-0.46785290627797099</v>
      </c>
      <c r="R7" s="626">
        <v>4.0874357204546898</v>
      </c>
      <c r="S7" s="626">
        <v>171.74614727432001</v>
      </c>
      <c r="T7" s="626">
        <v>49.052155053043897</v>
      </c>
      <c r="U7" s="626">
        <v>66.635028940508505</v>
      </c>
      <c r="V7" s="626">
        <v>3.5292655179563601</v>
      </c>
      <c r="W7" s="626">
        <v>25.420725183316101</v>
      </c>
      <c r="X7" s="626">
        <v>9.7100519443798203E-2</v>
      </c>
      <c r="Y7" s="626">
        <v>22.142109019799399</v>
      </c>
      <c r="Z7" s="626">
        <v>202.49215944541001</v>
      </c>
      <c r="AA7" s="626">
        <v>99.878027214743497</v>
      </c>
      <c r="AB7" s="626">
        <v>34.199739217767601</v>
      </c>
      <c r="AC7" s="626">
        <v>0</v>
      </c>
      <c r="AD7" s="626">
        <v>17.438286403841399</v>
      </c>
      <c r="AE7" s="626">
        <v>135.19148464839901</v>
      </c>
      <c r="AF7" s="626">
        <v>269.002294686158</v>
      </c>
      <c r="AG7" s="626">
        <f t="shared" ref="AG7:AG60" si="1">SUM(U7:AF7)</f>
        <v>876.02622079734374</v>
      </c>
      <c r="AH7" s="626"/>
      <c r="AI7" s="626"/>
    </row>
    <row r="8" spans="1:35" x14ac:dyDescent="0.25">
      <c r="A8" s="601" t="s">
        <v>1508</v>
      </c>
      <c r="D8" s="626">
        <v>1.32569524949865</v>
      </c>
      <c r="E8" s="626">
        <v>6.9839713657579496</v>
      </c>
      <c r="F8" s="626">
        <v>7.6742270301339497</v>
      </c>
      <c r="G8" s="626">
        <v>38.023637250492897</v>
      </c>
      <c r="H8" s="626">
        <v>22.8166548134568</v>
      </c>
      <c r="I8" s="626">
        <v>3.6508354214817902</v>
      </c>
      <c r="J8" s="626">
        <v>0.275839458525166</v>
      </c>
      <c r="K8" s="626">
        <v>4.8260647736130001E-2</v>
      </c>
      <c r="L8" s="626">
        <v>1.97299137901549</v>
      </c>
      <c r="M8" s="626">
        <v>13.666630243891699</v>
      </c>
      <c r="N8" s="626">
        <v>3.06095070671957</v>
      </c>
      <c r="O8" s="626">
        <v>2.6624075615782599</v>
      </c>
      <c r="P8" s="626">
        <f t="shared" si="0"/>
        <v>102.16210112828836</v>
      </c>
      <c r="Q8" s="626">
        <v>1.32569524949865</v>
      </c>
      <c r="R8" s="626">
        <v>6.9839713657579496</v>
      </c>
      <c r="S8" s="626">
        <v>7.6742270301339497</v>
      </c>
      <c r="T8" s="626">
        <v>38.023637250492897</v>
      </c>
      <c r="U8" s="626">
        <v>23.495273698237199</v>
      </c>
      <c r="V8" s="626">
        <v>3.4069245582987802</v>
      </c>
      <c r="W8" s="626">
        <v>0.24486681182960601</v>
      </c>
      <c r="X8" s="626">
        <v>4.8260647736130001E-2</v>
      </c>
      <c r="Y8" s="626">
        <v>1.6695277183757999</v>
      </c>
      <c r="Z8" s="626">
        <v>24.612684130224999</v>
      </c>
      <c r="AA8" s="626">
        <v>8.7865781565311494</v>
      </c>
      <c r="AB8" s="626">
        <v>2.5140729456029698</v>
      </c>
      <c r="AC8" s="626">
        <v>1.32569524949865</v>
      </c>
      <c r="AD8" s="626">
        <v>7.2081205814912703</v>
      </c>
      <c r="AE8" s="626">
        <v>13.5361300232045</v>
      </c>
      <c r="AF8" s="626">
        <v>51.383154189528</v>
      </c>
      <c r="AG8" s="626">
        <f t="shared" si="1"/>
        <v>138.23128871055906</v>
      </c>
      <c r="AH8" s="626"/>
      <c r="AI8" s="626"/>
    </row>
    <row r="9" spans="1:35" x14ac:dyDescent="0.25">
      <c r="A9" s="601" t="s">
        <v>1509</v>
      </c>
      <c r="D9" s="626">
        <v>30.5312679211026</v>
      </c>
      <c r="E9" s="626">
        <v>287.70811931848903</v>
      </c>
      <c r="F9" s="626">
        <v>2705.3424513489499</v>
      </c>
      <c r="G9" s="626">
        <v>4290.8063890127496</v>
      </c>
      <c r="H9" s="626">
        <v>737.11634167983198</v>
      </c>
      <c r="I9" s="626">
        <v>-21.633278778370499</v>
      </c>
      <c r="J9" s="626">
        <v>0.758763074175688</v>
      </c>
      <c r="K9" s="626">
        <v>11.862872120794901</v>
      </c>
      <c r="L9" s="626">
        <v>372.06329025994</v>
      </c>
      <c r="M9" s="626">
        <v>1824.13638211787</v>
      </c>
      <c r="N9" s="626">
        <v>1701.4384418393199</v>
      </c>
      <c r="O9" s="626">
        <v>159.18208320765601</v>
      </c>
      <c r="P9" s="626">
        <f t="shared" si="0"/>
        <v>12099.313123122507</v>
      </c>
      <c r="Q9" s="626">
        <v>30.5312679211026</v>
      </c>
      <c r="R9" s="626">
        <v>287.70811931848903</v>
      </c>
      <c r="S9" s="626">
        <v>2705.3424513489499</v>
      </c>
      <c r="T9" s="626">
        <v>4290.8063890127496</v>
      </c>
      <c r="U9" s="626">
        <v>1053.5544029309499</v>
      </c>
      <c r="V9" s="626">
        <v>-80.190967851576602</v>
      </c>
      <c r="W9" s="626">
        <v>-25.1240022687732</v>
      </c>
      <c r="X9" s="626">
        <v>8.9665911385297399</v>
      </c>
      <c r="Y9" s="626">
        <v>286.820916886303</v>
      </c>
      <c r="Z9" s="626">
        <v>2782.5419311521</v>
      </c>
      <c r="AA9" s="626">
        <v>2105.2126190246499</v>
      </c>
      <c r="AB9" s="626">
        <v>127.93154537190701</v>
      </c>
      <c r="AC9" s="626">
        <v>72.021763781131</v>
      </c>
      <c r="AD9" s="626">
        <v>222.898873508441</v>
      </c>
      <c r="AE9" s="626">
        <v>3528.37370603519</v>
      </c>
      <c r="AF9" s="626">
        <v>4059.2942585740102</v>
      </c>
      <c r="AG9" s="626">
        <f t="shared" si="1"/>
        <v>14142.301638282865</v>
      </c>
      <c r="AH9" s="626"/>
      <c r="AI9" s="626"/>
    </row>
    <row r="10" spans="1:35" x14ac:dyDescent="0.25">
      <c r="A10" s="601" t="s">
        <v>1510</v>
      </c>
      <c r="D10" s="626">
        <v>26.9427267206183</v>
      </c>
      <c r="E10" s="626">
        <v>138.29811094513099</v>
      </c>
      <c r="F10" s="626">
        <v>1378.14880761016</v>
      </c>
      <c r="G10" s="626">
        <v>1777.23277896644</v>
      </c>
      <c r="H10" s="626">
        <v>294.76759771873702</v>
      </c>
      <c r="I10" s="626">
        <v>-14.5111944928705</v>
      </c>
      <c r="J10" s="626">
        <v>50.7250119870085</v>
      </c>
      <c r="K10" s="626">
        <v>7.06063589447096</v>
      </c>
      <c r="L10" s="626">
        <v>244.61765691587101</v>
      </c>
      <c r="M10" s="626">
        <v>759.49954921412905</v>
      </c>
      <c r="N10" s="626">
        <v>774.35107119505994</v>
      </c>
      <c r="O10" s="626">
        <v>137.75262183906401</v>
      </c>
      <c r="P10" s="626">
        <f t="shared" si="0"/>
        <v>5574.8853745138204</v>
      </c>
      <c r="Q10" s="626">
        <v>26.9427267206183</v>
      </c>
      <c r="R10" s="626">
        <v>138.29811094513099</v>
      </c>
      <c r="S10" s="626">
        <v>1378.14880761016</v>
      </c>
      <c r="T10" s="626">
        <v>1777.23277896644</v>
      </c>
      <c r="U10" s="626">
        <v>289.10384559860597</v>
      </c>
      <c r="V10" s="626">
        <v>20.6053286544843</v>
      </c>
      <c r="W10" s="626">
        <v>13.155919139055101</v>
      </c>
      <c r="X10" s="626">
        <v>10.9914461402914</v>
      </c>
      <c r="Y10" s="626">
        <v>234.20312619434901</v>
      </c>
      <c r="Z10" s="626">
        <v>1390.08340390837</v>
      </c>
      <c r="AA10" s="626">
        <v>1015.43666001079</v>
      </c>
      <c r="AB10" s="626">
        <v>42.722306519620403</v>
      </c>
      <c r="AC10" s="626">
        <v>27.707342889899</v>
      </c>
      <c r="AD10" s="626">
        <v>45.575405208477697</v>
      </c>
      <c r="AE10" s="626">
        <v>1110.3392596302599</v>
      </c>
      <c r="AF10" s="626">
        <v>1204.0572833696999</v>
      </c>
      <c r="AG10" s="626">
        <f t="shared" si="1"/>
        <v>5403.9813272639021</v>
      </c>
      <c r="AH10" s="626"/>
      <c r="AI10" s="626"/>
    </row>
    <row r="11" spans="1:35" x14ac:dyDescent="0.25">
      <c r="A11" s="601" t="s">
        <v>1511</v>
      </c>
      <c r="D11" s="626">
        <v>0</v>
      </c>
      <c r="E11" s="626">
        <v>0</v>
      </c>
      <c r="F11" s="626">
        <v>5.21335908030999E-2</v>
      </c>
      <c r="G11" s="626">
        <v>0.217168021141319</v>
      </c>
      <c r="H11" s="626">
        <v>0</v>
      </c>
      <c r="I11" s="626">
        <v>0</v>
      </c>
      <c r="J11" s="626">
        <v>0</v>
      </c>
      <c r="K11" s="626">
        <v>0.13046342117580301</v>
      </c>
      <c r="L11" s="626">
        <v>0.25116288002554099</v>
      </c>
      <c r="M11" s="626">
        <v>1.0390453914339699</v>
      </c>
      <c r="N11" s="626">
        <v>0.211417170154962</v>
      </c>
      <c r="O11" s="626">
        <v>0</v>
      </c>
      <c r="P11" s="626">
        <f t="shared" si="0"/>
        <v>1.9013904747346948</v>
      </c>
      <c r="Q11" s="626">
        <v>0</v>
      </c>
      <c r="R11" s="626">
        <v>0</v>
      </c>
      <c r="S11" s="626">
        <v>5.21335908030999E-2</v>
      </c>
      <c r="T11" s="626">
        <v>0.217168021141319</v>
      </c>
      <c r="U11" s="626">
        <v>-0.69565207482142</v>
      </c>
      <c r="V11" s="626">
        <v>0</v>
      </c>
      <c r="W11" s="626">
        <v>0</v>
      </c>
      <c r="X11" s="626">
        <v>0</v>
      </c>
      <c r="Y11" s="626">
        <v>0</v>
      </c>
      <c r="Z11" s="626">
        <v>0.62571559247317399</v>
      </c>
      <c r="AA11" s="626">
        <v>0.106320812218143</v>
      </c>
      <c r="AB11" s="626">
        <v>0</v>
      </c>
      <c r="AC11" s="626">
        <v>0</v>
      </c>
      <c r="AD11" s="626">
        <v>5.53827697908649E-2</v>
      </c>
      <c r="AE11" s="626">
        <v>8.0509337702798903E-2</v>
      </c>
      <c r="AF11" s="626">
        <v>1.03694002779114</v>
      </c>
      <c r="AG11" s="626">
        <f t="shared" si="1"/>
        <v>1.2092164651547008</v>
      </c>
      <c r="AH11" s="626"/>
      <c r="AI11" s="626"/>
    </row>
    <row r="12" spans="1:35" x14ac:dyDescent="0.25">
      <c r="A12" s="601" t="s">
        <v>1512</v>
      </c>
      <c r="D12" s="626">
        <v>0</v>
      </c>
      <c r="E12" s="626">
        <v>0</v>
      </c>
      <c r="F12" s="626">
        <v>0</v>
      </c>
      <c r="G12" s="626">
        <v>0</v>
      </c>
      <c r="H12" s="626">
        <v>0</v>
      </c>
      <c r="I12" s="626">
        <v>0</v>
      </c>
      <c r="J12" s="626">
        <v>0</v>
      </c>
      <c r="K12" s="626">
        <v>0</v>
      </c>
      <c r="L12" s="626">
        <v>0</v>
      </c>
      <c r="M12" s="626">
        <v>0</v>
      </c>
      <c r="N12" s="626">
        <v>6.4385785137447096</v>
      </c>
      <c r="O12" s="626">
        <v>1.28008197753942E-3</v>
      </c>
      <c r="P12" s="626">
        <f t="shared" si="0"/>
        <v>6.4398585957222494</v>
      </c>
      <c r="Q12" s="626">
        <v>0</v>
      </c>
      <c r="R12" s="626">
        <v>0</v>
      </c>
      <c r="S12" s="626">
        <v>0</v>
      </c>
      <c r="T12" s="626">
        <v>0</v>
      </c>
      <c r="U12" s="626">
        <v>0</v>
      </c>
      <c r="V12" s="626">
        <v>0</v>
      </c>
      <c r="W12" s="626">
        <v>0</v>
      </c>
      <c r="X12" s="626">
        <v>0</v>
      </c>
      <c r="Y12" s="626">
        <v>0.22715474696657001</v>
      </c>
      <c r="Z12" s="626">
        <v>12.0606146060339</v>
      </c>
      <c r="AA12" s="626">
        <v>12.8734103868888</v>
      </c>
      <c r="AB12" s="626">
        <v>1.0865938878861701</v>
      </c>
      <c r="AC12" s="626">
        <v>0</v>
      </c>
      <c r="AD12" s="626">
        <v>0</v>
      </c>
      <c r="AE12" s="626">
        <v>0</v>
      </c>
      <c r="AF12" s="626">
        <v>0</v>
      </c>
      <c r="AG12" s="626">
        <f t="shared" si="1"/>
        <v>26.247773627775441</v>
      </c>
      <c r="AH12" s="626"/>
      <c r="AI12" s="626"/>
    </row>
    <row r="13" spans="1:35" x14ac:dyDescent="0.25">
      <c r="A13" s="601" t="s">
        <v>1513</v>
      </c>
      <c r="D13" s="626">
        <v>0</v>
      </c>
      <c r="E13" s="626">
        <v>0</v>
      </c>
      <c r="F13" s="626">
        <v>0</v>
      </c>
      <c r="G13" s="626">
        <v>0</v>
      </c>
      <c r="H13" s="626">
        <v>0</v>
      </c>
      <c r="I13" s="626">
        <v>0</v>
      </c>
      <c r="J13" s="626">
        <v>0</v>
      </c>
      <c r="K13" s="626">
        <v>0</v>
      </c>
      <c r="L13" s="626">
        <v>0</v>
      </c>
      <c r="M13" s="626">
        <v>20.505575013001899</v>
      </c>
      <c r="N13" s="626">
        <v>0</v>
      </c>
      <c r="O13" s="626">
        <v>0</v>
      </c>
      <c r="P13" s="626">
        <f t="shared" si="0"/>
        <v>20.505575013001899</v>
      </c>
      <c r="Q13" s="626">
        <v>0</v>
      </c>
      <c r="R13" s="626">
        <v>0</v>
      </c>
      <c r="S13" s="626">
        <v>0</v>
      </c>
      <c r="T13" s="626">
        <v>0</v>
      </c>
      <c r="U13" s="626">
        <v>0</v>
      </c>
      <c r="V13" s="626">
        <v>0</v>
      </c>
      <c r="W13" s="626">
        <v>0</v>
      </c>
      <c r="X13" s="626">
        <v>0</v>
      </c>
      <c r="Y13" s="626">
        <v>0</v>
      </c>
      <c r="Z13" s="626">
        <v>0</v>
      </c>
      <c r="AA13" s="626">
        <v>0</v>
      </c>
      <c r="AB13" s="626">
        <v>0</v>
      </c>
      <c r="AC13" s="626">
        <v>0</v>
      </c>
      <c r="AD13" s="626">
        <v>0</v>
      </c>
      <c r="AE13" s="626">
        <v>57.076854688968297</v>
      </c>
      <c r="AF13" s="626">
        <v>0</v>
      </c>
      <c r="AG13" s="626">
        <f t="shared" si="1"/>
        <v>57.076854688968297</v>
      </c>
      <c r="AH13" s="626"/>
      <c r="AI13" s="626"/>
    </row>
    <row r="14" spans="1:35" x14ac:dyDescent="0.25">
      <c r="A14" s="601" t="s">
        <v>1514</v>
      </c>
      <c r="D14" s="626">
        <v>0</v>
      </c>
      <c r="E14" s="626">
        <v>0</v>
      </c>
      <c r="F14" s="626">
        <v>0</v>
      </c>
      <c r="G14" s="626">
        <v>0</v>
      </c>
      <c r="H14" s="626">
        <v>0</v>
      </c>
      <c r="I14" s="626">
        <v>0</v>
      </c>
      <c r="J14" s="626">
        <v>0</v>
      </c>
      <c r="K14" s="626">
        <v>0</v>
      </c>
      <c r="L14" s="626">
        <v>0</v>
      </c>
      <c r="M14" s="626">
        <v>505.88852334300202</v>
      </c>
      <c r="N14" s="626">
        <v>6.6018588348215097</v>
      </c>
      <c r="O14" s="626">
        <v>1.84551653987362</v>
      </c>
      <c r="P14" s="626">
        <f t="shared" si="0"/>
        <v>514.33589871769721</v>
      </c>
      <c r="Q14" s="626">
        <v>0</v>
      </c>
      <c r="R14" s="626">
        <v>0</v>
      </c>
      <c r="S14" s="626">
        <v>0</v>
      </c>
      <c r="T14" s="626">
        <v>0</v>
      </c>
      <c r="U14" s="626">
        <v>0</v>
      </c>
      <c r="V14" s="626">
        <v>0</v>
      </c>
      <c r="W14" s="626">
        <v>0</v>
      </c>
      <c r="X14" s="626">
        <v>0</v>
      </c>
      <c r="Y14" s="626">
        <v>2.2325171170088201</v>
      </c>
      <c r="Z14" s="626">
        <v>2.60970396228833</v>
      </c>
      <c r="AA14" s="626">
        <v>15.377722447404199</v>
      </c>
      <c r="AB14" s="626">
        <v>1.9570969700488099</v>
      </c>
      <c r="AC14" s="626">
        <v>0.34469942914167601</v>
      </c>
      <c r="AD14" s="626">
        <v>3.55000923567605</v>
      </c>
      <c r="AE14" s="626">
        <v>6.9754782221010902E-5</v>
      </c>
      <c r="AF14" s="626">
        <v>0</v>
      </c>
      <c r="AG14" s="626">
        <f t="shared" si="1"/>
        <v>26.071818916350107</v>
      </c>
      <c r="AH14" s="626"/>
      <c r="AI14" s="626"/>
    </row>
    <row r="15" spans="1:35" x14ac:dyDescent="0.25">
      <c r="A15" s="601" t="s">
        <v>1515</v>
      </c>
      <c r="D15" s="626">
        <v>13.281081318119099</v>
      </c>
      <c r="E15" s="626">
        <v>21.193257422532302</v>
      </c>
      <c r="F15" s="626">
        <v>35.3041139949122</v>
      </c>
      <c r="G15" s="626">
        <v>44.770026146805101</v>
      </c>
      <c r="H15" s="626">
        <v>215.59693424955401</v>
      </c>
      <c r="I15" s="626">
        <v>-2.5474671033088998</v>
      </c>
      <c r="J15" s="626">
        <v>1.09558243807351</v>
      </c>
      <c r="K15" s="626">
        <v>7.5274131676045304</v>
      </c>
      <c r="L15" s="626">
        <v>-0.93850642092358005</v>
      </c>
      <c r="M15" s="626">
        <v>238.06127499905199</v>
      </c>
      <c r="N15" s="626">
        <v>89.816945482878694</v>
      </c>
      <c r="O15" s="626">
        <v>23.9636900741903</v>
      </c>
      <c r="P15" s="626">
        <f t="shared" si="0"/>
        <v>687.12434576948931</v>
      </c>
      <c r="Q15" s="626">
        <v>13.281081318119099</v>
      </c>
      <c r="R15" s="626">
        <v>21.193257422532302</v>
      </c>
      <c r="S15" s="626">
        <v>35.3041139949122</v>
      </c>
      <c r="T15" s="626">
        <v>44.770026146805101</v>
      </c>
      <c r="U15" s="626">
        <v>13.950649088156799</v>
      </c>
      <c r="V15" s="626">
        <v>-8.2582862303473394</v>
      </c>
      <c r="W15" s="626">
        <v>10.029730661385599</v>
      </c>
      <c r="X15" s="626">
        <v>3.9249518974698501</v>
      </c>
      <c r="Y15" s="626">
        <v>18.757185021648599</v>
      </c>
      <c r="Z15" s="626">
        <v>346.15151236397401</v>
      </c>
      <c r="AA15" s="626">
        <v>152.87584408677</v>
      </c>
      <c r="AB15" s="626">
        <v>69.8004049754215</v>
      </c>
      <c r="AC15" s="626">
        <v>17.005495594222602</v>
      </c>
      <c r="AD15" s="626">
        <v>40.946565669050401</v>
      </c>
      <c r="AE15" s="626">
        <v>626.37388688983697</v>
      </c>
      <c r="AF15" s="626">
        <v>149.08139856164499</v>
      </c>
      <c r="AG15" s="626">
        <f t="shared" si="1"/>
        <v>1440.6393385792339</v>
      </c>
      <c r="AH15" s="626"/>
      <c r="AI15" s="626"/>
    </row>
    <row r="16" spans="1:35" x14ac:dyDescent="0.25">
      <c r="A16" s="601" t="s">
        <v>1516</v>
      </c>
      <c r="D16" s="626">
        <v>-17.161790205671501</v>
      </c>
      <c r="E16" s="626">
        <v>1.86518735018036</v>
      </c>
      <c r="F16" s="626">
        <v>5.61866788388991</v>
      </c>
      <c r="G16" s="626">
        <v>16.646639391699502</v>
      </c>
      <c r="H16" s="626">
        <v>0</v>
      </c>
      <c r="I16" s="626">
        <v>0</v>
      </c>
      <c r="J16" s="626">
        <v>2.7243206182522401</v>
      </c>
      <c r="K16" s="626">
        <v>1.50382498127524</v>
      </c>
      <c r="L16" s="626">
        <v>28.8974655260966</v>
      </c>
      <c r="M16" s="626">
        <v>466.95276845118502</v>
      </c>
      <c r="N16" s="626">
        <v>53.050710568931201</v>
      </c>
      <c r="O16" s="626">
        <v>-31.213367626241499</v>
      </c>
      <c r="P16" s="626">
        <f t="shared" si="0"/>
        <v>528.88442693959701</v>
      </c>
      <c r="Q16" s="626">
        <v>-17.161790205671501</v>
      </c>
      <c r="R16" s="626">
        <v>1.86518735018036</v>
      </c>
      <c r="S16" s="626">
        <v>5.61866788388991</v>
      </c>
      <c r="T16" s="626">
        <v>16.646639391699502</v>
      </c>
      <c r="U16" s="626">
        <v>6.89259261470902E-2</v>
      </c>
      <c r="V16" s="626">
        <v>1.41339264225202</v>
      </c>
      <c r="W16" s="626">
        <v>6.6816090508750801</v>
      </c>
      <c r="X16" s="626">
        <v>2.7638541006136799</v>
      </c>
      <c r="Y16" s="626">
        <v>46.3780813758992</v>
      </c>
      <c r="Z16" s="626">
        <v>232.13338262315301</v>
      </c>
      <c r="AA16" s="626">
        <v>54.486297163094498</v>
      </c>
      <c r="AB16" s="626">
        <v>-30.024273165745299</v>
      </c>
      <c r="AC16" s="626">
        <v>-15.240173468446001</v>
      </c>
      <c r="AD16" s="626">
        <v>70.102635354630607</v>
      </c>
      <c r="AE16" s="626">
        <v>620.38713494265699</v>
      </c>
      <c r="AF16" s="626">
        <v>18.578159781160199</v>
      </c>
      <c r="AG16" s="626">
        <f t="shared" si="1"/>
        <v>1007.7290263262911</v>
      </c>
      <c r="AH16" s="626"/>
      <c r="AI16" s="626"/>
    </row>
    <row r="17" spans="1:35" x14ac:dyDescent="0.25">
      <c r="A17" s="601" t="s">
        <v>1517</v>
      </c>
      <c r="D17" s="629">
        <f>SUM(D7:D16)</f>
        <v>54.451128097389166</v>
      </c>
      <c r="E17" s="629">
        <f t="shared" ref="E17:AF17" si="2">SUM(E7:E16)</f>
        <v>460.1360821225453</v>
      </c>
      <c r="F17" s="629">
        <f t="shared" si="2"/>
        <v>4303.8865487331695</v>
      </c>
      <c r="G17" s="629">
        <f t="shared" si="2"/>
        <v>6216.7487938423728</v>
      </c>
      <c r="H17" s="629">
        <f t="shared" si="2"/>
        <v>1417.7965445535147</v>
      </c>
      <c r="I17" s="629">
        <f t="shared" si="2"/>
        <v>78.721487322295886</v>
      </c>
      <c r="J17" s="629">
        <f t="shared" si="2"/>
        <v>55.660967180191967</v>
      </c>
      <c r="K17" s="629">
        <f t="shared" si="2"/>
        <v>37.324321308232264</v>
      </c>
      <c r="L17" s="629">
        <f t="shared" si="2"/>
        <v>665.1861749037032</v>
      </c>
      <c r="M17" s="629">
        <f t="shared" si="2"/>
        <v>4196.6154121313621</v>
      </c>
      <c r="N17" s="629">
        <f t="shared" si="2"/>
        <v>2688.4080489350554</v>
      </c>
      <c r="O17" s="629">
        <f t="shared" si="2"/>
        <v>319.66064236371074</v>
      </c>
      <c r="P17" s="629">
        <f t="shared" si="0"/>
        <v>20494.596151493544</v>
      </c>
      <c r="Q17" s="629">
        <f t="shared" si="2"/>
        <v>54.451128097389166</v>
      </c>
      <c r="R17" s="629">
        <f t="shared" si="2"/>
        <v>460.1360821225453</v>
      </c>
      <c r="S17" s="629">
        <f t="shared" si="2"/>
        <v>4303.8865487331695</v>
      </c>
      <c r="T17" s="629">
        <f t="shared" si="2"/>
        <v>6216.7487938423728</v>
      </c>
      <c r="U17" s="629">
        <f t="shared" si="2"/>
        <v>1446.112474107784</v>
      </c>
      <c r="V17" s="629">
        <f t="shared" si="2"/>
        <v>-59.494342708932479</v>
      </c>
      <c r="W17" s="629">
        <f t="shared" si="2"/>
        <v>30.408848577688289</v>
      </c>
      <c r="X17" s="629">
        <f t="shared" si="2"/>
        <v>26.792204444084597</v>
      </c>
      <c r="Y17" s="629">
        <f t="shared" si="2"/>
        <v>612.43061808035043</v>
      </c>
      <c r="Z17" s="629">
        <f t="shared" si="2"/>
        <v>4993.3111077840267</v>
      </c>
      <c r="AA17" s="629">
        <f t="shared" si="2"/>
        <v>3465.0334793030906</v>
      </c>
      <c r="AB17" s="629">
        <f t="shared" si="2"/>
        <v>250.18748672250922</v>
      </c>
      <c r="AC17" s="629">
        <f t="shared" si="2"/>
        <v>103.16482347544691</v>
      </c>
      <c r="AD17" s="629">
        <f t="shared" si="2"/>
        <v>407.77527873139928</v>
      </c>
      <c r="AE17" s="629">
        <f t="shared" si="2"/>
        <v>6091.3590359510017</v>
      </c>
      <c r="AF17" s="629">
        <f t="shared" si="2"/>
        <v>5752.4334891899925</v>
      </c>
      <c r="AG17" s="629">
        <f t="shared" si="1"/>
        <v>23119.51450365844</v>
      </c>
      <c r="AH17" s="626"/>
      <c r="AI17" s="626"/>
    </row>
    <row r="18" spans="1:35" x14ac:dyDescent="0.25">
      <c r="D18" s="626"/>
      <c r="E18" s="626"/>
      <c r="F18" s="626"/>
      <c r="G18" s="626"/>
      <c r="H18" s="626"/>
      <c r="I18" s="626"/>
      <c r="J18" s="626"/>
      <c r="K18" s="626"/>
      <c r="L18" s="626"/>
      <c r="M18" s="626"/>
      <c r="N18" s="626"/>
      <c r="O18" s="626"/>
      <c r="P18" s="626">
        <f t="shared" si="0"/>
        <v>0</v>
      </c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>
        <f t="shared" si="1"/>
        <v>0</v>
      </c>
      <c r="AH18" s="626"/>
      <c r="AI18" s="626"/>
    </row>
    <row r="19" spans="1:35" x14ac:dyDescent="0.25">
      <c r="A19" s="601" t="s">
        <v>2523</v>
      </c>
      <c r="D19" s="626">
        <v>0</v>
      </c>
      <c r="E19" s="626">
        <v>5.6531900000000004</v>
      </c>
      <c r="F19" s="626">
        <v>341.62696999999997</v>
      </c>
      <c r="G19" s="626">
        <v>324.22924</v>
      </c>
      <c r="H19" s="626">
        <v>-9.7643699999999995</v>
      </c>
      <c r="I19" s="626">
        <v>1.3045800000000001</v>
      </c>
      <c r="J19" s="626">
        <v>44.007901402237998</v>
      </c>
      <c r="K19" s="626">
        <v>0</v>
      </c>
      <c r="L19" s="626">
        <v>92.326141922054902</v>
      </c>
      <c r="M19" s="626">
        <v>691.31890551783704</v>
      </c>
      <c r="N19" s="626">
        <v>163.072757172325</v>
      </c>
      <c r="O19" s="626">
        <v>0</v>
      </c>
      <c r="P19" s="626">
        <f t="shared" si="0"/>
        <v>1653.7753160144548</v>
      </c>
      <c r="Q19" s="626">
        <v>0</v>
      </c>
      <c r="R19" s="626">
        <v>0</v>
      </c>
      <c r="S19" s="626">
        <v>0</v>
      </c>
      <c r="T19" s="626">
        <v>0</v>
      </c>
      <c r="U19" s="626">
        <v>0</v>
      </c>
      <c r="V19" s="626">
        <v>0</v>
      </c>
      <c r="W19" s="626">
        <v>0</v>
      </c>
      <c r="X19" s="626">
        <v>0</v>
      </c>
      <c r="Y19" s="626">
        <v>0</v>
      </c>
      <c r="Z19" s="626">
        <v>624.42210963771799</v>
      </c>
      <c r="AA19" s="626">
        <v>624.42210963771799</v>
      </c>
      <c r="AB19" s="626">
        <v>0</v>
      </c>
      <c r="AC19" s="626">
        <v>0</v>
      </c>
      <c r="AD19" s="626">
        <v>0</v>
      </c>
      <c r="AE19" s="626">
        <v>11.3641830918189</v>
      </c>
      <c r="AF19" s="626">
        <v>144.89380208254599</v>
      </c>
      <c r="AG19" s="626">
        <f t="shared" si="1"/>
        <v>1405.1022044498009</v>
      </c>
      <c r="AH19" s="626"/>
      <c r="AI19" s="626"/>
    </row>
    <row r="20" spans="1:35" x14ac:dyDescent="0.25">
      <c r="A20" s="601" t="s">
        <v>2524</v>
      </c>
      <c r="D20" s="626">
        <v>0</v>
      </c>
      <c r="E20" s="626">
        <v>2.54339</v>
      </c>
      <c r="F20" s="626">
        <v>54.702809999999999</v>
      </c>
      <c r="G20" s="626">
        <v>162.82163</v>
      </c>
      <c r="H20" s="626">
        <v>-6.96251</v>
      </c>
      <c r="I20" s="626">
        <v>18.442229999999999</v>
      </c>
      <c r="J20" s="626">
        <v>0</v>
      </c>
      <c r="K20" s="626">
        <v>0</v>
      </c>
      <c r="L20" s="626">
        <v>0</v>
      </c>
      <c r="M20" s="626">
        <v>0</v>
      </c>
      <c r="N20" s="626">
        <v>0</v>
      </c>
      <c r="O20" s="626">
        <v>0</v>
      </c>
      <c r="P20" s="626">
        <f t="shared" si="0"/>
        <v>231.54755</v>
      </c>
      <c r="Q20" s="626">
        <v>0</v>
      </c>
      <c r="R20" s="626">
        <v>0</v>
      </c>
      <c r="S20" s="626">
        <v>0</v>
      </c>
      <c r="T20" s="626">
        <v>0</v>
      </c>
      <c r="U20" s="626">
        <v>0</v>
      </c>
      <c r="V20" s="626">
        <v>0</v>
      </c>
      <c r="W20" s="626">
        <v>0</v>
      </c>
      <c r="X20" s="626">
        <v>0</v>
      </c>
      <c r="Y20" s="626">
        <v>0</v>
      </c>
      <c r="Z20" s="626">
        <v>0</v>
      </c>
      <c r="AA20" s="626">
        <v>0</v>
      </c>
      <c r="AB20" s="626">
        <v>0</v>
      </c>
      <c r="AC20" s="626">
        <v>0</v>
      </c>
      <c r="AD20" s="626">
        <v>0</v>
      </c>
      <c r="AE20" s="626">
        <v>0</v>
      </c>
      <c r="AF20" s="626">
        <v>0</v>
      </c>
      <c r="AG20" s="626">
        <f t="shared" si="1"/>
        <v>0</v>
      </c>
      <c r="AH20" s="626"/>
      <c r="AI20" s="626"/>
    </row>
    <row r="21" spans="1:35" x14ac:dyDescent="0.25">
      <c r="A21" s="601" t="s">
        <v>2525</v>
      </c>
      <c r="D21" s="626">
        <v>132.40177</v>
      </c>
      <c r="E21" s="626">
        <v>361.31689</v>
      </c>
      <c r="F21" s="626">
        <v>4282.1094199999998</v>
      </c>
      <c r="G21" s="626">
        <v>3499.99253</v>
      </c>
      <c r="H21" s="626">
        <v>1026.7228399999999</v>
      </c>
      <c r="I21" s="626">
        <v>48.441719999999997</v>
      </c>
      <c r="J21" s="626">
        <v>80.456149754223205</v>
      </c>
      <c r="K21" s="626">
        <v>109.90186819436001</v>
      </c>
      <c r="L21" s="626">
        <v>893.08350834894998</v>
      </c>
      <c r="M21" s="626">
        <v>1042.4467412843601</v>
      </c>
      <c r="N21" s="626">
        <v>1196.0827767461101</v>
      </c>
      <c r="O21" s="626">
        <v>126.974592751069</v>
      </c>
      <c r="P21" s="626">
        <f t="shared" si="0"/>
        <v>12799.930807079072</v>
      </c>
      <c r="Q21" s="626">
        <v>0</v>
      </c>
      <c r="R21" s="626">
        <v>53.476051395722799</v>
      </c>
      <c r="S21" s="626">
        <v>2906.4775296070902</v>
      </c>
      <c r="T21" s="626">
        <v>2005.6353724186099</v>
      </c>
      <c r="U21" s="626">
        <v>143.037156291478</v>
      </c>
      <c r="V21" s="626">
        <v>0</v>
      </c>
      <c r="W21" s="626">
        <v>0</v>
      </c>
      <c r="X21" s="626">
        <v>0</v>
      </c>
      <c r="Y21" s="626">
        <v>700.89279333266302</v>
      </c>
      <c r="Z21" s="626">
        <v>4723.5987344466903</v>
      </c>
      <c r="AA21" s="626">
        <v>5834.5720274106097</v>
      </c>
      <c r="AB21" s="626">
        <v>115.526753511411</v>
      </c>
      <c r="AC21" s="626">
        <v>0</v>
      </c>
      <c r="AD21" s="626">
        <v>263.61242394398897</v>
      </c>
      <c r="AE21" s="626">
        <v>5384.1307039161802</v>
      </c>
      <c r="AF21" s="626">
        <v>5271.9962884250199</v>
      </c>
      <c r="AG21" s="626">
        <f t="shared" si="1"/>
        <v>22437.366881278042</v>
      </c>
      <c r="AH21" s="626"/>
      <c r="AI21" s="626"/>
    </row>
    <row r="22" spans="1:35" x14ac:dyDescent="0.25">
      <c r="A22" s="601" t="s">
        <v>2526</v>
      </c>
      <c r="D22" s="626">
        <v>215.84751</v>
      </c>
      <c r="E22" s="626">
        <v>137.49879000000001</v>
      </c>
      <c r="F22" s="626">
        <v>830.99213999999995</v>
      </c>
      <c r="G22" s="626">
        <v>1380.4419700000001</v>
      </c>
      <c r="H22" s="626">
        <v>233.14976999999999</v>
      </c>
      <c r="I22" s="626">
        <v>249.97055</v>
      </c>
      <c r="J22" s="626">
        <v>0</v>
      </c>
      <c r="K22" s="626">
        <v>38.555572858150697</v>
      </c>
      <c r="L22" s="626">
        <v>1478.9213537010201</v>
      </c>
      <c r="M22" s="626">
        <v>2321.1379138038301</v>
      </c>
      <c r="N22" s="626">
        <v>700.21145578660196</v>
      </c>
      <c r="O22" s="626">
        <v>77.823279470690593</v>
      </c>
      <c r="P22" s="626">
        <f t="shared" si="0"/>
        <v>7664.5503056202933</v>
      </c>
      <c r="Q22" s="626">
        <v>0</v>
      </c>
      <c r="R22" s="626">
        <v>80.214077093584194</v>
      </c>
      <c r="S22" s="626">
        <v>1052.7801629688799</v>
      </c>
      <c r="T22" s="626">
        <v>746.08290458137606</v>
      </c>
      <c r="U22" s="626">
        <v>37.0738788687907</v>
      </c>
      <c r="V22" s="626">
        <v>0</v>
      </c>
      <c r="W22" s="626">
        <v>0</v>
      </c>
      <c r="X22" s="626">
        <v>0</v>
      </c>
      <c r="Y22" s="626">
        <v>188.680805576485</v>
      </c>
      <c r="Z22" s="626">
        <v>3535.7318190175502</v>
      </c>
      <c r="AA22" s="626">
        <v>4037.19654116226</v>
      </c>
      <c r="AB22" s="626">
        <v>44.4448036157128</v>
      </c>
      <c r="AC22" s="626">
        <v>0</v>
      </c>
      <c r="AD22" s="626">
        <v>114.202753623894</v>
      </c>
      <c r="AE22" s="626">
        <v>2769.49346762594</v>
      </c>
      <c r="AF22" s="626">
        <v>2258.4012807696499</v>
      </c>
      <c r="AG22" s="626">
        <f t="shared" si="1"/>
        <v>12985.225350260283</v>
      </c>
      <c r="AH22" s="626"/>
      <c r="AI22" s="626"/>
    </row>
    <row r="23" spans="1:35" x14ac:dyDescent="0.25">
      <c r="A23" s="601" t="s">
        <v>2527</v>
      </c>
      <c r="D23" s="626">
        <v>0</v>
      </c>
      <c r="E23" s="626">
        <v>0.39462000000000003</v>
      </c>
      <c r="F23" s="626">
        <v>0</v>
      </c>
      <c r="G23" s="626">
        <v>17.481390000000001</v>
      </c>
      <c r="H23" s="626">
        <v>-16.17689</v>
      </c>
      <c r="I23" s="626">
        <v>0</v>
      </c>
      <c r="J23" s="626">
        <v>0</v>
      </c>
      <c r="K23" s="626">
        <v>0</v>
      </c>
      <c r="L23" s="626">
        <v>0</v>
      </c>
      <c r="M23" s="626">
        <v>0</v>
      </c>
      <c r="N23" s="626">
        <v>0</v>
      </c>
      <c r="O23" s="626">
        <v>0</v>
      </c>
      <c r="P23" s="626">
        <f t="shared" si="0"/>
        <v>1.6991200000000006</v>
      </c>
      <c r="Q23" s="626">
        <v>0</v>
      </c>
      <c r="R23" s="626">
        <v>0</v>
      </c>
      <c r="S23" s="626">
        <v>0</v>
      </c>
      <c r="T23" s="626">
        <v>0</v>
      </c>
      <c r="U23" s="626">
        <v>0</v>
      </c>
      <c r="V23" s="626">
        <v>0</v>
      </c>
      <c r="W23" s="626">
        <v>0</v>
      </c>
      <c r="X23" s="626">
        <v>0</v>
      </c>
      <c r="Y23" s="626">
        <v>0</v>
      </c>
      <c r="Z23" s="626">
        <v>0</v>
      </c>
      <c r="AA23" s="626">
        <v>0</v>
      </c>
      <c r="AB23" s="626">
        <v>0</v>
      </c>
      <c r="AC23" s="626">
        <v>0</v>
      </c>
      <c r="AD23" s="626">
        <v>0</v>
      </c>
      <c r="AE23" s="626">
        <v>0</v>
      </c>
      <c r="AF23" s="626">
        <v>0</v>
      </c>
      <c r="AG23" s="626">
        <f t="shared" si="1"/>
        <v>0</v>
      </c>
      <c r="AH23" s="626"/>
      <c r="AI23" s="626"/>
    </row>
    <row r="24" spans="1:35" x14ac:dyDescent="0.25">
      <c r="A24" s="601" t="s">
        <v>2528</v>
      </c>
      <c r="D24" s="626">
        <v>0</v>
      </c>
      <c r="E24" s="626">
        <v>0</v>
      </c>
      <c r="F24" s="626">
        <v>5.53400000000017E-2</v>
      </c>
      <c r="G24" s="626">
        <v>0</v>
      </c>
      <c r="H24" s="626">
        <v>0</v>
      </c>
      <c r="I24" s="626">
        <v>0</v>
      </c>
      <c r="J24" s="626">
        <v>0</v>
      </c>
      <c r="K24" s="626">
        <v>0</v>
      </c>
      <c r="L24" s="626">
        <v>0</v>
      </c>
      <c r="M24" s="626">
        <v>0</v>
      </c>
      <c r="N24" s="626">
        <v>0</v>
      </c>
      <c r="O24" s="626">
        <v>0</v>
      </c>
      <c r="P24" s="626">
        <f t="shared" si="0"/>
        <v>5.53400000000017E-2</v>
      </c>
      <c r="Q24" s="626">
        <v>0</v>
      </c>
      <c r="R24" s="626">
        <v>0</v>
      </c>
      <c r="S24" s="626">
        <v>0</v>
      </c>
      <c r="T24" s="626">
        <v>0</v>
      </c>
      <c r="U24" s="626">
        <v>0</v>
      </c>
      <c r="V24" s="626">
        <v>0</v>
      </c>
      <c r="W24" s="626">
        <v>0</v>
      </c>
      <c r="X24" s="626">
        <v>0</v>
      </c>
      <c r="Y24" s="626">
        <v>0</v>
      </c>
      <c r="Z24" s="626">
        <v>0</v>
      </c>
      <c r="AA24" s="626">
        <v>0</v>
      </c>
      <c r="AB24" s="626">
        <v>0</v>
      </c>
      <c r="AC24" s="626">
        <v>0</v>
      </c>
      <c r="AD24" s="626">
        <v>0</v>
      </c>
      <c r="AE24" s="626">
        <v>0</v>
      </c>
      <c r="AF24" s="626">
        <v>0</v>
      </c>
      <c r="AG24" s="626">
        <f t="shared" si="1"/>
        <v>0</v>
      </c>
      <c r="AH24" s="626"/>
      <c r="AI24" s="626"/>
    </row>
    <row r="25" spans="1:35" x14ac:dyDescent="0.25">
      <c r="A25" s="601" t="s">
        <v>2529</v>
      </c>
      <c r="D25" s="626">
        <v>0</v>
      </c>
      <c r="E25" s="626">
        <v>0</v>
      </c>
      <c r="F25" s="626">
        <v>0</v>
      </c>
      <c r="G25" s="626">
        <v>0</v>
      </c>
      <c r="H25" s="626">
        <v>0</v>
      </c>
      <c r="I25" s="626">
        <v>0</v>
      </c>
      <c r="J25" s="626">
        <v>0</v>
      </c>
      <c r="K25" s="626">
        <v>0</v>
      </c>
      <c r="L25" s="626">
        <v>0</v>
      </c>
      <c r="M25" s="626">
        <v>0</v>
      </c>
      <c r="N25" s="626">
        <v>0</v>
      </c>
      <c r="O25" s="626">
        <v>0</v>
      </c>
      <c r="P25" s="626">
        <f t="shared" si="0"/>
        <v>0</v>
      </c>
      <c r="Q25" s="626">
        <v>0</v>
      </c>
      <c r="R25" s="626">
        <v>0</v>
      </c>
      <c r="S25" s="626">
        <v>0</v>
      </c>
      <c r="T25" s="626">
        <v>0</v>
      </c>
      <c r="U25" s="626">
        <v>0</v>
      </c>
      <c r="V25" s="626">
        <v>0</v>
      </c>
      <c r="W25" s="626">
        <v>0</v>
      </c>
      <c r="X25" s="626">
        <v>0</v>
      </c>
      <c r="Y25" s="626">
        <v>0</v>
      </c>
      <c r="Z25" s="626">
        <v>0</v>
      </c>
      <c r="AA25" s="626">
        <v>0</v>
      </c>
      <c r="AB25" s="626">
        <v>0</v>
      </c>
      <c r="AC25" s="626">
        <v>0</v>
      </c>
      <c r="AD25" s="626">
        <v>0</v>
      </c>
      <c r="AE25" s="626">
        <v>456.61483751174598</v>
      </c>
      <c r="AF25" s="626">
        <v>0</v>
      </c>
      <c r="AG25" s="626">
        <f t="shared" si="1"/>
        <v>456.61483751174598</v>
      </c>
      <c r="AH25" s="626"/>
      <c r="AI25" s="626"/>
    </row>
    <row r="26" spans="1:35" x14ac:dyDescent="0.25">
      <c r="A26" s="601" t="s">
        <v>2530</v>
      </c>
      <c r="D26" s="626">
        <v>1.43801</v>
      </c>
      <c r="E26" s="626">
        <v>19.537859999999998</v>
      </c>
      <c r="F26" s="626">
        <v>3.7800000000008799E-2</v>
      </c>
      <c r="G26" s="626">
        <v>0</v>
      </c>
      <c r="H26" s="626">
        <v>0</v>
      </c>
      <c r="I26" s="626">
        <v>0</v>
      </c>
      <c r="J26" s="626">
        <v>0</v>
      </c>
      <c r="K26" s="626">
        <v>0</v>
      </c>
      <c r="L26" s="626">
        <v>0</v>
      </c>
      <c r="M26" s="626">
        <v>0</v>
      </c>
      <c r="N26" s="626">
        <v>0</v>
      </c>
      <c r="O26" s="626">
        <v>0</v>
      </c>
      <c r="P26" s="626">
        <f t="shared" si="0"/>
        <v>21.013670000000005</v>
      </c>
      <c r="Q26" s="626">
        <v>0</v>
      </c>
      <c r="R26" s="626">
        <v>0</v>
      </c>
      <c r="S26" s="626">
        <v>0</v>
      </c>
      <c r="T26" s="626">
        <v>0</v>
      </c>
      <c r="U26" s="626">
        <v>0</v>
      </c>
      <c r="V26" s="626">
        <v>0</v>
      </c>
      <c r="W26" s="626">
        <v>0</v>
      </c>
      <c r="X26" s="626">
        <v>0</v>
      </c>
      <c r="Y26" s="626">
        <v>0</v>
      </c>
      <c r="Z26" s="626">
        <v>0</v>
      </c>
      <c r="AA26" s="626">
        <v>0</v>
      </c>
      <c r="AB26" s="626">
        <v>0</v>
      </c>
      <c r="AC26" s="626">
        <v>0</v>
      </c>
      <c r="AD26" s="626">
        <v>0</v>
      </c>
      <c r="AE26" s="626">
        <v>0</v>
      </c>
      <c r="AF26" s="626">
        <v>0</v>
      </c>
      <c r="AG26" s="626">
        <f t="shared" si="1"/>
        <v>0</v>
      </c>
      <c r="AH26" s="626"/>
      <c r="AI26" s="626"/>
    </row>
    <row r="27" spans="1:35" x14ac:dyDescent="0.25">
      <c r="A27" s="601" t="s">
        <v>2531</v>
      </c>
      <c r="D27" s="626">
        <v>52.197539999999996</v>
      </c>
      <c r="E27" s="626">
        <v>-150.94441</v>
      </c>
      <c r="F27" s="626">
        <v>19.2867800000001</v>
      </c>
      <c r="G27" s="626">
        <v>5.2895000000000003</v>
      </c>
      <c r="H27" s="626">
        <v>71.384370000000004</v>
      </c>
      <c r="I27" s="626">
        <v>50.130699999999997</v>
      </c>
      <c r="J27" s="626">
        <v>57.609859537878101</v>
      </c>
      <c r="K27" s="626">
        <v>0</v>
      </c>
      <c r="L27" s="626">
        <v>0</v>
      </c>
      <c r="M27" s="626">
        <v>362.78594115470401</v>
      </c>
      <c r="N27" s="626">
        <v>74.931206522665207</v>
      </c>
      <c r="O27" s="626">
        <v>0</v>
      </c>
      <c r="P27" s="626">
        <f t="shared" si="0"/>
        <v>542.67148721524745</v>
      </c>
      <c r="Q27" s="626">
        <v>0</v>
      </c>
      <c r="R27" s="626">
        <v>0</v>
      </c>
      <c r="S27" s="626">
        <v>32.248608636060098</v>
      </c>
      <c r="T27" s="626">
        <v>484.85811876158999</v>
      </c>
      <c r="U27" s="626">
        <v>36.770841622638201</v>
      </c>
      <c r="V27" s="626">
        <v>0</v>
      </c>
      <c r="W27" s="626">
        <v>0</v>
      </c>
      <c r="X27" s="626">
        <v>0</v>
      </c>
      <c r="Y27" s="626">
        <v>14.7118959031733</v>
      </c>
      <c r="Z27" s="626">
        <v>0</v>
      </c>
      <c r="AA27" s="626">
        <v>52.358501368013599</v>
      </c>
      <c r="AB27" s="626">
        <v>83.043955094623499</v>
      </c>
      <c r="AC27" s="626">
        <v>0</v>
      </c>
      <c r="AD27" s="626">
        <v>530.76627718619295</v>
      </c>
      <c r="AE27" s="626">
        <v>2628.2637649677699</v>
      </c>
      <c r="AF27" s="626">
        <v>61.818624155436503</v>
      </c>
      <c r="AG27" s="626">
        <f t="shared" si="1"/>
        <v>3407.7338602978475</v>
      </c>
      <c r="AH27" s="626"/>
      <c r="AI27" s="626"/>
    </row>
    <row r="28" spans="1:35" x14ac:dyDescent="0.25">
      <c r="A28" s="601" t="s">
        <v>2532</v>
      </c>
      <c r="D28" s="626">
        <v>1.77759</v>
      </c>
      <c r="E28" s="626">
        <v>0.42871999999999999</v>
      </c>
      <c r="F28" s="626">
        <v>8.8210000000010905E-2</v>
      </c>
      <c r="G28" s="626">
        <v>13.663040000000001</v>
      </c>
      <c r="H28" s="626">
        <v>0.55108000000000001</v>
      </c>
      <c r="I28" s="626">
        <v>3.3830900000000002</v>
      </c>
      <c r="J28" s="626">
        <v>0</v>
      </c>
      <c r="K28" s="626">
        <v>0</v>
      </c>
      <c r="L28" s="626">
        <v>0</v>
      </c>
      <c r="M28" s="626">
        <v>859.07180397546495</v>
      </c>
      <c r="N28" s="626">
        <v>0</v>
      </c>
      <c r="O28" s="626">
        <v>0</v>
      </c>
      <c r="P28" s="626">
        <f t="shared" si="0"/>
        <v>878.963533975465</v>
      </c>
      <c r="Q28" s="626">
        <v>0</v>
      </c>
      <c r="R28" s="626">
        <v>0</v>
      </c>
      <c r="S28" s="626">
        <v>0</v>
      </c>
      <c r="T28" s="626">
        <v>0</v>
      </c>
      <c r="U28" s="626">
        <v>0</v>
      </c>
      <c r="V28" s="626">
        <v>0</v>
      </c>
      <c r="W28" s="626">
        <v>0</v>
      </c>
      <c r="X28" s="626">
        <v>0</v>
      </c>
      <c r="Y28" s="626">
        <v>365.04927874187803</v>
      </c>
      <c r="Z28" s="626">
        <v>608.41421570870295</v>
      </c>
      <c r="AA28" s="626">
        <v>0</v>
      </c>
      <c r="AB28" s="626">
        <v>0</v>
      </c>
      <c r="AC28" s="626">
        <v>0</v>
      </c>
      <c r="AD28" s="626">
        <v>546.012997852892</v>
      </c>
      <c r="AE28" s="626">
        <v>2677.8816406648898</v>
      </c>
      <c r="AF28" s="626">
        <v>0</v>
      </c>
      <c r="AG28" s="626">
        <f t="shared" si="1"/>
        <v>4197.358132968363</v>
      </c>
      <c r="AH28" s="626"/>
      <c r="AI28" s="626"/>
    </row>
    <row r="29" spans="1:35" x14ac:dyDescent="0.25">
      <c r="A29" s="601" t="s">
        <v>2533</v>
      </c>
      <c r="D29" s="629">
        <f>SUM(D19:D28)</f>
        <v>403.66242</v>
      </c>
      <c r="E29" s="629">
        <f t="shared" ref="E29:AF29" si="3">SUM(E19:E28)</f>
        <v>376.4290499999999</v>
      </c>
      <c r="F29" s="629">
        <f t="shared" si="3"/>
        <v>5528.8994700000003</v>
      </c>
      <c r="G29" s="629">
        <f t="shared" si="3"/>
        <v>5403.9193000000005</v>
      </c>
      <c r="H29" s="629">
        <f t="shared" si="3"/>
        <v>1298.9042899999997</v>
      </c>
      <c r="I29" s="629">
        <f t="shared" si="3"/>
        <v>371.67286999999999</v>
      </c>
      <c r="J29" s="629">
        <f t="shared" si="3"/>
        <v>182.0739106943393</v>
      </c>
      <c r="K29" s="629">
        <f t="shared" si="3"/>
        <v>148.45744105251072</v>
      </c>
      <c r="L29" s="629">
        <f t="shared" si="3"/>
        <v>2464.331003972025</v>
      </c>
      <c r="M29" s="629">
        <f t="shared" si="3"/>
        <v>5276.7613057361959</v>
      </c>
      <c r="N29" s="629">
        <f t="shared" si="3"/>
        <v>2134.2981962277026</v>
      </c>
      <c r="O29" s="629">
        <f t="shared" si="3"/>
        <v>204.79787222175958</v>
      </c>
      <c r="P29" s="629">
        <f t="shared" si="0"/>
        <v>23794.207129904535</v>
      </c>
      <c r="Q29" s="629">
        <f t="shared" si="3"/>
        <v>0</v>
      </c>
      <c r="R29" s="629">
        <f t="shared" si="3"/>
        <v>133.690128489307</v>
      </c>
      <c r="S29" s="629">
        <f t="shared" si="3"/>
        <v>3991.5063012120304</v>
      </c>
      <c r="T29" s="629">
        <f t="shared" si="3"/>
        <v>3236.5763957615759</v>
      </c>
      <c r="U29" s="629">
        <f t="shared" si="3"/>
        <v>216.88187678290689</v>
      </c>
      <c r="V29" s="629">
        <f t="shared" si="3"/>
        <v>0</v>
      </c>
      <c r="W29" s="629">
        <f t="shared" si="3"/>
        <v>0</v>
      </c>
      <c r="X29" s="629">
        <f t="shared" si="3"/>
        <v>0</v>
      </c>
      <c r="Y29" s="629">
        <f t="shared" si="3"/>
        <v>1269.3347735541993</v>
      </c>
      <c r="Z29" s="629">
        <f t="shared" si="3"/>
        <v>9492.1668788106599</v>
      </c>
      <c r="AA29" s="629">
        <f t="shared" si="3"/>
        <v>10548.5491795786</v>
      </c>
      <c r="AB29" s="629">
        <f t="shared" si="3"/>
        <v>243.01551222174729</v>
      </c>
      <c r="AC29" s="629">
        <f t="shared" si="3"/>
        <v>0</v>
      </c>
      <c r="AD29" s="629">
        <f t="shared" si="3"/>
        <v>1454.5944526069679</v>
      </c>
      <c r="AE29" s="629">
        <f t="shared" si="3"/>
        <v>13927.748597778345</v>
      </c>
      <c r="AF29" s="629">
        <f t="shared" si="3"/>
        <v>7737.1099954326528</v>
      </c>
      <c r="AG29" s="629">
        <f t="shared" si="1"/>
        <v>44889.401266766086</v>
      </c>
      <c r="AH29" s="626"/>
      <c r="AI29" s="626"/>
    </row>
    <row r="30" spans="1:35" x14ac:dyDescent="0.25">
      <c r="D30" s="626"/>
      <c r="E30" s="626"/>
      <c r="F30" s="626"/>
      <c r="G30" s="626"/>
      <c r="H30" s="626"/>
      <c r="I30" s="626"/>
      <c r="J30" s="626"/>
      <c r="K30" s="626"/>
      <c r="L30" s="626"/>
      <c r="M30" s="626"/>
      <c r="N30" s="626"/>
      <c r="O30" s="626"/>
      <c r="P30" s="626">
        <f t="shared" si="0"/>
        <v>0</v>
      </c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>
        <f t="shared" si="1"/>
        <v>0</v>
      </c>
      <c r="AH30" s="626"/>
      <c r="AI30" s="626"/>
    </row>
    <row r="31" spans="1:35" ht="15.75" thickBot="1" x14ac:dyDescent="0.3">
      <c r="A31" s="601" t="s">
        <v>2534</v>
      </c>
      <c r="D31" s="630">
        <f>D29-D17</f>
        <v>349.21129190261081</v>
      </c>
      <c r="E31" s="630">
        <f t="shared" ref="E31:AF31" si="4">E29-E17</f>
        <v>-83.707032122545399</v>
      </c>
      <c r="F31" s="630">
        <f t="shared" si="4"/>
        <v>1225.0129212668307</v>
      </c>
      <c r="G31" s="630">
        <f t="shared" si="4"/>
        <v>-812.82949384237236</v>
      </c>
      <c r="H31" s="630">
        <f t="shared" si="4"/>
        <v>-118.89225455351493</v>
      </c>
      <c r="I31" s="630">
        <f t="shared" si="4"/>
        <v>292.95138267770409</v>
      </c>
      <c r="J31" s="630">
        <f t="shared" si="4"/>
        <v>126.41294351414734</v>
      </c>
      <c r="K31" s="630">
        <f t="shared" si="4"/>
        <v>111.13311974427845</v>
      </c>
      <c r="L31" s="630">
        <f t="shared" si="4"/>
        <v>1799.1448290683218</v>
      </c>
      <c r="M31" s="630">
        <f t="shared" si="4"/>
        <v>1080.1458936048339</v>
      </c>
      <c r="N31" s="630">
        <f t="shared" si="4"/>
        <v>-554.10985270735273</v>
      </c>
      <c r="O31" s="630">
        <f t="shared" si="4"/>
        <v>-114.86277014195116</v>
      </c>
      <c r="P31" s="630">
        <f t="shared" si="0"/>
        <v>3299.6109784109904</v>
      </c>
      <c r="Q31" s="630">
        <f t="shared" si="4"/>
        <v>-54.451128097389166</v>
      </c>
      <c r="R31" s="630">
        <f t="shared" si="4"/>
        <v>-326.44595363323833</v>
      </c>
      <c r="S31" s="630">
        <f t="shared" si="4"/>
        <v>-312.38024752113915</v>
      </c>
      <c r="T31" s="630">
        <f t="shared" si="4"/>
        <v>-2980.1723980807969</v>
      </c>
      <c r="U31" s="630">
        <f t="shared" si="4"/>
        <v>-1229.2305973248772</v>
      </c>
      <c r="V31" s="630">
        <f t="shared" si="4"/>
        <v>59.494342708932479</v>
      </c>
      <c r="W31" s="630">
        <f t="shared" si="4"/>
        <v>-30.408848577688289</v>
      </c>
      <c r="X31" s="630">
        <f t="shared" si="4"/>
        <v>-26.792204444084597</v>
      </c>
      <c r="Y31" s="630">
        <f t="shared" si="4"/>
        <v>656.90415547384885</v>
      </c>
      <c r="Z31" s="630">
        <f t="shared" si="4"/>
        <v>4498.8557710266332</v>
      </c>
      <c r="AA31" s="630">
        <f t="shared" si="4"/>
        <v>7083.5157002755095</v>
      </c>
      <c r="AB31" s="630">
        <f t="shared" si="4"/>
        <v>-7.1719745007619338</v>
      </c>
      <c r="AC31" s="630">
        <f t="shared" si="4"/>
        <v>-103.16482347544691</v>
      </c>
      <c r="AD31" s="630">
        <f t="shared" si="4"/>
        <v>1046.8191738755686</v>
      </c>
      <c r="AE31" s="630">
        <f t="shared" si="4"/>
        <v>7836.3895618273436</v>
      </c>
      <c r="AF31" s="630">
        <f t="shared" si="4"/>
        <v>1984.6765062426603</v>
      </c>
      <c r="AG31" s="630">
        <f t="shared" si="1"/>
        <v>21769.886763107639</v>
      </c>
      <c r="AH31" s="626"/>
      <c r="AI31" s="626"/>
    </row>
    <row r="32" spans="1:35" ht="15.75" thickTop="1" x14ac:dyDescent="0.25">
      <c r="D32" s="626">
        <v>1.9026107338504517E-6</v>
      </c>
      <c r="E32" s="626">
        <v>-2.2122545431102481E-5</v>
      </c>
      <c r="F32" s="626">
        <v>1.2668306226260029E-6</v>
      </c>
      <c r="G32" s="626">
        <v>-3.8423723935920862E-6</v>
      </c>
      <c r="H32" s="626">
        <v>5.4464851473312592E-6</v>
      </c>
      <c r="I32" s="626">
        <v>-1.7322295946087252E-5</v>
      </c>
      <c r="J32" s="626">
        <v>3.4106051316484809E-13</v>
      </c>
      <c r="K32" s="626">
        <v>-5.5422333389287814E-13</v>
      </c>
      <c r="L32" s="626">
        <v>1.8189894035458565E-12</v>
      </c>
      <c r="M32" s="626">
        <v>3.865352482534945E-12</v>
      </c>
      <c r="N32" s="626">
        <v>2.2737367544323206E-12</v>
      </c>
      <c r="O32" s="626">
        <v>-1.5631940186722204E-13</v>
      </c>
      <c r="P32" s="626">
        <f t="shared" si="0"/>
        <v>-3.4671279678377687E-5</v>
      </c>
      <c r="Q32" s="626">
        <v>0</v>
      </c>
      <c r="R32" s="626">
        <v>0</v>
      </c>
      <c r="S32" s="626">
        <v>1.8189894035458565E-12</v>
      </c>
      <c r="T32" s="626">
        <v>0</v>
      </c>
      <c r="U32" s="626">
        <v>2.7284841053187847E-12</v>
      </c>
      <c r="V32" s="626">
        <v>7.815970093361102E-14</v>
      </c>
      <c r="W32" s="626">
        <v>0</v>
      </c>
      <c r="X32" s="626">
        <v>0</v>
      </c>
      <c r="Y32" s="626">
        <v>0</v>
      </c>
      <c r="Z32" s="626">
        <v>0</v>
      </c>
      <c r="AA32" s="626">
        <v>-1.0913936421275139E-11</v>
      </c>
      <c r="AB32" s="626">
        <v>4.5652370772586437E-13</v>
      </c>
      <c r="AC32" s="626">
        <v>0</v>
      </c>
      <c r="AD32" s="626">
        <v>0</v>
      </c>
      <c r="AE32" s="626">
        <v>1.3642420526593924E-11</v>
      </c>
      <c r="AF32" s="626">
        <v>1.0231815394945443E-11</v>
      </c>
      <c r="AG32" s="626">
        <f t="shared" si="1"/>
        <v>1.6223467014242487E-11</v>
      </c>
      <c r="AH32" s="626"/>
      <c r="AI32" s="626"/>
    </row>
    <row r="33" spans="1:35" x14ac:dyDescent="0.25">
      <c r="A33" s="628" t="s">
        <v>2535</v>
      </c>
      <c r="B33" s="628"/>
      <c r="C33" s="628"/>
      <c r="D33" s="626"/>
      <c r="E33" s="626"/>
      <c r="F33" s="626"/>
      <c r="G33" s="626"/>
      <c r="H33" s="626"/>
      <c r="I33" s="626"/>
      <c r="J33" s="626"/>
      <c r="K33" s="626"/>
      <c r="L33" s="626"/>
      <c r="M33" s="626"/>
      <c r="N33" s="626"/>
      <c r="O33" s="626"/>
      <c r="P33" s="626">
        <f t="shared" si="0"/>
        <v>0</v>
      </c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>
        <f t="shared" si="1"/>
        <v>0</v>
      </c>
      <c r="AH33" s="626"/>
      <c r="AI33" s="626"/>
    </row>
    <row r="34" spans="1:35" x14ac:dyDescent="0.25">
      <c r="A34" s="601" t="s">
        <v>2536</v>
      </c>
      <c r="D34" s="626">
        <v>0</v>
      </c>
      <c r="E34" s="626">
        <v>0</v>
      </c>
      <c r="F34" s="626">
        <v>0</v>
      </c>
      <c r="G34" s="626">
        <v>0</v>
      </c>
      <c r="H34" s="626">
        <v>0</v>
      </c>
      <c r="I34" s="626">
        <v>0</v>
      </c>
      <c r="J34" s="626">
        <v>0</v>
      </c>
      <c r="K34" s="626">
        <v>0</v>
      </c>
      <c r="L34" s="626">
        <v>0</v>
      </c>
      <c r="M34" s="626">
        <v>0</v>
      </c>
      <c r="N34" s="626">
        <v>0</v>
      </c>
      <c r="O34" s="626">
        <v>0</v>
      </c>
      <c r="P34" s="626">
        <f t="shared" si="0"/>
        <v>0</v>
      </c>
      <c r="Q34" s="626">
        <v>0</v>
      </c>
      <c r="R34" s="626">
        <v>0</v>
      </c>
      <c r="S34" s="626">
        <v>0</v>
      </c>
      <c r="T34" s="626">
        <v>0</v>
      </c>
      <c r="U34" s="626">
        <v>-4.5372865753062298E-2</v>
      </c>
      <c r="V34" s="626">
        <v>-4.5372865753062298E-2</v>
      </c>
      <c r="W34" s="626">
        <v>-4.5372865753062298E-2</v>
      </c>
      <c r="X34" s="626">
        <v>-4.5372865753062298E-2</v>
      </c>
      <c r="Y34" s="626">
        <v>-4.5372865753062298E-2</v>
      </c>
      <c r="Z34" s="626">
        <v>-4.5372865753062298E-2</v>
      </c>
      <c r="AA34" s="626">
        <v>-4.5372865753062298E-2</v>
      </c>
      <c r="AB34" s="626">
        <v>-4.5372865753062298E-2</v>
      </c>
      <c r="AC34" s="626">
        <v>-4.5372865753062298E-2</v>
      </c>
      <c r="AD34" s="626">
        <v>-4.5372865753062298E-2</v>
      </c>
      <c r="AE34" s="626">
        <v>-4.5372865753062298E-2</v>
      </c>
      <c r="AF34" s="626">
        <v>-4.5372865753062298E-2</v>
      </c>
      <c r="AG34" s="626">
        <f t="shared" si="1"/>
        <v>-0.54447438903674772</v>
      </c>
      <c r="AH34" s="626"/>
      <c r="AI34" s="626"/>
    </row>
    <row r="35" spans="1:35" x14ac:dyDescent="0.25">
      <c r="A35" s="601" t="s">
        <v>2537</v>
      </c>
      <c r="D35" s="626">
        <v>0</v>
      </c>
      <c r="E35" s="626">
        <v>0</v>
      </c>
      <c r="F35" s="626">
        <v>0</v>
      </c>
      <c r="G35" s="626">
        <v>0</v>
      </c>
      <c r="H35" s="626">
        <v>0</v>
      </c>
      <c r="I35" s="626">
        <v>0</v>
      </c>
      <c r="J35" s="626">
        <v>0</v>
      </c>
      <c r="K35" s="626">
        <v>0</v>
      </c>
      <c r="L35" s="626">
        <v>0</v>
      </c>
      <c r="M35" s="626">
        <v>0</v>
      </c>
      <c r="N35" s="626">
        <v>0</v>
      </c>
      <c r="O35" s="626">
        <v>0</v>
      </c>
      <c r="P35" s="626">
        <f t="shared" si="0"/>
        <v>0</v>
      </c>
      <c r="Q35" s="626">
        <v>0</v>
      </c>
      <c r="R35" s="626">
        <v>0</v>
      </c>
      <c r="S35" s="626">
        <v>0</v>
      </c>
      <c r="T35" s="626">
        <v>0</v>
      </c>
      <c r="U35" s="626">
        <v>2.3775147258871701</v>
      </c>
      <c r="V35" s="626">
        <v>2.3775147258871701</v>
      </c>
      <c r="W35" s="626">
        <v>2.3775147258871701</v>
      </c>
      <c r="X35" s="626">
        <v>2.3775147258871701</v>
      </c>
      <c r="Y35" s="626">
        <v>2.3775147258871701</v>
      </c>
      <c r="Z35" s="626">
        <v>2.3775147258871701</v>
      </c>
      <c r="AA35" s="626">
        <v>2.3775147258871701</v>
      </c>
      <c r="AB35" s="626">
        <v>2.3775147258871701</v>
      </c>
      <c r="AC35" s="626">
        <v>2.3775147258871701</v>
      </c>
      <c r="AD35" s="626">
        <v>2.3775147258871701</v>
      </c>
      <c r="AE35" s="626">
        <v>2.3775147258871701</v>
      </c>
      <c r="AF35" s="626">
        <v>2.3775147258871701</v>
      </c>
      <c r="AG35" s="626">
        <f t="shared" si="1"/>
        <v>28.530176710646042</v>
      </c>
      <c r="AH35" s="626"/>
      <c r="AI35" s="626"/>
    </row>
    <row r="36" spans="1:35" x14ac:dyDescent="0.25">
      <c r="A36" s="601" t="s">
        <v>2538</v>
      </c>
      <c r="D36" s="626">
        <v>0</v>
      </c>
      <c r="E36" s="626">
        <v>0</v>
      </c>
      <c r="F36" s="626">
        <v>0</v>
      </c>
      <c r="G36" s="626">
        <v>0</v>
      </c>
      <c r="H36" s="626">
        <v>0</v>
      </c>
      <c r="I36" s="626">
        <v>0</v>
      </c>
      <c r="J36" s="626">
        <v>0</v>
      </c>
      <c r="K36" s="626">
        <v>0</v>
      </c>
      <c r="L36" s="626">
        <v>0</v>
      </c>
      <c r="M36" s="626">
        <v>0</v>
      </c>
      <c r="N36" s="626">
        <v>0</v>
      </c>
      <c r="O36" s="626">
        <v>0</v>
      </c>
      <c r="P36" s="626">
        <f t="shared" si="0"/>
        <v>0</v>
      </c>
      <c r="Q36" s="626">
        <v>0</v>
      </c>
      <c r="R36" s="626">
        <v>0</v>
      </c>
      <c r="S36" s="626">
        <v>0</v>
      </c>
      <c r="T36" s="626">
        <v>0</v>
      </c>
      <c r="U36" s="626">
        <v>-27.350075382160799</v>
      </c>
      <c r="V36" s="626">
        <v>-27.350075382160799</v>
      </c>
      <c r="W36" s="626">
        <v>-27.350075382160799</v>
      </c>
      <c r="X36" s="626">
        <v>-27.350075382160799</v>
      </c>
      <c r="Y36" s="626">
        <v>-27.350075382160799</v>
      </c>
      <c r="Z36" s="626">
        <v>-27.350075382160799</v>
      </c>
      <c r="AA36" s="626">
        <v>-27.350075382160799</v>
      </c>
      <c r="AB36" s="626">
        <v>-27.350075382160799</v>
      </c>
      <c r="AC36" s="626">
        <v>-27.350075382160799</v>
      </c>
      <c r="AD36" s="626">
        <v>-27.350075382160799</v>
      </c>
      <c r="AE36" s="626">
        <v>-27.350075382160799</v>
      </c>
      <c r="AF36" s="626">
        <v>-27.350075382160799</v>
      </c>
      <c r="AG36" s="626">
        <f t="shared" si="1"/>
        <v>-328.20090458592966</v>
      </c>
      <c r="AH36" s="626"/>
      <c r="AI36" s="626"/>
    </row>
    <row r="37" spans="1:35" x14ac:dyDescent="0.25">
      <c r="A37" s="601" t="s">
        <v>2539</v>
      </c>
      <c r="D37" s="626">
        <v>0</v>
      </c>
      <c r="E37" s="626">
        <v>0</v>
      </c>
      <c r="F37" s="626">
        <v>0</v>
      </c>
      <c r="G37" s="626">
        <v>0</v>
      </c>
      <c r="H37" s="626">
        <v>0</v>
      </c>
      <c r="I37" s="626">
        <v>0</v>
      </c>
      <c r="J37" s="626">
        <v>0</v>
      </c>
      <c r="K37" s="626">
        <v>0</v>
      </c>
      <c r="L37" s="626">
        <v>0</v>
      </c>
      <c r="M37" s="626">
        <v>0</v>
      </c>
      <c r="N37" s="626">
        <v>0</v>
      </c>
      <c r="O37" s="626">
        <v>0</v>
      </c>
      <c r="P37" s="626">
        <f t="shared" si="0"/>
        <v>0</v>
      </c>
      <c r="Q37" s="626">
        <v>0</v>
      </c>
      <c r="R37" s="626">
        <v>0</v>
      </c>
      <c r="S37" s="626">
        <v>0</v>
      </c>
      <c r="T37" s="626">
        <v>0</v>
      </c>
      <c r="U37" s="626">
        <v>-4.6770353805307696</v>
      </c>
      <c r="V37" s="626">
        <v>-4.6770353805307696</v>
      </c>
      <c r="W37" s="626">
        <v>-4.6770353805307696</v>
      </c>
      <c r="X37" s="626">
        <v>-4.6770353805307696</v>
      </c>
      <c r="Y37" s="626">
        <v>-4.6770353805307696</v>
      </c>
      <c r="Z37" s="626">
        <v>-4.6770353805307696</v>
      </c>
      <c r="AA37" s="626">
        <v>-4.6770353805307696</v>
      </c>
      <c r="AB37" s="626">
        <v>-4.6770353805307696</v>
      </c>
      <c r="AC37" s="626">
        <v>-4.6770353805307696</v>
      </c>
      <c r="AD37" s="626">
        <v>-4.6770353805307696</v>
      </c>
      <c r="AE37" s="626">
        <v>-4.6770353805307696</v>
      </c>
      <c r="AF37" s="626">
        <v>-4.6770353805307696</v>
      </c>
      <c r="AG37" s="626">
        <f t="shared" si="1"/>
        <v>-56.124424566369221</v>
      </c>
      <c r="AH37" s="626"/>
      <c r="AI37" s="626"/>
    </row>
    <row r="38" spans="1:35" x14ac:dyDescent="0.25">
      <c r="A38" s="601" t="s">
        <v>2540</v>
      </c>
      <c r="D38" s="626">
        <v>0</v>
      </c>
      <c r="E38" s="626">
        <v>0</v>
      </c>
      <c r="F38" s="626">
        <v>0</v>
      </c>
      <c r="G38" s="626">
        <v>0</v>
      </c>
      <c r="H38" s="626">
        <v>0</v>
      </c>
      <c r="I38" s="626">
        <v>0</v>
      </c>
      <c r="J38" s="626">
        <v>0</v>
      </c>
      <c r="K38" s="626">
        <v>0</v>
      </c>
      <c r="L38" s="626">
        <v>0</v>
      </c>
      <c r="M38" s="626">
        <v>0</v>
      </c>
      <c r="N38" s="626">
        <v>0</v>
      </c>
      <c r="O38" s="626">
        <v>0</v>
      </c>
      <c r="P38" s="626">
        <f t="shared" si="0"/>
        <v>0</v>
      </c>
      <c r="Q38" s="626">
        <v>0</v>
      </c>
      <c r="R38" s="626">
        <v>0</v>
      </c>
      <c r="S38" s="626">
        <v>0</v>
      </c>
      <c r="T38" s="626">
        <v>0</v>
      </c>
      <c r="U38" s="626">
        <v>-2.19130257784865E-2</v>
      </c>
      <c r="V38" s="626">
        <v>-2.19130257784865E-2</v>
      </c>
      <c r="W38" s="626">
        <v>-2.19130257784865E-2</v>
      </c>
      <c r="X38" s="626">
        <v>-2.19130257784865E-2</v>
      </c>
      <c r="Y38" s="626">
        <v>-2.19130257784865E-2</v>
      </c>
      <c r="Z38" s="626">
        <v>-2.19130257784865E-2</v>
      </c>
      <c r="AA38" s="626">
        <v>-2.19130257784865E-2</v>
      </c>
      <c r="AB38" s="626">
        <v>-2.19130257784865E-2</v>
      </c>
      <c r="AC38" s="626">
        <v>-2.19130257784865E-2</v>
      </c>
      <c r="AD38" s="626">
        <v>-2.19130257784865E-2</v>
      </c>
      <c r="AE38" s="626">
        <v>-2.19130257784865E-2</v>
      </c>
      <c r="AF38" s="626">
        <v>-2.19130257784865E-2</v>
      </c>
      <c r="AG38" s="626">
        <f t="shared" si="1"/>
        <v>-0.262956309341838</v>
      </c>
      <c r="AH38" s="626"/>
      <c r="AI38" s="626"/>
    </row>
    <row r="39" spans="1:35" x14ac:dyDescent="0.25">
      <c r="A39" s="601" t="s">
        <v>2541</v>
      </c>
      <c r="D39" s="626">
        <v>0</v>
      </c>
      <c r="E39" s="626">
        <v>0</v>
      </c>
      <c r="F39" s="626">
        <v>0</v>
      </c>
      <c r="G39" s="626">
        <v>0</v>
      </c>
      <c r="H39" s="626">
        <v>0</v>
      </c>
      <c r="I39" s="626">
        <v>0</v>
      </c>
      <c r="J39" s="626">
        <v>0</v>
      </c>
      <c r="K39" s="626">
        <v>0</v>
      </c>
      <c r="L39" s="626">
        <v>0</v>
      </c>
      <c r="M39" s="626">
        <v>0</v>
      </c>
      <c r="N39" s="626">
        <v>0</v>
      </c>
      <c r="O39" s="626">
        <v>0</v>
      </c>
      <c r="P39" s="626">
        <f t="shared" si="0"/>
        <v>0</v>
      </c>
      <c r="Q39" s="626">
        <v>0</v>
      </c>
      <c r="R39" s="626">
        <v>0</v>
      </c>
      <c r="S39" s="626">
        <v>0</v>
      </c>
      <c r="T39" s="626">
        <v>0</v>
      </c>
      <c r="U39" s="626">
        <v>1.51649595212789</v>
      </c>
      <c r="V39" s="626">
        <v>1.51649595212789</v>
      </c>
      <c r="W39" s="626">
        <v>1.51649595212789</v>
      </c>
      <c r="X39" s="626">
        <v>1.51649595212789</v>
      </c>
      <c r="Y39" s="626">
        <v>1.51649595212789</v>
      </c>
      <c r="Z39" s="626">
        <v>1.51649595212789</v>
      </c>
      <c r="AA39" s="626">
        <v>1.51649595212789</v>
      </c>
      <c r="AB39" s="626">
        <v>1.51649595212789</v>
      </c>
      <c r="AC39" s="626">
        <v>1.51649595212789</v>
      </c>
      <c r="AD39" s="626">
        <v>1.51649595212789</v>
      </c>
      <c r="AE39" s="626">
        <v>1.51649595212789</v>
      </c>
      <c r="AF39" s="626">
        <v>1.51649595212789</v>
      </c>
      <c r="AG39" s="626">
        <f t="shared" si="1"/>
        <v>18.197951425534679</v>
      </c>
      <c r="AH39" s="626"/>
      <c r="AI39" s="626"/>
    </row>
    <row r="40" spans="1:35" x14ac:dyDescent="0.25">
      <c r="A40" s="601" t="s">
        <v>2542</v>
      </c>
      <c r="D40" s="626">
        <v>0</v>
      </c>
      <c r="E40" s="626">
        <v>0</v>
      </c>
      <c r="F40" s="626">
        <v>0</v>
      </c>
      <c r="G40" s="626">
        <v>0</v>
      </c>
      <c r="H40" s="626">
        <v>0</v>
      </c>
      <c r="I40" s="626">
        <v>0</v>
      </c>
      <c r="J40" s="626">
        <v>0</v>
      </c>
      <c r="K40" s="626">
        <v>0</v>
      </c>
      <c r="L40" s="626">
        <v>0</v>
      </c>
      <c r="M40" s="626">
        <v>0</v>
      </c>
      <c r="N40" s="626">
        <v>0</v>
      </c>
      <c r="O40" s="626">
        <v>0</v>
      </c>
      <c r="P40" s="626">
        <f t="shared" si="0"/>
        <v>0</v>
      </c>
      <c r="Q40" s="626">
        <v>0</v>
      </c>
      <c r="R40" s="626">
        <v>0</v>
      </c>
      <c r="S40" s="626">
        <v>0</v>
      </c>
      <c r="T40" s="626">
        <v>0</v>
      </c>
      <c r="U40" s="626">
        <v>-0.42719953138543698</v>
      </c>
      <c r="V40" s="626">
        <v>-0.42719953138543698</v>
      </c>
      <c r="W40" s="626">
        <v>-0.42719953138543698</v>
      </c>
      <c r="X40" s="626">
        <v>-0.42719953138543698</v>
      </c>
      <c r="Y40" s="626">
        <v>-0.42719953138543698</v>
      </c>
      <c r="Z40" s="626">
        <v>-0.42719953138543698</v>
      </c>
      <c r="AA40" s="626">
        <v>-0.42719953138543698</v>
      </c>
      <c r="AB40" s="626">
        <v>-0.42719953138543698</v>
      </c>
      <c r="AC40" s="626">
        <v>-0.42719953138543698</v>
      </c>
      <c r="AD40" s="626">
        <v>-0.42719953138543698</v>
      </c>
      <c r="AE40" s="626">
        <v>-0.42719953138543698</v>
      </c>
      <c r="AF40" s="626">
        <v>-0.42719953138543698</v>
      </c>
      <c r="AG40" s="626">
        <f t="shared" si="1"/>
        <v>-5.1263943766252433</v>
      </c>
      <c r="AH40" s="626"/>
      <c r="AI40" s="626"/>
    </row>
    <row r="41" spans="1:35" x14ac:dyDescent="0.25">
      <c r="A41" s="601" t="s">
        <v>2543</v>
      </c>
      <c r="D41" s="626">
        <v>0</v>
      </c>
      <c r="E41" s="626">
        <v>0</v>
      </c>
      <c r="F41" s="626">
        <v>0</v>
      </c>
      <c r="G41" s="626">
        <v>0</v>
      </c>
      <c r="H41" s="626">
        <v>0</v>
      </c>
      <c r="I41" s="626">
        <v>0</v>
      </c>
      <c r="J41" s="626">
        <v>0</v>
      </c>
      <c r="K41" s="626">
        <v>0</v>
      </c>
      <c r="L41" s="626">
        <v>0</v>
      </c>
      <c r="M41" s="626">
        <v>0</v>
      </c>
      <c r="N41" s="626">
        <v>0</v>
      </c>
      <c r="O41" s="626">
        <v>0</v>
      </c>
      <c r="P41" s="626">
        <f t="shared" si="0"/>
        <v>0</v>
      </c>
      <c r="Q41" s="626">
        <v>0</v>
      </c>
      <c r="R41" s="626">
        <v>0</v>
      </c>
      <c r="S41" s="626">
        <v>0</v>
      </c>
      <c r="T41" s="626">
        <v>0</v>
      </c>
      <c r="U41" s="626">
        <v>-9.3841622783093506</v>
      </c>
      <c r="V41" s="626">
        <v>-9.3841622783093506</v>
      </c>
      <c r="W41" s="626">
        <v>-9.3841622783093506</v>
      </c>
      <c r="X41" s="626">
        <v>-9.3841622783093506</v>
      </c>
      <c r="Y41" s="626">
        <v>-9.3841622783093506</v>
      </c>
      <c r="Z41" s="626">
        <v>-9.3841622783093506</v>
      </c>
      <c r="AA41" s="626">
        <v>-9.3841622783093506</v>
      </c>
      <c r="AB41" s="626">
        <v>-9.3841622783093506</v>
      </c>
      <c r="AC41" s="626">
        <v>-9.3841622783093506</v>
      </c>
      <c r="AD41" s="626">
        <v>-9.3841622783093506</v>
      </c>
      <c r="AE41" s="626">
        <v>-9.3841622783093506</v>
      </c>
      <c r="AF41" s="626">
        <v>-9.3841622783093506</v>
      </c>
      <c r="AG41" s="626">
        <f t="shared" si="1"/>
        <v>-112.60994733971218</v>
      </c>
      <c r="AH41" s="626"/>
      <c r="AI41" s="626"/>
    </row>
    <row r="42" spans="1:35" x14ac:dyDescent="0.25">
      <c r="A42" s="601" t="s">
        <v>2544</v>
      </c>
      <c r="D42" s="626">
        <v>0</v>
      </c>
      <c r="E42" s="626">
        <v>0</v>
      </c>
      <c r="F42" s="626">
        <v>0</v>
      </c>
      <c r="G42" s="626">
        <v>0</v>
      </c>
      <c r="H42" s="626">
        <v>0</v>
      </c>
      <c r="I42" s="626">
        <v>0</v>
      </c>
      <c r="J42" s="626">
        <v>0</v>
      </c>
      <c r="K42" s="626">
        <v>0</v>
      </c>
      <c r="L42" s="626">
        <v>0</v>
      </c>
      <c r="M42" s="626">
        <v>0</v>
      </c>
      <c r="N42" s="626">
        <v>0</v>
      </c>
      <c r="O42" s="626">
        <v>0</v>
      </c>
      <c r="P42" s="626">
        <f t="shared" si="0"/>
        <v>0</v>
      </c>
      <c r="Q42" s="626">
        <v>0</v>
      </c>
      <c r="R42" s="626">
        <v>0</v>
      </c>
      <c r="S42" s="626">
        <v>0</v>
      </c>
      <c r="T42" s="626">
        <v>0</v>
      </c>
      <c r="U42" s="626">
        <v>17.670165254247099</v>
      </c>
      <c r="V42" s="626">
        <v>17.670165254247099</v>
      </c>
      <c r="W42" s="626">
        <v>17.670165254247099</v>
      </c>
      <c r="X42" s="626">
        <v>17.670165254247099</v>
      </c>
      <c r="Y42" s="626">
        <v>17.670165254247099</v>
      </c>
      <c r="Z42" s="626">
        <v>17.670165254247099</v>
      </c>
      <c r="AA42" s="626">
        <v>17.670165254247099</v>
      </c>
      <c r="AB42" s="626">
        <v>17.670165254247099</v>
      </c>
      <c r="AC42" s="626">
        <v>17.670165254247099</v>
      </c>
      <c r="AD42" s="626">
        <v>17.670165254247099</v>
      </c>
      <c r="AE42" s="626">
        <v>17.670165254247099</v>
      </c>
      <c r="AF42" s="626">
        <v>17.670165254247099</v>
      </c>
      <c r="AG42" s="626">
        <f t="shared" si="1"/>
        <v>212.04198305096523</v>
      </c>
      <c r="AH42" s="626"/>
      <c r="AI42" s="626"/>
    </row>
    <row r="43" spans="1:35" x14ac:dyDescent="0.25">
      <c r="A43" s="601" t="s">
        <v>2545</v>
      </c>
      <c r="D43" s="626">
        <v>0</v>
      </c>
      <c r="E43" s="626">
        <v>0</v>
      </c>
      <c r="F43" s="626">
        <v>0</v>
      </c>
      <c r="G43" s="626">
        <v>0</v>
      </c>
      <c r="H43" s="626">
        <v>0</v>
      </c>
      <c r="I43" s="626">
        <v>0</v>
      </c>
      <c r="J43" s="626">
        <v>0</v>
      </c>
      <c r="K43" s="626">
        <v>0</v>
      </c>
      <c r="L43" s="626">
        <v>0</v>
      </c>
      <c r="M43" s="626">
        <v>0</v>
      </c>
      <c r="N43" s="626">
        <v>0</v>
      </c>
      <c r="O43" s="626">
        <v>0</v>
      </c>
      <c r="P43" s="626">
        <f t="shared" si="0"/>
        <v>0</v>
      </c>
      <c r="Q43" s="626">
        <v>0</v>
      </c>
      <c r="R43" s="626">
        <v>0</v>
      </c>
      <c r="S43" s="626">
        <v>0</v>
      </c>
      <c r="T43" s="626">
        <v>0</v>
      </c>
      <c r="U43" s="626">
        <v>0.71458986495695798</v>
      </c>
      <c r="V43" s="626">
        <v>0.71458986495695798</v>
      </c>
      <c r="W43" s="626">
        <v>0.71458986495695798</v>
      </c>
      <c r="X43" s="626">
        <v>0.71458986495695798</v>
      </c>
      <c r="Y43" s="626">
        <v>0.71458986495695798</v>
      </c>
      <c r="Z43" s="626">
        <v>0.71458986495695798</v>
      </c>
      <c r="AA43" s="626">
        <v>0.71458986495695798</v>
      </c>
      <c r="AB43" s="626">
        <v>0.71458986495695798</v>
      </c>
      <c r="AC43" s="626">
        <v>0.71458986495695798</v>
      </c>
      <c r="AD43" s="626">
        <v>0.71458986495695798</v>
      </c>
      <c r="AE43" s="626">
        <v>0.71458986495695798</v>
      </c>
      <c r="AF43" s="626">
        <v>0.71458986495695798</v>
      </c>
      <c r="AG43" s="626">
        <f t="shared" si="1"/>
        <v>8.5750783794834948</v>
      </c>
      <c r="AH43" s="626"/>
      <c r="AI43" s="626"/>
    </row>
    <row r="44" spans="1:35" ht="15.75" thickBot="1" x14ac:dyDescent="0.3">
      <c r="A44" s="601" t="s">
        <v>2546</v>
      </c>
      <c r="D44" s="631">
        <f>SUM(D34:D43)</f>
        <v>0</v>
      </c>
      <c r="E44" s="631">
        <f t="shared" ref="E44:AF44" si="5">SUM(E34:E43)</f>
        <v>0</v>
      </c>
      <c r="F44" s="631">
        <f t="shared" si="5"/>
        <v>0</v>
      </c>
      <c r="G44" s="631">
        <f t="shared" si="5"/>
        <v>0</v>
      </c>
      <c r="H44" s="631">
        <f t="shared" si="5"/>
        <v>0</v>
      </c>
      <c r="I44" s="631">
        <f t="shared" si="5"/>
        <v>0</v>
      </c>
      <c r="J44" s="631">
        <f t="shared" si="5"/>
        <v>0</v>
      </c>
      <c r="K44" s="631">
        <f t="shared" si="5"/>
        <v>0</v>
      </c>
      <c r="L44" s="631">
        <f t="shared" si="5"/>
        <v>0</v>
      </c>
      <c r="M44" s="631">
        <f t="shared" si="5"/>
        <v>0</v>
      </c>
      <c r="N44" s="631">
        <f t="shared" si="5"/>
        <v>0</v>
      </c>
      <c r="O44" s="631">
        <f t="shared" si="5"/>
        <v>0</v>
      </c>
      <c r="P44" s="631">
        <f t="shared" si="0"/>
        <v>0</v>
      </c>
      <c r="Q44" s="631">
        <f t="shared" si="5"/>
        <v>0</v>
      </c>
      <c r="R44" s="631">
        <f t="shared" si="5"/>
        <v>0</v>
      </c>
      <c r="S44" s="631">
        <f t="shared" si="5"/>
        <v>0</v>
      </c>
      <c r="T44" s="631">
        <f t="shared" si="5"/>
        <v>0</v>
      </c>
      <c r="U44" s="631">
        <f t="shared" si="5"/>
        <v>-19.626992666698783</v>
      </c>
      <c r="V44" s="631">
        <f t="shared" si="5"/>
        <v>-19.626992666698783</v>
      </c>
      <c r="W44" s="631">
        <f t="shared" si="5"/>
        <v>-19.626992666698783</v>
      </c>
      <c r="X44" s="631">
        <f t="shared" si="5"/>
        <v>-19.626992666698783</v>
      </c>
      <c r="Y44" s="631">
        <f t="shared" si="5"/>
        <v>-19.626992666698783</v>
      </c>
      <c r="Z44" s="631">
        <f t="shared" si="5"/>
        <v>-19.626992666698783</v>
      </c>
      <c r="AA44" s="631">
        <f t="shared" si="5"/>
        <v>-19.626992666698783</v>
      </c>
      <c r="AB44" s="631">
        <f t="shared" si="5"/>
        <v>-19.626992666698783</v>
      </c>
      <c r="AC44" s="631">
        <f t="shared" si="5"/>
        <v>-19.626992666698783</v>
      </c>
      <c r="AD44" s="631">
        <f t="shared" si="5"/>
        <v>-19.626992666698783</v>
      </c>
      <c r="AE44" s="631">
        <f t="shared" si="5"/>
        <v>-19.626992666698783</v>
      </c>
      <c r="AF44" s="631">
        <f t="shared" si="5"/>
        <v>-19.626992666698783</v>
      </c>
      <c r="AG44" s="631">
        <f t="shared" si="1"/>
        <v>-235.52391200038539</v>
      </c>
      <c r="AH44" s="626"/>
      <c r="AI44" s="626"/>
    </row>
    <row r="45" spans="1:35" ht="15.75" thickTop="1" x14ac:dyDescent="0.25">
      <c r="P45" s="600">
        <f t="shared" si="0"/>
        <v>0</v>
      </c>
      <c r="AG45" s="600">
        <f t="shared" si="1"/>
        <v>0</v>
      </c>
    </row>
    <row r="46" spans="1:35" x14ac:dyDescent="0.25">
      <c r="P46" s="600">
        <f t="shared" si="0"/>
        <v>0</v>
      </c>
      <c r="AG46" s="600">
        <f t="shared" si="1"/>
        <v>0</v>
      </c>
    </row>
    <row r="47" spans="1:35" x14ac:dyDescent="0.25">
      <c r="P47" s="600">
        <f t="shared" si="0"/>
        <v>0</v>
      </c>
      <c r="AG47" s="600">
        <f t="shared" si="1"/>
        <v>0</v>
      </c>
    </row>
    <row r="48" spans="1:35" x14ac:dyDescent="0.25">
      <c r="P48" s="600">
        <f t="shared" si="0"/>
        <v>0</v>
      </c>
      <c r="AG48" s="600">
        <f t="shared" si="1"/>
        <v>0</v>
      </c>
    </row>
    <row r="49" spans="1:35" ht="30" x14ac:dyDescent="0.25">
      <c r="A49" s="601" t="s">
        <v>2619</v>
      </c>
      <c r="B49" s="713" t="s">
        <v>2620</v>
      </c>
      <c r="C49" s="713" t="s">
        <v>2466</v>
      </c>
      <c r="P49" s="600">
        <f t="shared" si="0"/>
        <v>0</v>
      </c>
      <c r="AG49" s="600">
        <f t="shared" si="1"/>
        <v>0</v>
      </c>
    </row>
    <row r="50" spans="1:35" x14ac:dyDescent="0.25">
      <c r="A50" s="601" t="s">
        <v>2523</v>
      </c>
      <c r="B50" s="714">
        <v>0.86972137158573171</v>
      </c>
      <c r="C50" s="714">
        <v>0.93532371126081226</v>
      </c>
      <c r="D50" s="626">
        <v>0</v>
      </c>
      <c r="E50" s="626">
        <v>6.5</v>
      </c>
      <c r="F50" s="626">
        <v>392.80047999999999</v>
      </c>
      <c r="G50" s="626">
        <v>372.79667999999998</v>
      </c>
      <c r="H50" s="626">
        <v>-11.22701</v>
      </c>
      <c r="I50" s="626">
        <v>1.5</v>
      </c>
      <c r="J50" s="626">
        <v>50.6</v>
      </c>
      <c r="K50" s="626">
        <v>0</v>
      </c>
      <c r="L50" s="626">
        <v>106.15600000000001</v>
      </c>
      <c r="M50" s="626">
        <v>794.87400000000002</v>
      </c>
      <c r="N50" s="626">
        <v>187.5</v>
      </c>
      <c r="O50" s="626">
        <v>0</v>
      </c>
      <c r="P50" s="626">
        <f>SUM(D50:O50)</f>
        <v>1901.5001500000001</v>
      </c>
      <c r="Q50" s="626">
        <v>0</v>
      </c>
      <c r="R50" s="626">
        <v>0</v>
      </c>
      <c r="S50" s="626">
        <v>0</v>
      </c>
      <c r="T50" s="626">
        <v>0</v>
      </c>
      <c r="U50" s="626">
        <v>0</v>
      </c>
      <c r="V50" s="626">
        <v>0</v>
      </c>
      <c r="W50" s="626">
        <v>0</v>
      </c>
      <c r="X50" s="626">
        <v>0</v>
      </c>
      <c r="Y50" s="626">
        <v>0</v>
      </c>
      <c r="Z50" s="626">
        <v>667.6</v>
      </c>
      <c r="AA50" s="626">
        <v>667.6</v>
      </c>
      <c r="AB50" s="626">
        <v>0</v>
      </c>
      <c r="AC50" s="626">
        <v>0</v>
      </c>
      <c r="AD50" s="626">
        <v>0</v>
      </c>
      <c r="AE50" s="626">
        <v>12.15</v>
      </c>
      <c r="AF50" s="626">
        <v>154.91300000000001</v>
      </c>
      <c r="AG50" s="626">
        <f>SUM(U50:AF50)</f>
        <v>1502.2630000000001</v>
      </c>
      <c r="AH50" s="626"/>
      <c r="AI50" s="626"/>
    </row>
    <row r="51" spans="1:35" x14ac:dyDescent="0.25">
      <c r="A51" s="601" t="s">
        <v>2524</v>
      </c>
      <c r="B51" s="714">
        <v>0.86972137158573171</v>
      </c>
      <c r="C51" s="714">
        <v>0.93532371126081226</v>
      </c>
      <c r="D51" s="626">
        <v>0</v>
      </c>
      <c r="E51" s="626">
        <v>2.9243699999999997</v>
      </c>
      <c r="F51" s="626">
        <v>62.833839999999995</v>
      </c>
      <c r="G51" s="626">
        <v>187.21126000000001</v>
      </c>
      <c r="H51" s="626">
        <v>-8.005449999999998</v>
      </c>
      <c r="I51" s="626">
        <v>21.20476</v>
      </c>
      <c r="J51" s="626">
        <v>0</v>
      </c>
      <c r="K51" s="626">
        <v>0</v>
      </c>
      <c r="L51" s="626">
        <v>0</v>
      </c>
      <c r="M51" s="626">
        <v>0</v>
      </c>
      <c r="N51" s="626">
        <v>0</v>
      </c>
      <c r="O51" s="626">
        <v>0</v>
      </c>
      <c r="P51" s="626">
        <f t="shared" si="0"/>
        <v>266.16878000000003</v>
      </c>
      <c r="Q51" s="626">
        <v>0</v>
      </c>
      <c r="R51" s="626">
        <v>0</v>
      </c>
      <c r="S51" s="626">
        <v>0</v>
      </c>
      <c r="T51" s="626">
        <v>0</v>
      </c>
      <c r="U51" s="626">
        <v>0</v>
      </c>
      <c r="V51" s="626">
        <v>0</v>
      </c>
      <c r="W51" s="626">
        <v>0</v>
      </c>
      <c r="X51" s="626">
        <v>0</v>
      </c>
      <c r="Y51" s="626">
        <v>0</v>
      </c>
      <c r="Z51" s="626">
        <v>0</v>
      </c>
      <c r="AA51" s="626">
        <v>0</v>
      </c>
      <c r="AB51" s="626">
        <v>0</v>
      </c>
      <c r="AC51" s="626">
        <v>0</v>
      </c>
      <c r="AD51" s="626">
        <v>0</v>
      </c>
      <c r="AE51" s="626">
        <v>0</v>
      </c>
      <c r="AF51" s="626">
        <v>0</v>
      </c>
      <c r="AG51" s="626">
        <f t="shared" si="1"/>
        <v>0</v>
      </c>
      <c r="AH51" s="626"/>
      <c r="AI51" s="626"/>
    </row>
    <row r="52" spans="1:35" x14ac:dyDescent="0.25">
      <c r="A52" s="601" t="s">
        <v>2525</v>
      </c>
      <c r="B52" s="714">
        <v>0.88026422050572484</v>
      </c>
      <c r="C52" s="714">
        <v>0.9410091595713157</v>
      </c>
      <c r="D52" s="626">
        <v>150.60881000000003</v>
      </c>
      <c r="E52" s="626">
        <v>410.46412999999995</v>
      </c>
      <c r="F52" s="626">
        <v>4859.7592599999998</v>
      </c>
      <c r="G52" s="626">
        <v>3976.0703999999992</v>
      </c>
      <c r="H52" s="626">
        <v>1166.3802900000001</v>
      </c>
      <c r="I52" s="626">
        <v>55.03087</v>
      </c>
      <c r="J52" s="626">
        <v>91.4</v>
      </c>
      <c r="K52" s="626">
        <v>124.851</v>
      </c>
      <c r="L52" s="626">
        <v>1014.563</v>
      </c>
      <c r="M52" s="626">
        <v>1184.2429999999999</v>
      </c>
      <c r="N52" s="626">
        <v>1358.777</v>
      </c>
      <c r="O52" s="626">
        <v>144.24600000000001</v>
      </c>
      <c r="P52" s="626">
        <f t="shared" si="0"/>
        <v>14536.393759999999</v>
      </c>
      <c r="Q52" s="626">
        <v>0</v>
      </c>
      <c r="R52" s="626">
        <v>60.75</v>
      </c>
      <c r="S52" s="626">
        <v>3301.8240000000001</v>
      </c>
      <c r="T52" s="626">
        <v>2278.4470000000001</v>
      </c>
      <c r="U52" s="626">
        <v>152.00399999999999</v>
      </c>
      <c r="V52" s="626">
        <v>0</v>
      </c>
      <c r="W52" s="626">
        <v>0</v>
      </c>
      <c r="X52" s="626">
        <v>0</v>
      </c>
      <c r="Y52" s="626">
        <v>744.83100000000002</v>
      </c>
      <c r="Z52" s="626">
        <v>5019.7160000000003</v>
      </c>
      <c r="AA52" s="626">
        <v>6200.335</v>
      </c>
      <c r="AB52" s="626">
        <v>122.76900000000001</v>
      </c>
      <c r="AC52" s="626">
        <v>0</v>
      </c>
      <c r="AD52" s="626">
        <v>280.13799999999998</v>
      </c>
      <c r="AE52" s="626">
        <v>5721.6559999999999</v>
      </c>
      <c r="AF52" s="626">
        <v>5602.4920000000002</v>
      </c>
      <c r="AG52" s="626">
        <f t="shared" si="1"/>
        <v>23843.940999999999</v>
      </c>
      <c r="AH52" s="626"/>
      <c r="AI52" s="626"/>
    </row>
    <row r="53" spans="1:35" x14ac:dyDescent="0.25">
      <c r="A53" s="601" t="s">
        <v>2526</v>
      </c>
      <c r="B53" s="714">
        <v>0.88026422050572484</v>
      </c>
      <c r="C53" s="714">
        <v>0.9410091595713157</v>
      </c>
      <c r="D53" s="626">
        <v>245.52946</v>
      </c>
      <c r="E53" s="626">
        <v>156.20171999999999</v>
      </c>
      <c r="F53" s="626">
        <v>942.02350000000001</v>
      </c>
      <c r="G53" s="626">
        <v>1568.2132199999999</v>
      </c>
      <c r="H53" s="626">
        <v>264.86338999999998</v>
      </c>
      <c r="I53" s="626">
        <v>283.97217999999998</v>
      </c>
      <c r="J53" s="626">
        <v>0</v>
      </c>
      <c r="K53" s="626">
        <v>43.8</v>
      </c>
      <c r="L53" s="626">
        <v>1680.088</v>
      </c>
      <c r="M53" s="626">
        <v>2636.8649999999998</v>
      </c>
      <c r="N53" s="626">
        <v>795.45600000000002</v>
      </c>
      <c r="O53" s="626">
        <v>88.409000000000006</v>
      </c>
      <c r="P53" s="626">
        <f t="shared" si="0"/>
        <v>8705.4214699999993</v>
      </c>
      <c r="Q53" s="626">
        <v>0</v>
      </c>
      <c r="R53" s="626">
        <v>91.125</v>
      </c>
      <c r="S53" s="626">
        <v>1195.982</v>
      </c>
      <c r="T53" s="626">
        <v>847.56700000000001</v>
      </c>
      <c r="U53" s="626">
        <v>39.398000000000003</v>
      </c>
      <c r="V53" s="626">
        <v>0</v>
      </c>
      <c r="W53" s="626">
        <v>0</v>
      </c>
      <c r="X53" s="626">
        <v>0</v>
      </c>
      <c r="Y53" s="626">
        <v>200.50899999999999</v>
      </c>
      <c r="Z53" s="626">
        <v>3757.3829999999998</v>
      </c>
      <c r="AA53" s="626">
        <v>4290.2839999999997</v>
      </c>
      <c r="AB53" s="626">
        <v>47.231000000000002</v>
      </c>
      <c r="AC53" s="626">
        <v>0</v>
      </c>
      <c r="AD53" s="626">
        <v>121.36199999999999</v>
      </c>
      <c r="AE53" s="626">
        <v>2943.11</v>
      </c>
      <c r="AF53" s="626">
        <v>2399.9780000000001</v>
      </c>
      <c r="AG53" s="626">
        <f t="shared" si="1"/>
        <v>13799.255000000001</v>
      </c>
      <c r="AH53" s="626"/>
      <c r="AI53" s="626"/>
    </row>
    <row r="54" spans="1:35" x14ac:dyDescent="0.25">
      <c r="A54" s="601" t="s">
        <v>2527</v>
      </c>
      <c r="B54" s="714">
        <v>0.86972137158573171</v>
      </c>
      <c r="C54" s="714">
        <v>0.93532371126081226</v>
      </c>
      <c r="D54" s="626">
        <v>0</v>
      </c>
      <c r="E54" s="626">
        <v>0.45373000000000002</v>
      </c>
      <c r="F54" s="626">
        <v>0</v>
      </c>
      <c r="G54" s="626">
        <v>20.100000000000001</v>
      </c>
      <c r="H54" s="626">
        <v>-18.600090000000002</v>
      </c>
      <c r="I54" s="626">
        <v>0</v>
      </c>
      <c r="J54" s="626">
        <v>0</v>
      </c>
      <c r="K54" s="626">
        <v>0</v>
      </c>
      <c r="L54" s="626">
        <v>0</v>
      </c>
      <c r="M54" s="626">
        <v>0</v>
      </c>
      <c r="N54" s="626">
        <v>0</v>
      </c>
      <c r="O54" s="626">
        <v>0</v>
      </c>
      <c r="P54" s="626">
        <f t="shared" si="0"/>
        <v>1.95364</v>
      </c>
      <c r="Q54" s="626">
        <v>0</v>
      </c>
      <c r="R54" s="626">
        <v>0</v>
      </c>
      <c r="S54" s="626">
        <v>0</v>
      </c>
      <c r="T54" s="626">
        <v>0</v>
      </c>
      <c r="U54" s="626">
        <v>0</v>
      </c>
      <c r="V54" s="626">
        <v>0</v>
      </c>
      <c r="W54" s="626">
        <v>0</v>
      </c>
      <c r="X54" s="626">
        <v>0</v>
      </c>
      <c r="Y54" s="626">
        <v>0</v>
      </c>
      <c r="Z54" s="626">
        <v>0</v>
      </c>
      <c r="AA54" s="626">
        <v>0</v>
      </c>
      <c r="AB54" s="626">
        <v>0</v>
      </c>
      <c r="AC54" s="626">
        <v>0</v>
      </c>
      <c r="AD54" s="626">
        <v>0</v>
      </c>
      <c r="AE54" s="626">
        <v>0</v>
      </c>
      <c r="AF54" s="626">
        <v>0</v>
      </c>
      <c r="AG54" s="626">
        <f t="shared" si="1"/>
        <v>0</v>
      </c>
      <c r="AH54" s="626"/>
      <c r="AI54" s="626"/>
    </row>
    <row r="55" spans="1:35" x14ac:dyDescent="0.25">
      <c r="A55" s="601" t="s">
        <v>2528</v>
      </c>
      <c r="B55" s="714">
        <v>0.87248007781126879</v>
      </c>
      <c r="C55" s="714">
        <v>0.93664582053691592</v>
      </c>
      <c r="D55" s="626">
        <v>0</v>
      </c>
      <c r="E55" s="626">
        <v>0</v>
      </c>
      <c r="F55" s="626">
        <v>0</v>
      </c>
      <c r="G55" s="626">
        <v>0</v>
      </c>
      <c r="H55" s="626">
        <v>0</v>
      </c>
      <c r="I55" s="626">
        <v>0</v>
      </c>
      <c r="J55" s="626">
        <v>0</v>
      </c>
      <c r="K55" s="626">
        <v>0</v>
      </c>
      <c r="L55" s="626">
        <v>0</v>
      </c>
      <c r="M55" s="626">
        <v>0</v>
      </c>
      <c r="N55" s="626">
        <v>0</v>
      </c>
      <c r="O55" s="626">
        <v>0</v>
      </c>
      <c r="P55" s="626">
        <f t="shared" si="0"/>
        <v>0</v>
      </c>
      <c r="Q55" s="626">
        <v>0</v>
      </c>
      <c r="R55" s="626">
        <v>0</v>
      </c>
      <c r="S55" s="626">
        <v>0</v>
      </c>
      <c r="T55" s="626">
        <v>0</v>
      </c>
      <c r="U55" s="626">
        <v>0</v>
      </c>
      <c r="V55" s="626">
        <v>0</v>
      </c>
      <c r="W55" s="626">
        <v>0</v>
      </c>
      <c r="X55" s="626">
        <v>0</v>
      </c>
      <c r="Y55" s="626">
        <v>0</v>
      </c>
      <c r="Z55" s="626">
        <v>0</v>
      </c>
      <c r="AA55" s="626">
        <v>0</v>
      </c>
      <c r="AB55" s="626">
        <v>0</v>
      </c>
      <c r="AC55" s="626">
        <v>0</v>
      </c>
      <c r="AD55" s="626">
        <v>0</v>
      </c>
      <c r="AE55" s="626">
        <v>0</v>
      </c>
      <c r="AF55" s="626">
        <v>0</v>
      </c>
      <c r="AG55" s="626">
        <f t="shared" si="1"/>
        <v>0</v>
      </c>
      <c r="AH55" s="626"/>
      <c r="AI55" s="626"/>
    </row>
    <row r="56" spans="1:35" x14ac:dyDescent="0.25">
      <c r="A56" s="601" t="s">
        <v>2529</v>
      </c>
      <c r="B56" s="714">
        <v>0.87248007781126879</v>
      </c>
      <c r="C56" s="714">
        <v>0.93664582053691592</v>
      </c>
      <c r="D56" s="626">
        <v>0</v>
      </c>
      <c r="E56" s="626">
        <v>0</v>
      </c>
      <c r="F56" s="626">
        <v>0</v>
      </c>
      <c r="G56" s="626">
        <v>0</v>
      </c>
      <c r="H56" s="626">
        <v>0</v>
      </c>
      <c r="I56" s="626">
        <v>0</v>
      </c>
      <c r="J56" s="626">
        <v>0</v>
      </c>
      <c r="K56" s="626">
        <v>0</v>
      </c>
      <c r="L56" s="626">
        <v>0</v>
      </c>
      <c r="M56" s="626">
        <v>0</v>
      </c>
      <c r="N56" s="626">
        <v>0</v>
      </c>
      <c r="O56" s="626">
        <v>0</v>
      </c>
      <c r="P56" s="626">
        <f t="shared" si="0"/>
        <v>0</v>
      </c>
      <c r="Q56" s="626">
        <v>0</v>
      </c>
      <c r="R56" s="626">
        <v>0</v>
      </c>
      <c r="S56" s="626">
        <v>0</v>
      </c>
      <c r="T56" s="626">
        <v>0</v>
      </c>
      <c r="U56" s="626">
        <v>0</v>
      </c>
      <c r="V56" s="626">
        <v>0</v>
      </c>
      <c r="W56" s="626">
        <v>0</v>
      </c>
      <c r="X56" s="626">
        <v>0</v>
      </c>
      <c r="Y56" s="626">
        <v>0</v>
      </c>
      <c r="Z56" s="626">
        <v>0</v>
      </c>
      <c r="AA56" s="626">
        <v>0</v>
      </c>
      <c r="AB56" s="626">
        <v>0</v>
      </c>
      <c r="AC56" s="626">
        <v>0</v>
      </c>
      <c r="AD56" s="626">
        <v>0</v>
      </c>
      <c r="AE56" s="626">
        <v>487.5</v>
      </c>
      <c r="AF56" s="626">
        <v>0</v>
      </c>
      <c r="AG56" s="626">
        <f t="shared" si="1"/>
        <v>487.5</v>
      </c>
      <c r="AH56" s="626"/>
      <c r="AI56" s="626"/>
    </row>
    <row r="57" spans="1:35" x14ac:dyDescent="0.25">
      <c r="A57" s="601" t="s">
        <v>2530</v>
      </c>
      <c r="B57" s="714">
        <v>0.87248007781126879</v>
      </c>
      <c r="C57" s="714">
        <v>0.93664582053691592</v>
      </c>
      <c r="D57" s="626">
        <v>1.6487600000000002</v>
      </c>
      <c r="E57" s="626">
        <v>22.393470000000001</v>
      </c>
      <c r="F57" s="626">
        <v>0</v>
      </c>
      <c r="G57" s="626">
        <v>0</v>
      </c>
      <c r="H57" s="626">
        <v>0</v>
      </c>
      <c r="I57" s="626">
        <v>0</v>
      </c>
      <c r="J57" s="626">
        <v>0</v>
      </c>
      <c r="K57" s="626">
        <v>0</v>
      </c>
      <c r="L57" s="626">
        <v>0</v>
      </c>
      <c r="M57" s="626">
        <v>0</v>
      </c>
      <c r="N57" s="626">
        <v>0</v>
      </c>
      <c r="O57" s="626">
        <v>0</v>
      </c>
      <c r="P57" s="626">
        <f t="shared" si="0"/>
        <v>24.04223</v>
      </c>
      <c r="Q57" s="626">
        <v>0</v>
      </c>
      <c r="R57" s="626">
        <v>0</v>
      </c>
      <c r="S57" s="626">
        <v>0</v>
      </c>
      <c r="T57" s="626">
        <v>0</v>
      </c>
      <c r="U57" s="626">
        <v>0</v>
      </c>
      <c r="V57" s="626">
        <v>0</v>
      </c>
      <c r="W57" s="626">
        <v>0</v>
      </c>
      <c r="X57" s="626">
        <v>0</v>
      </c>
      <c r="Y57" s="626">
        <v>0</v>
      </c>
      <c r="Z57" s="626">
        <v>0</v>
      </c>
      <c r="AA57" s="626">
        <v>0</v>
      </c>
      <c r="AB57" s="626">
        <v>0</v>
      </c>
      <c r="AC57" s="626">
        <v>0</v>
      </c>
      <c r="AD57" s="626">
        <v>0</v>
      </c>
      <c r="AE57" s="626">
        <v>0</v>
      </c>
      <c r="AF57" s="626">
        <v>0</v>
      </c>
      <c r="AG57" s="626">
        <f t="shared" si="1"/>
        <v>0</v>
      </c>
      <c r="AH57" s="626"/>
      <c r="AI57" s="626"/>
    </row>
    <row r="58" spans="1:35" x14ac:dyDescent="0.25">
      <c r="A58" s="601" t="s">
        <v>2531</v>
      </c>
      <c r="B58" s="714">
        <v>0.87248007781126879</v>
      </c>
      <c r="C58" s="714">
        <v>0.93664582053691592</v>
      </c>
      <c r="D58" s="626">
        <v>59.847520000000003</v>
      </c>
      <c r="E58" s="626">
        <v>-173.00613000000001</v>
      </c>
      <c r="F58" s="626">
        <v>21.359900000000003</v>
      </c>
      <c r="G58" s="626">
        <v>6.0625999999999998</v>
      </c>
      <c r="H58" s="626">
        <v>81.817760000000007</v>
      </c>
      <c r="I58" s="626">
        <v>57.457699999999996</v>
      </c>
      <c r="J58" s="626">
        <v>66.03</v>
      </c>
      <c r="K58" s="626">
        <v>0</v>
      </c>
      <c r="L58" s="626">
        <v>0</v>
      </c>
      <c r="M58" s="626">
        <v>415.81</v>
      </c>
      <c r="N58" s="626">
        <v>85.882999999999996</v>
      </c>
      <c r="O58" s="626">
        <v>0</v>
      </c>
      <c r="P58" s="626">
        <f t="shared" si="0"/>
        <v>621.26235000000008</v>
      </c>
      <c r="Q58" s="626">
        <v>0</v>
      </c>
      <c r="R58" s="626">
        <v>0</v>
      </c>
      <c r="S58" s="626">
        <v>36.962000000000003</v>
      </c>
      <c r="T58" s="626">
        <v>555.72400000000005</v>
      </c>
      <c r="U58" s="626">
        <v>39.258000000000003</v>
      </c>
      <c r="V58" s="626">
        <v>0</v>
      </c>
      <c r="W58" s="626">
        <v>0</v>
      </c>
      <c r="X58" s="626">
        <v>0</v>
      </c>
      <c r="Y58" s="626">
        <v>15.707000000000001</v>
      </c>
      <c r="Z58" s="626">
        <v>0</v>
      </c>
      <c r="AA58" s="626">
        <v>55.9</v>
      </c>
      <c r="AB58" s="626">
        <v>88.661000000000001</v>
      </c>
      <c r="AC58" s="626">
        <v>0</v>
      </c>
      <c r="AD58" s="626">
        <v>566.66700000000003</v>
      </c>
      <c r="AE58" s="626">
        <v>2806.038</v>
      </c>
      <c r="AF58" s="626">
        <v>66</v>
      </c>
      <c r="AG58" s="626">
        <f t="shared" si="1"/>
        <v>3638.2309999999998</v>
      </c>
      <c r="AH58" s="626"/>
      <c r="AI58" s="626"/>
    </row>
    <row r="59" spans="1:35" x14ac:dyDescent="0.25">
      <c r="A59" s="601" t="s">
        <v>2532</v>
      </c>
      <c r="B59" s="714">
        <v>0.87248007781126879</v>
      </c>
      <c r="C59" s="714">
        <v>0.93664582053691592</v>
      </c>
      <c r="D59" s="626">
        <v>2.0381100000000001</v>
      </c>
      <c r="E59" s="626">
        <v>0.49137999999999998</v>
      </c>
      <c r="F59" s="626">
        <v>0</v>
      </c>
      <c r="G59" s="626">
        <v>15.66</v>
      </c>
      <c r="H59" s="626">
        <v>0.63163000000000014</v>
      </c>
      <c r="I59" s="626">
        <v>3.8775500000000003</v>
      </c>
      <c r="J59" s="626">
        <v>0</v>
      </c>
      <c r="K59" s="626">
        <v>0</v>
      </c>
      <c r="L59" s="626">
        <v>0</v>
      </c>
      <c r="M59" s="626">
        <v>984.63199999999995</v>
      </c>
      <c r="N59" s="626">
        <v>0</v>
      </c>
      <c r="O59" s="626">
        <v>0</v>
      </c>
      <c r="P59" s="626">
        <f t="shared" si="0"/>
        <v>1007.3306699999999</v>
      </c>
      <c r="Q59" s="626">
        <v>0</v>
      </c>
      <c r="R59" s="626">
        <v>0</v>
      </c>
      <c r="S59" s="626">
        <v>0</v>
      </c>
      <c r="T59" s="626">
        <v>0</v>
      </c>
      <c r="U59" s="626">
        <v>0</v>
      </c>
      <c r="V59" s="626">
        <v>0</v>
      </c>
      <c r="W59" s="626">
        <v>0</v>
      </c>
      <c r="X59" s="626">
        <v>0</v>
      </c>
      <c r="Y59" s="626">
        <v>389.74099999999999</v>
      </c>
      <c r="Z59" s="626">
        <v>649.56700000000001</v>
      </c>
      <c r="AA59" s="626">
        <v>0</v>
      </c>
      <c r="AB59" s="626">
        <v>0</v>
      </c>
      <c r="AC59" s="626">
        <v>0</v>
      </c>
      <c r="AD59" s="626">
        <v>582.94500000000005</v>
      </c>
      <c r="AE59" s="626">
        <v>2859.0120000000002</v>
      </c>
      <c r="AF59" s="626">
        <v>0</v>
      </c>
      <c r="AG59" s="626">
        <f t="shared" si="1"/>
        <v>4481.2650000000003</v>
      </c>
      <c r="AH59" s="626"/>
      <c r="AI59" s="626"/>
    </row>
    <row r="60" spans="1:35" x14ac:dyDescent="0.25">
      <c r="A60" s="601" t="s">
        <v>2533</v>
      </c>
      <c r="D60" s="629">
        <f>SUM(D50:D59)</f>
        <v>459.67266000000001</v>
      </c>
      <c r="E60" s="629">
        <f t="shared" ref="E60:AF60" si="6">SUM(E50:E59)</f>
        <v>426.42266999999987</v>
      </c>
      <c r="F60" s="629">
        <f t="shared" si="6"/>
        <v>6278.7769800000005</v>
      </c>
      <c r="G60" s="629">
        <f t="shared" si="6"/>
        <v>6146.1141599999992</v>
      </c>
      <c r="H60" s="629">
        <f t="shared" si="6"/>
        <v>1475.8605200000002</v>
      </c>
      <c r="I60" s="629">
        <f t="shared" si="6"/>
        <v>423.04305999999997</v>
      </c>
      <c r="J60" s="629">
        <f t="shared" si="6"/>
        <v>208.03</v>
      </c>
      <c r="K60" s="629">
        <f t="shared" si="6"/>
        <v>168.65100000000001</v>
      </c>
      <c r="L60" s="629">
        <f t="shared" si="6"/>
        <v>2800.8069999999998</v>
      </c>
      <c r="M60" s="629">
        <f t="shared" si="6"/>
        <v>6016.424</v>
      </c>
      <c r="N60" s="629">
        <f t="shared" si="6"/>
        <v>2427.616</v>
      </c>
      <c r="O60" s="629">
        <f t="shared" si="6"/>
        <v>232.65500000000003</v>
      </c>
      <c r="P60" s="629">
        <f t="shared" si="0"/>
        <v>27064.073049999999</v>
      </c>
      <c r="Q60" s="629">
        <f t="shared" si="6"/>
        <v>0</v>
      </c>
      <c r="R60" s="629">
        <f t="shared" si="6"/>
        <v>151.875</v>
      </c>
      <c r="S60" s="629">
        <f t="shared" si="6"/>
        <v>4534.7680000000009</v>
      </c>
      <c r="T60" s="629">
        <f t="shared" si="6"/>
        <v>3681.7380000000003</v>
      </c>
      <c r="U60" s="629">
        <f t="shared" si="6"/>
        <v>230.66</v>
      </c>
      <c r="V60" s="629">
        <f t="shared" si="6"/>
        <v>0</v>
      </c>
      <c r="W60" s="629">
        <f t="shared" si="6"/>
        <v>0</v>
      </c>
      <c r="X60" s="629">
        <f t="shared" si="6"/>
        <v>0</v>
      </c>
      <c r="Y60" s="629">
        <f t="shared" si="6"/>
        <v>1350.788</v>
      </c>
      <c r="Z60" s="629">
        <f t="shared" si="6"/>
        <v>10094.266</v>
      </c>
      <c r="AA60" s="629">
        <f t="shared" si="6"/>
        <v>11214.119000000001</v>
      </c>
      <c r="AB60" s="629">
        <f t="shared" si="6"/>
        <v>258.661</v>
      </c>
      <c r="AC60" s="629">
        <f t="shared" si="6"/>
        <v>0</v>
      </c>
      <c r="AD60" s="629">
        <f t="shared" si="6"/>
        <v>1551.1120000000001</v>
      </c>
      <c r="AE60" s="629">
        <f t="shared" si="6"/>
        <v>14829.466</v>
      </c>
      <c r="AF60" s="629">
        <f t="shared" si="6"/>
        <v>8223.3830000000016</v>
      </c>
      <c r="AG60" s="629">
        <f t="shared" si="1"/>
        <v>47752.455000000002</v>
      </c>
      <c r="AH60" s="626"/>
      <c r="AI60" s="626"/>
    </row>
    <row r="61" spans="1:35" x14ac:dyDescent="0.25">
      <c r="D61" s="626"/>
      <c r="E61" s="626"/>
      <c r="F61" s="626"/>
      <c r="G61" s="626"/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</row>
    <row r="62" spans="1:35" ht="30" x14ac:dyDescent="0.25">
      <c r="A62" s="601" t="s">
        <v>2621</v>
      </c>
      <c r="B62" s="713" t="s">
        <v>2620</v>
      </c>
      <c r="C62" s="713" t="s">
        <v>2466</v>
      </c>
      <c r="P62" s="600">
        <f>SUM(D62:O62)</f>
        <v>0</v>
      </c>
      <c r="AG62" s="600">
        <f>SUM(U62:AF62)</f>
        <v>0</v>
      </c>
    </row>
    <row r="63" spans="1:35" x14ac:dyDescent="0.25">
      <c r="A63" s="601" t="s">
        <v>2523</v>
      </c>
      <c r="B63" s="714">
        <v>4.0883057242324904E-2</v>
      </c>
      <c r="C63" s="714">
        <v>4.3639473033326867E-2</v>
      </c>
      <c r="D63" s="626">
        <f>D50*$B63</f>
        <v>0</v>
      </c>
      <c r="E63" s="626">
        <f t="shared" ref="E63:O63" si="7">E50*$B63</f>
        <v>0.26573987207511185</v>
      </c>
      <c r="F63" s="626">
        <f t="shared" si="7"/>
        <v>16.058884508652699</v>
      </c>
      <c r="G63" s="626">
        <f t="shared" si="7"/>
        <v>15.241068008188678</v>
      </c>
      <c r="H63" s="626">
        <f t="shared" si="7"/>
        <v>-0.45899449249015412</v>
      </c>
      <c r="I63" s="626">
        <f t="shared" si="7"/>
        <v>6.1324585863487352E-2</v>
      </c>
      <c r="J63" s="626">
        <f t="shared" si="7"/>
        <v>2.0686826964616403</v>
      </c>
      <c r="K63" s="626">
        <f t="shared" si="7"/>
        <v>0</v>
      </c>
      <c r="L63" s="626">
        <f t="shared" si="7"/>
        <v>4.3399818246162427</v>
      </c>
      <c r="M63" s="626">
        <f t="shared" si="7"/>
        <v>32.496879242435767</v>
      </c>
      <c r="N63" s="626">
        <f t="shared" si="7"/>
        <v>7.6655732329359196</v>
      </c>
      <c r="O63" s="626">
        <f t="shared" si="7"/>
        <v>0</v>
      </c>
      <c r="P63" s="626">
        <f>SUM(D63:O63)</f>
        <v>77.739139478739389</v>
      </c>
      <c r="Q63" s="626">
        <f t="shared" ref="Q63:T72" si="8">Q50*$B63</f>
        <v>0</v>
      </c>
      <c r="R63" s="626">
        <f t="shared" si="8"/>
        <v>0</v>
      </c>
      <c r="S63" s="626">
        <f t="shared" si="8"/>
        <v>0</v>
      </c>
      <c r="T63" s="626">
        <f t="shared" si="8"/>
        <v>0</v>
      </c>
      <c r="U63" s="626">
        <f>U50*$C63</f>
        <v>0</v>
      </c>
      <c r="V63" s="626">
        <f t="shared" ref="V63:AF63" si="9">V50*$C63</f>
        <v>0</v>
      </c>
      <c r="W63" s="626">
        <f t="shared" si="9"/>
        <v>0</v>
      </c>
      <c r="X63" s="626">
        <f t="shared" si="9"/>
        <v>0</v>
      </c>
      <c r="Y63" s="626">
        <f t="shared" si="9"/>
        <v>0</v>
      </c>
      <c r="Z63" s="626">
        <f t="shared" si="9"/>
        <v>29.133712197049018</v>
      </c>
      <c r="AA63" s="626">
        <f t="shared" si="9"/>
        <v>29.133712197049018</v>
      </c>
      <c r="AB63" s="626">
        <f t="shared" si="9"/>
        <v>0</v>
      </c>
      <c r="AC63" s="626">
        <f t="shared" si="9"/>
        <v>0</v>
      </c>
      <c r="AD63" s="626">
        <f t="shared" si="9"/>
        <v>0</v>
      </c>
      <c r="AE63" s="626">
        <f t="shared" si="9"/>
        <v>0.53021959735492141</v>
      </c>
      <c r="AF63" s="626">
        <f t="shared" si="9"/>
        <v>6.7603216860117659</v>
      </c>
      <c r="AG63" s="626">
        <f>SUM(U63:AF63)</f>
        <v>65.557965677464722</v>
      </c>
      <c r="AH63" s="626"/>
      <c r="AI63" s="626"/>
    </row>
    <row r="64" spans="1:35" x14ac:dyDescent="0.25">
      <c r="A64" s="601" t="s">
        <v>2524</v>
      </c>
      <c r="B64" s="714">
        <v>4.0883057242324904E-2</v>
      </c>
      <c r="C64" s="714">
        <v>4.3639473033326867E-2</v>
      </c>
      <c r="D64" s="626">
        <f t="shared" ref="D64:O72" si="10">D51*$B64</f>
        <v>0</v>
      </c>
      <c r="E64" s="626">
        <f t="shared" si="10"/>
        <v>0.11955718610773766</v>
      </c>
      <c r="F64" s="626">
        <f t="shared" si="10"/>
        <v>2.568839477475084</v>
      </c>
      <c r="G64" s="626">
        <f t="shared" si="10"/>
        <v>7.6537686589877714</v>
      </c>
      <c r="H64" s="626">
        <f t="shared" si="10"/>
        <v>-0.32728727060056984</v>
      </c>
      <c r="I64" s="626">
        <f t="shared" si="10"/>
        <v>0.86691541688976148</v>
      </c>
      <c r="J64" s="626">
        <f t="shared" si="10"/>
        <v>0</v>
      </c>
      <c r="K64" s="626">
        <f t="shared" si="10"/>
        <v>0</v>
      </c>
      <c r="L64" s="626">
        <f t="shared" si="10"/>
        <v>0</v>
      </c>
      <c r="M64" s="626">
        <f t="shared" si="10"/>
        <v>0</v>
      </c>
      <c r="N64" s="626">
        <f t="shared" si="10"/>
        <v>0</v>
      </c>
      <c r="O64" s="626">
        <f t="shared" si="10"/>
        <v>0</v>
      </c>
      <c r="P64" s="626">
        <f t="shared" ref="P64:P73" si="11">SUM(D64:O64)</f>
        <v>10.881793468859787</v>
      </c>
      <c r="Q64" s="626">
        <f t="shared" si="8"/>
        <v>0</v>
      </c>
      <c r="R64" s="626">
        <f t="shared" si="8"/>
        <v>0</v>
      </c>
      <c r="S64" s="626">
        <f t="shared" si="8"/>
        <v>0</v>
      </c>
      <c r="T64" s="626">
        <f t="shared" si="8"/>
        <v>0</v>
      </c>
      <c r="U64" s="626">
        <f t="shared" ref="U64:AF72" si="12">U51*$C64</f>
        <v>0</v>
      </c>
      <c r="V64" s="626">
        <f t="shared" si="12"/>
        <v>0</v>
      </c>
      <c r="W64" s="626">
        <f t="shared" si="12"/>
        <v>0</v>
      </c>
      <c r="X64" s="626">
        <f t="shared" si="12"/>
        <v>0</v>
      </c>
      <c r="Y64" s="626">
        <f t="shared" si="12"/>
        <v>0</v>
      </c>
      <c r="Z64" s="626">
        <f t="shared" si="12"/>
        <v>0</v>
      </c>
      <c r="AA64" s="626">
        <f t="shared" si="12"/>
        <v>0</v>
      </c>
      <c r="AB64" s="626">
        <f t="shared" si="12"/>
        <v>0</v>
      </c>
      <c r="AC64" s="626">
        <f t="shared" si="12"/>
        <v>0</v>
      </c>
      <c r="AD64" s="626">
        <f t="shared" si="12"/>
        <v>0</v>
      </c>
      <c r="AE64" s="626">
        <f t="shared" si="12"/>
        <v>0</v>
      </c>
      <c r="AF64" s="626">
        <f t="shared" si="12"/>
        <v>0</v>
      </c>
      <c r="AG64" s="626">
        <f t="shared" ref="AG64:AG72" si="13">SUM(U64:AF64)</f>
        <v>0</v>
      </c>
      <c r="AH64" s="626"/>
      <c r="AI64" s="626"/>
    </row>
    <row r="65" spans="1:35" x14ac:dyDescent="0.25">
      <c r="A65" s="601" t="s">
        <v>2525</v>
      </c>
      <c r="B65" s="714">
        <v>3.5910765359497526E-2</v>
      </c>
      <c r="C65" s="714">
        <v>3.8388881819017104E-2</v>
      </c>
      <c r="D65" s="626">
        <f t="shared" si="10"/>
        <v>5.4084776369831458</v>
      </c>
      <c r="E65" s="626">
        <f t="shared" si="10"/>
        <v>14.740081060920287</v>
      </c>
      <c r="F65" s="626">
        <f t="shared" si="10"/>
        <v>174.51767448950534</v>
      </c>
      <c r="G65" s="626">
        <f t="shared" si="10"/>
        <v>142.78373118724343</v>
      </c>
      <c r="H65" s="626">
        <f t="shared" si="10"/>
        <v>41.885608914132682</v>
      </c>
      <c r="I65" s="626">
        <f t="shared" si="10"/>
        <v>1.9762006600990116</v>
      </c>
      <c r="J65" s="626">
        <f t="shared" si="10"/>
        <v>3.2822439538580741</v>
      </c>
      <c r="K65" s="626">
        <f t="shared" si="10"/>
        <v>4.4834949658986254</v>
      </c>
      <c r="L65" s="626">
        <f t="shared" si="10"/>
        <v>36.433733835427887</v>
      </c>
      <c r="M65" s="626">
        <f t="shared" si="10"/>
        <v>42.52707250162743</v>
      </c>
      <c r="N65" s="626">
        <f t="shared" si="10"/>
        <v>48.79472202288197</v>
      </c>
      <c r="O65" s="626">
        <f t="shared" si="10"/>
        <v>5.1799842600460808</v>
      </c>
      <c r="P65" s="626">
        <f t="shared" si="11"/>
        <v>522.01302548862407</v>
      </c>
      <c r="Q65" s="626">
        <f t="shared" si="8"/>
        <v>0</v>
      </c>
      <c r="R65" s="626">
        <f t="shared" si="8"/>
        <v>2.1815789955894749</v>
      </c>
      <c r="S65" s="626">
        <f t="shared" si="8"/>
        <v>118.57102692235756</v>
      </c>
      <c r="T65" s="626">
        <f t="shared" si="8"/>
        <v>81.820775601051068</v>
      </c>
      <c r="U65" s="626">
        <f t="shared" si="12"/>
        <v>5.8352635920178759</v>
      </c>
      <c r="V65" s="626">
        <f t="shared" si="12"/>
        <v>0</v>
      </c>
      <c r="W65" s="626">
        <f t="shared" si="12"/>
        <v>0</v>
      </c>
      <c r="X65" s="626">
        <f t="shared" si="12"/>
        <v>0</v>
      </c>
      <c r="Y65" s="626">
        <f t="shared" si="12"/>
        <v>28.593229234140328</v>
      </c>
      <c r="Z65" s="626">
        <f t="shared" si="12"/>
        <v>192.70128428902927</v>
      </c>
      <c r="AA65" s="626">
        <f t="shared" si="12"/>
        <v>238.02392755331542</v>
      </c>
      <c r="AB65" s="626">
        <f t="shared" si="12"/>
        <v>4.7129646320389114</v>
      </c>
      <c r="AC65" s="626">
        <f t="shared" si="12"/>
        <v>0</v>
      </c>
      <c r="AD65" s="626">
        <f t="shared" si="12"/>
        <v>10.754184575015813</v>
      </c>
      <c r="AE65" s="626">
        <f t="shared" si="12"/>
        <v>219.64797599307013</v>
      </c>
      <c r="AF65" s="626">
        <f t="shared" si="12"/>
        <v>215.07340327998878</v>
      </c>
      <c r="AG65" s="626">
        <f t="shared" si="13"/>
        <v>915.34223314861651</v>
      </c>
      <c r="AH65" s="626"/>
      <c r="AI65" s="626"/>
    </row>
    <row r="66" spans="1:35" x14ac:dyDescent="0.25">
      <c r="A66" s="601" t="s">
        <v>2526</v>
      </c>
      <c r="B66" s="714">
        <v>3.5910765359497526E-2</v>
      </c>
      <c r="C66" s="714">
        <v>3.8388881819017104E-2</v>
      </c>
      <c r="D66" s="626">
        <f t="shared" si="10"/>
        <v>8.8171508269041343</v>
      </c>
      <c r="E66" s="626">
        <f t="shared" si="10"/>
        <v>5.6093233156699318</v>
      </c>
      <c r="F66" s="626">
        <f t="shared" si="10"/>
        <v>33.828784871632621</v>
      </c>
      <c r="G66" s="626">
        <f t="shared" si="10"/>
        <v>56.315736977082068</v>
      </c>
      <c r="H66" s="626">
        <f t="shared" si="10"/>
        <v>9.511447050611082</v>
      </c>
      <c r="I66" s="626">
        <f t="shared" si="10"/>
        <v>10.197658324604996</v>
      </c>
      <c r="J66" s="626">
        <f t="shared" si="10"/>
        <v>0</v>
      </c>
      <c r="K66" s="626">
        <f t="shared" si="10"/>
        <v>1.5728915227459916</v>
      </c>
      <c r="L66" s="626">
        <f t="shared" si="10"/>
        <v>60.333245951307475</v>
      </c>
      <c r="M66" s="626">
        <f t="shared" si="10"/>
        <v>94.691840299671441</v>
      </c>
      <c r="N66" s="626">
        <f t="shared" si="10"/>
        <v>28.565433769804464</v>
      </c>
      <c r="O66" s="626">
        <f t="shared" si="10"/>
        <v>3.1748348546678171</v>
      </c>
      <c r="P66" s="626">
        <f t="shared" si="11"/>
        <v>312.61834776470204</v>
      </c>
      <c r="Q66" s="626">
        <f t="shared" si="8"/>
        <v>0</v>
      </c>
      <c r="R66" s="626">
        <f t="shared" si="8"/>
        <v>3.2723684933842119</v>
      </c>
      <c r="S66" s="626">
        <f t="shared" si="8"/>
        <v>42.948628976182569</v>
      </c>
      <c r="T66" s="626">
        <f t="shared" si="8"/>
        <v>30.43677966345324</v>
      </c>
      <c r="U66" s="626">
        <f t="shared" si="12"/>
        <v>1.5124451659056359</v>
      </c>
      <c r="V66" s="626">
        <f t="shared" si="12"/>
        <v>0</v>
      </c>
      <c r="W66" s="626">
        <f t="shared" si="12"/>
        <v>0</v>
      </c>
      <c r="X66" s="626">
        <f t="shared" si="12"/>
        <v>0</v>
      </c>
      <c r="Y66" s="626">
        <f t="shared" si="12"/>
        <v>7.6973163046493003</v>
      </c>
      <c r="Z66" s="626">
        <f t="shared" si="12"/>
        <v>144.24173193578395</v>
      </c>
      <c r="AA66" s="626">
        <f t="shared" si="12"/>
        <v>164.69920544601996</v>
      </c>
      <c r="AB66" s="626">
        <f t="shared" si="12"/>
        <v>1.8131452771939969</v>
      </c>
      <c r="AC66" s="626">
        <f t="shared" si="12"/>
        <v>0</v>
      </c>
      <c r="AD66" s="626">
        <f t="shared" si="12"/>
        <v>4.6589514753195536</v>
      </c>
      <c r="AE66" s="626">
        <f t="shared" si="12"/>
        <v>112.98270197036743</v>
      </c>
      <c r="AF66" s="626">
        <f t="shared" si="12"/>
        <v>92.132471810241029</v>
      </c>
      <c r="AG66" s="626">
        <f t="shared" si="13"/>
        <v>529.73796938548082</v>
      </c>
      <c r="AH66" s="626"/>
      <c r="AI66" s="626"/>
    </row>
    <row r="67" spans="1:35" x14ac:dyDescent="0.25">
      <c r="A67" s="601" t="s">
        <v>2527</v>
      </c>
      <c r="B67" s="714">
        <v>4.0883057242324904E-2</v>
      </c>
      <c r="C67" s="714">
        <v>4.3639473033326867E-2</v>
      </c>
      <c r="D67" s="626">
        <f t="shared" si="10"/>
        <v>0</v>
      </c>
      <c r="E67" s="626">
        <f t="shared" si="10"/>
        <v>1.8549869562560078E-2</v>
      </c>
      <c r="F67" s="626">
        <f t="shared" si="10"/>
        <v>0</v>
      </c>
      <c r="G67" s="626">
        <f t="shared" si="10"/>
        <v>0.82174945057073057</v>
      </c>
      <c r="H67" s="626">
        <f t="shared" si="10"/>
        <v>-0.76042854418239503</v>
      </c>
      <c r="I67" s="626">
        <f t="shared" si="10"/>
        <v>0</v>
      </c>
      <c r="J67" s="626">
        <f t="shared" si="10"/>
        <v>0</v>
      </c>
      <c r="K67" s="626">
        <f t="shared" si="10"/>
        <v>0</v>
      </c>
      <c r="L67" s="626">
        <f t="shared" si="10"/>
        <v>0</v>
      </c>
      <c r="M67" s="626">
        <f t="shared" si="10"/>
        <v>0</v>
      </c>
      <c r="N67" s="626">
        <f t="shared" si="10"/>
        <v>0</v>
      </c>
      <c r="O67" s="626">
        <f t="shared" si="10"/>
        <v>0</v>
      </c>
      <c r="P67" s="626">
        <f t="shared" si="11"/>
        <v>7.9870775950895645E-2</v>
      </c>
      <c r="Q67" s="626">
        <f t="shared" si="8"/>
        <v>0</v>
      </c>
      <c r="R67" s="626">
        <f t="shared" si="8"/>
        <v>0</v>
      </c>
      <c r="S67" s="626">
        <f t="shared" si="8"/>
        <v>0</v>
      </c>
      <c r="T67" s="626">
        <f t="shared" si="8"/>
        <v>0</v>
      </c>
      <c r="U67" s="626">
        <f t="shared" si="12"/>
        <v>0</v>
      </c>
      <c r="V67" s="626">
        <f t="shared" si="12"/>
        <v>0</v>
      </c>
      <c r="W67" s="626">
        <f t="shared" si="12"/>
        <v>0</v>
      </c>
      <c r="X67" s="626">
        <f t="shared" si="12"/>
        <v>0</v>
      </c>
      <c r="Y67" s="626">
        <f t="shared" si="12"/>
        <v>0</v>
      </c>
      <c r="Z67" s="626">
        <f t="shared" si="12"/>
        <v>0</v>
      </c>
      <c r="AA67" s="626">
        <f t="shared" si="12"/>
        <v>0</v>
      </c>
      <c r="AB67" s="626">
        <f t="shared" si="12"/>
        <v>0</v>
      </c>
      <c r="AC67" s="626">
        <f t="shared" si="12"/>
        <v>0</v>
      </c>
      <c r="AD67" s="626">
        <f t="shared" si="12"/>
        <v>0</v>
      </c>
      <c r="AE67" s="626">
        <f t="shared" si="12"/>
        <v>0</v>
      </c>
      <c r="AF67" s="626">
        <f t="shared" si="12"/>
        <v>0</v>
      </c>
      <c r="AG67" s="626">
        <f t="shared" si="13"/>
        <v>0</v>
      </c>
      <c r="AH67" s="626"/>
      <c r="AI67" s="626"/>
    </row>
    <row r="68" spans="1:35" x14ac:dyDescent="0.25">
      <c r="A68" s="601" t="s">
        <v>2528</v>
      </c>
      <c r="B68" s="714">
        <v>3.9952550270708813E-2</v>
      </c>
      <c r="C68" s="714">
        <v>4.2717709254244896E-2</v>
      </c>
      <c r="D68" s="626">
        <f t="shared" si="10"/>
        <v>0</v>
      </c>
      <c r="E68" s="626">
        <f t="shared" si="10"/>
        <v>0</v>
      </c>
      <c r="F68" s="626">
        <f t="shared" si="10"/>
        <v>0</v>
      </c>
      <c r="G68" s="626">
        <f t="shared" si="10"/>
        <v>0</v>
      </c>
      <c r="H68" s="626">
        <f t="shared" si="10"/>
        <v>0</v>
      </c>
      <c r="I68" s="626">
        <f t="shared" si="10"/>
        <v>0</v>
      </c>
      <c r="J68" s="626">
        <f t="shared" si="10"/>
        <v>0</v>
      </c>
      <c r="K68" s="626">
        <f t="shared" si="10"/>
        <v>0</v>
      </c>
      <c r="L68" s="626">
        <f t="shared" si="10"/>
        <v>0</v>
      </c>
      <c r="M68" s="626">
        <f t="shared" si="10"/>
        <v>0</v>
      </c>
      <c r="N68" s="626">
        <f t="shared" si="10"/>
        <v>0</v>
      </c>
      <c r="O68" s="626">
        <f t="shared" si="10"/>
        <v>0</v>
      </c>
      <c r="P68" s="626">
        <f t="shared" si="11"/>
        <v>0</v>
      </c>
      <c r="Q68" s="626">
        <f t="shared" si="8"/>
        <v>0</v>
      </c>
      <c r="R68" s="626">
        <f t="shared" si="8"/>
        <v>0</v>
      </c>
      <c r="S68" s="626">
        <f t="shared" si="8"/>
        <v>0</v>
      </c>
      <c r="T68" s="626">
        <f t="shared" si="8"/>
        <v>0</v>
      </c>
      <c r="U68" s="626">
        <f t="shared" si="12"/>
        <v>0</v>
      </c>
      <c r="V68" s="626">
        <f t="shared" si="12"/>
        <v>0</v>
      </c>
      <c r="W68" s="626">
        <f t="shared" si="12"/>
        <v>0</v>
      </c>
      <c r="X68" s="626">
        <f t="shared" si="12"/>
        <v>0</v>
      </c>
      <c r="Y68" s="626">
        <f t="shared" si="12"/>
        <v>0</v>
      </c>
      <c r="Z68" s="626">
        <f t="shared" si="12"/>
        <v>0</v>
      </c>
      <c r="AA68" s="626">
        <f t="shared" si="12"/>
        <v>0</v>
      </c>
      <c r="AB68" s="626">
        <f t="shared" si="12"/>
        <v>0</v>
      </c>
      <c r="AC68" s="626">
        <f t="shared" si="12"/>
        <v>0</v>
      </c>
      <c r="AD68" s="626">
        <f t="shared" si="12"/>
        <v>0</v>
      </c>
      <c r="AE68" s="626">
        <f t="shared" si="12"/>
        <v>0</v>
      </c>
      <c r="AF68" s="626">
        <f t="shared" si="12"/>
        <v>0</v>
      </c>
      <c r="AG68" s="626">
        <f t="shared" si="13"/>
        <v>0</v>
      </c>
      <c r="AH68" s="626"/>
      <c r="AI68" s="626"/>
    </row>
    <row r="69" spans="1:35" x14ac:dyDescent="0.25">
      <c r="A69" s="601" t="s">
        <v>2529</v>
      </c>
      <c r="B69" s="714">
        <v>3.9952550270708813E-2</v>
      </c>
      <c r="C69" s="714">
        <v>4.2717709254244896E-2</v>
      </c>
      <c r="D69" s="626">
        <f t="shared" si="10"/>
        <v>0</v>
      </c>
      <c r="E69" s="626">
        <f t="shared" si="10"/>
        <v>0</v>
      </c>
      <c r="F69" s="626">
        <f t="shared" si="10"/>
        <v>0</v>
      </c>
      <c r="G69" s="626">
        <f t="shared" si="10"/>
        <v>0</v>
      </c>
      <c r="H69" s="626">
        <f t="shared" si="10"/>
        <v>0</v>
      </c>
      <c r="I69" s="626">
        <f t="shared" si="10"/>
        <v>0</v>
      </c>
      <c r="J69" s="626">
        <f t="shared" si="10"/>
        <v>0</v>
      </c>
      <c r="K69" s="626">
        <f t="shared" si="10"/>
        <v>0</v>
      </c>
      <c r="L69" s="626">
        <f t="shared" si="10"/>
        <v>0</v>
      </c>
      <c r="M69" s="626">
        <f t="shared" si="10"/>
        <v>0</v>
      </c>
      <c r="N69" s="626">
        <f t="shared" si="10"/>
        <v>0</v>
      </c>
      <c r="O69" s="626">
        <f t="shared" si="10"/>
        <v>0</v>
      </c>
      <c r="P69" s="626">
        <f t="shared" si="11"/>
        <v>0</v>
      </c>
      <c r="Q69" s="626">
        <f t="shared" si="8"/>
        <v>0</v>
      </c>
      <c r="R69" s="626">
        <f t="shared" si="8"/>
        <v>0</v>
      </c>
      <c r="S69" s="626">
        <f t="shared" si="8"/>
        <v>0</v>
      </c>
      <c r="T69" s="626">
        <f t="shared" si="8"/>
        <v>0</v>
      </c>
      <c r="U69" s="626">
        <f t="shared" si="12"/>
        <v>0</v>
      </c>
      <c r="V69" s="626">
        <f t="shared" si="12"/>
        <v>0</v>
      </c>
      <c r="W69" s="626">
        <f t="shared" si="12"/>
        <v>0</v>
      </c>
      <c r="X69" s="626">
        <f t="shared" si="12"/>
        <v>0</v>
      </c>
      <c r="Y69" s="626">
        <f t="shared" si="12"/>
        <v>0</v>
      </c>
      <c r="Z69" s="626">
        <f t="shared" si="12"/>
        <v>0</v>
      </c>
      <c r="AA69" s="626">
        <f t="shared" si="12"/>
        <v>0</v>
      </c>
      <c r="AB69" s="626">
        <f t="shared" si="12"/>
        <v>0</v>
      </c>
      <c r="AC69" s="626">
        <f t="shared" si="12"/>
        <v>0</v>
      </c>
      <c r="AD69" s="626">
        <f t="shared" si="12"/>
        <v>0</v>
      </c>
      <c r="AE69" s="626">
        <f t="shared" si="12"/>
        <v>20.824883261444388</v>
      </c>
      <c r="AF69" s="626">
        <f t="shared" si="12"/>
        <v>0</v>
      </c>
      <c r="AG69" s="626">
        <f t="shared" si="13"/>
        <v>20.824883261444388</v>
      </c>
      <c r="AH69" s="626"/>
      <c r="AI69" s="626"/>
    </row>
    <row r="70" spans="1:35" x14ac:dyDescent="0.25">
      <c r="A70" s="601" t="s">
        <v>2530</v>
      </c>
      <c r="B70" s="714">
        <v>3.9952550270708813E-2</v>
      </c>
      <c r="C70" s="714">
        <v>4.2717709254244896E-2</v>
      </c>
      <c r="D70" s="626">
        <f t="shared" si="10"/>
        <v>6.5872166784333872E-2</v>
      </c>
      <c r="E70" s="626">
        <f t="shared" si="10"/>
        <v>0.89467623591060974</v>
      </c>
      <c r="F70" s="626">
        <f t="shared" si="10"/>
        <v>0</v>
      </c>
      <c r="G70" s="626">
        <f t="shared" si="10"/>
        <v>0</v>
      </c>
      <c r="H70" s="626">
        <f t="shared" si="10"/>
        <v>0</v>
      </c>
      <c r="I70" s="626">
        <f t="shared" si="10"/>
        <v>0</v>
      </c>
      <c r="J70" s="626">
        <f t="shared" si="10"/>
        <v>0</v>
      </c>
      <c r="K70" s="626">
        <f t="shared" si="10"/>
        <v>0</v>
      </c>
      <c r="L70" s="626">
        <f t="shared" si="10"/>
        <v>0</v>
      </c>
      <c r="M70" s="626">
        <f t="shared" si="10"/>
        <v>0</v>
      </c>
      <c r="N70" s="626">
        <f t="shared" si="10"/>
        <v>0</v>
      </c>
      <c r="O70" s="626">
        <f t="shared" si="10"/>
        <v>0</v>
      </c>
      <c r="P70" s="626">
        <f t="shared" si="11"/>
        <v>0.96054840269494357</v>
      </c>
      <c r="Q70" s="626">
        <f t="shared" si="8"/>
        <v>0</v>
      </c>
      <c r="R70" s="626">
        <f t="shared" si="8"/>
        <v>0</v>
      </c>
      <c r="S70" s="626">
        <f t="shared" si="8"/>
        <v>0</v>
      </c>
      <c r="T70" s="626">
        <f t="shared" si="8"/>
        <v>0</v>
      </c>
      <c r="U70" s="626">
        <f t="shared" si="12"/>
        <v>0</v>
      </c>
      <c r="V70" s="626">
        <f t="shared" si="12"/>
        <v>0</v>
      </c>
      <c r="W70" s="626">
        <f t="shared" si="12"/>
        <v>0</v>
      </c>
      <c r="X70" s="626">
        <f t="shared" si="12"/>
        <v>0</v>
      </c>
      <c r="Y70" s="626">
        <f t="shared" si="12"/>
        <v>0</v>
      </c>
      <c r="Z70" s="626">
        <f t="shared" si="12"/>
        <v>0</v>
      </c>
      <c r="AA70" s="626">
        <f t="shared" si="12"/>
        <v>0</v>
      </c>
      <c r="AB70" s="626">
        <f t="shared" si="12"/>
        <v>0</v>
      </c>
      <c r="AC70" s="626">
        <f t="shared" si="12"/>
        <v>0</v>
      </c>
      <c r="AD70" s="626">
        <f t="shared" si="12"/>
        <v>0</v>
      </c>
      <c r="AE70" s="626">
        <f t="shared" si="12"/>
        <v>0</v>
      </c>
      <c r="AF70" s="626">
        <f t="shared" si="12"/>
        <v>0</v>
      </c>
      <c r="AG70" s="626">
        <f t="shared" si="13"/>
        <v>0</v>
      </c>
      <c r="AH70" s="626"/>
      <c r="AI70" s="626"/>
    </row>
    <row r="71" spans="1:35" x14ac:dyDescent="0.25">
      <c r="A71" s="601" t="s">
        <v>2531</v>
      </c>
      <c r="B71" s="714">
        <v>3.9952550270708813E-2</v>
      </c>
      <c r="C71" s="714">
        <v>4.2717709254244896E-2</v>
      </c>
      <c r="D71" s="626">
        <f t="shared" si="10"/>
        <v>2.391061051377251</v>
      </c>
      <c r="E71" s="626">
        <f t="shared" si="10"/>
        <v>-6.9120361059657842</v>
      </c>
      <c r="F71" s="626">
        <f t="shared" si="10"/>
        <v>0.8533824785273133</v>
      </c>
      <c r="G71" s="626">
        <f t="shared" si="10"/>
        <v>0.24221633127119924</v>
      </c>
      <c r="H71" s="626">
        <f t="shared" si="10"/>
        <v>3.2688281694367891</v>
      </c>
      <c r="I71" s="626">
        <f t="shared" si="10"/>
        <v>2.2955816476893056</v>
      </c>
      <c r="J71" s="626">
        <f t="shared" si="10"/>
        <v>2.6380668943749028</v>
      </c>
      <c r="K71" s="626">
        <f t="shared" si="10"/>
        <v>0</v>
      </c>
      <c r="L71" s="626">
        <f t="shared" si="10"/>
        <v>0</v>
      </c>
      <c r="M71" s="626">
        <f t="shared" si="10"/>
        <v>16.612669928063433</v>
      </c>
      <c r="N71" s="626">
        <f t="shared" si="10"/>
        <v>3.431244874899285</v>
      </c>
      <c r="O71" s="626">
        <f t="shared" si="10"/>
        <v>0</v>
      </c>
      <c r="P71" s="626">
        <f t="shared" si="11"/>
        <v>24.821015269673694</v>
      </c>
      <c r="Q71" s="626">
        <f t="shared" si="8"/>
        <v>0</v>
      </c>
      <c r="R71" s="626">
        <f t="shared" si="8"/>
        <v>0</v>
      </c>
      <c r="S71" s="626">
        <f t="shared" si="8"/>
        <v>1.4767261631059392</v>
      </c>
      <c r="T71" s="626">
        <f t="shared" si="8"/>
        <v>22.202591046639387</v>
      </c>
      <c r="U71" s="626">
        <f t="shared" si="12"/>
        <v>1.6770118299031462</v>
      </c>
      <c r="V71" s="626">
        <f t="shared" si="12"/>
        <v>0</v>
      </c>
      <c r="W71" s="626">
        <f t="shared" si="12"/>
        <v>0</v>
      </c>
      <c r="X71" s="626">
        <f t="shared" si="12"/>
        <v>0</v>
      </c>
      <c r="Y71" s="626">
        <f t="shared" si="12"/>
        <v>0.67096705925642464</v>
      </c>
      <c r="Z71" s="626">
        <f t="shared" si="12"/>
        <v>0</v>
      </c>
      <c r="AA71" s="626">
        <f t="shared" si="12"/>
        <v>2.3879199473122896</v>
      </c>
      <c r="AB71" s="626">
        <f t="shared" si="12"/>
        <v>3.7873948201906069</v>
      </c>
      <c r="AC71" s="626">
        <f t="shared" si="12"/>
        <v>0</v>
      </c>
      <c r="AD71" s="626">
        <f t="shared" si="12"/>
        <v>24.206716149975193</v>
      </c>
      <c r="AE71" s="626">
        <f t="shared" si="12"/>
        <v>119.86751544036284</v>
      </c>
      <c r="AF71" s="626">
        <f t="shared" si="12"/>
        <v>2.8193688107801629</v>
      </c>
      <c r="AG71" s="626">
        <f t="shared" si="13"/>
        <v>155.41689405778067</v>
      </c>
      <c r="AH71" s="626"/>
      <c r="AI71" s="626"/>
    </row>
    <row r="72" spans="1:35" x14ac:dyDescent="0.25">
      <c r="A72" s="601" t="s">
        <v>2532</v>
      </c>
      <c r="B72" s="714">
        <v>3.9952550270708813E-2</v>
      </c>
      <c r="C72" s="714">
        <v>4.2717709254244896E-2</v>
      </c>
      <c r="D72" s="626">
        <f t="shared" si="10"/>
        <v>8.1427692232234339E-2</v>
      </c>
      <c r="E72" s="626">
        <f t="shared" si="10"/>
        <v>1.9631884152020895E-2</v>
      </c>
      <c r="F72" s="626">
        <f t="shared" si="10"/>
        <v>0</v>
      </c>
      <c r="G72" s="626">
        <f t="shared" si="10"/>
        <v>0.62565693723930005</v>
      </c>
      <c r="H72" s="626">
        <f t="shared" si="10"/>
        <v>2.5235229327487813E-2</v>
      </c>
      <c r="I72" s="626">
        <f t="shared" si="10"/>
        <v>0.15491801130218696</v>
      </c>
      <c r="J72" s="626">
        <f t="shared" si="10"/>
        <v>0</v>
      </c>
      <c r="K72" s="626">
        <f t="shared" si="10"/>
        <v>0</v>
      </c>
      <c r="L72" s="626">
        <f t="shared" si="10"/>
        <v>0</v>
      </c>
      <c r="M72" s="626">
        <f t="shared" si="10"/>
        <v>39.338559478148561</v>
      </c>
      <c r="N72" s="626">
        <f t="shared" si="10"/>
        <v>0</v>
      </c>
      <c r="O72" s="626">
        <f t="shared" si="10"/>
        <v>0</v>
      </c>
      <c r="P72" s="626">
        <f t="shared" si="11"/>
        <v>40.24542923240179</v>
      </c>
      <c r="Q72" s="626">
        <f t="shared" si="8"/>
        <v>0</v>
      </c>
      <c r="R72" s="626">
        <f t="shared" si="8"/>
        <v>0</v>
      </c>
      <c r="S72" s="626">
        <f t="shared" si="8"/>
        <v>0</v>
      </c>
      <c r="T72" s="626">
        <f t="shared" si="8"/>
        <v>0</v>
      </c>
      <c r="U72" s="626">
        <f t="shared" si="12"/>
        <v>0</v>
      </c>
      <c r="V72" s="626">
        <f t="shared" si="12"/>
        <v>0</v>
      </c>
      <c r="W72" s="626">
        <f t="shared" si="12"/>
        <v>0</v>
      </c>
      <c r="X72" s="626">
        <f t="shared" si="12"/>
        <v>0</v>
      </c>
      <c r="Y72" s="626">
        <f t="shared" si="12"/>
        <v>16.64884272245866</v>
      </c>
      <c r="Z72" s="626">
        <f t="shared" si="12"/>
        <v>27.748014247152096</v>
      </c>
      <c r="AA72" s="626">
        <f t="shared" si="12"/>
        <v>0</v>
      </c>
      <c r="AB72" s="626">
        <f t="shared" si="12"/>
        <v>0</v>
      </c>
      <c r="AC72" s="626">
        <f t="shared" si="12"/>
        <v>0</v>
      </c>
      <c r="AD72" s="626">
        <f t="shared" si="12"/>
        <v>24.902075021215794</v>
      </c>
      <c r="AE72" s="626">
        <f t="shared" si="12"/>
        <v>122.13044337039722</v>
      </c>
      <c r="AF72" s="626">
        <f t="shared" si="12"/>
        <v>0</v>
      </c>
      <c r="AG72" s="626">
        <f t="shared" si="13"/>
        <v>191.42937536122378</v>
      </c>
      <c r="AH72" s="626"/>
      <c r="AI72" s="626"/>
    </row>
    <row r="73" spans="1:35" x14ac:dyDescent="0.25">
      <c r="A73" s="601" t="s">
        <v>2533</v>
      </c>
      <c r="D73" s="629">
        <f>SUM(D63:D72)</f>
        <v>16.763989374281099</v>
      </c>
      <c r="E73" s="629">
        <f t="shared" ref="E73:O73" si="14">SUM(E63:E72)</f>
        <v>14.755523318432473</v>
      </c>
      <c r="F73" s="629">
        <f t="shared" si="14"/>
        <v>227.82756582579307</v>
      </c>
      <c r="G73" s="629">
        <f t="shared" si="14"/>
        <v>223.68392755058321</v>
      </c>
      <c r="H73" s="629">
        <f t="shared" si="14"/>
        <v>53.144409056234913</v>
      </c>
      <c r="I73" s="629">
        <f t="shared" si="14"/>
        <v>15.552598646448748</v>
      </c>
      <c r="J73" s="629">
        <f t="shared" si="14"/>
        <v>7.9889935446946172</v>
      </c>
      <c r="K73" s="629">
        <f t="shared" si="14"/>
        <v>6.056386488644617</v>
      </c>
      <c r="L73" s="629">
        <f t="shared" si="14"/>
        <v>101.10696161135161</v>
      </c>
      <c r="M73" s="629">
        <f t="shared" si="14"/>
        <v>225.66702144994665</v>
      </c>
      <c r="N73" s="629">
        <f t="shared" si="14"/>
        <v>88.456973900521632</v>
      </c>
      <c r="O73" s="629">
        <f t="shared" si="14"/>
        <v>8.3548191147138979</v>
      </c>
      <c r="P73" s="629">
        <f t="shared" si="11"/>
        <v>989.35916988164661</v>
      </c>
      <c r="Q73" s="629">
        <f t="shared" ref="Q73:AF73" si="15">SUM(Q63:Q72)</f>
        <v>0</v>
      </c>
      <c r="R73" s="629">
        <f t="shared" si="15"/>
        <v>5.4539474889736868</v>
      </c>
      <c r="S73" s="629">
        <f t="shared" si="15"/>
        <v>162.99638206164607</v>
      </c>
      <c r="T73" s="629">
        <f t="shared" si="15"/>
        <v>134.46014631114369</v>
      </c>
      <c r="U73" s="629">
        <f t="shared" si="15"/>
        <v>9.024720587826657</v>
      </c>
      <c r="V73" s="629">
        <f t="shared" si="15"/>
        <v>0</v>
      </c>
      <c r="W73" s="629">
        <f t="shared" si="15"/>
        <v>0</v>
      </c>
      <c r="X73" s="629">
        <f t="shared" si="15"/>
        <v>0</v>
      </c>
      <c r="Y73" s="629">
        <f t="shared" si="15"/>
        <v>53.610355320504716</v>
      </c>
      <c r="Z73" s="629">
        <f t="shared" si="15"/>
        <v>393.82474266901431</v>
      </c>
      <c r="AA73" s="629">
        <f t="shared" si="15"/>
        <v>434.24476514369667</v>
      </c>
      <c r="AB73" s="629">
        <f t="shared" si="15"/>
        <v>10.313504729423515</v>
      </c>
      <c r="AC73" s="629">
        <f t="shared" si="15"/>
        <v>0</v>
      </c>
      <c r="AD73" s="629">
        <f t="shared" si="15"/>
        <v>64.521927221526354</v>
      </c>
      <c r="AE73" s="629">
        <f t="shared" si="15"/>
        <v>595.98373963299684</v>
      </c>
      <c r="AF73" s="629">
        <f t="shared" si="15"/>
        <v>316.78556558702178</v>
      </c>
      <c r="AG73" s="629">
        <f>SUM(U73:AF73)</f>
        <v>1878.3093208920109</v>
      </c>
      <c r="AH73" s="626"/>
      <c r="AI73" s="626"/>
    </row>
    <row r="75" spans="1:35" ht="30" x14ac:dyDescent="0.25">
      <c r="A75" s="601" t="s">
        <v>2622</v>
      </c>
      <c r="B75" s="713" t="s">
        <v>2620</v>
      </c>
      <c r="C75" s="713" t="s">
        <v>2466</v>
      </c>
      <c r="P75" s="600">
        <f>SUM(D75:O75)</f>
        <v>0</v>
      </c>
      <c r="AG75" s="600">
        <f>SUM(U75:AF75)</f>
        <v>0</v>
      </c>
    </row>
    <row r="76" spans="1:35" x14ac:dyDescent="0.25">
      <c r="A76" s="601" t="s">
        <v>2523</v>
      </c>
      <c r="B76" s="714">
        <v>2.7576156975801389E-2</v>
      </c>
      <c r="C76" s="714">
        <v>1.0667771144960259E-2</v>
      </c>
      <c r="D76" s="626">
        <f>D50*$B76</f>
        <v>0</v>
      </c>
      <c r="E76" s="626">
        <f t="shared" ref="E76:O85" si="16">E50*$B76</f>
        <v>0.17924502034270903</v>
      </c>
      <c r="F76" s="626">
        <f t="shared" si="16"/>
        <v>10.831927696650133</v>
      </c>
      <c r="G76" s="626">
        <f t="shared" si="16"/>
        <v>10.280299767737597</v>
      </c>
      <c r="H76" s="626">
        <f t="shared" si="16"/>
        <v>-0.30959779012889194</v>
      </c>
      <c r="I76" s="626">
        <f t="shared" si="16"/>
        <v>4.1364235463702083E-2</v>
      </c>
      <c r="J76" s="626">
        <f t="shared" si="16"/>
        <v>1.3953535429755504</v>
      </c>
      <c r="K76" s="626">
        <f t="shared" si="16"/>
        <v>0</v>
      </c>
      <c r="L76" s="626">
        <f t="shared" si="16"/>
        <v>2.9273745199231724</v>
      </c>
      <c r="M76" s="626">
        <f t="shared" si="16"/>
        <v>21.919570199983152</v>
      </c>
      <c r="N76" s="626">
        <f t="shared" si="16"/>
        <v>5.17052943296276</v>
      </c>
      <c r="O76" s="626">
        <f t="shared" si="16"/>
        <v>0</v>
      </c>
      <c r="P76" s="626">
        <f>SUM(D76:O76)</f>
        <v>52.436066625909888</v>
      </c>
      <c r="Q76" s="626">
        <f t="shared" ref="Q76:T85" si="17">Q50*$B76</f>
        <v>0</v>
      </c>
      <c r="R76" s="626">
        <f t="shared" si="17"/>
        <v>0</v>
      </c>
      <c r="S76" s="626">
        <f t="shared" si="17"/>
        <v>0</v>
      </c>
      <c r="T76" s="626">
        <f t="shared" si="17"/>
        <v>0</v>
      </c>
      <c r="U76" s="626">
        <f>U50*$C76</f>
        <v>0</v>
      </c>
      <c r="V76" s="626">
        <f t="shared" ref="V76:AF76" si="18">V50*$C76</f>
        <v>0</v>
      </c>
      <c r="W76" s="626">
        <f t="shared" si="18"/>
        <v>0</v>
      </c>
      <c r="X76" s="626">
        <f t="shared" si="18"/>
        <v>0</v>
      </c>
      <c r="Y76" s="626">
        <f t="shared" si="18"/>
        <v>0</v>
      </c>
      <c r="Z76" s="626">
        <f t="shared" si="18"/>
        <v>7.121804016375469</v>
      </c>
      <c r="AA76" s="626">
        <f t="shared" si="18"/>
        <v>7.121804016375469</v>
      </c>
      <c r="AB76" s="626">
        <f t="shared" si="18"/>
        <v>0</v>
      </c>
      <c r="AC76" s="626">
        <f t="shared" si="18"/>
        <v>0</v>
      </c>
      <c r="AD76" s="626">
        <f t="shared" si="18"/>
        <v>0</v>
      </c>
      <c r="AE76" s="626">
        <f t="shared" si="18"/>
        <v>0.12961341941126714</v>
      </c>
      <c r="AF76" s="626">
        <f t="shared" si="18"/>
        <v>1.6525764313792286</v>
      </c>
      <c r="AG76" s="626">
        <f>SUM(U76:AF76)</f>
        <v>16.025797883541433</v>
      </c>
      <c r="AH76" s="626"/>
      <c r="AI76" s="626"/>
    </row>
    <row r="77" spans="1:35" x14ac:dyDescent="0.25">
      <c r="A77" s="601" t="s">
        <v>2524</v>
      </c>
      <c r="B77" s="714">
        <v>2.7576156975801389E-2</v>
      </c>
      <c r="C77" s="714">
        <v>1.0667771144960259E-2</v>
      </c>
      <c r="D77" s="626">
        <f t="shared" ref="D77:D85" si="19">D51*$B77</f>
        <v>0</v>
      </c>
      <c r="E77" s="626">
        <f t="shared" si="16"/>
        <v>8.0642886175324294E-2</v>
      </c>
      <c r="F77" s="626">
        <f t="shared" si="16"/>
        <v>1.7327158352323881</v>
      </c>
      <c r="G77" s="626">
        <f t="shared" si="16"/>
        <v>5.162567093397568</v>
      </c>
      <c r="H77" s="626">
        <f t="shared" si="16"/>
        <v>-0.22075954586192917</v>
      </c>
      <c r="I77" s="626">
        <f t="shared" si="16"/>
        <v>0.58474579039419428</v>
      </c>
      <c r="J77" s="626">
        <f t="shared" si="16"/>
        <v>0</v>
      </c>
      <c r="K77" s="626">
        <f t="shared" si="16"/>
        <v>0</v>
      </c>
      <c r="L77" s="626">
        <f t="shared" si="16"/>
        <v>0</v>
      </c>
      <c r="M77" s="626">
        <f t="shared" si="16"/>
        <v>0</v>
      </c>
      <c r="N77" s="626">
        <f t="shared" si="16"/>
        <v>0</v>
      </c>
      <c r="O77" s="626">
        <f t="shared" si="16"/>
        <v>0</v>
      </c>
      <c r="P77" s="626">
        <f t="shared" ref="P77:P86" si="20">SUM(D77:O77)</f>
        <v>7.3399120593375455</v>
      </c>
      <c r="Q77" s="626">
        <f t="shared" si="17"/>
        <v>0</v>
      </c>
      <c r="R77" s="626">
        <f t="shared" si="17"/>
        <v>0</v>
      </c>
      <c r="S77" s="626">
        <f t="shared" si="17"/>
        <v>0</v>
      </c>
      <c r="T77" s="626">
        <f t="shared" si="17"/>
        <v>0</v>
      </c>
      <c r="U77" s="626">
        <f t="shared" ref="U77:AF85" si="21">U51*$C77</f>
        <v>0</v>
      </c>
      <c r="V77" s="626">
        <f t="shared" si="21"/>
        <v>0</v>
      </c>
      <c r="W77" s="626">
        <f t="shared" si="21"/>
        <v>0</v>
      </c>
      <c r="X77" s="626">
        <f t="shared" si="21"/>
        <v>0</v>
      </c>
      <c r="Y77" s="626">
        <f t="shared" si="21"/>
        <v>0</v>
      </c>
      <c r="Z77" s="626">
        <f t="shared" si="21"/>
        <v>0</v>
      </c>
      <c r="AA77" s="626">
        <f t="shared" si="21"/>
        <v>0</v>
      </c>
      <c r="AB77" s="626">
        <f t="shared" si="21"/>
        <v>0</v>
      </c>
      <c r="AC77" s="626">
        <f t="shared" si="21"/>
        <v>0</v>
      </c>
      <c r="AD77" s="626">
        <f t="shared" si="21"/>
        <v>0</v>
      </c>
      <c r="AE77" s="626">
        <f t="shared" si="21"/>
        <v>0</v>
      </c>
      <c r="AF77" s="626">
        <f t="shared" si="21"/>
        <v>0</v>
      </c>
      <c r="AG77" s="626">
        <f t="shared" ref="AG77:AG85" si="22">SUM(U77:AF77)</f>
        <v>0</v>
      </c>
      <c r="AH77" s="626"/>
      <c r="AI77" s="626"/>
    </row>
    <row r="78" spans="1:35" x14ac:dyDescent="0.25">
      <c r="A78" s="601" t="s">
        <v>2525</v>
      </c>
      <c r="B78" s="714">
        <v>2.6820312880168468E-2</v>
      </c>
      <c r="C78" s="714">
        <v>1.0430856900639138E-2</v>
      </c>
      <c r="D78" s="626">
        <f t="shared" si="19"/>
        <v>4.0393754067098468</v>
      </c>
      <c r="E78" s="626">
        <f t="shared" si="16"/>
        <v>11.008776392686144</v>
      </c>
      <c r="F78" s="626">
        <f t="shared" si="16"/>
        <v>130.34026387549599</v>
      </c>
      <c r="G78" s="626">
        <f t="shared" si="16"/>
        <v>106.63945216157657</v>
      </c>
      <c r="H78" s="626">
        <f t="shared" si="16"/>
        <v>31.282684315061633</v>
      </c>
      <c r="I78" s="626">
        <f t="shared" si="16"/>
        <v>1.4759451514678765</v>
      </c>
      <c r="J78" s="626">
        <f t="shared" si="16"/>
        <v>2.451376597247398</v>
      </c>
      <c r="K78" s="626">
        <f t="shared" si="16"/>
        <v>3.3485428834019135</v>
      </c>
      <c r="L78" s="626">
        <f t="shared" si="16"/>
        <v>27.210897096642363</v>
      </c>
      <c r="M78" s="626">
        <f t="shared" si="16"/>
        <v>31.761767786149345</v>
      </c>
      <c r="N78" s="626">
        <f t="shared" si="16"/>
        <v>36.442824274376669</v>
      </c>
      <c r="O78" s="626">
        <f t="shared" si="16"/>
        <v>3.8687228517127812</v>
      </c>
      <c r="P78" s="626">
        <f t="shared" si="20"/>
        <v>389.87062879252863</v>
      </c>
      <c r="Q78" s="626">
        <f t="shared" si="17"/>
        <v>0</v>
      </c>
      <c r="R78" s="626">
        <f t="shared" si="17"/>
        <v>1.6293340074702345</v>
      </c>
      <c r="S78" s="626">
        <f t="shared" si="17"/>
        <v>88.555952755249379</v>
      </c>
      <c r="T78" s="626">
        <f t="shared" si="17"/>
        <v>61.108661420881212</v>
      </c>
      <c r="U78" s="626">
        <f t="shared" si="21"/>
        <v>1.5855319723247514</v>
      </c>
      <c r="V78" s="626">
        <f t="shared" si="21"/>
        <v>0</v>
      </c>
      <c r="W78" s="626">
        <f t="shared" si="21"/>
        <v>0</v>
      </c>
      <c r="X78" s="626">
        <f t="shared" si="21"/>
        <v>0</v>
      </c>
      <c r="Y78" s="626">
        <f t="shared" si="21"/>
        <v>7.7692255761599505</v>
      </c>
      <c r="Z78" s="626">
        <f t="shared" si="21"/>
        <v>52.359939277848696</v>
      </c>
      <c r="AA78" s="626">
        <f t="shared" si="21"/>
        <v>64.674807121024372</v>
      </c>
      <c r="AB78" s="626">
        <f t="shared" si="21"/>
        <v>1.2805858708345665</v>
      </c>
      <c r="AC78" s="626">
        <f t="shared" si="21"/>
        <v>0</v>
      </c>
      <c r="AD78" s="626">
        <f t="shared" si="21"/>
        <v>2.9220793904312465</v>
      </c>
      <c r="AE78" s="626">
        <f t="shared" si="21"/>
        <v>59.681774970683328</v>
      </c>
      <c r="AF78" s="626">
        <f t="shared" si="21"/>
        <v>58.438792338975567</v>
      </c>
      <c r="AG78" s="626">
        <f t="shared" si="22"/>
        <v>248.71273651828247</v>
      </c>
      <c r="AH78" s="626"/>
      <c r="AI78" s="626"/>
    </row>
    <row r="79" spans="1:35" x14ac:dyDescent="0.25">
      <c r="A79" s="601" t="s">
        <v>2526</v>
      </c>
      <c r="B79" s="714">
        <v>2.6820312880168468E-2</v>
      </c>
      <c r="C79" s="714">
        <v>1.0430856900639138E-2</v>
      </c>
      <c r="D79" s="626">
        <f>D53*$B79</f>
        <v>6.585176938498809</v>
      </c>
      <c r="E79" s="626">
        <f t="shared" si="16"/>
        <v>4.1893790028204689</v>
      </c>
      <c r="F79" s="626">
        <f t="shared" si="16"/>
        <v>25.265365010471381</v>
      </c>
      <c r="G79" s="626">
        <f t="shared" si="16"/>
        <v>42.059969223216463</v>
      </c>
      <c r="H79" s="626">
        <f t="shared" si="16"/>
        <v>7.1037189903020836</v>
      </c>
      <c r="I79" s="626">
        <f t="shared" si="16"/>
        <v>7.6162227168635184</v>
      </c>
      <c r="J79" s="626">
        <f t="shared" si="16"/>
        <v>0</v>
      </c>
      <c r="K79" s="626">
        <f t="shared" si="16"/>
        <v>1.1747297041513789</v>
      </c>
      <c r="L79" s="626">
        <f t="shared" si="16"/>
        <v>45.060485826216478</v>
      </c>
      <c r="M79" s="626">
        <f t="shared" si="16"/>
        <v>70.721544322765425</v>
      </c>
      <c r="N79" s="626">
        <f t="shared" si="16"/>
        <v>21.33437880240729</v>
      </c>
      <c r="O79" s="626">
        <f t="shared" si="16"/>
        <v>2.3711570414228142</v>
      </c>
      <c r="P79" s="626">
        <f t="shared" si="20"/>
        <v>233.48212757913609</v>
      </c>
      <c r="Q79" s="626">
        <f t="shared" si="17"/>
        <v>0</v>
      </c>
      <c r="R79" s="626">
        <f t="shared" si="17"/>
        <v>2.4440010112053518</v>
      </c>
      <c r="S79" s="626">
        <f t="shared" si="17"/>
        <v>32.076611439049643</v>
      </c>
      <c r="T79" s="626">
        <f t="shared" si="17"/>
        <v>22.732012126905747</v>
      </c>
      <c r="U79" s="626">
        <f t="shared" si="21"/>
        <v>0.41095490017138081</v>
      </c>
      <c r="V79" s="626">
        <f t="shared" si="21"/>
        <v>0</v>
      </c>
      <c r="W79" s="626">
        <f t="shared" si="21"/>
        <v>0</v>
      </c>
      <c r="X79" s="626">
        <f t="shared" si="21"/>
        <v>0</v>
      </c>
      <c r="Y79" s="626">
        <f t="shared" si="21"/>
        <v>2.0914806862902529</v>
      </c>
      <c r="Z79" s="626">
        <f t="shared" si="21"/>
        <v>39.192724393894188</v>
      </c>
      <c r="AA79" s="626">
        <f t="shared" si="21"/>
        <v>44.751338467101682</v>
      </c>
      <c r="AB79" s="626">
        <f t="shared" si="21"/>
        <v>0.49265980227408718</v>
      </c>
      <c r="AC79" s="626">
        <f t="shared" si="21"/>
        <v>0</v>
      </c>
      <c r="AD79" s="626">
        <f t="shared" si="21"/>
        <v>1.265909655175367</v>
      </c>
      <c r="AE79" s="626">
        <f t="shared" si="21"/>
        <v>30.699159252840055</v>
      </c>
      <c r="AF79" s="626">
        <f t="shared" si="21"/>
        <v>25.033827082682119</v>
      </c>
      <c r="AG79" s="626">
        <f t="shared" si="22"/>
        <v>143.93805424042912</v>
      </c>
      <c r="AH79" s="626"/>
      <c r="AI79" s="626"/>
    </row>
    <row r="80" spans="1:35" x14ac:dyDescent="0.25">
      <c r="A80" s="601" t="s">
        <v>2527</v>
      </c>
      <c r="B80" s="714">
        <v>2.7576156975801389E-2</v>
      </c>
      <c r="C80" s="714">
        <v>1.0667771144960259E-2</v>
      </c>
      <c r="D80" s="626">
        <f t="shared" si="19"/>
        <v>0</v>
      </c>
      <c r="E80" s="626">
        <f t="shared" si="16"/>
        <v>1.2512129704630365E-2</v>
      </c>
      <c r="F80" s="626">
        <f t="shared" si="16"/>
        <v>0</v>
      </c>
      <c r="G80" s="626">
        <f t="shared" si="16"/>
        <v>0.55428075521360798</v>
      </c>
      <c r="H80" s="626">
        <f t="shared" si="16"/>
        <v>-0.5129190016040337</v>
      </c>
      <c r="I80" s="626">
        <f t="shared" si="16"/>
        <v>0</v>
      </c>
      <c r="J80" s="626">
        <f t="shared" si="16"/>
        <v>0</v>
      </c>
      <c r="K80" s="626">
        <f t="shared" si="16"/>
        <v>0</v>
      </c>
      <c r="L80" s="626">
        <f t="shared" si="16"/>
        <v>0</v>
      </c>
      <c r="M80" s="626">
        <f t="shared" si="16"/>
        <v>0</v>
      </c>
      <c r="N80" s="626">
        <f t="shared" si="16"/>
        <v>0</v>
      </c>
      <c r="O80" s="626">
        <f t="shared" si="16"/>
        <v>0</v>
      </c>
      <c r="P80" s="626">
        <f t="shared" si="20"/>
        <v>5.3873883314204618E-2</v>
      </c>
      <c r="Q80" s="626">
        <f t="shared" si="17"/>
        <v>0</v>
      </c>
      <c r="R80" s="626">
        <f t="shared" si="17"/>
        <v>0</v>
      </c>
      <c r="S80" s="626">
        <f t="shared" si="17"/>
        <v>0</v>
      </c>
      <c r="T80" s="626">
        <f t="shared" si="17"/>
        <v>0</v>
      </c>
      <c r="U80" s="626">
        <f t="shared" si="21"/>
        <v>0</v>
      </c>
      <c r="V80" s="626">
        <f t="shared" si="21"/>
        <v>0</v>
      </c>
      <c r="W80" s="626">
        <f t="shared" si="21"/>
        <v>0</v>
      </c>
      <c r="X80" s="626">
        <f t="shared" si="21"/>
        <v>0</v>
      </c>
      <c r="Y80" s="626">
        <f t="shared" si="21"/>
        <v>0</v>
      </c>
      <c r="Z80" s="626">
        <f t="shared" si="21"/>
        <v>0</v>
      </c>
      <c r="AA80" s="626">
        <f t="shared" si="21"/>
        <v>0</v>
      </c>
      <c r="AB80" s="626">
        <f t="shared" si="21"/>
        <v>0</v>
      </c>
      <c r="AC80" s="626">
        <f t="shared" si="21"/>
        <v>0</v>
      </c>
      <c r="AD80" s="626">
        <f t="shared" si="21"/>
        <v>0</v>
      </c>
      <c r="AE80" s="626">
        <f t="shared" si="21"/>
        <v>0</v>
      </c>
      <c r="AF80" s="626">
        <f t="shared" si="21"/>
        <v>0</v>
      </c>
      <c r="AG80" s="626">
        <f t="shared" si="22"/>
        <v>0</v>
      </c>
      <c r="AH80" s="626"/>
      <c r="AI80" s="626"/>
    </row>
    <row r="81" spans="1:35" x14ac:dyDescent="0.25">
      <c r="A81" s="601" t="s">
        <v>2528</v>
      </c>
      <c r="B81" s="714">
        <v>2.7012185768207166E-2</v>
      </c>
      <c r="C81" s="714">
        <v>1.0464722295562699E-2</v>
      </c>
      <c r="D81" s="626">
        <f t="shared" si="19"/>
        <v>0</v>
      </c>
      <c r="E81" s="626">
        <f t="shared" si="16"/>
        <v>0</v>
      </c>
      <c r="F81" s="626">
        <f t="shared" si="16"/>
        <v>0</v>
      </c>
      <c r="G81" s="626">
        <f t="shared" si="16"/>
        <v>0</v>
      </c>
      <c r="H81" s="626">
        <f t="shared" si="16"/>
        <v>0</v>
      </c>
      <c r="I81" s="626">
        <f t="shared" si="16"/>
        <v>0</v>
      </c>
      <c r="J81" s="626">
        <f t="shared" si="16"/>
        <v>0</v>
      </c>
      <c r="K81" s="626">
        <f t="shared" si="16"/>
        <v>0</v>
      </c>
      <c r="L81" s="626">
        <f t="shared" si="16"/>
        <v>0</v>
      </c>
      <c r="M81" s="626">
        <f t="shared" si="16"/>
        <v>0</v>
      </c>
      <c r="N81" s="626">
        <f t="shared" si="16"/>
        <v>0</v>
      </c>
      <c r="O81" s="626">
        <f t="shared" si="16"/>
        <v>0</v>
      </c>
      <c r="P81" s="626">
        <f t="shared" si="20"/>
        <v>0</v>
      </c>
      <c r="Q81" s="626">
        <f t="shared" si="17"/>
        <v>0</v>
      </c>
      <c r="R81" s="626">
        <f t="shared" si="17"/>
        <v>0</v>
      </c>
      <c r="S81" s="626">
        <f t="shared" si="17"/>
        <v>0</v>
      </c>
      <c r="T81" s="626">
        <f t="shared" si="17"/>
        <v>0</v>
      </c>
      <c r="U81" s="626">
        <f t="shared" si="21"/>
        <v>0</v>
      </c>
      <c r="V81" s="626">
        <f t="shared" si="21"/>
        <v>0</v>
      </c>
      <c r="W81" s="626">
        <f t="shared" si="21"/>
        <v>0</v>
      </c>
      <c r="X81" s="626">
        <f t="shared" si="21"/>
        <v>0</v>
      </c>
      <c r="Y81" s="626">
        <f t="shared" si="21"/>
        <v>0</v>
      </c>
      <c r="Z81" s="626">
        <f t="shared" si="21"/>
        <v>0</v>
      </c>
      <c r="AA81" s="626">
        <f t="shared" si="21"/>
        <v>0</v>
      </c>
      <c r="AB81" s="626">
        <f t="shared" si="21"/>
        <v>0</v>
      </c>
      <c r="AC81" s="626">
        <f t="shared" si="21"/>
        <v>0</v>
      </c>
      <c r="AD81" s="626">
        <f t="shared" si="21"/>
        <v>0</v>
      </c>
      <c r="AE81" s="626">
        <f t="shared" si="21"/>
        <v>0</v>
      </c>
      <c r="AF81" s="626">
        <f t="shared" si="21"/>
        <v>0</v>
      </c>
      <c r="AG81" s="626">
        <f t="shared" si="22"/>
        <v>0</v>
      </c>
      <c r="AH81" s="626"/>
      <c r="AI81" s="626"/>
    </row>
    <row r="82" spans="1:35" x14ac:dyDescent="0.25">
      <c r="A82" s="601" t="s">
        <v>2529</v>
      </c>
      <c r="B82" s="714">
        <v>2.7012185768207166E-2</v>
      </c>
      <c r="C82" s="714">
        <v>1.0464722295562699E-2</v>
      </c>
      <c r="D82" s="626">
        <f t="shared" si="19"/>
        <v>0</v>
      </c>
      <c r="E82" s="626">
        <f t="shared" si="16"/>
        <v>0</v>
      </c>
      <c r="F82" s="626">
        <f t="shared" si="16"/>
        <v>0</v>
      </c>
      <c r="G82" s="626">
        <f t="shared" si="16"/>
        <v>0</v>
      </c>
      <c r="H82" s="626">
        <f t="shared" si="16"/>
        <v>0</v>
      </c>
      <c r="I82" s="626">
        <f t="shared" si="16"/>
        <v>0</v>
      </c>
      <c r="J82" s="626">
        <f t="shared" si="16"/>
        <v>0</v>
      </c>
      <c r="K82" s="626">
        <f t="shared" si="16"/>
        <v>0</v>
      </c>
      <c r="L82" s="626">
        <f t="shared" si="16"/>
        <v>0</v>
      </c>
      <c r="M82" s="626">
        <f t="shared" si="16"/>
        <v>0</v>
      </c>
      <c r="N82" s="626">
        <f t="shared" si="16"/>
        <v>0</v>
      </c>
      <c r="O82" s="626">
        <f t="shared" si="16"/>
        <v>0</v>
      </c>
      <c r="P82" s="626">
        <f t="shared" si="20"/>
        <v>0</v>
      </c>
      <c r="Q82" s="626">
        <f t="shared" si="17"/>
        <v>0</v>
      </c>
      <c r="R82" s="626">
        <f t="shared" si="17"/>
        <v>0</v>
      </c>
      <c r="S82" s="626">
        <f t="shared" si="17"/>
        <v>0</v>
      </c>
      <c r="T82" s="626">
        <f t="shared" si="17"/>
        <v>0</v>
      </c>
      <c r="U82" s="626">
        <f t="shared" si="21"/>
        <v>0</v>
      </c>
      <c r="V82" s="626">
        <f t="shared" si="21"/>
        <v>0</v>
      </c>
      <c r="W82" s="626">
        <f t="shared" si="21"/>
        <v>0</v>
      </c>
      <c r="X82" s="626">
        <f t="shared" si="21"/>
        <v>0</v>
      </c>
      <c r="Y82" s="626">
        <f t="shared" si="21"/>
        <v>0</v>
      </c>
      <c r="Z82" s="626">
        <f t="shared" si="21"/>
        <v>0</v>
      </c>
      <c r="AA82" s="626">
        <f t="shared" si="21"/>
        <v>0</v>
      </c>
      <c r="AB82" s="626">
        <f t="shared" si="21"/>
        <v>0</v>
      </c>
      <c r="AC82" s="626">
        <f t="shared" si="21"/>
        <v>0</v>
      </c>
      <c r="AD82" s="626">
        <f t="shared" si="21"/>
        <v>0</v>
      </c>
      <c r="AE82" s="626">
        <f t="shared" si="21"/>
        <v>5.1015521190868158</v>
      </c>
      <c r="AF82" s="626">
        <f t="shared" si="21"/>
        <v>0</v>
      </c>
      <c r="AG82" s="626">
        <f t="shared" si="22"/>
        <v>5.1015521190868158</v>
      </c>
      <c r="AH82" s="626"/>
      <c r="AI82" s="626"/>
    </row>
    <row r="83" spans="1:35" x14ac:dyDescent="0.25">
      <c r="A83" s="601" t="s">
        <v>2530</v>
      </c>
      <c r="B83" s="714">
        <v>2.7012185768207166E-2</v>
      </c>
      <c r="C83" s="714">
        <v>1.0464722295562699E-2</v>
      </c>
      <c r="D83" s="626">
        <f t="shared" si="19"/>
        <v>4.4536611407189251E-2</v>
      </c>
      <c r="E83" s="626">
        <f t="shared" si="16"/>
        <v>0.60489657163477417</v>
      </c>
      <c r="F83" s="626">
        <f t="shared" si="16"/>
        <v>0</v>
      </c>
      <c r="G83" s="626">
        <f t="shared" si="16"/>
        <v>0</v>
      </c>
      <c r="H83" s="626">
        <f t="shared" si="16"/>
        <v>0</v>
      </c>
      <c r="I83" s="626">
        <f t="shared" si="16"/>
        <v>0</v>
      </c>
      <c r="J83" s="626">
        <f t="shared" si="16"/>
        <v>0</v>
      </c>
      <c r="K83" s="626">
        <f t="shared" si="16"/>
        <v>0</v>
      </c>
      <c r="L83" s="626">
        <f t="shared" si="16"/>
        <v>0</v>
      </c>
      <c r="M83" s="626">
        <f t="shared" si="16"/>
        <v>0</v>
      </c>
      <c r="N83" s="626">
        <f t="shared" si="16"/>
        <v>0</v>
      </c>
      <c r="O83" s="626">
        <f t="shared" si="16"/>
        <v>0</v>
      </c>
      <c r="P83" s="626">
        <f t="shared" si="20"/>
        <v>0.6494331830419634</v>
      </c>
      <c r="Q83" s="626">
        <f t="shared" si="17"/>
        <v>0</v>
      </c>
      <c r="R83" s="626">
        <f t="shared" si="17"/>
        <v>0</v>
      </c>
      <c r="S83" s="626">
        <f t="shared" si="17"/>
        <v>0</v>
      </c>
      <c r="T83" s="626">
        <f t="shared" si="17"/>
        <v>0</v>
      </c>
      <c r="U83" s="626">
        <f t="shared" si="21"/>
        <v>0</v>
      </c>
      <c r="V83" s="626">
        <f t="shared" si="21"/>
        <v>0</v>
      </c>
      <c r="W83" s="626">
        <f t="shared" si="21"/>
        <v>0</v>
      </c>
      <c r="X83" s="626">
        <f t="shared" si="21"/>
        <v>0</v>
      </c>
      <c r="Y83" s="626">
        <f t="shared" si="21"/>
        <v>0</v>
      </c>
      <c r="Z83" s="626">
        <f t="shared" si="21"/>
        <v>0</v>
      </c>
      <c r="AA83" s="626">
        <f t="shared" si="21"/>
        <v>0</v>
      </c>
      <c r="AB83" s="626">
        <f t="shared" si="21"/>
        <v>0</v>
      </c>
      <c r="AC83" s="626">
        <f t="shared" si="21"/>
        <v>0</v>
      </c>
      <c r="AD83" s="626">
        <f t="shared" si="21"/>
        <v>0</v>
      </c>
      <c r="AE83" s="626">
        <f t="shared" si="21"/>
        <v>0</v>
      </c>
      <c r="AF83" s="626">
        <f t="shared" si="21"/>
        <v>0</v>
      </c>
      <c r="AG83" s="626">
        <f t="shared" si="22"/>
        <v>0</v>
      </c>
      <c r="AH83" s="626"/>
      <c r="AI83" s="626"/>
    </row>
    <row r="84" spans="1:35" x14ac:dyDescent="0.25">
      <c r="A84" s="601" t="s">
        <v>2531</v>
      </c>
      <c r="B84" s="714">
        <v>2.7012185768207166E-2</v>
      </c>
      <c r="C84" s="714">
        <v>1.0464722295562699E-2</v>
      </c>
      <c r="D84" s="626">
        <f t="shared" si="19"/>
        <v>1.6166123280064937</v>
      </c>
      <c r="E84" s="626">
        <f t="shared" si="16"/>
        <v>-4.6732737225985987</v>
      </c>
      <c r="F84" s="626">
        <f t="shared" si="16"/>
        <v>0.57697758679032829</v>
      </c>
      <c r="G84" s="626">
        <f t="shared" si="16"/>
        <v>0.16376407743833277</v>
      </c>
      <c r="H84" s="626">
        <f t="shared" si="16"/>
        <v>2.2100765322585896</v>
      </c>
      <c r="I84" s="626">
        <f t="shared" si="16"/>
        <v>1.5520580662139167</v>
      </c>
      <c r="J84" s="626">
        <f t="shared" si="16"/>
        <v>1.7836146262747192</v>
      </c>
      <c r="K84" s="626">
        <f t="shared" si="16"/>
        <v>0</v>
      </c>
      <c r="L84" s="626">
        <f t="shared" si="16"/>
        <v>0</v>
      </c>
      <c r="M84" s="626">
        <f t="shared" si="16"/>
        <v>11.231936964278221</v>
      </c>
      <c r="N84" s="626">
        <f t="shared" si="16"/>
        <v>2.319887550330936</v>
      </c>
      <c r="O84" s="626">
        <f t="shared" si="16"/>
        <v>0</v>
      </c>
      <c r="P84" s="626">
        <f t="shared" si="20"/>
        <v>16.781654008992938</v>
      </c>
      <c r="Q84" s="626">
        <f t="shared" si="17"/>
        <v>0</v>
      </c>
      <c r="R84" s="626">
        <f t="shared" si="17"/>
        <v>0</v>
      </c>
      <c r="S84" s="626">
        <f t="shared" si="17"/>
        <v>0.99842441036447338</v>
      </c>
      <c r="T84" s="626">
        <f t="shared" si="17"/>
        <v>15.011319923851159</v>
      </c>
      <c r="U84" s="626">
        <f t="shared" si="21"/>
        <v>0.41082406787920045</v>
      </c>
      <c r="V84" s="626">
        <f t="shared" si="21"/>
        <v>0</v>
      </c>
      <c r="W84" s="626">
        <f t="shared" si="21"/>
        <v>0</v>
      </c>
      <c r="X84" s="626">
        <f t="shared" si="21"/>
        <v>0</v>
      </c>
      <c r="Y84" s="626">
        <f t="shared" si="21"/>
        <v>0.1643693930964033</v>
      </c>
      <c r="Z84" s="626">
        <f t="shared" si="21"/>
        <v>0</v>
      </c>
      <c r="AA84" s="626">
        <f t="shared" si="21"/>
        <v>0.58497797632195481</v>
      </c>
      <c r="AB84" s="626">
        <f t="shared" si="21"/>
        <v>0.92781274344688447</v>
      </c>
      <c r="AC84" s="626">
        <f t="shared" si="21"/>
        <v>0</v>
      </c>
      <c r="AD84" s="626">
        <f t="shared" si="21"/>
        <v>5.9300127890596279</v>
      </c>
      <c r="AE84" s="626">
        <f t="shared" si="21"/>
        <v>29.364408420796163</v>
      </c>
      <c r="AF84" s="626">
        <f t="shared" si="21"/>
        <v>0.69067167150713815</v>
      </c>
      <c r="AG84" s="626">
        <f t="shared" si="22"/>
        <v>38.073077062107373</v>
      </c>
      <c r="AH84" s="626"/>
      <c r="AI84" s="626"/>
    </row>
    <row r="85" spans="1:35" x14ac:dyDescent="0.25">
      <c r="A85" s="601" t="s">
        <v>2532</v>
      </c>
      <c r="B85" s="714">
        <v>2.7012185768207166E-2</v>
      </c>
      <c r="C85" s="714">
        <v>1.0464722295562699E-2</v>
      </c>
      <c r="D85" s="626">
        <f t="shared" si="19"/>
        <v>5.5053805936040708E-2</v>
      </c>
      <c r="E85" s="626">
        <f t="shared" si="16"/>
        <v>1.3273247842781636E-2</v>
      </c>
      <c r="F85" s="626">
        <f t="shared" si="16"/>
        <v>0</v>
      </c>
      <c r="G85" s="626">
        <f t="shared" si="16"/>
        <v>0.42301082913012422</v>
      </c>
      <c r="H85" s="626">
        <f t="shared" si="16"/>
        <v>1.7061706896772697E-2</v>
      </c>
      <c r="I85" s="626">
        <f t="shared" si="16"/>
        <v>0.1047411009255117</v>
      </c>
      <c r="J85" s="626">
        <f t="shared" si="16"/>
        <v>0</v>
      </c>
      <c r="K85" s="626">
        <f t="shared" si="16"/>
        <v>0</v>
      </c>
      <c r="L85" s="626">
        <f t="shared" si="16"/>
        <v>0</v>
      </c>
      <c r="M85" s="626">
        <f t="shared" si="16"/>
        <v>26.597062497321357</v>
      </c>
      <c r="N85" s="626">
        <f t="shared" si="16"/>
        <v>0</v>
      </c>
      <c r="O85" s="626">
        <f t="shared" si="16"/>
        <v>0</v>
      </c>
      <c r="P85" s="626">
        <f t="shared" si="20"/>
        <v>27.210203188052589</v>
      </c>
      <c r="Q85" s="626">
        <f t="shared" si="17"/>
        <v>0</v>
      </c>
      <c r="R85" s="626">
        <f t="shared" si="17"/>
        <v>0</v>
      </c>
      <c r="S85" s="626">
        <f t="shared" si="17"/>
        <v>0</v>
      </c>
      <c r="T85" s="626">
        <f t="shared" si="17"/>
        <v>0</v>
      </c>
      <c r="U85" s="626">
        <f t="shared" si="21"/>
        <v>0</v>
      </c>
      <c r="V85" s="626">
        <f t="shared" si="21"/>
        <v>0</v>
      </c>
      <c r="W85" s="626">
        <f t="shared" si="21"/>
        <v>0</v>
      </c>
      <c r="X85" s="626">
        <f t="shared" si="21"/>
        <v>0</v>
      </c>
      <c r="Y85" s="626">
        <f t="shared" si="21"/>
        <v>4.0785313321949017</v>
      </c>
      <c r="Z85" s="626">
        <f t="shared" si="21"/>
        <v>6.7975382673617757</v>
      </c>
      <c r="AA85" s="626">
        <f t="shared" si="21"/>
        <v>0</v>
      </c>
      <c r="AB85" s="626">
        <f t="shared" si="21"/>
        <v>0</v>
      </c>
      <c r="AC85" s="626">
        <f t="shared" si="21"/>
        <v>0</v>
      </c>
      <c r="AD85" s="626">
        <f t="shared" si="21"/>
        <v>6.1003575385867981</v>
      </c>
      <c r="AE85" s="626">
        <f t="shared" si="21"/>
        <v>29.918766619681303</v>
      </c>
      <c r="AF85" s="626">
        <f t="shared" si="21"/>
        <v>0</v>
      </c>
      <c r="AG85" s="626">
        <f t="shared" si="22"/>
        <v>46.895193757824778</v>
      </c>
      <c r="AH85" s="626"/>
      <c r="AI85" s="626"/>
    </row>
    <row r="86" spans="1:35" x14ac:dyDescent="0.25">
      <c r="A86" s="601" t="s">
        <v>2533</v>
      </c>
      <c r="D86" s="629">
        <f>SUM(D76:D85)</f>
        <v>12.340755090558378</v>
      </c>
      <c r="E86" s="629">
        <f t="shared" ref="E86:O86" si="23">SUM(E76:E85)</f>
        <v>11.415451528608232</v>
      </c>
      <c r="F86" s="629">
        <f t="shared" si="23"/>
        <v>168.74725000464022</v>
      </c>
      <c r="G86" s="629">
        <f t="shared" si="23"/>
        <v>165.28334390771028</v>
      </c>
      <c r="H86" s="629">
        <f t="shared" si="23"/>
        <v>39.570265206924226</v>
      </c>
      <c r="I86" s="629">
        <f t="shared" si="23"/>
        <v>11.375077061328721</v>
      </c>
      <c r="J86" s="629">
        <f t="shared" si="23"/>
        <v>5.630344766497668</v>
      </c>
      <c r="K86" s="629">
        <f t="shared" si="23"/>
        <v>4.5232725875532926</v>
      </c>
      <c r="L86" s="629">
        <f t="shared" si="23"/>
        <v>75.198757442782011</v>
      </c>
      <c r="M86" s="629">
        <f t="shared" si="23"/>
        <v>162.23188177049749</v>
      </c>
      <c r="N86" s="629">
        <f t="shared" si="23"/>
        <v>65.267620060077647</v>
      </c>
      <c r="O86" s="629">
        <f t="shared" si="23"/>
        <v>6.2398798931355959</v>
      </c>
      <c r="P86" s="629">
        <f t="shared" si="20"/>
        <v>727.82389932031367</v>
      </c>
      <c r="Q86" s="629">
        <f t="shared" ref="Q86:AF86" si="24">SUM(Q76:Q85)</f>
        <v>0</v>
      </c>
      <c r="R86" s="629">
        <f t="shared" si="24"/>
        <v>4.0733350186755866</v>
      </c>
      <c r="S86" s="629">
        <f t="shared" si="24"/>
        <v>121.6309886046635</v>
      </c>
      <c r="T86" s="629">
        <f t="shared" si="24"/>
        <v>98.851993471638124</v>
      </c>
      <c r="U86" s="629">
        <f t="shared" si="24"/>
        <v>2.4073109403753326</v>
      </c>
      <c r="V86" s="629">
        <f t="shared" si="24"/>
        <v>0</v>
      </c>
      <c r="W86" s="629">
        <f t="shared" si="24"/>
        <v>0</v>
      </c>
      <c r="X86" s="629">
        <f t="shared" si="24"/>
        <v>0</v>
      </c>
      <c r="Y86" s="629">
        <f t="shared" si="24"/>
        <v>14.103606987741511</v>
      </c>
      <c r="Z86" s="629">
        <f t="shared" si="24"/>
        <v>105.47200595548013</v>
      </c>
      <c r="AA86" s="629">
        <f t="shared" si="24"/>
        <v>117.13292758082348</v>
      </c>
      <c r="AB86" s="629">
        <f t="shared" si="24"/>
        <v>2.7010584165555382</v>
      </c>
      <c r="AC86" s="629">
        <f t="shared" si="24"/>
        <v>0</v>
      </c>
      <c r="AD86" s="629">
        <f t="shared" si="24"/>
        <v>16.21835937325304</v>
      </c>
      <c r="AE86" s="629">
        <f t="shared" si="24"/>
        <v>154.89527480249893</v>
      </c>
      <c r="AF86" s="629">
        <f t="shared" si="24"/>
        <v>85.815867524544046</v>
      </c>
      <c r="AG86" s="629">
        <f>SUM(U86:AF86)</f>
        <v>498.74641158127201</v>
      </c>
      <c r="AH86" s="626"/>
      <c r="AI86" s="626"/>
    </row>
    <row r="88" spans="1:35" ht="30" x14ac:dyDescent="0.25">
      <c r="A88" s="601" t="s">
        <v>2623</v>
      </c>
      <c r="B88" s="713" t="s">
        <v>2620</v>
      </c>
      <c r="C88" s="713" t="s">
        <v>2466</v>
      </c>
      <c r="P88" s="600">
        <f>SUM(D88:O88)</f>
        <v>0</v>
      </c>
      <c r="AG88" s="600">
        <f>SUM(U88:AF88)</f>
        <v>0</v>
      </c>
    </row>
    <row r="89" spans="1:35" x14ac:dyDescent="0.25">
      <c r="A89" s="601" t="s">
        <v>2523</v>
      </c>
      <c r="B89" s="714">
        <v>6.1816622511698421E-2</v>
      </c>
      <c r="C89" s="714">
        <v>1.0366059658005E-2</v>
      </c>
      <c r="D89" s="626">
        <f>D50*$B89</f>
        <v>0</v>
      </c>
      <c r="E89" s="626">
        <f t="shared" ref="E89:O89" si="25">E50*$B89</f>
        <v>0.40180804632603973</v>
      </c>
      <c r="F89" s="626">
        <f t="shared" si="25"/>
        <v>24.281598994573944</v>
      </c>
      <c r="G89" s="626">
        <f t="shared" si="25"/>
        <v>23.045031641174432</v>
      </c>
      <c r="H89" s="626">
        <f t="shared" si="25"/>
        <v>-0.69401583910506326</v>
      </c>
      <c r="I89" s="626">
        <f t="shared" si="25"/>
        <v>9.2724933767547632E-2</v>
      </c>
      <c r="J89" s="626">
        <f t="shared" si="25"/>
        <v>3.1279210990919402</v>
      </c>
      <c r="K89" s="626">
        <f t="shared" si="25"/>
        <v>0</v>
      </c>
      <c r="L89" s="626">
        <f t="shared" si="25"/>
        <v>6.562205379351858</v>
      </c>
      <c r="M89" s="626">
        <f t="shared" si="25"/>
        <v>49.13642600236377</v>
      </c>
      <c r="N89" s="626">
        <f t="shared" si="25"/>
        <v>11.590616720943453</v>
      </c>
      <c r="O89" s="626">
        <f t="shared" si="25"/>
        <v>0</v>
      </c>
      <c r="P89" s="626">
        <f>SUM(D89:O89)</f>
        <v>117.54431697848793</v>
      </c>
      <c r="Q89" s="626">
        <f t="shared" ref="Q89:T98" si="26">Q50*$B89</f>
        <v>0</v>
      </c>
      <c r="R89" s="626">
        <f t="shared" si="26"/>
        <v>0</v>
      </c>
      <c r="S89" s="626">
        <f t="shared" si="26"/>
        <v>0</v>
      </c>
      <c r="T89" s="626">
        <f t="shared" si="26"/>
        <v>0</v>
      </c>
      <c r="U89" s="626">
        <f>U50*$C89</f>
        <v>0</v>
      </c>
      <c r="V89" s="626">
        <f t="shared" ref="V89:AF89" si="27">V50*$C89</f>
        <v>0</v>
      </c>
      <c r="W89" s="626">
        <f t="shared" si="27"/>
        <v>0</v>
      </c>
      <c r="X89" s="626">
        <f t="shared" si="27"/>
        <v>0</v>
      </c>
      <c r="Y89" s="626">
        <f t="shared" si="27"/>
        <v>0</v>
      </c>
      <c r="Z89" s="626">
        <f t="shared" si="27"/>
        <v>6.9203814276841378</v>
      </c>
      <c r="AA89" s="626">
        <f t="shared" si="27"/>
        <v>6.9203814276841378</v>
      </c>
      <c r="AB89" s="626">
        <f t="shared" si="27"/>
        <v>0</v>
      </c>
      <c r="AC89" s="626">
        <f t="shared" si="27"/>
        <v>0</v>
      </c>
      <c r="AD89" s="626">
        <f t="shared" si="27"/>
        <v>0</v>
      </c>
      <c r="AE89" s="626">
        <f t="shared" si="27"/>
        <v>0.12594762484476074</v>
      </c>
      <c r="AF89" s="626">
        <f t="shared" si="27"/>
        <v>1.6058373998005286</v>
      </c>
      <c r="AG89" s="626">
        <f>SUM(U89:AF89)</f>
        <v>15.572547880013564</v>
      </c>
      <c r="AH89" s="626"/>
      <c r="AI89" s="626"/>
    </row>
    <row r="90" spans="1:35" x14ac:dyDescent="0.25">
      <c r="A90" s="601" t="s">
        <v>2524</v>
      </c>
      <c r="B90" s="714">
        <v>6.1816622511698421E-2</v>
      </c>
      <c r="C90" s="714">
        <v>1.0366059658005E-2</v>
      </c>
      <c r="D90" s="626">
        <f t="shared" ref="D90:O98" si="28">D51*$B90</f>
        <v>0</v>
      </c>
      <c r="E90" s="626">
        <f t="shared" si="28"/>
        <v>0.18077467637453548</v>
      </c>
      <c r="F90" s="626">
        <f t="shared" si="28"/>
        <v>3.8841757682404565</v>
      </c>
      <c r="G90" s="626">
        <f t="shared" si="28"/>
        <v>11.572767789359427</v>
      </c>
      <c r="H90" s="626">
        <f t="shared" si="28"/>
        <v>-0.49486988068627602</v>
      </c>
      <c r="I90" s="626">
        <f t="shared" si="28"/>
        <v>1.3108066443711623</v>
      </c>
      <c r="J90" s="626">
        <f t="shared" si="28"/>
        <v>0</v>
      </c>
      <c r="K90" s="626">
        <f t="shared" si="28"/>
        <v>0</v>
      </c>
      <c r="L90" s="626">
        <f t="shared" si="28"/>
        <v>0</v>
      </c>
      <c r="M90" s="626">
        <f t="shared" si="28"/>
        <v>0</v>
      </c>
      <c r="N90" s="626">
        <f t="shared" si="28"/>
        <v>0</v>
      </c>
      <c r="O90" s="626">
        <f t="shared" si="28"/>
        <v>0</v>
      </c>
      <c r="P90" s="626">
        <f t="shared" ref="P90:P99" si="29">SUM(D90:O90)</f>
        <v>16.453654997659307</v>
      </c>
      <c r="Q90" s="626">
        <f t="shared" si="26"/>
        <v>0</v>
      </c>
      <c r="R90" s="626">
        <f t="shared" si="26"/>
        <v>0</v>
      </c>
      <c r="S90" s="626">
        <f t="shared" si="26"/>
        <v>0</v>
      </c>
      <c r="T90" s="626">
        <f t="shared" si="26"/>
        <v>0</v>
      </c>
      <c r="U90" s="626">
        <f t="shared" ref="U90:AF98" si="30">U51*$C90</f>
        <v>0</v>
      </c>
      <c r="V90" s="626">
        <f t="shared" si="30"/>
        <v>0</v>
      </c>
      <c r="W90" s="626">
        <f t="shared" si="30"/>
        <v>0</v>
      </c>
      <c r="X90" s="626">
        <f t="shared" si="30"/>
        <v>0</v>
      </c>
      <c r="Y90" s="626">
        <f t="shared" si="30"/>
        <v>0</v>
      </c>
      <c r="Z90" s="626">
        <f t="shared" si="30"/>
        <v>0</v>
      </c>
      <c r="AA90" s="626">
        <f t="shared" si="30"/>
        <v>0</v>
      </c>
      <c r="AB90" s="626">
        <f t="shared" si="30"/>
        <v>0</v>
      </c>
      <c r="AC90" s="626">
        <f t="shared" si="30"/>
        <v>0</v>
      </c>
      <c r="AD90" s="626">
        <f t="shared" si="30"/>
        <v>0</v>
      </c>
      <c r="AE90" s="626">
        <f t="shared" si="30"/>
        <v>0</v>
      </c>
      <c r="AF90" s="626">
        <f t="shared" si="30"/>
        <v>0</v>
      </c>
      <c r="AG90" s="626">
        <f t="shared" ref="AG90:AG98" si="31">SUM(U90:AF90)</f>
        <v>0</v>
      </c>
      <c r="AH90" s="626"/>
      <c r="AI90" s="626"/>
    </row>
    <row r="91" spans="1:35" x14ac:dyDescent="0.25">
      <c r="A91" s="601" t="s">
        <v>2525</v>
      </c>
      <c r="B91" s="714">
        <v>5.7000761673005891E-2</v>
      </c>
      <c r="C91" s="714">
        <v>1.0166890266273531E-2</v>
      </c>
      <c r="D91" s="626">
        <f t="shared" si="28"/>
        <v>8.5848168846650275</v>
      </c>
      <c r="E91" s="626">
        <f t="shared" si="28"/>
        <v>23.396768049447704</v>
      </c>
      <c r="F91" s="626">
        <f t="shared" si="28"/>
        <v>277.00997936744346</v>
      </c>
      <c r="G91" s="626">
        <f t="shared" si="28"/>
        <v>226.63904126549315</v>
      </c>
      <c r="H91" s="626">
        <f t="shared" si="28"/>
        <v>66.484564930381495</v>
      </c>
      <c r="I91" s="626">
        <f t="shared" si="28"/>
        <v>3.1368015055281697</v>
      </c>
      <c r="J91" s="626">
        <f t="shared" si="28"/>
        <v>5.209869616912739</v>
      </c>
      <c r="K91" s="626">
        <f t="shared" si="28"/>
        <v>7.1166020956364582</v>
      </c>
      <c r="L91" s="626">
        <f t="shared" si="28"/>
        <v>57.830863765249873</v>
      </c>
      <c r="M91" s="626">
        <f t="shared" si="28"/>
        <v>67.502753005925513</v>
      </c>
      <c r="N91" s="626">
        <f t="shared" si="28"/>
        <v>77.451323943761935</v>
      </c>
      <c r="O91" s="626">
        <f t="shared" si="28"/>
        <v>8.2221318682844089</v>
      </c>
      <c r="P91" s="626">
        <f t="shared" si="29"/>
        <v>828.58551629873011</v>
      </c>
      <c r="Q91" s="626">
        <f t="shared" si="26"/>
        <v>0</v>
      </c>
      <c r="R91" s="626">
        <f t="shared" si="26"/>
        <v>3.4627962716351077</v>
      </c>
      <c r="S91" s="626">
        <f t="shared" si="26"/>
        <v>188.20648291021101</v>
      </c>
      <c r="T91" s="626">
        <f t="shared" si="26"/>
        <v>129.87321443157526</v>
      </c>
      <c r="U91" s="626">
        <f t="shared" si="30"/>
        <v>1.5454079880346416</v>
      </c>
      <c r="V91" s="626">
        <f t="shared" si="30"/>
        <v>0</v>
      </c>
      <c r="W91" s="626">
        <f t="shared" si="30"/>
        <v>0</v>
      </c>
      <c r="X91" s="626">
        <f t="shared" si="30"/>
        <v>0</v>
      </c>
      <c r="Y91" s="626">
        <f t="shared" si="30"/>
        <v>7.5726150439187805</v>
      </c>
      <c r="Z91" s="626">
        <f t="shared" si="30"/>
        <v>51.034901739857503</v>
      </c>
      <c r="AA91" s="626">
        <f t="shared" si="30"/>
        <v>63.038125559135089</v>
      </c>
      <c r="AB91" s="626">
        <f t="shared" si="30"/>
        <v>1.2481789511001351</v>
      </c>
      <c r="AC91" s="626">
        <f t="shared" si="30"/>
        <v>0</v>
      </c>
      <c r="AD91" s="626">
        <f t="shared" si="30"/>
        <v>2.8481323054133343</v>
      </c>
      <c r="AE91" s="626">
        <f t="shared" si="30"/>
        <v>58.171448693365541</v>
      </c>
      <c r="AF91" s="626">
        <f t="shared" si="30"/>
        <v>56.959921381675329</v>
      </c>
      <c r="AG91" s="626">
        <f t="shared" si="31"/>
        <v>242.41873166250036</v>
      </c>
      <c r="AH91" s="626"/>
      <c r="AI91" s="626"/>
    </row>
    <row r="92" spans="1:35" x14ac:dyDescent="0.25">
      <c r="A92" s="601" t="s">
        <v>2526</v>
      </c>
      <c r="B92" s="714">
        <v>5.7000761673005891E-2</v>
      </c>
      <c r="C92" s="714">
        <v>1.0166890266273531E-2</v>
      </c>
      <c r="D92" s="626">
        <f t="shared" si="28"/>
        <v>13.995366233161834</v>
      </c>
      <c r="E92" s="626">
        <f t="shared" si="28"/>
        <v>8.903617014633598</v>
      </c>
      <c r="F92" s="626">
        <f t="shared" si="28"/>
        <v>53.696057013870863</v>
      </c>
      <c r="G92" s="626">
        <f t="shared" si="28"/>
        <v>89.389348005677149</v>
      </c>
      <c r="H92" s="626">
        <f t="shared" si="28"/>
        <v>15.097414969294411</v>
      </c>
      <c r="I92" s="626">
        <f t="shared" si="28"/>
        <v>16.186630553943928</v>
      </c>
      <c r="J92" s="626">
        <f t="shared" si="28"/>
        <v>0</v>
      </c>
      <c r="K92" s="626">
        <f t="shared" si="28"/>
        <v>2.4966333612776577</v>
      </c>
      <c r="L92" s="626">
        <f t="shared" si="28"/>
        <v>95.766295677677121</v>
      </c>
      <c r="M92" s="626">
        <f t="shared" si="28"/>
        <v>150.30331342889068</v>
      </c>
      <c r="N92" s="626">
        <f t="shared" si="28"/>
        <v>45.341597877362574</v>
      </c>
      <c r="O92" s="626">
        <f t="shared" si="28"/>
        <v>5.0393803387487779</v>
      </c>
      <c r="P92" s="626">
        <f t="shared" si="29"/>
        <v>496.21565447453855</v>
      </c>
      <c r="Q92" s="626">
        <f t="shared" si="26"/>
        <v>0</v>
      </c>
      <c r="R92" s="626">
        <f t="shared" si="26"/>
        <v>5.1941944074526623</v>
      </c>
      <c r="S92" s="626">
        <f t="shared" si="26"/>
        <v>68.17188494720493</v>
      </c>
      <c r="T92" s="626">
        <f t="shared" si="26"/>
        <v>48.311964568904585</v>
      </c>
      <c r="U92" s="626">
        <f t="shared" si="30"/>
        <v>0.40055514271064457</v>
      </c>
      <c r="V92" s="626">
        <f t="shared" si="30"/>
        <v>0</v>
      </c>
      <c r="W92" s="626">
        <f t="shared" si="30"/>
        <v>0</v>
      </c>
      <c r="X92" s="626">
        <f t="shared" si="30"/>
        <v>0</v>
      </c>
      <c r="Y92" s="626">
        <f t="shared" si="30"/>
        <v>2.0385530004002392</v>
      </c>
      <c r="Z92" s="626">
        <f t="shared" si="30"/>
        <v>38.200900649361635</v>
      </c>
      <c r="AA92" s="626">
        <f t="shared" si="30"/>
        <v>43.618846639149062</v>
      </c>
      <c r="AB92" s="626">
        <f t="shared" si="30"/>
        <v>0.48019239416636517</v>
      </c>
      <c r="AC92" s="626">
        <f t="shared" si="30"/>
        <v>0</v>
      </c>
      <c r="AD92" s="626">
        <f t="shared" si="30"/>
        <v>1.2338741364954882</v>
      </c>
      <c r="AE92" s="626">
        <f t="shared" si="30"/>
        <v>29.922276411572291</v>
      </c>
      <c r="AF92" s="626">
        <f t="shared" si="30"/>
        <v>24.400312967470615</v>
      </c>
      <c r="AG92" s="626">
        <f t="shared" si="31"/>
        <v>140.29551134132635</v>
      </c>
      <c r="AH92" s="626"/>
      <c r="AI92" s="626"/>
    </row>
    <row r="93" spans="1:35" x14ac:dyDescent="0.25">
      <c r="A93" s="601" t="s">
        <v>2527</v>
      </c>
      <c r="B93" s="714">
        <v>6.1816622511698421E-2</v>
      </c>
      <c r="C93" s="714">
        <v>1.0366059658005E-2</v>
      </c>
      <c r="D93" s="626">
        <f t="shared" si="28"/>
        <v>0</v>
      </c>
      <c r="E93" s="626">
        <f t="shared" si="28"/>
        <v>2.8048056132232928E-2</v>
      </c>
      <c r="F93" s="626">
        <f t="shared" si="28"/>
        <v>0</v>
      </c>
      <c r="G93" s="626">
        <f t="shared" si="28"/>
        <v>1.2425141124851384</v>
      </c>
      <c r="H93" s="626">
        <f t="shared" si="28"/>
        <v>-1.1497947422136168</v>
      </c>
      <c r="I93" s="626">
        <f t="shared" si="28"/>
        <v>0</v>
      </c>
      <c r="J93" s="626">
        <f t="shared" si="28"/>
        <v>0</v>
      </c>
      <c r="K93" s="626">
        <f t="shared" si="28"/>
        <v>0</v>
      </c>
      <c r="L93" s="626">
        <f t="shared" si="28"/>
        <v>0</v>
      </c>
      <c r="M93" s="626">
        <f t="shared" si="28"/>
        <v>0</v>
      </c>
      <c r="N93" s="626">
        <f t="shared" si="28"/>
        <v>0</v>
      </c>
      <c r="O93" s="626">
        <f t="shared" si="28"/>
        <v>0</v>
      </c>
      <c r="P93" s="626">
        <f t="shared" si="29"/>
        <v>0.1207674264037546</v>
      </c>
      <c r="Q93" s="626">
        <f t="shared" si="26"/>
        <v>0</v>
      </c>
      <c r="R93" s="626">
        <f t="shared" si="26"/>
        <v>0</v>
      </c>
      <c r="S93" s="626">
        <f t="shared" si="26"/>
        <v>0</v>
      </c>
      <c r="T93" s="626">
        <f t="shared" si="26"/>
        <v>0</v>
      </c>
      <c r="U93" s="626">
        <f t="shared" si="30"/>
        <v>0</v>
      </c>
      <c r="V93" s="626">
        <f t="shared" si="30"/>
        <v>0</v>
      </c>
      <c r="W93" s="626">
        <f t="shared" si="30"/>
        <v>0</v>
      </c>
      <c r="X93" s="626">
        <f t="shared" si="30"/>
        <v>0</v>
      </c>
      <c r="Y93" s="626">
        <f t="shared" si="30"/>
        <v>0</v>
      </c>
      <c r="Z93" s="626">
        <f t="shared" si="30"/>
        <v>0</v>
      </c>
      <c r="AA93" s="626">
        <f t="shared" si="30"/>
        <v>0</v>
      </c>
      <c r="AB93" s="626">
        <f t="shared" si="30"/>
        <v>0</v>
      </c>
      <c r="AC93" s="626">
        <f t="shared" si="30"/>
        <v>0</v>
      </c>
      <c r="AD93" s="626">
        <f t="shared" si="30"/>
        <v>0</v>
      </c>
      <c r="AE93" s="626">
        <f t="shared" si="30"/>
        <v>0</v>
      </c>
      <c r="AF93" s="626">
        <f t="shared" si="30"/>
        <v>0</v>
      </c>
      <c r="AG93" s="626">
        <f t="shared" si="31"/>
        <v>0</v>
      </c>
      <c r="AH93" s="626"/>
      <c r="AI93" s="626"/>
    </row>
    <row r="94" spans="1:35" x14ac:dyDescent="0.25">
      <c r="A94" s="601" t="s">
        <v>2528</v>
      </c>
      <c r="B94" s="714">
        <v>6.0552385610308887E-2</v>
      </c>
      <c r="C94" s="714">
        <v>1.0168753542440385E-2</v>
      </c>
      <c r="D94" s="626">
        <f t="shared" si="28"/>
        <v>0</v>
      </c>
      <c r="E94" s="626">
        <f t="shared" si="28"/>
        <v>0</v>
      </c>
      <c r="F94" s="626">
        <f t="shared" si="28"/>
        <v>0</v>
      </c>
      <c r="G94" s="626">
        <f t="shared" si="28"/>
        <v>0</v>
      </c>
      <c r="H94" s="626">
        <f t="shared" si="28"/>
        <v>0</v>
      </c>
      <c r="I94" s="626">
        <f t="shared" si="28"/>
        <v>0</v>
      </c>
      <c r="J94" s="626">
        <f t="shared" si="28"/>
        <v>0</v>
      </c>
      <c r="K94" s="626">
        <f t="shared" si="28"/>
        <v>0</v>
      </c>
      <c r="L94" s="626">
        <f t="shared" si="28"/>
        <v>0</v>
      </c>
      <c r="M94" s="626">
        <f t="shared" si="28"/>
        <v>0</v>
      </c>
      <c r="N94" s="626">
        <f t="shared" si="28"/>
        <v>0</v>
      </c>
      <c r="O94" s="626">
        <f t="shared" si="28"/>
        <v>0</v>
      </c>
      <c r="P94" s="626">
        <f t="shared" si="29"/>
        <v>0</v>
      </c>
      <c r="Q94" s="626">
        <f t="shared" si="26"/>
        <v>0</v>
      </c>
      <c r="R94" s="626">
        <f t="shared" si="26"/>
        <v>0</v>
      </c>
      <c r="S94" s="626">
        <f t="shared" si="26"/>
        <v>0</v>
      </c>
      <c r="T94" s="626">
        <f t="shared" si="26"/>
        <v>0</v>
      </c>
      <c r="U94" s="626">
        <f t="shared" si="30"/>
        <v>0</v>
      </c>
      <c r="V94" s="626">
        <f t="shared" si="30"/>
        <v>0</v>
      </c>
      <c r="W94" s="626">
        <f t="shared" si="30"/>
        <v>0</v>
      </c>
      <c r="X94" s="626">
        <f t="shared" si="30"/>
        <v>0</v>
      </c>
      <c r="Y94" s="626">
        <f t="shared" si="30"/>
        <v>0</v>
      </c>
      <c r="Z94" s="626">
        <f t="shared" si="30"/>
        <v>0</v>
      </c>
      <c r="AA94" s="626">
        <f t="shared" si="30"/>
        <v>0</v>
      </c>
      <c r="AB94" s="626">
        <f t="shared" si="30"/>
        <v>0</v>
      </c>
      <c r="AC94" s="626">
        <f t="shared" si="30"/>
        <v>0</v>
      </c>
      <c r="AD94" s="626">
        <f t="shared" si="30"/>
        <v>0</v>
      </c>
      <c r="AE94" s="626">
        <f t="shared" si="30"/>
        <v>0</v>
      </c>
      <c r="AF94" s="626">
        <f t="shared" si="30"/>
        <v>0</v>
      </c>
      <c r="AG94" s="626">
        <f t="shared" si="31"/>
        <v>0</v>
      </c>
      <c r="AH94" s="626"/>
      <c r="AI94" s="626"/>
    </row>
    <row r="95" spans="1:35" x14ac:dyDescent="0.25">
      <c r="A95" s="601" t="s">
        <v>2529</v>
      </c>
      <c r="B95" s="714">
        <v>6.0552385610308887E-2</v>
      </c>
      <c r="C95" s="714">
        <v>1.0168753542440385E-2</v>
      </c>
      <c r="D95" s="626">
        <f t="shared" si="28"/>
        <v>0</v>
      </c>
      <c r="E95" s="626">
        <f t="shared" si="28"/>
        <v>0</v>
      </c>
      <c r="F95" s="626">
        <f t="shared" si="28"/>
        <v>0</v>
      </c>
      <c r="G95" s="626">
        <f t="shared" si="28"/>
        <v>0</v>
      </c>
      <c r="H95" s="626">
        <f t="shared" si="28"/>
        <v>0</v>
      </c>
      <c r="I95" s="626">
        <f t="shared" si="28"/>
        <v>0</v>
      </c>
      <c r="J95" s="626">
        <f t="shared" si="28"/>
        <v>0</v>
      </c>
      <c r="K95" s="626">
        <f t="shared" si="28"/>
        <v>0</v>
      </c>
      <c r="L95" s="626">
        <f t="shared" si="28"/>
        <v>0</v>
      </c>
      <c r="M95" s="626">
        <f t="shared" si="28"/>
        <v>0</v>
      </c>
      <c r="N95" s="626">
        <f t="shared" si="28"/>
        <v>0</v>
      </c>
      <c r="O95" s="626">
        <f t="shared" si="28"/>
        <v>0</v>
      </c>
      <c r="P95" s="626">
        <f t="shared" si="29"/>
        <v>0</v>
      </c>
      <c r="Q95" s="626">
        <f t="shared" si="26"/>
        <v>0</v>
      </c>
      <c r="R95" s="626">
        <f t="shared" si="26"/>
        <v>0</v>
      </c>
      <c r="S95" s="626">
        <f t="shared" si="26"/>
        <v>0</v>
      </c>
      <c r="T95" s="626">
        <f t="shared" si="26"/>
        <v>0</v>
      </c>
      <c r="U95" s="626">
        <f t="shared" si="30"/>
        <v>0</v>
      </c>
      <c r="V95" s="626">
        <f t="shared" si="30"/>
        <v>0</v>
      </c>
      <c r="W95" s="626">
        <f t="shared" si="30"/>
        <v>0</v>
      </c>
      <c r="X95" s="626">
        <f t="shared" si="30"/>
        <v>0</v>
      </c>
      <c r="Y95" s="626">
        <f t="shared" si="30"/>
        <v>0</v>
      </c>
      <c r="Z95" s="626">
        <f t="shared" si="30"/>
        <v>0</v>
      </c>
      <c r="AA95" s="626">
        <f t="shared" si="30"/>
        <v>0</v>
      </c>
      <c r="AB95" s="626">
        <f t="shared" si="30"/>
        <v>0</v>
      </c>
      <c r="AC95" s="626">
        <f t="shared" si="30"/>
        <v>0</v>
      </c>
      <c r="AD95" s="626">
        <f t="shared" si="30"/>
        <v>0</v>
      </c>
      <c r="AE95" s="626">
        <f t="shared" si="30"/>
        <v>4.9572673519396879</v>
      </c>
      <c r="AF95" s="626">
        <f t="shared" si="30"/>
        <v>0</v>
      </c>
      <c r="AG95" s="626">
        <f t="shared" si="31"/>
        <v>4.9572673519396879</v>
      </c>
      <c r="AH95" s="626"/>
      <c r="AI95" s="626"/>
    </row>
    <row r="96" spans="1:35" x14ac:dyDescent="0.25">
      <c r="A96" s="601" t="s">
        <v>2530</v>
      </c>
      <c r="B96" s="714">
        <v>6.0552385610308887E-2</v>
      </c>
      <c r="C96" s="714">
        <v>1.0168753542440385E-2</v>
      </c>
      <c r="D96" s="626">
        <f t="shared" si="28"/>
        <v>9.9836351298852891E-2</v>
      </c>
      <c r="E96" s="626">
        <f t="shared" si="28"/>
        <v>1.3559780305928837</v>
      </c>
      <c r="F96" s="626">
        <f t="shared" si="28"/>
        <v>0</v>
      </c>
      <c r="G96" s="626">
        <f t="shared" si="28"/>
        <v>0</v>
      </c>
      <c r="H96" s="626">
        <f t="shared" si="28"/>
        <v>0</v>
      </c>
      <c r="I96" s="626">
        <f t="shared" si="28"/>
        <v>0</v>
      </c>
      <c r="J96" s="626">
        <f t="shared" si="28"/>
        <v>0</v>
      </c>
      <c r="K96" s="626">
        <f t="shared" si="28"/>
        <v>0</v>
      </c>
      <c r="L96" s="626">
        <f t="shared" si="28"/>
        <v>0</v>
      </c>
      <c r="M96" s="626">
        <f t="shared" si="28"/>
        <v>0</v>
      </c>
      <c r="N96" s="626">
        <f t="shared" si="28"/>
        <v>0</v>
      </c>
      <c r="O96" s="626">
        <f t="shared" si="28"/>
        <v>0</v>
      </c>
      <c r="P96" s="626">
        <f t="shared" si="29"/>
        <v>1.4558143818917366</v>
      </c>
      <c r="Q96" s="626">
        <f t="shared" si="26"/>
        <v>0</v>
      </c>
      <c r="R96" s="626">
        <f t="shared" si="26"/>
        <v>0</v>
      </c>
      <c r="S96" s="626">
        <f t="shared" si="26"/>
        <v>0</v>
      </c>
      <c r="T96" s="626">
        <f t="shared" si="26"/>
        <v>0</v>
      </c>
      <c r="U96" s="626">
        <f t="shared" si="30"/>
        <v>0</v>
      </c>
      <c r="V96" s="626">
        <f t="shared" si="30"/>
        <v>0</v>
      </c>
      <c r="W96" s="626">
        <f t="shared" si="30"/>
        <v>0</v>
      </c>
      <c r="X96" s="626">
        <f t="shared" si="30"/>
        <v>0</v>
      </c>
      <c r="Y96" s="626">
        <f t="shared" si="30"/>
        <v>0</v>
      </c>
      <c r="Z96" s="626">
        <f t="shared" si="30"/>
        <v>0</v>
      </c>
      <c r="AA96" s="626">
        <f t="shared" si="30"/>
        <v>0</v>
      </c>
      <c r="AB96" s="626">
        <f t="shared" si="30"/>
        <v>0</v>
      </c>
      <c r="AC96" s="626">
        <f t="shared" si="30"/>
        <v>0</v>
      </c>
      <c r="AD96" s="626">
        <f t="shared" si="30"/>
        <v>0</v>
      </c>
      <c r="AE96" s="626">
        <f t="shared" si="30"/>
        <v>0</v>
      </c>
      <c r="AF96" s="626">
        <f t="shared" si="30"/>
        <v>0</v>
      </c>
      <c r="AG96" s="626">
        <f t="shared" si="31"/>
        <v>0</v>
      </c>
      <c r="AH96" s="626"/>
      <c r="AI96" s="626"/>
    </row>
    <row r="97" spans="1:35" x14ac:dyDescent="0.25">
      <c r="A97" s="601" t="s">
        <v>2531</v>
      </c>
      <c r="B97" s="714">
        <v>6.0552385610308887E-2</v>
      </c>
      <c r="C97" s="714">
        <v>1.0168753542440385E-2</v>
      </c>
      <c r="D97" s="626">
        <f t="shared" si="28"/>
        <v>3.6239101088606733</v>
      </c>
      <c r="E97" s="626">
        <f t="shared" si="28"/>
        <v>-10.475933896707229</v>
      </c>
      <c r="F97" s="626">
        <f t="shared" si="28"/>
        <v>1.2933929013976371</v>
      </c>
      <c r="G97" s="626">
        <f t="shared" si="28"/>
        <v>0.36710489300105864</v>
      </c>
      <c r="H97" s="626">
        <f t="shared" si="28"/>
        <v>4.9542605532917063</v>
      </c>
      <c r="I97" s="626">
        <f t="shared" si="28"/>
        <v>3.4792008066814448</v>
      </c>
      <c r="J97" s="626">
        <f t="shared" si="28"/>
        <v>3.9982740218486961</v>
      </c>
      <c r="K97" s="626">
        <f t="shared" si="28"/>
        <v>0</v>
      </c>
      <c r="L97" s="626">
        <f t="shared" si="28"/>
        <v>0</v>
      </c>
      <c r="M97" s="626">
        <f t="shared" si="28"/>
        <v>25.178287460622538</v>
      </c>
      <c r="N97" s="626">
        <f t="shared" si="28"/>
        <v>5.2004205333701581</v>
      </c>
      <c r="O97" s="626">
        <f t="shared" si="28"/>
        <v>0</v>
      </c>
      <c r="P97" s="626">
        <f t="shared" si="29"/>
        <v>37.618917382366682</v>
      </c>
      <c r="Q97" s="626">
        <f t="shared" si="26"/>
        <v>0</v>
      </c>
      <c r="R97" s="626">
        <f t="shared" si="26"/>
        <v>0</v>
      </c>
      <c r="S97" s="626">
        <f t="shared" si="26"/>
        <v>2.2381372769282373</v>
      </c>
      <c r="T97" s="626">
        <f t="shared" si="26"/>
        <v>33.650413940903299</v>
      </c>
      <c r="U97" s="626">
        <f t="shared" si="30"/>
        <v>0.39920492656912465</v>
      </c>
      <c r="V97" s="626">
        <f t="shared" si="30"/>
        <v>0</v>
      </c>
      <c r="W97" s="626">
        <f t="shared" si="30"/>
        <v>0</v>
      </c>
      <c r="X97" s="626">
        <f t="shared" si="30"/>
        <v>0</v>
      </c>
      <c r="Y97" s="626">
        <f t="shared" si="30"/>
        <v>0.15972061189111114</v>
      </c>
      <c r="Z97" s="626">
        <f t="shared" si="30"/>
        <v>0</v>
      </c>
      <c r="AA97" s="626">
        <f t="shared" si="30"/>
        <v>0.56843332302241756</v>
      </c>
      <c r="AB97" s="626">
        <f t="shared" si="30"/>
        <v>0.901571857826307</v>
      </c>
      <c r="AC97" s="626">
        <f t="shared" si="30"/>
        <v>0</v>
      </c>
      <c r="AD97" s="626">
        <f t="shared" si="30"/>
        <v>5.7622970636340662</v>
      </c>
      <c r="AE97" s="626">
        <f t="shared" si="30"/>
        <v>28.533908852722334</v>
      </c>
      <c r="AF97" s="626">
        <f t="shared" si="30"/>
        <v>0.67113773380106545</v>
      </c>
      <c r="AG97" s="626">
        <f t="shared" si="31"/>
        <v>36.996274369466427</v>
      </c>
      <c r="AH97" s="626"/>
      <c r="AI97" s="626"/>
    </row>
    <row r="98" spans="1:35" x14ac:dyDescent="0.25">
      <c r="A98" s="601" t="s">
        <v>2532</v>
      </c>
      <c r="B98" s="714">
        <v>6.0552385610308887E-2</v>
      </c>
      <c r="C98" s="714">
        <v>1.0168753542440385E-2</v>
      </c>
      <c r="D98" s="626">
        <f t="shared" si="28"/>
        <v>0.12341242263622665</v>
      </c>
      <c r="E98" s="626">
        <f t="shared" si="28"/>
        <v>2.9754231241193582E-2</v>
      </c>
      <c r="F98" s="626">
        <f t="shared" si="28"/>
        <v>0</v>
      </c>
      <c r="G98" s="626">
        <f t="shared" si="28"/>
        <v>0.94825035865743723</v>
      </c>
      <c r="H98" s="626">
        <f t="shared" si="28"/>
        <v>3.8246703323039408E-2</v>
      </c>
      <c r="I98" s="626">
        <f t="shared" si="28"/>
        <v>0.23479490282325324</v>
      </c>
      <c r="J98" s="626">
        <f t="shared" si="28"/>
        <v>0</v>
      </c>
      <c r="K98" s="626">
        <f t="shared" si="28"/>
        <v>0</v>
      </c>
      <c r="L98" s="626">
        <f t="shared" si="28"/>
        <v>0</v>
      </c>
      <c r="M98" s="626">
        <f t="shared" si="28"/>
        <v>59.621816548249654</v>
      </c>
      <c r="N98" s="626">
        <f t="shared" si="28"/>
        <v>0</v>
      </c>
      <c r="O98" s="626">
        <f t="shared" si="28"/>
        <v>0</v>
      </c>
      <c r="P98" s="626">
        <f t="shared" si="29"/>
        <v>60.996275166930808</v>
      </c>
      <c r="Q98" s="626">
        <f t="shared" si="26"/>
        <v>0</v>
      </c>
      <c r="R98" s="626">
        <f t="shared" si="26"/>
        <v>0</v>
      </c>
      <c r="S98" s="626">
        <f t="shared" si="26"/>
        <v>0</v>
      </c>
      <c r="T98" s="626">
        <f t="shared" si="26"/>
        <v>0</v>
      </c>
      <c r="U98" s="626">
        <f t="shared" si="30"/>
        <v>0</v>
      </c>
      <c r="V98" s="626">
        <f t="shared" si="30"/>
        <v>0</v>
      </c>
      <c r="W98" s="626">
        <f t="shared" si="30"/>
        <v>0</v>
      </c>
      <c r="X98" s="626">
        <f t="shared" si="30"/>
        <v>0</v>
      </c>
      <c r="Y98" s="626">
        <f t="shared" si="30"/>
        <v>3.9631801743842581</v>
      </c>
      <c r="Z98" s="626">
        <f t="shared" si="30"/>
        <v>6.6052867323023738</v>
      </c>
      <c r="AA98" s="626">
        <f t="shared" si="30"/>
        <v>0</v>
      </c>
      <c r="AB98" s="626">
        <f t="shared" si="30"/>
        <v>0</v>
      </c>
      <c r="AC98" s="626">
        <f t="shared" si="30"/>
        <v>0</v>
      </c>
      <c r="AD98" s="626">
        <f t="shared" si="30"/>
        <v>5.9278240337979105</v>
      </c>
      <c r="AE98" s="626">
        <f t="shared" si="30"/>
        <v>29.072588402879571</v>
      </c>
      <c r="AF98" s="626">
        <f t="shared" si="30"/>
        <v>0</v>
      </c>
      <c r="AG98" s="626">
        <f t="shared" si="31"/>
        <v>45.568879343364117</v>
      </c>
      <c r="AH98" s="626"/>
      <c r="AI98" s="626"/>
    </row>
    <row r="99" spans="1:35" x14ac:dyDescent="0.25">
      <c r="A99" s="601" t="s">
        <v>2533</v>
      </c>
      <c r="D99" s="629">
        <f>SUM(D89:D98)</f>
        <v>26.427342000622616</v>
      </c>
      <c r="E99" s="629">
        <f t="shared" ref="E99:O99" si="32">SUM(E89:E98)</f>
        <v>23.820814208040961</v>
      </c>
      <c r="F99" s="629">
        <f t="shared" si="32"/>
        <v>360.16520404552637</v>
      </c>
      <c r="G99" s="629">
        <f t="shared" si="32"/>
        <v>353.20405806584779</v>
      </c>
      <c r="H99" s="629">
        <f t="shared" si="32"/>
        <v>84.235806694285685</v>
      </c>
      <c r="I99" s="629">
        <f t="shared" si="32"/>
        <v>24.440959347115506</v>
      </c>
      <c r="J99" s="629">
        <f t="shared" si="32"/>
        <v>12.336064737853375</v>
      </c>
      <c r="K99" s="629">
        <f t="shared" si="32"/>
        <v>9.613235456914115</v>
      </c>
      <c r="L99" s="629">
        <f t="shared" si="32"/>
        <v>160.15936482227886</v>
      </c>
      <c r="M99" s="629">
        <f t="shared" si="32"/>
        <v>351.74259644605218</v>
      </c>
      <c r="N99" s="629">
        <f t="shared" si="32"/>
        <v>139.58395907543814</v>
      </c>
      <c r="O99" s="629">
        <f t="shared" si="32"/>
        <v>13.261512207033187</v>
      </c>
      <c r="P99" s="629">
        <f t="shared" si="29"/>
        <v>1558.9909171070085</v>
      </c>
      <c r="Q99" s="629">
        <f t="shared" ref="Q99:AF99" si="33">SUM(Q89:Q98)</f>
        <v>0</v>
      </c>
      <c r="R99" s="629">
        <f t="shared" si="33"/>
        <v>8.6569906790877695</v>
      </c>
      <c r="S99" s="629">
        <f t="shared" si="33"/>
        <v>258.61650513434415</v>
      </c>
      <c r="T99" s="629">
        <f t="shared" si="33"/>
        <v>211.83559294138314</v>
      </c>
      <c r="U99" s="629">
        <f t="shared" si="33"/>
        <v>2.3451680573144111</v>
      </c>
      <c r="V99" s="629">
        <f t="shared" si="33"/>
        <v>0</v>
      </c>
      <c r="W99" s="629">
        <f t="shared" si="33"/>
        <v>0</v>
      </c>
      <c r="X99" s="629">
        <f t="shared" si="33"/>
        <v>0</v>
      </c>
      <c r="Y99" s="629">
        <f t="shared" si="33"/>
        <v>13.734068830594387</v>
      </c>
      <c r="Z99" s="629">
        <f t="shared" si="33"/>
        <v>102.76147054920565</v>
      </c>
      <c r="AA99" s="629">
        <f t="shared" si="33"/>
        <v>114.14578694899072</v>
      </c>
      <c r="AB99" s="629">
        <f t="shared" si="33"/>
        <v>2.6299432030928074</v>
      </c>
      <c r="AC99" s="629">
        <f t="shared" si="33"/>
        <v>0</v>
      </c>
      <c r="AD99" s="629">
        <f t="shared" si="33"/>
        <v>15.772127539340801</v>
      </c>
      <c r="AE99" s="629">
        <f t="shared" si="33"/>
        <v>150.78343733732419</v>
      </c>
      <c r="AF99" s="629">
        <f t="shared" si="33"/>
        <v>83.637209482747537</v>
      </c>
      <c r="AG99" s="629">
        <f>SUM(U99:AF99)</f>
        <v>485.80921194861054</v>
      </c>
      <c r="AH99" s="626"/>
      <c r="AI99" s="626"/>
    </row>
    <row r="101" spans="1:35" x14ac:dyDescent="0.25">
      <c r="A101" s="601" t="s">
        <v>2624</v>
      </c>
    </row>
    <row r="102" spans="1:35" x14ac:dyDescent="0.25">
      <c r="A102" s="601" t="s">
        <v>2523</v>
      </c>
      <c r="D102" s="626">
        <f>D19+D63+D76+D89</f>
        <v>0</v>
      </c>
      <c r="E102" s="626">
        <f t="shared" ref="E102:O102" si="34">E19+E63+E76+E89</f>
        <v>6.4999829387438606</v>
      </c>
      <c r="F102" s="626">
        <f t="shared" si="34"/>
        <v>392.79938119987673</v>
      </c>
      <c r="G102" s="626">
        <f t="shared" si="34"/>
        <v>372.79563941710069</v>
      </c>
      <c r="H102" s="626">
        <f t="shared" si="34"/>
        <v>-11.226978121724109</v>
      </c>
      <c r="I102" s="626">
        <f t="shared" si="34"/>
        <v>1.4999937550947371</v>
      </c>
      <c r="J102" s="626">
        <f t="shared" si="34"/>
        <v>50.599858740767132</v>
      </c>
      <c r="K102" s="626">
        <f t="shared" si="34"/>
        <v>0</v>
      </c>
      <c r="L102" s="626">
        <f t="shared" si="34"/>
        <v>106.15570364594618</v>
      </c>
      <c r="M102" s="626">
        <f t="shared" si="34"/>
        <v>794.87178096261971</v>
      </c>
      <c r="N102" s="626">
        <f t="shared" si="34"/>
        <v>187.49947655916711</v>
      </c>
      <c r="O102" s="626">
        <f t="shared" si="34"/>
        <v>0</v>
      </c>
      <c r="P102" s="626">
        <f t="shared" ref="P102:P112" si="35">SUM(D102:O102)</f>
        <v>1901.4948390975921</v>
      </c>
      <c r="Q102" s="626">
        <f t="shared" ref="Q102:AF111" si="36">Q19+Q63+Q76+Q89</f>
        <v>0</v>
      </c>
      <c r="R102" s="626">
        <f t="shared" si="36"/>
        <v>0</v>
      </c>
      <c r="S102" s="626">
        <f t="shared" si="36"/>
        <v>0</v>
      </c>
      <c r="T102" s="626">
        <f t="shared" si="36"/>
        <v>0</v>
      </c>
      <c r="U102" s="626">
        <f t="shared" si="36"/>
        <v>0</v>
      </c>
      <c r="V102" s="626">
        <f t="shared" si="36"/>
        <v>0</v>
      </c>
      <c r="W102" s="626">
        <f t="shared" si="36"/>
        <v>0</v>
      </c>
      <c r="X102" s="626">
        <f t="shared" si="36"/>
        <v>0</v>
      </c>
      <c r="Y102" s="626">
        <f t="shared" si="36"/>
        <v>0</v>
      </c>
      <c r="Z102" s="626">
        <f t="shared" si="36"/>
        <v>667.59800727882657</v>
      </c>
      <c r="AA102" s="626">
        <f t="shared" si="36"/>
        <v>667.59800727882657</v>
      </c>
      <c r="AB102" s="626">
        <f t="shared" si="36"/>
        <v>0</v>
      </c>
      <c r="AC102" s="626">
        <f t="shared" si="36"/>
        <v>0</v>
      </c>
      <c r="AD102" s="626">
        <f t="shared" si="36"/>
        <v>0</v>
      </c>
      <c r="AE102" s="626">
        <f t="shared" si="36"/>
        <v>12.14996373342985</v>
      </c>
      <c r="AF102" s="626">
        <f t="shared" si="36"/>
        <v>154.9125375997375</v>
      </c>
      <c r="AG102" s="626">
        <f t="shared" ref="AG102:AG112" si="37">SUM(U102:AF102)</f>
        <v>1502.2585158908205</v>
      </c>
      <c r="AH102" s="626"/>
      <c r="AI102" s="626"/>
    </row>
    <row r="103" spans="1:35" x14ac:dyDescent="0.25">
      <c r="A103" s="601" t="s">
        <v>2524</v>
      </c>
      <c r="D103" s="626">
        <f t="shared" ref="D103:O111" si="38">D20+D64+D77+D90</f>
        <v>0</v>
      </c>
      <c r="E103" s="626">
        <f t="shared" si="38"/>
        <v>2.9243647486575974</v>
      </c>
      <c r="F103" s="626">
        <f t="shared" si="38"/>
        <v>62.888541080947924</v>
      </c>
      <c r="G103" s="626">
        <f t="shared" si="38"/>
        <v>187.21073354174476</v>
      </c>
      <c r="H103" s="626">
        <f t="shared" si="38"/>
        <v>-8.0054266971487742</v>
      </c>
      <c r="I103" s="626">
        <f t="shared" si="38"/>
        <v>21.204697851655116</v>
      </c>
      <c r="J103" s="626">
        <f t="shared" si="38"/>
        <v>0</v>
      </c>
      <c r="K103" s="626">
        <f t="shared" si="38"/>
        <v>0</v>
      </c>
      <c r="L103" s="626">
        <f t="shared" si="38"/>
        <v>0</v>
      </c>
      <c r="M103" s="626">
        <f t="shared" si="38"/>
        <v>0</v>
      </c>
      <c r="N103" s="626">
        <f t="shared" si="38"/>
        <v>0</v>
      </c>
      <c r="O103" s="626">
        <f t="shared" si="38"/>
        <v>0</v>
      </c>
      <c r="P103" s="626">
        <f t="shared" si="35"/>
        <v>266.22291052585661</v>
      </c>
      <c r="Q103" s="626">
        <f t="shared" si="36"/>
        <v>0</v>
      </c>
      <c r="R103" s="626">
        <f t="shared" si="36"/>
        <v>0</v>
      </c>
      <c r="S103" s="626">
        <f t="shared" si="36"/>
        <v>0</v>
      </c>
      <c r="T103" s="626">
        <f t="shared" si="36"/>
        <v>0</v>
      </c>
      <c r="U103" s="626">
        <f t="shared" si="36"/>
        <v>0</v>
      </c>
      <c r="V103" s="626">
        <f t="shared" si="36"/>
        <v>0</v>
      </c>
      <c r="W103" s="626">
        <f t="shared" si="36"/>
        <v>0</v>
      </c>
      <c r="X103" s="626">
        <f t="shared" si="36"/>
        <v>0</v>
      </c>
      <c r="Y103" s="626">
        <f t="shared" si="36"/>
        <v>0</v>
      </c>
      <c r="Z103" s="626">
        <f t="shared" si="36"/>
        <v>0</v>
      </c>
      <c r="AA103" s="626">
        <f t="shared" si="36"/>
        <v>0</v>
      </c>
      <c r="AB103" s="626">
        <f t="shared" si="36"/>
        <v>0</v>
      </c>
      <c r="AC103" s="626">
        <f t="shared" si="36"/>
        <v>0</v>
      </c>
      <c r="AD103" s="626">
        <f t="shared" si="36"/>
        <v>0</v>
      </c>
      <c r="AE103" s="626">
        <f t="shared" si="36"/>
        <v>0</v>
      </c>
      <c r="AF103" s="626">
        <f t="shared" si="36"/>
        <v>0</v>
      </c>
      <c r="AG103" s="626">
        <f t="shared" si="37"/>
        <v>0</v>
      </c>
      <c r="AH103" s="626"/>
      <c r="AI103" s="626"/>
    </row>
    <row r="104" spans="1:35" x14ac:dyDescent="0.25">
      <c r="A104" s="601" t="s">
        <v>2525</v>
      </c>
      <c r="D104" s="626">
        <f t="shared" si="38"/>
        <v>150.43443992835802</v>
      </c>
      <c r="E104" s="626">
        <f t="shared" si="38"/>
        <v>410.46251550305408</v>
      </c>
      <c r="F104" s="626">
        <f t="shared" si="38"/>
        <v>4863.9773377324445</v>
      </c>
      <c r="G104" s="626">
        <f t="shared" si="38"/>
        <v>3976.0547546143134</v>
      </c>
      <c r="H104" s="626">
        <f t="shared" si="38"/>
        <v>1166.3756981595759</v>
      </c>
      <c r="I104" s="626">
        <f t="shared" si="38"/>
        <v>55.030667317095052</v>
      </c>
      <c r="J104" s="626">
        <f t="shared" si="38"/>
        <v>91.39963992224142</v>
      </c>
      <c r="K104" s="626">
        <f t="shared" si="38"/>
        <v>124.85050813929701</v>
      </c>
      <c r="L104" s="626">
        <f t="shared" si="38"/>
        <v>1014.5590030462702</v>
      </c>
      <c r="M104" s="626">
        <f t="shared" si="38"/>
        <v>1184.2383345780624</v>
      </c>
      <c r="N104" s="626">
        <f t="shared" si="38"/>
        <v>1358.7716469871307</v>
      </c>
      <c r="O104" s="626">
        <f t="shared" si="38"/>
        <v>144.24543173111226</v>
      </c>
      <c r="P104" s="626">
        <f t="shared" si="35"/>
        <v>14540.399977658955</v>
      </c>
      <c r="Q104" s="626">
        <f t="shared" si="36"/>
        <v>0</v>
      </c>
      <c r="R104" s="626">
        <f t="shared" si="36"/>
        <v>60.749760670417615</v>
      </c>
      <c r="S104" s="626">
        <f t="shared" si="36"/>
        <v>3301.8109921949085</v>
      </c>
      <c r="T104" s="626">
        <f t="shared" si="36"/>
        <v>2278.4380238721174</v>
      </c>
      <c r="U104" s="626">
        <f t="shared" si="36"/>
        <v>152.00335984385526</v>
      </c>
      <c r="V104" s="626">
        <f t="shared" si="36"/>
        <v>0</v>
      </c>
      <c r="W104" s="626">
        <f t="shared" si="36"/>
        <v>0</v>
      </c>
      <c r="X104" s="626">
        <f t="shared" si="36"/>
        <v>0</v>
      </c>
      <c r="Y104" s="626">
        <f t="shared" si="36"/>
        <v>744.82786318688204</v>
      </c>
      <c r="Z104" s="626">
        <f t="shared" si="36"/>
        <v>5019.6948597534256</v>
      </c>
      <c r="AA104" s="626">
        <f t="shared" si="36"/>
        <v>6200.3088876440843</v>
      </c>
      <c r="AB104" s="626">
        <f t="shared" si="36"/>
        <v>122.76848296538462</v>
      </c>
      <c r="AC104" s="626">
        <f t="shared" si="36"/>
        <v>0</v>
      </c>
      <c r="AD104" s="626">
        <f t="shared" si="36"/>
        <v>280.13682021484937</v>
      </c>
      <c r="AE104" s="626">
        <f t="shared" si="36"/>
        <v>5721.6319035732986</v>
      </c>
      <c r="AF104" s="626">
        <f t="shared" si="36"/>
        <v>5602.4684054256604</v>
      </c>
      <c r="AG104" s="626">
        <f t="shared" si="37"/>
        <v>23843.840582607441</v>
      </c>
      <c r="AH104" s="626"/>
      <c r="AI104" s="626"/>
    </row>
    <row r="105" spans="1:35" x14ac:dyDescent="0.25">
      <c r="A105" s="601" t="s">
        <v>2526</v>
      </c>
      <c r="D105" s="626">
        <f t="shared" si="38"/>
        <v>245.24520399856479</v>
      </c>
      <c r="E105" s="626">
        <f t="shared" si="38"/>
        <v>156.20110933312401</v>
      </c>
      <c r="F105" s="626">
        <f t="shared" si="38"/>
        <v>943.78234689597468</v>
      </c>
      <c r="G105" s="626">
        <f t="shared" si="38"/>
        <v>1568.2070242059758</v>
      </c>
      <c r="H105" s="626">
        <f t="shared" si="38"/>
        <v>264.86235101020753</v>
      </c>
      <c r="I105" s="626">
        <f t="shared" si="38"/>
        <v>283.97106159541249</v>
      </c>
      <c r="J105" s="626">
        <f t="shared" si="38"/>
        <v>0</v>
      </c>
      <c r="K105" s="626">
        <f t="shared" si="38"/>
        <v>43.799827446325729</v>
      </c>
      <c r="L105" s="626">
        <f t="shared" si="38"/>
        <v>1680.0813811562211</v>
      </c>
      <c r="M105" s="626">
        <f t="shared" si="38"/>
        <v>2636.8546118551581</v>
      </c>
      <c r="N105" s="626">
        <f t="shared" si="38"/>
        <v>795.45286623617631</v>
      </c>
      <c r="O105" s="626">
        <f t="shared" si="38"/>
        <v>88.408651705530019</v>
      </c>
      <c r="P105" s="626">
        <f t="shared" si="35"/>
        <v>8706.866435438671</v>
      </c>
      <c r="Q105" s="626">
        <f t="shared" si="36"/>
        <v>0</v>
      </c>
      <c r="R105" s="626">
        <f t="shared" si="36"/>
        <v>91.124641005626415</v>
      </c>
      <c r="S105" s="626">
        <f t="shared" si="36"/>
        <v>1195.9772883313171</v>
      </c>
      <c r="T105" s="626">
        <f t="shared" si="36"/>
        <v>847.56366094063958</v>
      </c>
      <c r="U105" s="626">
        <f t="shared" si="36"/>
        <v>39.397834077578366</v>
      </c>
      <c r="V105" s="626">
        <f t="shared" si="36"/>
        <v>0</v>
      </c>
      <c r="W105" s="626">
        <f t="shared" si="36"/>
        <v>0</v>
      </c>
      <c r="X105" s="626">
        <f t="shared" si="36"/>
        <v>0</v>
      </c>
      <c r="Y105" s="626">
        <f t="shared" si="36"/>
        <v>200.50815556782479</v>
      </c>
      <c r="Z105" s="626">
        <f t="shared" si="36"/>
        <v>3757.3671759965896</v>
      </c>
      <c r="AA105" s="626">
        <f t="shared" si="36"/>
        <v>4290.2659317145308</v>
      </c>
      <c r="AB105" s="626">
        <f t="shared" si="36"/>
        <v>47.230801089347253</v>
      </c>
      <c r="AC105" s="626">
        <f t="shared" si="36"/>
        <v>0</v>
      </c>
      <c r="AD105" s="626">
        <f t="shared" si="36"/>
        <v>121.3614888908844</v>
      </c>
      <c r="AE105" s="626">
        <f t="shared" si="36"/>
        <v>2943.0976052607202</v>
      </c>
      <c r="AF105" s="626">
        <f t="shared" si="36"/>
        <v>2399.9678926300435</v>
      </c>
      <c r="AG105" s="626">
        <f t="shared" si="37"/>
        <v>13799.196885227519</v>
      </c>
      <c r="AH105" s="626"/>
      <c r="AI105" s="626"/>
    </row>
    <row r="106" spans="1:35" x14ac:dyDescent="0.25">
      <c r="A106" s="601" t="s">
        <v>2527</v>
      </c>
      <c r="D106" s="626">
        <f t="shared" si="38"/>
        <v>0</v>
      </c>
      <c r="E106" s="626">
        <f t="shared" si="38"/>
        <v>0.45373005539942335</v>
      </c>
      <c r="F106" s="626">
        <f t="shared" si="38"/>
        <v>0</v>
      </c>
      <c r="G106" s="626">
        <f t="shared" si="38"/>
        <v>20.099934318269479</v>
      </c>
      <c r="H106" s="626">
        <f t="shared" si="38"/>
        <v>-18.600032288000044</v>
      </c>
      <c r="I106" s="626">
        <f t="shared" si="38"/>
        <v>0</v>
      </c>
      <c r="J106" s="626">
        <f t="shared" si="38"/>
        <v>0</v>
      </c>
      <c r="K106" s="626">
        <f t="shared" si="38"/>
        <v>0</v>
      </c>
      <c r="L106" s="626">
        <f t="shared" si="38"/>
        <v>0</v>
      </c>
      <c r="M106" s="626">
        <f t="shared" si="38"/>
        <v>0</v>
      </c>
      <c r="N106" s="626">
        <f t="shared" si="38"/>
        <v>0</v>
      </c>
      <c r="O106" s="626">
        <f t="shared" si="38"/>
        <v>0</v>
      </c>
      <c r="P106" s="626">
        <f t="shared" si="35"/>
        <v>1.9536320856688576</v>
      </c>
      <c r="Q106" s="626">
        <f t="shared" si="36"/>
        <v>0</v>
      </c>
      <c r="R106" s="626">
        <f t="shared" si="36"/>
        <v>0</v>
      </c>
      <c r="S106" s="626">
        <f t="shared" si="36"/>
        <v>0</v>
      </c>
      <c r="T106" s="626">
        <f t="shared" si="36"/>
        <v>0</v>
      </c>
      <c r="U106" s="626">
        <f t="shared" si="36"/>
        <v>0</v>
      </c>
      <c r="V106" s="626">
        <f t="shared" si="36"/>
        <v>0</v>
      </c>
      <c r="W106" s="626">
        <f t="shared" si="36"/>
        <v>0</v>
      </c>
      <c r="X106" s="626">
        <f t="shared" si="36"/>
        <v>0</v>
      </c>
      <c r="Y106" s="626">
        <f t="shared" si="36"/>
        <v>0</v>
      </c>
      <c r="Z106" s="626">
        <f t="shared" si="36"/>
        <v>0</v>
      </c>
      <c r="AA106" s="626">
        <f t="shared" si="36"/>
        <v>0</v>
      </c>
      <c r="AB106" s="626">
        <f t="shared" si="36"/>
        <v>0</v>
      </c>
      <c r="AC106" s="626">
        <f t="shared" si="36"/>
        <v>0</v>
      </c>
      <c r="AD106" s="626">
        <f t="shared" si="36"/>
        <v>0</v>
      </c>
      <c r="AE106" s="626">
        <f t="shared" si="36"/>
        <v>0</v>
      </c>
      <c r="AF106" s="626">
        <f t="shared" si="36"/>
        <v>0</v>
      </c>
      <c r="AG106" s="626">
        <f t="shared" si="37"/>
        <v>0</v>
      </c>
      <c r="AH106" s="626"/>
      <c r="AI106" s="626"/>
    </row>
    <row r="107" spans="1:35" x14ac:dyDescent="0.25">
      <c r="A107" s="601" t="s">
        <v>2528</v>
      </c>
      <c r="D107" s="626">
        <f t="shared" si="38"/>
        <v>0</v>
      </c>
      <c r="E107" s="626">
        <f t="shared" si="38"/>
        <v>0</v>
      </c>
      <c r="F107" s="626">
        <f t="shared" si="38"/>
        <v>5.53400000000017E-2</v>
      </c>
      <c r="G107" s="626">
        <f t="shared" si="38"/>
        <v>0</v>
      </c>
      <c r="H107" s="626">
        <f t="shared" si="38"/>
        <v>0</v>
      </c>
      <c r="I107" s="626">
        <f t="shared" si="38"/>
        <v>0</v>
      </c>
      <c r="J107" s="626">
        <f t="shared" si="38"/>
        <v>0</v>
      </c>
      <c r="K107" s="626">
        <f t="shared" si="38"/>
        <v>0</v>
      </c>
      <c r="L107" s="626">
        <f t="shared" si="38"/>
        <v>0</v>
      </c>
      <c r="M107" s="626">
        <f t="shared" si="38"/>
        <v>0</v>
      </c>
      <c r="N107" s="626">
        <f t="shared" si="38"/>
        <v>0</v>
      </c>
      <c r="O107" s="626">
        <f t="shared" si="38"/>
        <v>0</v>
      </c>
      <c r="P107" s="626">
        <f t="shared" si="35"/>
        <v>5.53400000000017E-2</v>
      </c>
      <c r="Q107" s="626">
        <f t="shared" si="36"/>
        <v>0</v>
      </c>
      <c r="R107" s="626">
        <f t="shared" si="36"/>
        <v>0</v>
      </c>
      <c r="S107" s="626">
        <f t="shared" si="36"/>
        <v>0</v>
      </c>
      <c r="T107" s="626">
        <f t="shared" si="36"/>
        <v>0</v>
      </c>
      <c r="U107" s="626">
        <f t="shared" si="36"/>
        <v>0</v>
      </c>
      <c r="V107" s="626">
        <f t="shared" si="36"/>
        <v>0</v>
      </c>
      <c r="W107" s="626">
        <f t="shared" si="36"/>
        <v>0</v>
      </c>
      <c r="X107" s="626">
        <f t="shared" si="36"/>
        <v>0</v>
      </c>
      <c r="Y107" s="626">
        <f t="shared" si="36"/>
        <v>0</v>
      </c>
      <c r="Z107" s="626">
        <f t="shared" si="36"/>
        <v>0</v>
      </c>
      <c r="AA107" s="626">
        <f t="shared" si="36"/>
        <v>0</v>
      </c>
      <c r="AB107" s="626">
        <f t="shared" si="36"/>
        <v>0</v>
      </c>
      <c r="AC107" s="626">
        <f t="shared" si="36"/>
        <v>0</v>
      </c>
      <c r="AD107" s="626">
        <f t="shared" si="36"/>
        <v>0</v>
      </c>
      <c r="AE107" s="626">
        <f t="shared" si="36"/>
        <v>0</v>
      </c>
      <c r="AF107" s="626">
        <f t="shared" si="36"/>
        <v>0</v>
      </c>
      <c r="AG107" s="626">
        <f t="shared" si="37"/>
        <v>0</v>
      </c>
      <c r="AH107" s="626"/>
      <c r="AI107" s="626"/>
    </row>
    <row r="108" spans="1:35" x14ac:dyDescent="0.25">
      <c r="A108" s="601" t="s">
        <v>2529</v>
      </c>
      <c r="D108" s="626">
        <f t="shared" si="38"/>
        <v>0</v>
      </c>
      <c r="E108" s="626">
        <f t="shared" si="38"/>
        <v>0</v>
      </c>
      <c r="F108" s="626">
        <f t="shared" si="38"/>
        <v>0</v>
      </c>
      <c r="G108" s="626">
        <f t="shared" si="38"/>
        <v>0</v>
      </c>
      <c r="H108" s="626">
        <f t="shared" si="38"/>
        <v>0</v>
      </c>
      <c r="I108" s="626">
        <f t="shared" si="38"/>
        <v>0</v>
      </c>
      <c r="J108" s="626">
        <f t="shared" si="38"/>
        <v>0</v>
      </c>
      <c r="K108" s="626">
        <f t="shared" si="38"/>
        <v>0</v>
      </c>
      <c r="L108" s="626">
        <f t="shared" si="38"/>
        <v>0</v>
      </c>
      <c r="M108" s="626">
        <f t="shared" si="38"/>
        <v>0</v>
      </c>
      <c r="N108" s="626">
        <f t="shared" si="38"/>
        <v>0</v>
      </c>
      <c r="O108" s="626">
        <f t="shared" si="38"/>
        <v>0</v>
      </c>
      <c r="P108" s="626">
        <f t="shared" si="35"/>
        <v>0</v>
      </c>
      <c r="Q108" s="626">
        <f t="shared" si="36"/>
        <v>0</v>
      </c>
      <c r="R108" s="626">
        <f t="shared" si="36"/>
        <v>0</v>
      </c>
      <c r="S108" s="626">
        <f t="shared" si="36"/>
        <v>0</v>
      </c>
      <c r="T108" s="626">
        <f t="shared" si="36"/>
        <v>0</v>
      </c>
      <c r="U108" s="626">
        <f t="shared" si="36"/>
        <v>0</v>
      </c>
      <c r="V108" s="626">
        <f t="shared" si="36"/>
        <v>0</v>
      </c>
      <c r="W108" s="626">
        <f t="shared" si="36"/>
        <v>0</v>
      </c>
      <c r="X108" s="626">
        <f t="shared" si="36"/>
        <v>0</v>
      </c>
      <c r="Y108" s="626">
        <f t="shared" si="36"/>
        <v>0</v>
      </c>
      <c r="Z108" s="626">
        <f t="shared" si="36"/>
        <v>0</v>
      </c>
      <c r="AA108" s="626">
        <f t="shared" si="36"/>
        <v>0</v>
      </c>
      <c r="AB108" s="626">
        <f t="shared" si="36"/>
        <v>0</v>
      </c>
      <c r="AC108" s="626">
        <f t="shared" si="36"/>
        <v>0</v>
      </c>
      <c r="AD108" s="626">
        <f t="shared" si="36"/>
        <v>0</v>
      </c>
      <c r="AE108" s="626">
        <f t="shared" si="36"/>
        <v>487.49854024421683</v>
      </c>
      <c r="AF108" s="626">
        <f t="shared" si="36"/>
        <v>0</v>
      </c>
      <c r="AG108" s="626">
        <f t="shared" si="37"/>
        <v>487.49854024421683</v>
      </c>
      <c r="AH108" s="626"/>
      <c r="AI108" s="626"/>
    </row>
    <row r="109" spans="1:35" x14ac:dyDescent="0.25">
      <c r="A109" s="601" t="s">
        <v>2530</v>
      </c>
      <c r="D109" s="626">
        <f t="shared" si="38"/>
        <v>1.648255129490376</v>
      </c>
      <c r="E109" s="626">
        <f t="shared" si="38"/>
        <v>22.393410838138266</v>
      </c>
      <c r="F109" s="626">
        <f t="shared" si="38"/>
        <v>3.7800000000008799E-2</v>
      </c>
      <c r="G109" s="626">
        <f t="shared" si="38"/>
        <v>0</v>
      </c>
      <c r="H109" s="626">
        <f t="shared" si="38"/>
        <v>0</v>
      </c>
      <c r="I109" s="626">
        <f t="shared" si="38"/>
        <v>0</v>
      </c>
      <c r="J109" s="626">
        <f t="shared" si="38"/>
        <v>0</v>
      </c>
      <c r="K109" s="626">
        <f t="shared" si="38"/>
        <v>0</v>
      </c>
      <c r="L109" s="626">
        <f t="shared" si="38"/>
        <v>0</v>
      </c>
      <c r="M109" s="626">
        <f t="shared" si="38"/>
        <v>0</v>
      </c>
      <c r="N109" s="626">
        <f t="shared" si="38"/>
        <v>0</v>
      </c>
      <c r="O109" s="626">
        <f t="shared" si="38"/>
        <v>0</v>
      </c>
      <c r="P109" s="626">
        <f t="shared" si="35"/>
        <v>24.07946596762865</v>
      </c>
      <c r="Q109" s="626">
        <f t="shared" si="36"/>
        <v>0</v>
      </c>
      <c r="R109" s="626">
        <f t="shared" si="36"/>
        <v>0</v>
      </c>
      <c r="S109" s="626">
        <f t="shared" si="36"/>
        <v>0</v>
      </c>
      <c r="T109" s="626">
        <f t="shared" si="36"/>
        <v>0</v>
      </c>
      <c r="U109" s="626">
        <f t="shared" si="36"/>
        <v>0</v>
      </c>
      <c r="V109" s="626">
        <f t="shared" si="36"/>
        <v>0</v>
      </c>
      <c r="W109" s="626">
        <f t="shared" si="36"/>
        <v>0</v>
      </c>
      <c r="X109" s="626">
        <f t="shared" si="36"/>
        <v>0</v>
      </c>
      <c r="Y109" s="626">
        <f t="shared" si="36"/>
        <v>0</v>
      </c>
      <c r="Z109" s="626">
        <f t="shared" si="36"/>
        <v>0</v>
      </c>
      <c r="AA109" s="626">
        <f t="shared" si="36"/>
        <v>0</v>
      </c>
      <c r="AB109" s="626">
        <f t="shared" si="36"/>
        <v>0</v>
      </c>
      <c r="AC109" s="626">
        <f t="shared" si="36"/>
        <v>0</v>
      </c>
      <c r="AD109" s="626">
        <f t="shared" si="36"/>
        <v>0</v>
      </c>
      <c r="AE109" s="626">
        <f t="shared" si="36"/>
        <v>0</v>
      </c>
      <c r="AF109" s="626">
        <f t="shared" si="36"/>
        <v>0</v>
      </c>
      <c r="AG109" s="626">
        <f t="shared" si="37"/>
        <v>0</v>
      </c>
      <c r="AH109" s="626"/>
      <c r="AI109" s="626"/>
    </row>
    <row r="110" spans="1:35" x14ac:dyDescent="0.25">
      <c r="A110" s="601" t="s">
        <v>2531</v>
      </c>
      <c r="D110" s="626">
        <f t="shared" si="38"/>
        <v>59.829123488244413</v>
      </c>
      <c r="E110" s="626">
        <f t="shared" si="38"/>
        <v>-173.00565372527163</v>
      </c>
      <c r="F110" s="626">
        <f t="shared" si="38"/>
        <v>22.010532966715378</v>
      </c>
      <c r="G110" s="626">
        <f t="shared" si="38"/>
        <v>6.0625853017105902</v>
      </c>
      <c r="H110" s="626">
        <f t="shared" si="38"/>
        <v>81.817535254987078</v>
      </c>
      <c r="I110" s="626">
        <f t="shared" si="38"/>
        <v>57.457540520584665</v>
      </c>
      <c r="J110" s="626">
        <f t="shared" si="38"/>
        <v>66.029815080376423</v>
      </c>
      <c r="K110" s="626">
        <f t="shared" si="38"/>
        <v>0</v>
      </c>
      <c r="L110" s="626">
        <f t="shared" si="38"/>
        <v>0</v>
      </c>
      <c r="M110" s="626">
        <f t="shared" si="38"/>
        <v>415.80883550766822</v>
      </c>
      <c r="N110" s="626">
        <f t="shared" si="38"/>
        <v>85.88275948126558</v>
      </c>
      <c r="O110" s="626">
        <f t="shared" si="38"/>
        <v>0</v>
      </c>
      <c r="P110" s="626">
        <f t="shared" si="35"/>
        <v>621.89307387628071</v>
      </c>
      <c r="Q110" s="626">
        <f t="shared" si="36"/>
        <v>0</v>
      </c>
      <c r="R110" s="626">
        <f t="shared" si="36"/>
        <v>0</v>
      </c>
      <c r="S110" s="626">
        <f t="shared" si="36"/>
        <v>36.961896486458741</v>
      </c>
      <c r="T110" s="626">
        <f t="shared" si="36"/>
        <v>555.72244367298379</v>
      </c>
      <c r="U110" s="626">
        <f t="shared" si="36"/>
        <v>39.257882446989669</v>
      </c>
      <c r="V110" s="626">
        <f t="shared" si="36"/>
        <v>0</v>
      </c>
      <c r="W110" s="626">
        <f t="shared" si="36"/>
        <v>0</v>
      </c>
      <c r="X110" s="626">
        <f t="shared" si="36"/>
        <v>0</v>
      </c>
      <c r="Y110" s="626">
        <f t="shared" si="36"/>
        <v>15.706952967417239</v>
      </c>
      <c r="Z110" s="626">
        <f t="shared" si="36"/>
        <v>0</v>
      </c>
      <c r="AA110" s="626">
        <f t="shared" si="36"/>
        <v>55.89983261467026</v>
      </c>
      <c r="AB110" s="626">
        <f t="shared" si="36"/>
        <v>88.660734516087302</v>
      </c>
      <c r="AC110" s="626">
        <f t="shared" si="36"/>
        <v>0</v>
      </c>
      <c r="AD110" s="626">
        <f t="shared" si="36"/>
        <v>566.66530318886191</v>
      </c>
      <c r="AE110" s="626">
        <f t="shared" si="36"/>
        <v>2806.0295976816515</v>
      </c>
      <c r="AF110" s="626">
        <f t="shared" si="36"/>
        <v>65.999802371524865</v>
      </c>
      <c r="AG110" s="626">
        <f t="shared" si="37"/>
        <v>3638.2201057872026</v>
      </c>
      <c r="AH110" s="626"/>
      <c r="AI110" s="626"/>
    </row>
    <row r="111" spans="1:35" x14ac:dyDescent="0.25">
      <c r="A111" s="601" t="s">
        <v>2532</v>
      </c>
      <c r="D111" s="626">
        <f t="shared" si="38"/>
        <v>2.0374839208045019</v>
      </c>
      <c r="E111" s="626">
        <f t="shared" si="38"/>
        <v>0.49137936323599607</v>
      </c>
      <c r="F111" s="626">
        <f t="shared" si="38"/>
        <v>8.8210000000010905E-2</v>
      </c>
      <c r="G111" s="626">
        <f t="shared" si="38"/>
        <v>15.659958125026863</v>
      </c>
      <c r="H111" s="626">
        <f t="shared" si="38"/>
        <v>0.63162363954729983</v>
      </c>
      <c r="I111" s="626">
        <f t="shared" si="38"/>
        <v>3.8775440150509524</v>
      </c>
      <c r="J111" s="626">
        <f t="shared" si="38"/>
        <v>0</v>
      </c>
      <c r="K111" s="626">
        <f t="shared" si="38"/>
        <v>0</v>
      </c>
      <c r="L111" s="626">
        <f t="shared" si="38"/>
        <v>0</v>
      </c>
      <c r="M111" s="626">
        <f t="shared" si="38"/>
        <v>984.62924249918444</v>
      </c>
      <c r="N111" s="626">
        <f t="shared" si="38"/>
        <v>0</v>
      </c>
      <c r="O111" s="626">
        <f t="shared" si="38"/>
        <v>0</v>
      </c>
      <c r="P111" s="626">
        <f t="shared" si="35"/>
        <v>1007.4154415628501</v>
      </c>
      <c r="Q111" s="626">
        <f t="shared" si="36"/>
        <v>0</v>
      </c>
      <c r="R111" s="626">
        <f t="shared" si="36"/>
        <v>0</v>
      </c>
      <c r="S111" s="626">
        <f t="shared" si="36"/>
        <v>0</v>
      </c>
      <c r="T111" s="626">
        <f t="shared" si="36"/>
        <v>0</v>
      </c>
      <c r="U111" s="626">
        <f t="shared" si="36"/>
        <v>0</v>
      </c>
      <c r="V111" s="626">
        <f t="shared" si="36"/>
        <v>0</v>
      </c>
      <c r="W111" s="626">
        <f t="shared" si="36"/>
        <v>0</v>
      </c>
      <c r="X111" s="626">
        <f t="shared" si="36"/>
        <v>0</v>
      </c>
      <c r="Y111" s="626">
        <f t="shared" si="36"/>
        <v>389.73983297091587</v>
      </c>
      <c r="Z111" s="626">
        <f t="shared" si="36"/>
        <v>649.56505495551926</v>
      </c>
      <c r="AA111" s="626">
        <f t="shared" si="36"/>
        <v>0</v>
      </c>
      <c r="AB111" s="626">
        <f t="shared" si="36"/>
        <v>0</v>
      </c>
      <c r="AC111" s="626">
        <f t="shared" si="36"/>
        <v>0</v>
      </c>
      <c r="AD111" s="626">
        <f t="shared" si="36"/>
        <v>582.94325444649246</v>
      </c>
      <c r="AE111" s="626">
        <f t="shared" si="36"/>
        <v>2859.003439057848</v>
      </c>
      <c r="AF111" s="626">
        <f t="shared" si="36"/>
        <v>0</v>
      </c>
      <c r="AG111" s="626">
        <f t="shared" si="37"/>
        <v>4481.2515814307753</v>
      </c>
      <c r="AH111" s="626"/>
      <c r="AI111" s="626"/>
    </row>
    <row r="112" spans="1:35" x14ac:dyDescent="0.25">
      <c r="A112" s="601" t="s">
        <v>2533</v>
      </c>
      <c r="D112" s="629">
        <f>SUM(D102:D111)</f>
        <v>459.19450646546215</v>
      </c>
      <c r="E112" s="629">
        <f t="shared" ref="E112:O112" si="39">SUM(E102:E111)</f>
        <v>426.42083905508161</v>
      </c>
      <c r="F112" s="629">
        <f t="shared" si="39"/>
        <v>6285.63948987596</v>
      </c>
      <c r="G112" s="629">
        <f t="shared" si="39"/>
        <v>6146.0906295241421</v>
      </c>
      <c r="H112" s="629">
        <f t="shared" si="39"/>
        <v>1475.8547709574448</v>
      </c>
      <c r="I112" s="629">
        <f t="shared" si="39"/>
        <v>423.04150505489298</v>
      </c>
      <c r="J112" s="629">
        <f t="shared" si="39"/>
        <v>208.02931374338499</v>
      </c>
      <c r="K112" s="629">
        <f t="shared" si="39"/>
        <v>168.65033558562274</v>
      </c>
      <c r="L112" s="629">
        <f t="shared" si="39"/>
        <v>2800.7960878484373</v>
      </c>
      <c r="M112" s="629">
        <f t="shared" si="39"/>
        <v>6016.4028054026921</v>
      </c>
      <c r="N112" s="629">
        <f t="shared" si="39"/>
        <v>2427.6067492637394</v>
      </c>
      <c r="O112" s="629">
        <f t="shared" si="39"/>
        <v>232.65408343664228</v>
      </c>
      <c r="P112" s="629">
        <f t="shared" si="35"/>
        <v>27070.381116213506</v>
      </c>
      <c r="Q112" s="629">
        <f t="shared" ref="Q112:AF112" si="40">SUM(Q102:Q111)</f>
        <v>0</v>
      </c>
      <c r="R112" s="629">
        <f t="shared" si="40"/>
        <v>151.87440167604404</v>
      </c>
      <c r="S112" s="629">
        <f t="shared" si="40"/>
        <v>4534.7501770126837</v>
      </c>
      <c r="T112" s="629">
        <f t="shared" si="40"/>
        <v>3681.7241284857409</v>
      </c>
      <c r="U112" s="629">
        <f t="shared" si="40"/>
        <v>230.65907636842329</v>
      </c>
      <c r="V112" s="629">
        <f t="shared" si="40"/>
        <v>0</v>
      </c>
      <c r="W112" s="629">
        <f t="shared" si="40"/>
        <v>0</v>
      </c>
      <c r="X112" s="629">
        <f t="shared" si="40"/>
        <v>0</v>
      </c>
      <c r="Y112" s="629">
        <f t="shared" si="40"/>
        <v>1350.7828046930399</v>
      </c>
      <c r="Z112" s="629">
        <f t="shared" si="40"/>
        <v>10094.225097984361</v>
      </c>
      <c r="AA112" s="629">
        <f t="shared" si="40"/>
        <v>11214.072659252111</v>
      </c>
      <c r="AB112" s="629">
        <f t="shared" si="40"/>
        <v>258.66001857081915</v>
      </c>
      <c r="AC112" s="629">
        <f t="shared" si="40"/>
        <v>0</v>
      </c>
      <c r="AD112" s="629">
        <f t="shared" si="40"/>
        <v>1551.1068667410882</v>
      </c>
      <c r="AE112" s="629">
        <f t="shared" si="40"/>
        <v>14829.411049551163</v>
      </c>
      <c r="AF112" s="629">
        <f t="shared" si="40"/>
        <v>8223.348638026966</v>
      </c>
      <c r="AG112" s="629">
        <f t="shared" si="37"/>
        <v>47752.266211187969</v>
      </c>
      <c r="AH112" s="626"/>
      <c r="AI112" s="626"/>
    </row>
    <row r="113" spans="1:31" x14ac:dyDescent="0.25">
      <c r="A113" s="601" t="s">
        <v>2628</v>
      </c>
      <c r="F113" s="717"/>
      <c r="P113" s="717"/>
    </row>
    <row r="118" spans="1:31" x14ac:dyDescent="0.25">
      <c r="AE118" s="600">
        <v>0</v>
      </c>
    </row>
  </sheetData>
  <pageMargins left="0.75" right="0.75" top="1" bottom="1" header="0.5" footer="0.5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"/>
  <sheetViews>
    <sheetView workbookViewId="0">
      <selection activeCell="I12" sqref="I12"/>
    </sheetView>
  </sheetViews>
  <sheetFormatPr defaultRowHeight="15" x14ac:dyDescent="0.25"/>
  <cols>
    <col min="1" max="1" width="6.33203125" style="839" bestFit="1" customWidth="1"/>
    <col min="2" max="2" width="13" style="839" bestFit="1" customWidth="1"/>
    <col min="3" max="3" width="5.6640625" style="839" bestFit="1" customWidth="1"/>
    <col min="4" max="4" width="12.33203125" style="839" bestFit="1" customWidth="1"/>
    <col min="5" max="5" width="3.88671875" style="839" bestFit="1" customWidth="1"/>
    <col min="6" max="6" width="9.88671875" style="841" bestFit="1" customWidth="1"/>
    <col min="7" max="7" width="10.33203125" style="841" bestFit="1" customWidth="1"/>
    <col min="8" max="8" width="10.5546875" style="841" bestFit="1" customWidth="1"/>
    <col min="9" max="9" width="10.21875" style="841" bestFit="1" customWidth="1"/>
    <col min="10" max="10" width="10.77734375" style="841" bestFit="1" customWidth="1"/>
    <col min="11" max="11" width="10" style="841" bestFit="1" customWidth="1"/>
    <col min="12" max="12" width="9.5546875" style="841" bestFit="1" customWidth="1"/>
    <col min="13" max="13" width="10.44140625" style="841" bestFit="1" customWidth="1"/>
    <col min="14" max="14" width="10.33203125" style="841" bestFit="1" customWidth="1"/>
    <col min="15" max="15" width="10" style="841" bestFit="1" customWidth="1"/>
    <col min="16" max="16" width="10.5546875" style="841" bestFit="1" customWidth="1"/>
    <col min="17" max="17" width="10.33203125" style="841" bestFit="1" customWidth="1"/>
    <col min="18" max="18" width="9" style="841" bestFit="1" customWidth="1"/>
    <col min="19" max="16384" width="8.88671875" style="841"/>
  </cols>
  <sheetData>
    <row r="1" spans="1:18" s="838" customFormat="1" x14ac:dyDescent="0.25">
      <c r="A1" s="837" t="s">
        <v>332</v>
      </c>
      <c r="B1" s="837" t="s">
        <v>2494</v>
      </c>
      <c r="C1" s="837" t="s">
        <v>2495</v>
      </c>
      <c r="D1" s="837" t="s">
        <v>2496</v>
      </c>
      <c r="E1" s="837" t="s">
        <v>2497</v>
      </c>
      <c r="F1" s="838" t="s">
        <v>2498</v>
      </c>
      <c r="G1" s="838" t="s">
        <v>2499</v>
      </c>
      <c r="H1" s="838" t="s">
        <v>2500</v>
      </c>
      <c r="I1" s="838" t="s">
        <v>2501</v>
      </c>
      <c r="J1" s="838" t="s">
        <v>2502</v>
      </c>
      <c r="K1" s="838" t="s">
        <v>2503</v>
      </c>
      <c r="L1" s="838" t="s">
        <v>2504</v>
      </c>
      <c r="M1" s="838" t="s">
        <v>2505</v>
      </c>
      <c r="N1" s="838" t="s">
        <v>2506</v>
      </c>
      <c r="O1" s="838" t="s">
        <v>2507</v>
      </c>
      <c r="P1" s="838" t="s">
        <v>2508</v>
      </c>
      <c r="Q1" s="838" t="s">
        <v>2509</v>
      </c>
      <c r="R1" s="838" t="s">
        <v>682</v>
      </c>
    </row>
    <row r="2" spans="1:18" x14ac:dyDescent="0.25">
      <c r="A2" s="839" t="s">
        <v>1444</v>
      </c>
      <c r="B2" s="839" t="s">
        <v>2510</v>
      </c>
      <c r="C2" s="839" t="s">
        <v>2511</v>
      </c>
      <c r="D2" s="839" t="s">
        <v>2512</v>
      </c>
      <c r="E2" s="839" t="s">
        <v>2467</v>
      </c>
      <c r="F2" s="840">
        <v>0</v>
      </c>
      <c r="G2" s="840">
        <v>0</v>
      </c>
      <c r="H2" s="840">
        <v>0</v>
      </c>
      <c r="I2" s="840">
        <v>-1880650</v>
      </c>
      <c r="J2" s="840">
        <v>52240</v>
      </c>
      <c r="K2" s="840">
        <v>52240</v>
      </c>
      <c r="L2" s="840">
        <v>52240</v>
      </c>
      <c r="M2" s="840">
        <v>52240</v>
      </c>
      <c r="N2" s="840">
        <v>52240</v>
      </c>
      <c r="O2" s="840">
        <v>52241</v>
      </c>
      <c r="P2" s="840">
        <v>52241</v>
      </c>
      <c r="Q2" s="840">
        <v>52241</v>
      </c>
      <c r="R2" s="840">
        <v>-1462727</v>
      </c>
    </row>
    <row r="3" spans="1:18" x14ac:dyDescent="0.25">
      <c r="A3" s="839" t="s">
        <v>1444</v>
      </c>
      <c r="B3" s="839" t="s">
        <v>2510</v>
      </c>
      <c r="C3" s="839" t="s">
        <v>2511</v>
      </c>
      <c r="D3" s="839" t="s">
        <v>2512</v>
      </c>
      <c r="E3" s="839" t="s">
        <v>2468</v>
      </c>
      <c r="F3" s="840">
        <v>52240</v>
      </c>
      <c r="G3" s="840">
        <v>52240</v>
      </c>
      <c r="H3" s="840">
        <v>52240</v>
      </c>
      <c r="I3" s="840">
        <v>52240</v>
      </c>
      <c r="J3" s="840">
        <v>52240</v>
      </c>
      <c r="K3" s="840">
        <v>52240</v>
      </c>
      <c r="L3" s="840">
        <v>52240</v>
      </c>
      <c r="M3" s="840">
        <v>52240</v>
      </c>
      <c r="N3" s="840">
        <v>52240</v>
      </c>
      <c r="O3" s="840">
        <v>52241</v>
      </c>
      <c r="P3" s="840">
        <v>52241</v>
      </c>
      <c r="Q3" s="840">
        <v>52241</v>
      </c>
      <c r="R3" s="840">
        <v>626883</v>
      </c>
    </row>
    <row r="4" spans="1:18" x14ac:dyDescent="0.25">
      <c r="A4" s="839" t="s">
        <v>1444</v>
      </c>
      <c r="B4" s="839" t="s">
        <v>2510</v>
      </c>
      <c r="C4" s="839" t="s">
        <v>2511</v>
      </c>
      <c r="D4" s="839" t="s">
        <v>2512</v>
      </c>
      <c r="E4" s="839" t="s">
        <v>2513</v>
      </c>
      <c r="F4" s="840">
        <v>52240</v>
      </c>
      <c r="G4" s="840">
        <v>52240</v>
      </c>
      <c r="H4" s="840">
        <v>52240</v>
      </c>
      <c r="I4" s="840">
        <v>52240</v>
      </c>
      <c r="J4" s="840">
        <v>52240</v>
      </c>
      <c r="K4" s="840">
        <v>52240</v>
      </c>
      <c r="L4" s="840">
        <v>52240</v>
      </c>
      <c r="M4" s="840">
        <v>52240</v>
      </c>
      <c r="N4" s="840">
        <v>52240</v>
      </c>
      <c r="O4" s="840">
        <v>52241</v>
      </c>
      <c r="P4" s="840">
        <v>52241</v>
      </c>
      <c r="Q4" s="840">
        <v>52241</v>
      </c>
      <c r="R4" s="840">
        <v>626883</v>
      </c>
    </row>
    <row r="5" spans="1:18" x14ac:dyDescent="0.25">
      <c r="A5" s="839" t="s">
        <v>1444</v>
      </c>
      <c r="B5" s="839" t="s">
        <v>2510</v>
      </c>
      <c r="C5" s="839" t="s">
        <v>2511</v>
      </c>
      <c r="D5" s="839" t="s">
        <v>2512</v>
      </c>
      <c r="E5" s="839" t="s">
        <v>2514</v>
      </c>
      <c r="F5" s="840">
        <v>52240</v>
      </c>
      <c r="G5" s="840">
        <v>52240</v>
      </c>
      <c r="H5" s="840">
        <v>52240</v>
      </c>
      <c r="I5" s="840">
        <v>52241</v>
      </c>
      <c r="J5" s="840">
        <v>0</v>
      </c>
      <c r="K5" s="840">
        <v>0</v>
      </c>
      <c r="L5" s="840">
        <v>0</v>
      </c>
      <c r="M5" s="840">
        <v>0</v>
      </c>
      <c r="N5" s="840">
        <v>0</v>
      </c>
      <c r="O5" s="840">
        <v>0</v>
      </c>
      <c r="P5" s="840">
        <v>0</v>
      </c>
      <c r="Q5" s="840">
        <v>0</v>
      </c>
      <c r="R5" s="840">
        <v>208961</v>
      </c>
    </row>
    <row r="10" spans="1:18" x14ac:dyDescent="0.25">
      <c r="I10" s="842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T50"/>
  <sheetViews>
    <sheetView zoomScale="85" zoomScaleNormal="85" workbookViewId="0">
      <selection activeCell="P15" sqref="P15"/>
    </sheetView>
  </sheetViews>
  <sheetFormatPr defaultColWidth="9" defaultRowHeight="15" x14ac:dyDescent="0.2"/>
  <cols>
    <col min="1" max="1" width="26.88671875" style="103" customWidth="1"/>
    <col min="2" max="2" width="12.88671875" style="103" customWidth="1"/>
    <col min="3" max="3" width="3.21875" style="103" customWidth="1"/>
    <col min="4" max="4" width="12.88671875" style="103" customWidth="1"/>
    <col min="5" max="5" width="3.21875" style="103" customWidth="1"/>
    <col min="6" max="6" width="14" style="103" customWidth="1"/>
    <col min="7" max="7" width="3.21875" style="103" customWidth="1"/>
    <col min="8" max="8" width="13.77734375" style="103" customWidth="1"/>
    <col min="9" max="9" width="3.21875" style="103" customWidth="1"/>
    <col min="10" max="10" width="13.77734375" style="103" customWidth="1"/>
    <col min="11" max="11" width="3.21875" style="103" customWidth="1"/>
    <col min="12" max="12" width="12.88671875" style="103" customWidth="1"/>
    <col min="13" max="13" width="9" style="103" customWidth="1"/>
    <col min="14" max="14" width="13.77734375" style="103" customWidth="1"/>
    <col min="15" max="15" width="12.88671875" style="103" customWidth="1"/>
    <col min="16" max="16" width="15.88671875" style="103" customWidth="1"/>
    <col min="17" max="16384" width="9" style="103"/>
  </cols>
  <sheetData>
    <row r="1" spans="1:20" ht="17.100000000000001" customHeight="1" x14ac:dyDescent="0.25">
      <c r="A1" s="889" t="s">
        <v>863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O1" s="104"/>
    </row>
    <row r="2" spans="1:20" ht="17.100000000000001" customHeight="1" x14ac:dyDescent="0.25">
      <c r="A2" s="889" t="s">
        <v>864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O2" s="104"/>
    </row>
    <row r="3" spans="1:20" ht="17.100000000000001" customHeight="1" x14ac:dyDescent="0.25">
      <c r="A3" s="237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N3" s="108"/>
      <c r="O3" s="107"/>
    </row>
    <row r="4" spans="1:20" ht="17.100000000000001" customHeight="1" x14ac:dyDescent="0.25">
      <c r="A4" s="237"/>
      <c r="B4" s="108"/>
      <c r="C4" s="108"/>
      <c r="D4" s="107" t="s">
        <v>865</v>
      </c>
      <c r="E4" s="108"/>
      <c r="F4" s="107" t="s">
        <v>866</v>
      </c>
      <c r="G4" s="108"/>
      <c r="H4" s="107" t="s">
        <v>867</v>
      </c>
      <c r="I4" s="108"/>
      <c r="J4" s="107" t="s">
        <v>967</v>
      </c>
      <c r="K4" s="108"/>
      <c r="L4" s="107"/>
      <c r="N4" s="107" t="s">
        <v>682</v>
      </c>
      <c r="O4" s="107" t="s">
        <v>868</v>
      </c>
      <c r="P4" s="107" t="s">
        <v>967</v>
      </c>
    </row>
    <row r="5" spans="1:20" ht="17.100000000000001" customHeight="1" thickBot="1" x14ac:dyDescent="0.3">
      <c r="A5" s="237"/>
      <c r="B5" s="108"/>
      <c r="C5" s="108"/>
      <c r="D5" s="109" t="s">
        <v>869</v>
      </c>
      <c r="E5" s="108"/>
      <c r="F5" s="109" t="s">
        <v>870</v>
      </c>
      <c r="G5" s="108"/>
      <c r="H5" s="109" t="s">
        <v>871</v>
      </c>
      <c r="I5" s="108"/>
      <c r="J5" s="109" t="s">
        <v>597</v>
      </c>
      <c r="K5" s="108"/>
      <c r="L5" s="135" t="s">
        <v>966</v>
      </c>
      <c r="N5" s="109" t="s">
        <v>967</v>
      </c>
      <c r="O5" s="109" t="s">
        <v>968</v>
      </c>
      <c r="P5" s="109" t="s">
        <v>597</v>
      </c>
    </row>
    <row r="6" spans="1:20" ht="17.100000000000001" customHeight="1" x14ac:dyDescent="0.2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N6" s="110"/>
      <c r="O6" s="110"/>
    </row>
    <row r="7" spans="1:20" ht="17.100000000000001" customHeight="1" x14ac:dyDescent="0.25">
      <c r="A7" s="406" t="s">
        <v>923</v>
      </c>
      <c r="B7" s="407" t="s">
        <v>2467</v>
      </c>
      <c r="C7" s="238"/>
      <c r="D7" s="239">
        <f>BS!$C$78*1000</f>
        <v>48385678.870000005</v>
      </c>
      <c r="E7" s="401"/>
      <c r="F7" s="239">
        <f>BS!$C$80*1000</f>
        <v>12000185.019999901</v>
      </c>
      <c r="G7" s="401"/>
      <c r="H7" s="239">
        <f>BS!$C$77*1000</f>
        <v>62963536.401707403</v>
      </c>
      <c r="I7" s="401"/>
      <c r="J7" s="402">
        <f t="shared" ref="J7:J19" si="0">P7</f>
        <v>19962939.897826999</v>
      </c>
      <c r="K7" s="401"/>
      <c r="L7" s="239">
        <f>BS!$C$79*1000</f>
        <v>129522.07999999999</v>
      </c>
      <c r="M7" s="401"/>
      <c r="N7" s="239">
        <f>BS!$C$87*1000</f>
        <v>20508690.247826997</v>
      </c>
      <c r="O7" s="239">
        <f>BS!$C$86*1000</f>
        <v>545750.349999998</v>
      </c>
      <c r="P7" s="298">
        <f t="shared" ref="P7:P19" si="1">N7-O7</f>
        <v>19962939.897826999</v>
      </c>
      <c r="Q7" s="130"/>
      <c r="R7" s="124"/>
      <c r="S7" s="130"/>
      <c r="T7" s="124"/>
    </row>
    <row r="8" spans="1:20" ht="17.100000000000001" customHeight="1" x14ac:dyDescent="0.25">
      <c r="A8" s="406" t="s">
        <v>1493</v>
      </c>
      <c r="C8" s="238"/>
      <c r="D8" s="400">
        <f>BS!$D$78*1000</f>
        <v>48385678.870000005</v>
      </c>
      <c r="E8" s="401"/>
      <c r="F8" s="400">
        <f>BS!$D$80*1000</f>
        <v>12000185.019999901</v>
      </c>
      <c r="G8" s="401"/>
      <c r="H8" s="400">
        <f>BS!$D$77*1000</f>
        <v>64338222.849391297</v>
      </c>
      <c r="I8" s="401"/>
      <c r="J8" s="402">
        <f t="shared" si="0"/>
        <v>18848879.178720701</v>
      </c>
      <c r="K8" s="401"/>
      <c r="L8" s="400">
        <f>BS!$D$79*1000</f>
        <v>129522.07999999999</v>
      </c>
      <c r="M8" s="401"/>
      <c r="N8" s="400">
        <f>BS!$D$87*1000</f>
        <v>19121754.358720701</v>
      </c>
      <c r="O8" s="400">
        <f>BS!$D$86*1000</f>
        <v>272875.17999999801</v>
      </c>
      <c r="P8" s="298">
        <f t="shared" si="1"/>
        <v>18848879.178720701</v>
      </c>
      <c r="Q8" s="130"/>
      <c r="R8" s="124"/>
      <c r="S8" s="130"/>
      <c r="T8" s="124"/>
    </row>
    <row r="9" spans="1:20" ht="17.100000000000001" customHeight="1" x14ac:dyDescent="0.25">
      <c r="A9" s="406" t="s">
        <v>925</v>
      </c>
      <c r="B9" s="407"/>
      <c r="C9" s="238"/>
      <c r="D9" s="239">
        <f>BS!$E$78*1000</f>
        <v>48246869.870000005</v>
      </c>
      <c r="E9" s="238"/>
      <c r="F9" s="239">
        <f>BS!$E$80*1000</f>
        <v>12000185.019999901</v>
      </c>
      <c r="G9" s="238"/>
      <c r="H9" s="239">
        <f>BS!$E$77*1000</f>
        <v>61919188.139315404</v>
      </c>
      <c r="I9" s="238"/>
      <c r="J9" s="298">
        <f t="shared" si="0"/>
        <v>18391465.683814403</v>
      </c>
      <c r="K9" s="238"/>
      <c r="L9" s="239">
        <f>BS!$E$79*1000</f>
        <v>129522.07999999999</v>
      </c>
      <c r="M9" s="238"/>
      <c r="N9" s="239">
        <f>BS!$E$87*1000</f>
        <v>18391465.693814401</v>
      </c>
      <c r="O9" s="239">
        <f>BS!$E$86*1000</f>
        <v>9.9999988378840499E-3</v>
      </c>
      <c r="P9" s="298">
        <f t="shared" si="1"/>
        <v>18391465.683814403</v>
      </c>
      <c r="Q9" s="130"/>
      <c r="R9" s="124"/>
      <c r="S9" s="130"/>
      <c r="T9" s="124"/>
    </row>
    <row r="10" spans="1:20" ht="17.100000000000001" customHeight="1" x14ac:dyDescent="0.25">
      <c r="A10" s="406" t="s">
        <v>926</v>
      </c>
      <c r="B10" s="407"/>
      <c r="C10" s="238"/>
      <c r="D10" s="400">
        <f>BS!$F$78*1000</f>
        <v>48246869.870000005</v>
      </c>
      <c r="E10" s="238"/>
      <c r="F10" s="400">
        <f>BS!$F$80*1000</f>
        <v>12000185.019999901</v>
      </c>
      <c r="G10" s="238"/>
      <c r="H10" s="400">
        <f>BS!$F$77*1000</f>
        <v>58875491.614920802</v>
      </c>
      <c r="I10" s="238"/>
      <c r="J10" s="298">
        <f t="shared" si="0"/>
        <v>16754887.698908212</v>
      </c>
      <c r="K10" s="238"/>
      <c r="L10" s="400">
        <f>BS!$F$79*1000</f>
        <v>129522.07999999999</v>
      </c>
      <c r="M10" s="238"/>
      <c r="N10" s="400">
        <f>BS!$F$87*1000</f>
        <v>19816547.128908202</v>
      </c>
      <c r="O10" s="400">
        <f>BS!$F$86*1000</f>
        <v>3061659.4299999899</v>
      </c>
      <c r="P10" s="298">
        <f t="shared" si="1"/>
        <v>16754887.698908212</v>
      </c>
      <c r="Q10" s="130"/>
      <c r="R10" s="124"/>
      <c r="S10" s="130"/>
      <c r="T10" s="124"/>
    </row>
    <row r="11" spans="1:20" ht="17.100000000000001" customHeight="1" x14ac:dyDescent="0.25">
      <c r="A11" s="406" t="s">
        <v>927</v>
      </c>
      <c r="B11" s="407"/>
      <c r="C11" s="238"/>
      <c r="D11" s="400">
        <f>BS!$G$78*1000</f>
        <v>48246869.870000005</v>
      </c>
      <c r="E11" s="401"/>
      <c r="F11" s="400">
        <f>BS!$G$80*1000</f>
        <v>12000185.019999901</v>
      </c>
      <c r="G11" s="401"/>
      <c r="H11" s="400">
        <f>BS!$G$77*1000</f>
        <v>54189070.746498905</v>
      </c>
      <c r="I11" s="401"/>
      <c r="J11" s="402">
        <f t="shared" si="0"/>
        <v>15251439.677364409</v>
      </c>
      <c r="K11" s="401"/>
      <c r="L11" s="400">
        <f>BS!$G$79*1000</f>
        <v>129522.07999999999</v>
      </c>
      <c r="M11" s="401"/>
      <c r="N11" s="400">
        <f>BS!$G$87*1000</f>
        <v>18034766.437364399</v>
      </c>
      <c r="O11" s="400">
        <f>BS!$G$86*1000</f>
        <v>2783326.75999999</v>
      </c>
      <c r="P11" s="298">
        <f t="shared" si="1"/>
        <v>15251439.677364409</v>
      </c>
      <c r="Q11" s="130"/>
      <c r="R11" s="124"/>
      <c r="S11" s="130"/>
      <c r="T11" s="124"/>
    </row>
    <row r="12" spans="1:20" ht="17.100000000000001" customHeight="1" x14ac:dyDescent="0.25">
      <c r="A12" s="406" t="s">
        <v>928</v>
      </c>
      <c r="B12" s="407"/>
      <c r="C12" s="238"/>
      <c r="D12" s="239">
        <f>BS!$H$78*1000</f>
        <v>48191869.870000005</v>
      </c>
      <c r="E12" s="238"/>
      <c r="F12" s="239">
        <f>BS!$H$80*1000</f>
        <v>12000185.019999901</v>
      </c>
      <c r="G12" s="238"/>
      <c r="H12" s="239">
        <f>BS!$H$77*1000</f>
        <v>56077872.996002398</v>
      </c>
      <c r="I12" s="238"/>
      <c r="J12" s="298">
        <f t="shared" si="0"/>
        <v>15313399.430970712</v>
      </c>
      <c r="K12" s="238"/>
      <c r="L12" s="239">
        <f>BS!$H$79*1000</f>
        <v>129522.07999999999</v>
      </c>
      <c r="M12" s="238"/>
      <c r="N12" s="239">
        <f>BS!$H$87*1000</f>
        <v>17818393.520970702</v>
      </c>
      <c r="O12" s="239">
        <f>BS!$H$86*1000</f>
        <v>2504994.0899999901</v>
      </c>
      <c r="P12" s="298">
        <f t="shared" si="1"/>
        <v>15313399.430970712</v>
      </c>
      <c r="Q12" s="130"/>
      <c r="R12" s="124"/>
      <c r="S12" s="130"/>
      <c r="T12" s="124"/>
    </row>
    <row r="13" spans="1:20" ht="17.100000000000001" customHeight="1" x14ac:dyDescent="0.25">
      <c r="A13" s="406" t="s">
        <v>929</v>
      </c>
      <c r="B13" s="407"/>
      <c r="C13" s="238"/>
      <c r="D13" s="239">
        <f>BS!$I$78*1000</f>
        <v>48191869.870000005</v>
      </c>
      <c r="E13" s="401"/>
      <c r="F13" s="239">
        <f>BS!$I$80*1000</f>
        <v>12000185.019999901</v>
      </c>
      <c r="G13" s="401"/>
      <c r="H13" s="239">
        <f>BS!$I$77*1000</f>
        <v>61948619.267040201</v>
      </c>
      <c r="I13" s="401"/>
      <c r="J13" s="402">
        <f t="shared" si="0"/>
        <v>14581632.45457691</v>
      </c>
      <c r="K13" s="401"/>
      <c r="L13" s="239">
        <f>BS!$I$79*1000</f>
        <v>129522.07999999999</v>
      </c>
      <c r="M13" s="401"/>
      <c r="N13" s="239">
        <f>BS!$I$87*1000</f>
        <v>16808293.8745769</v>
      </c>
      <c r="O13" s="239">
        <f>BS!$I$86*1000</f>
        <v>2226661.4199999897</v>
      </c>
      <c r="P13" s="298">
        <f t="shared" si="1"/>
        <v>14581632.45457691</v>
      </c>
      <c r="Q13" s="130"/>
      <c r="R13" s="124"/>
      <c r="S13" s="130"/>
      <c r="T13" s="124"/>
    </row>
    <row r="14" spans="1:20" ht="17.100000000000001" customHeight="1" x14ac:dyDescent="0.25">
      <c r="A14" s="406" t="s">
        <v>930</v>
      </c>
      <c r="B14" s="407"/>
      <c r="C14" s="238"/>
      <c r="D14" s="400">
        <f>BS!$J$78*1000</f>
        <v>48191869.870000005</v>
      </c>
      <c r="E14" s="401"/>
      <c r="F14" s="400">
        <f>BS!$J$80*1000</f>
        <v>12000185.019999901</v>
      </c>
      <c r="G14" s="401"/>
      <c r="H14" s="400">
        <f>BS!$J$77*1000</f>
        <v>69680742.637314901</v>
      </c>
      <c r="I14" s="401"/>
      <c r="J14" s="402">
        <f t="shared" si="0"/>
        <v>13797058.990163609</v>
      </c>
      <c r="K14" s="401"/>
      <c r="L14" s="400">
        <f>BS!$J$79*1000</f>
        <v>129522.07999999999</v>
      </c>
      <c r="M14" s="401"/>
      <c r="N14" s="400">
        <f>BS!$J$87*1000</f>
        <v>15745387.7401636</v>
      </c>
      <c r="O14" s="400">
        <f>BS!$J$86*1000</f>
        <v>1948328.74999999</v>
      </c>
      <c r="P14" s="298">
        <f t="shared" si="1"/>
        <v>13797058.990163609</v>
      </c>
      <c r="Q14" s="130"/>
      <c r="R14" s="124"/>
      <c r="S14" s="130"/>
      <c r="T14" s="124"/>
    </row>
    <row r="15" spans="1:20" ht="17.100000000000001" customHeight="1" x14ac:dyDescent="0.25">
      <c r="A15" s="406" t="s">
        <v>931</v>
      </c>
      <c r="B15" s="407"/>
      <c r="C15" s="238"/>
      <c r="D15" s="239">
        <f>BS!$K$78*1000</f>
        <v>48136869.870000005</v>
      </c>
      <c r="E15" s="238"/>
      <c r="F15" s="239">
        <f>BS!$K$80*1000</f>
        <v>12000185.019999901</v>
      </c>
      <c r="G15" s="238"/>
      <c r="H15" s="239">
        <f>BS!$K$77*1000</f>
        <v>68026175.7849098</v>
      </c>
      <c r="I15" s="238"/>
      <c r="J15" s="298">
        <f t="shared" si="0"/>
        <v>13654929.183769908</v>
      </c>
      <c r="K15" s="238"/>
      <c r="L15" s="239">
        <f>BS!$K$79*1000</f>
        <v>129522.07999999999</v>
      </c>
      <c r="M15" s="238"/>
      <c r="N15" s="239">
        <f>BS!$K$87*1000</f>
        <v>15324925.263769899</v>
      </c>
      <c r="O15" s="239">
        <f>BS!$K$86*1000</f>
        <v>1669996.0799999898</v>
      </c>
      <c r="P15" s="298">
        <f t="shared" si="1"/>
        <v>13654929.183769908</v>
      </c>
      <c r="Q15" s="130"/>
      <c r="R15" s="124"/>
      <c r="S15" s="130"/>
      <c r="T15" s="124"/>
    </row>
    <row r="16" spans="1:20" ht="17.100000000000001" customHeight="1" x14ac:dyDescent="0.25">
      <c r="A16" s="406" t="s">
        <v>920</v>
      </c>
      <c r="B16" s="407" t="s">
        <v>2468</v>
      </c>
      <c r="C16" s="238"/>
      <c r="D16" s="239">
        <f>BS!$L$78*1000</f>
        <v>48136869.870000005</v>
      </c>
      <c r="E16" s="238"/>
      <c r="F16" s="239">
        <f>BS!$L$80*1000</f>
        <v>12000185.019999901</v>
      </c>
      <c r="G16" s="238"/>
      <c r="H16" s="239">
        <f>BS!$L$77*1000</f>
        <v>64452419.506965995</v>
      </c>
      <c r="I16" s="238"/>
      <c r="J16" s="298">
        <f t="shared" si="0"/>
        <v>17903032.223903511</v>
      </c>
      <c r="K16" s="238"/>
      <c r="L16" s="239">
        <f>BS!$L$79*1000</f>
        <v>129522.07999999999</v>
      </c>
      <c r="M16" s="238"/>
      <c r="N16" s="239">
        <f>BS!$L$87*1000</f>
        <v>19294695.6339035</v>
      </c>
      <c r="O16" s="239">
        <f>BS!$L$86*1000</f>
        <v>1391663.4099999901</v>
      </c>
      <c r="P16" s="298">
        <f t="shared" si="1"/>
        <v>17903032.223903511</v>
      </c>
      <c r="Q16" s="130"/>
      <c r="R16" s="124"/>
      <c r="S16" s="130"/>
      <c r="T16" s="124"/>
    </row>
    <row r="17" spans="1:20" ht="17.100000000000001" customHeight="1" x14ac:dyDescent="0.25">
      <c r="A17" s="406" t="s">
        <v>921</v>
      </c>
      <c r="B17" s="407"/>
      <c r="C17" s="238"/>
      <c r="D17" s="400">
        <f>BS!$M$78*1000</f>
        <v>48136869.870000005</v>
      </c>
      <c r="E17" s="401"/>
      <c r="F17" s="400">
        <f>BS!$M$80*1000</f>
        <v>12000185.019999901</v>
      </c>
      <c r="G17" s="401"/>
      <c r="H17" s="400">
        <f>BS!$M$77*1000</f>
        <v>63318511.770700201</v>
      </c>
      <c r="I17" s="401"/>
      <c r="J17" s="402">
        <f t="shared" si="0"/>
        <v>16467189.342761911</v>
      </c>
      <c r="K17" s="401"/>
      <c r="L17" s="400">
        <f>BS!$M$79*1000</f>
        <v>129522.07999999999</v>
      </c>
      <c r="M17" s="401"/>
      <c r="N17" s="400">
        <f>BS!$M$87*1000</f>
        <v>17580520.082761902</v>
      </c>
      <c r="O17" s="400">
        <f>BS!$M$86*1000</f>
        <v>1113330.7399999902</v>
      </c>
      <c r="P17" s="298">
        <f t="shared" si="1"/>
        <v>16467189.342761911</v>
      </c>
      <c r="Q17" s="130"/>
      <c r="R17" s="124"/>
      <c r="S17" s="130"/>
      <c r="T17" s="124"/>
    </row>
    <row r="18" spans="1:20" ht="17.100000000000001" customHeight="1" x14ac:dyDescent="0.25">
      <c r="A18" s="406" t="s">
        <v>922</v>
      </c>
      <c r="B18" s="407"/>
      <c r="C18" s="238"/>
      <c r="D18" s="239">
        <f>BS!$N$78*1000</f>
        <v>48081869.870000005</v>
      </c>
      <c r="E18" s="238"/>
      <c r="F18" s="239">
        <f>BS!$N$80*1000</f>
        <v>12000185.019999901</v>
      </c>
      <c r="G18" s="238"/>
      <c r="H18" s="239">
        <f>BS!$N$77*1000</f>
        <v>64147367.459490299</v>
      </c>
      <c r="I18" s="238"/>
      <c r="J18" s="298">
        <f t="shared" si="0"/>
        <v>14609729.068864001</v>
      </c>
      <c r="K18" s="238"/>
      <c r="L18" s="239">
        <f>BS!$N$79*1000</f>
        <v>129522.07999999999</v>
      </c>
      <c r="M18" s="238"/>
      <c r="N18" s="239">
        <f>BS!$N$87*1000</f>
        <v>15444727.138863999</v>
      </c>
      <c r="O18" s="239">
        <f>BS!$N$86*1000</f>
        <v>834998.06999999902</v>
      </c>
      <c r="P18" s="298">
        <f t="shared" si="1"/>
        <v>14609729.068864001</v>
      </c>
      <c r="Q18" s="130"/>
      <c r="R18" s="124"/>
      <c r="S18" s="130"/>
      <c r="T18" s="124"/>
    </row>
    <row r="19" spans="1:20" ht="17.100000000000001" customHeight="1" x14ac:dyDescent="0.25">
      <c r="A19" s="406" t="s">
        <v>923</v>
      </c>
      <c r="B19" s="408"/>
      <c r="C19" s="238"/>
      <c r="D19" s="241">
        <f>BS!$O$78*1000</f>
        <v>48081869.870000005</v>
      </c>
      <c r="E19" s="238"/>
      <c r="F19" s="241">
        <f>BS!$O$80*1000</f>
        <v>12000185.019999901</v>
      </c>
      <c r="G19" s="238"/>
      <c r="H19" s="241">
        <f>BS!$O$77*1000</f>
        <v>68483713.423098311</v>
      </c>
      <c r="I19" s="238"/>
      <c r="J19" s="299">
        <f t="shared" si="0"/>
        <v>20842137.093974199</v>
      </c>
      <c r="K19" s="238"/>
      <c r="L19" s="241">
        <f>BS!$O$79*1000</f>
        <v>129522.07999999999</v>
      </c>
      <c r="M19" s="240"/>
      <c r="N19" s="241">
        <f>BS!$O$87*1000</f>
        <v>21398802.493974198</v>
      </c>
      <c r="O19" s="241">
        <f>BS!$O$86*1000</f>
        <v>556665.39999999898</v>
      </c>
      <c r="P19" s="298">
        <f t="shared" si="1"/>
        <v>20842137.093974199</v>
      </c>
      <c r="Q19" s="130"/>
      <c r="R19" s="124"/>
      <c r="S19" s="130"/>
      <c r="T19" s="124"/>
    </row>
    <row r="20" spans="1:20" ht="17.100000000000001" customHeight="1" x14ac:dyDescent="0.2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N20" s="110"/>
      <c r="O20" s="110"/>
      <c r="P20" s="104"/>
      <c r="Q20" s="104"/>
      <c r="R20" s="104"/>
      <c r="S20" s="104"/>
      <c r="T20" s="104"/>
    </row>
    <row r="21" spans="1:20" ht="17.100000000000001" customHeight="1" thickBot="1" x14ac:dyDescent="0.3">
      <c r="A21" s="111" t="s">
        <v>872</v>
      </c>
      <c r="B21" s="110"/>
      <c r="C21" s="110"/>
      <c r="D21" s="113">
        <f>SUM(D7:D19)</f>
        <v>626661926.31000006</v>
      </c>
      <c r="E21" s="110"/>
      <c r="F21" s="113">
        <f>SUM(F7:F19)</f>
        <v>156002405.25999874</v>
      </c>
      <c r="G21" s="110"/>
      <c r="H21" s="113">
        <f>SUM(H7:H19)</f>
        <v>818420932.59735596</v>
      </c>
      <c r="I21" s="110"/>
      <c r="J21" s="113">
        <f>SUM(J7:J19)</f>
        <v>216378719.92561945</v>
      </c>
      <c r="K21" s="110"/>
      <c r="L21" s="113">
        <f>SUM(L7:L19)</f>
        <v>1683787.04</v>
      </c>
      <c r="N21" s="113">
        <f>SUM(N7:N19)</f>
        <v>235288969.61561942</v>
      </c>
      <c r="O21" s="113">
        <f>SUM(O7:O19)</f>
        <v>18910249.689999912</v>
      </c>
      <c r="P21" s="104"/>
      <c r="Q21" s="104"/>
      <c r="R21" s="104"/>
      <c r="S21" s="104"/>
      <c r="T21" s="104"/>
    </row>
    <row r="22" spans="1:20" ht="17.100000000000001" customHeight="1" thickTop="1" x14ac:dyDescent="0.25">
      <c r="A22" s="111" t="s">
        <v>873</v>
      </c>
      <c r="B22" s="110"/>
      <c r="C22" s="110"/>
      <c r="D22" s="114">
        <f>ROUND(D21/13,0)</f>
        <v>48204764</v>
      </c>
      <c r="E22" s="110"/>
      <c r="F22" s="114">
        <f>ROUND(F21/13,0)</f>
        <v>12000185</v>
      </c>
      <c r="G22" s="110"/>
      <c r="H22" s="114">
        <f>ROUND(H21/13,0)</f>
        <v>62955456</v>
      </c>
      <c r="I22" s="110"/>
      <c r="J22" s="114">
        <f>ROUND(J21/13,0)</f>
        <v>16644517</v>
      </c>
      <c r="K22" s="110"/>
      <c r="L22" s="114">
        <f>ROUND(L21/13,0)</f>
        <v>129522</v>
      </c>
      <c r="N22" s="114">
        <f>ROUND(N21/13,0)</f>
        <v>18099152</v>
      </c>
      <c r="O22" s="114">
        <f>ROUND(O21/13,0)</f>
        <v>1454635</v>
      </c>
      <c r="P22" s="104"/>
      <c r="Q22" s="104"/>
      <c r="R22" s="104"/>
      <c r="S22" s="104"/>
      <c r="T22" s="104"/>
    </row>
    <row r="23" spans="1:20" ht="17.100000000000001" customHeight="1" x14ac:dyDescent="0.25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N23" s="110"/>
      <c r="O23" s="110"/>
      <c r="P23" s="104"/>
      <c r="Q23" s="104"/>
      <c r="R23" s="104"/>
      <c r="S23" s="104"/>
      <c r="T23" s="104"/>
    </row>
    <row r="24" spans="1:20" ht="17.100000000000001" customHeight="1" x14ac:dyDescent="0.25">
      <c r="A24" s="110"/>
      <c r="B24" s="110"/>
      <c r="C24" s="110"/>
      <c r="D24" s="115" t="s">
        <v>874</v>
      </c>
      <c r="E24" s="115"/>
      <c r="F24" s="115" t="s">
        <v>973</v>
      </c>
      <c r="G24" s="115"/>
      <c r="H24" s="115" t="s">
        <v>630</v>
      </c>
      <c r="I24" s="115"/>
      <c r="J24" s="115" t="s">
        <v>976</v>
      </c>
      <c r="K24" s="115"/>
      <c r="L24" s="115" t="s">
        <v>572</v>
      </c>
      <c r="N24" s="115" t="s">
        <v>976</v>
      </c>
      <c r="O24" s="115" t="s">
        <v>1267</v>
      </c>
      <c r="P24" s="104"/>
      <c r="Q24" s="104"/>
      <c r="R24" s="104"/>
      <c r="S24" s="104"/>
      <c r="T24" s="104"/>
    </row>
    <row r="25" spans="1:20" s="123" customFormat="1" ht="17.100000000000001" customHeight="1" x14ac:dyDescent="0.25">
      <c r="A25" s="110" t="s">
        <v>875</v>
      </c>
      <c r="B25" s="110"/>
      <c r="C25" s="110"/>
      <c r="D25" s="116">
        <f ca="1">J38</f>
        <v>0.93152869000000005</v>
      </c>
      <c r="E25" s="110"/>
      <c r="F25" s="116">
        <f ca="1">TOTALCO!$F$388</f>
        <v>0.93152869719514819</v>
      </c>
      <c r="G25" s="116"/>
      <c r="H25" s="116">
        <f>TOTALCO!$F$334</f>
        <v>0.9410091595713157</v>
      </c>
      <c r="I25" s="116"/>
      <c r="J25" s="116">
        <f ca="1">TOTALCO!$F$389</f>
        <v>0.93752244199129864</v>
      </c>
      <c r="K25" s="116"/>
      <c r="L25" s="116">
        <f>TOTALCO!$F$277</f>
        <v>0.93741603079505242</v>
      </c>
      <c r="N25" s="116">
        <f ca="1">TOTALCO!$F$389</f>
        <v>0.93752244199129864</v>
      </c>
      <c r="O25" s="116">
        <f ca="1">TOTALCO!$F$390</f>
        <v>1</v>
      </c>
      <c r="P25" s="131"/>
      <c r="Q25" s="131"/>
      <c r="R25" s="131"/>
      <c r="S25" s="131"/>
      <c r="T25" s="131"/>
    </row>
    <row r="26" spans="1:20" ht="17.100000000000001" customHeight="1" x14ac:dyDescent="0.25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N26" s="110"/>
      <c r="O26" s="110"/>
      <c r="P26" s="104"/>
      <c r="Q26" s="104"/>
      <c r="R26" s="104"/>
      <c r="S26" s="104"/>
      <c r="T26" s="104"/>
    </row>
    <row r="27" spans="1:20" ht="17.100000000000001" customHeight="1" thickBot="1" x14ac:dyDescent="0.3">
      <c r="A27" s="110" t="s">
        <v>876</v>
      </c>
      <c r="B27" s="110"/>
      <c r="C27" s="110"/>
      <c r="D27" s="113">
        <f ca="1">ROUND(D22*D25,0)</f>
        <v>44904121</v>
      </c>
      <c r="E27" s="110"/>
      <c r="F27" s="113">
        <f ca="1">ROUND(F22*F25,0)</f>
        <v>11178517</v>
      </c>
      <c r="G27" s="110"/>
      <c r="H27" s="113">
        <f>ROUND(H22*H25,0)</f>
        <v>59241661</v>
      </c>
      <c r="I27" s="110"/>
      <c r="J27" s="113">
        <f ca="1">ROUND(J22*J25,0)</f>
        <v>15604608</v>
      </c>
      <c r="K27" s="110"/>
      <c r="L27" s="113">
        <f>ROUND(L22*L25,0)</f>
        <v>121416</v>
      </c>
      <c r="N27" s="113">
        <f ca="1">ROUND(N22*N25,0)</f>
        <v>16968361</v>
      </c>
      <c r="O27" s="113">
        <f ca="1">ROUND(O22*O25,0)</f>
        <v>1454635</v>
      </c>
      <c r="P27" s="104"/>
      <c r="Q27" s="104"/>
      <c r="R27" s="104"/>
      <c r="S27" s="104"/>
      <c r="T27" s="104"/>
    </row>
    <row r="28" spans="1:20" ht="17.100000000000001" customHeight="1" thickTop="1" x14ac:dyDescent="0.25">
      <c r="A28" s="110"/>
      <c r="B28" s="110"/>
      <c r="C28" s="110"/>
      <c r="D28" s="114"/>
      <c r="E28" s="110"/>
      <c r="F28" s="114"/>
      <c r="G28" s="110"/>
      <c r="H28" s="114"/>
      <c r="I28" s="110"/>
      <c r="J28" s="114"/>
      <c r="K28" s="110"/>
      <c r="L28" s="114"/>
      <c r="N28" s="114"/>
      <c r="O28" s="114"/>
    </row>
    <row r="29" spans="1:20" ht="17.100000000000001" customHeight="1" x14ac:dyDescent="0.25">
      <c r="A29" s="110"/>
      <c r="B29" s="110"/>
      <c r="C29" s="110"/>
      <c r="D29" s="114"/>
      <c r="E29" s="110"/>
      <c r="F29" s="114"/>
      <c r="G29" s="110"/>
      <c r="H29" s="114"/>
      <c r="I29" s="110"/>
      <c r="J29" s="114"/>
      <c r="K29" s="110"/>
      <c r="L29" s="114"/>
      <c r="N29" s="114"/>
      <c r="O29" s="114"/>
    </row>
    <row r="30" spans="1:20" ht="17.100000000000001" customHeight="1" x14ac:dyDescent="0.25">
      <c r="A30" s="110" t="s">
        <v>877</v>
      </c>
      <c r="B30" s="110"/>
      <c r="C30" s="110"/>
      <c r="D30" s="114"/>
      <c r="E30" s="110"/>
      <c r="F30" s="114"/>
      <c r="G30" s="110"/>
      <c r="H30" s="114"/>
      <c r="I30" s="110"/>
      <c r="J30" s="114"/>
      <c r="K30" s="110"/>
      <c r="L30" s="114"/>
      <c r="N30" s="114"/>
      <c r="O30" s="114"/>
    </row>
    <row r="31" spans="1:20" ht="17.100000000000001" customHeight="1" x14ac:dyDescent="0.25">
      <c r="A31" s="110" t="s">
        <v>878</v>
      </c>
      <c r="B31" s="110"/>
      <c r="C31" s="110"/>
      <c r="D31" s="114"/>
      <c r="E31" s="110"/>
      <c r="F31" s="114"/>
      <c r="G31" s="110"/>
      <c r="H31" s="114"/>
      <c r="I31" s="110"/>
      <c r="J31" s="114"/>
      <c r="K31" s="110"/>
      <c r="L31" s="114"/>
      <c r="N31" s="114"/>
      <c r="O31" s="114"/>
    </row>
    <row r="32" spans="1:20" ht="17.100000000000001" customHeight="1" x14ac:dyDescent="0.25">
      <c r="A32" s="110"/>
      <c r="B32" s="110"/>
      <c r="C32" s="110"/>
      <c r="D32" s="114"/>
      <c r="E32" s="110"/>
      <c r="F32" s="114"/>
      <c r="G32" s="110"/>
      <c r="H32" s="114"/>
      <c r="I32" s="110"/>
      <c r="J32" s="114"/>
      <c r="K32" s="110"/>
      <c r="L32" s="114"/>
      <c r="N32" s="114"/>
      <c r="O32" s="114"/>
    </row>
    <row r="33" spans="1:16" ht="17.100000000000001" customHeight="1" x14ac:dyDescent="0.25">
      <c r="A33" s="110"/>
      <c r="B33" s="112"/>
      <c r="C33" s="110"/>
      <c r="D33" s="117" t="s">
        <v>879</v>
      </c>
      <c r="E33" s="115"/>
      <c r="F33" s="117" t="s">
        <v>880</v>
      </c>
      <c r="G33" s="115"/>
      <c r="H33" s="117" t="s">
        <v>880</v>
      </c>
      <c r="I33" s="115"/>
      <c r="J33" s="117" t="s">
        <v>881</v>
      </c>
      <c r="K33" s="115"/>
      <c r="L33" s="133"/>
      <c r="N33" s="117"/>
      <c r="O33" s="133"/>
    </row>
    <row r="34" spans="1:16" ht="17.100000000000001" customHeight="1" thickBot="1" x14ac:dyDescent="0.3">
      <c r="A34" s="110"/>
      <c r="B34" s="118" t="s">
        <v>882</v>
      </c>
      <c r="C34" s="110"/>
      <c r="D34" s="119" t="s">
        <v>883</v>
      </c>
      <c r="E34" s="115"/>
      <c r="F34" s="119" t="s">
        <v>884</v>
      </c>
      <c r="G34" s="115"/>
      <c r="H34" s="119" t="s">
        <v>885</v>
      </c>
      <c r="I34" s="115"/>
      <c r="J34" s="119" t="s">
        <v>886</v>
      </c>
      <c r="K34" s="115"/>
      <c r="L34" s="133"/>
      <c r="N34" s="133"/>
      <c r="O34" s="133"/>
    </row>
    <row r="35" spans="1:16" ht="17.100000000000001" customHeight="1" x14ac:dyDescent="0.25">
      <c r="A35" s="110" t="s">
        <v>887</v>
      </c>
      <c r="B35" s="364">
        <f>'Inv Alloc'!D36</f>
        <v>32194495.402561281</v>
      </c>
      <c r="C35" s="110"/>
      <c r="D35" s="120">
        <f>ROUND(B35/$B$38,5)</f>
        <v>0.6532</v>
      </c>
      <c r="E35" s="110"/>
      <c r="F35" s="117" t="s">
        <v>963</v>
      </c>
      <c r="G35" s="110"/>
      <c r="H35" s="116">
        <f ca="1">TOTALCO!$F$385</f>
        <v>0.93564668452361899</v>
      </c>
      <c r="I35" s="110"/>
      <c r="J35" s="116">
        <f ca="1">ROUND(D35*H35,8)</f>
        <v>0.61116440999999999</v>
      </c>
      <c r="K35" s="110"/>
      <c r="L35" s="134"/>
      <c r="N35" s="134"/>
      <c r="O35" s="134"/>
      <c r="P35" s="104"/>
    </row>
    <row r="36" spans="1:16" ht="17.100000000000001" customHeight="1" x14ac:dyDescent="0.25">
      <c r="A36" s="110" t="s">
        <v>888</v>
      </c>
      <c r="B36" s="365">
        <f>'Inv Alloc'!D35</f>
        <v>9918813.5182257369</v>
      </c>
      <c r="C36" s="110"/>
      <c r="D36" s="120">
        <f>ROUND(B36/$B$38,5)</f>
        <v>0.20125000000000001</v>
      </c>
      <c r="E36" s="110"/>
      <c r="F36" s="117" t="s">
        <v>965</v>
      </c>
      <c r="G36" s="110"/>
      <c r="H36" s="116">
        <f ca="1">TOTALCO!$F$387</f>
        <v>0.90566768883355364</v>
      </c>
      <c r="I36" s="110"/>
      <c r="J36" s="116">
        <f ca="1">ROUND(D36*H36,8)</f>
        <v>0.18226561999999999</v>
      </c>
      <c r="K36" s="110"/>
      <c r="L36" s="134"/>
      <c r="N36" s="134"/>
      <c r="O36" s="134"/>
      <c r="P36" s="104"/>
    </row>
    <row r="37" spans="1:16" ht="17.100000000000001" customHeight="1" x14ac:dyDescent="0.25">
      <c r="A37" s="110" t="s">
        <v>889</v>
      </c>
      <c r="B37" s="366">
        <f>'Inv Alloc'!D34</f>
        <v>7173912.4451532653</v>
      </c>
      <c r="C37" s="110"/>
      <c r="D37" s="120">
        <f>ROUND(B37/$B$38,5)</f>
        <v>0.14555000000000001</v>
      </c>
      <c r="E37" s="110"/>
      <c r="F37" s="117" t="s">
        <v>954</v>
      </c>
      <c r="G37" s="110"/>
      <c r="H37" s="116">
        <f ca="1">TOTALCO!$F$379</f>
        <v>0.9488056371457757</v>
      </c>
      <c r="I37" s="110"/>
      <c r="J37" s="121">
        <f ca="1">ROUND(D37*H37,8)</f>
        <v>0.13809866000000001</v>
      </c>
      <c r="K37" s="110"/>
      <c r="L37" s="134"/>
      <c r="N37" s="134"/>
      <c r="O37" s="134"/>
      <c r="P37" s="104"/>
    </row>
    <row r="38" spans="1:16" ht="17.100000000000001" customHeight="1" thickBot="1" x14ac:dyDescent="0.3">
      <c r="A38" s="110" t="s">
        <v>890</v>
      </c>
      <c r="B38" s="114">
        <f>SUM(B35:B37)</f>
        <v>49287221.365940288</v>
      </c>
      <c r="C38" s="110"/>
      <c r="D38" s="129"/>
      <c r="E38" s="110"/>
      <c r="F38" s="114"/>
      <c r="G38" s="110"/>
      <c r="H38" s="114"/>
      <c r="I38" s="110"/>
      <c r="J38" s="122">
        <f ca="1">SUM(J35:J37)</f>
        <v>0.93152869000000005</v>
      </c>
      <c r="K38" s="110"/>
      <c r="L38" s="134"/>
      <c r="N38" s="134"/>
      <c r="O38" s="134"/>
      <c r="P38" s="104"/>
    </row>
    <row r="39" spans="1:16" ht="17.100000000000001" customHeight="1" thickTop="1" x14ac:dyDescent="0.25">
      <c r="A39" s="110"/>
      <c r="B39" s="110"/>
      <c r="C39" s="110"/>
      <c r="D39" s="114"/>
      <c r="E39" s="110"/>
      <c r="F39" s="114"/>
      <c r="G39" s="110"/>
      <c r="H39" s="114"/>
      <c r="I39" s="110"/>
      <c r="J39" s="114"/>
      <c r="K39" s="110"/>
      <c r="L39" s="114"/>
      <c r="N39" s="139"/>
      <c r="O39" s="114"/>
    </row>
    <row r="40" spans="1:16" ht="17.100000000000001" customHeight="1" x14ac:dyDescent="0.25">
      <c r="A40" s="110"/>
      <c r="B40" s="110"/>
      <c r="C40" s="110"/>
      <c r="D40" s="114"/>
      <c r="E40" s="110"/>
      <c r="F40" s="114"/>
      <c r="G40" s="110"/>
      <c r="H40" s="114"/>
      <c r="I40" s="110"/>
      <c r="J40" s="114"/>
      <c r="K40" s="110"/>
      <c r="L40" s="114"/>
      <c r="N40" s="114"/>
      <c r="O40" s="114"/>
    </row>
    <row r="41" spans="1:16" ht="17.100000000000001" customHeight="1" x14ac:dyDescent="0.25">
      <c r="A41" s="110" t="s">
        <v>2425</v>
      </c>
      <c r="B41" s="110"/>
      <c r="C41" s="110"/>
      <c r="D41" s="114"/>
      <c r="E41" s="110"/>
      <c r="F41" s="114"/>
      <c r="G41" s="110"/>
      <c r="H41" s="114"/>
      <c r="I41" s="110"/>
      <c r="J41" s="114"/>
      <c r="K41" s="110"/>
      <c r="L41" s="114"/>
      <c r="N41" s="114"/>
      <c r="O41" s="114"/>
    </row>
    <row r="42" spans="1:16" x14ac:dyDescent="0.2">
      <c r="A42" s="103" t="s">
        <v>891</v>
      </c>
    </row>
    <row r="43" spans="1:16" x14ac:dyDescent="0.2">
      <c r="B43" s="104"/>
    </row>
    <row r="44" spans="1:16" ht="15.75" x14ac:dyDescent="0.25">
      <c r="A44" s="406"/>
      <c r="B44" s="407"/>
    </row>
    <row r="45" spans="1:16" ht="15.75" x14ac:dyDescent="0.25">
      <c r="A45" s="237"/>
      <c r="B45" s="407"/>
    </row>
    <row r="46" spans="1:16" ht="15.75" x14ac:dyDescent="0.25">
      <c r="A46" s="237"/>
      <c r="B46" s="407"/>
    </row>
    <row r="47" spans="1:16" ht="15.75" x14ac:dyDescent="0.25">
      <c r="A47" s="237"/>
      <c r="B47" s="407"/>
    </row>
    <row r="48" spans="1:16" ht="15.75" x14ac:dyDescent="0.25">
      <c r="A48" s="237"/>
      <c r="B48" s="407"/>
    </row>
    <row r="49" spans="1:2" ht="15.75" x14ac:dyDescent="0.25">
      <c r="A49" s="237"/>
      <c r="B49" s="407"/>
    </row>
    <row r="50" spans="1:2" ht="15.75" x14ac:dyDescent="0.25">
      <c r="A50" s="237"/>
      <c r="B50" s="408"/>
    </row>
  </sheetData>
  <mergeCells count="2">
    <mergeCell ref="A1:L1"/>
    <mergeCell ref="A2:L2"/>
  </mergeCells>
  <phoneticPr fontId="31" type="noConversion"/>
  <pageMargins left="0.75" right="0.75" top="1" bottom="1" header="0.5" footer="0.5"/>
  <pageSetup scale="7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workbookViewId="0">
      <selection activeCell="A4" sqref="A4:F4"/>
    </sheetView>
  </sheetViews>
  <sheetFormatPr defaultColWidth="9" defaultRowHeight="11.25" x14ac:dyDescent="0.2"/>
  <cols>
    <col min="1" max="1" width="5.21875" style="264" customWidth="1"/>
    <col min="2" max="2" width="9" style="264"/>
    <col min="3" max="3" width="29.44140625" style="264" customWidth="1"/>
    <col min="4" max="4" width="12.33203125" style="264" customWidth="1"/>
    <col min="5" max="5" width="11.6640625" style="264" bestFit="1" customWidth="1"/>
    <col min="6" max="6" width="11.77734375" style="264" customWidth="1"/>
    <col min="7" max="7" width="12.109375" style="264" customWidth="1"/>
    <col min="8" max="8" width="10.21875" style="264" bestFit="1" customWidth="1"/>
    <col min="9" max="9" width="10.44140625" style="21" bestFit="1" customWidth="1"/>
    <col min="10" max="16384" width="9" style="264"/>
  </cols>
  <sheetData>
    <row r="1" spans="1:8" x14ac:dyDescent="0.2">
      <c r="A1" s="890" t="s">
        <v>1175</v>
      </c>
      <c r="B1" s="890"/>
      <c r="C1" s="890"/>
      <c r="D1" s="890"/>
      <c r="E1" s="890"/>
      <c r="F1" s="890"/>
      <c r="G1" s="263"/>
    </row>
    <row r="2" spans="1:8" x14ac:dyDescent="0.2">
      <c r="A2" s="265"/>
      <c r="B2" s="265"/>
      <c r="C2" s="265"/>
      <c r="D2" s="265"/>
      <c r="E2" s="265"/>
      <c r="F2" s="265"/>
      <c r="G2" s="265"/>
    </row>
    <row r="3" spans="1:8" x14ac:dyDescent="0.2">
      <c r="A3" s="890" t="s">
        <v>1176</v>
      </c>
      <c r="B3" s="890"/>
      <c r="C3" s="890"/>
      <c r="D3" s="890"/>
      <c r="E3" s="890"/>
      <c r="F3" s="890"/>
      <c r="G3" s="263"/>
    </row>
    <row r="4" spans="1:8" x14ac:dyDescent="0.2">
      <c r="A4" s="891"/>
      <c r="B4" s="891"/>
      <c r="C4" s="891"/>
      <c r="D4" s="891"/>
      <c r="E4" s="891"/>
      <c r="F4" s="891"/>
      <c r="G4" s="266"/>
    </row>
    <row r="5" spans="1:8" x14ac:dyDescent="0.2">
      <c r="A5" s="265"/>
      <c r="B5" s="265"/>
      <c r="C5" s="265"/>
      <c r="D5" s="265"/>
      <c r="E5" s="265"/>
      <c r="F5" s="265"/>
      <c r="G5" s="265"/>
    </row>
    <row r="8" spans="1:8" x14ac:dyDescent="0.2">
      <c r="A8" s="264" t="s">
        <v>1177</v>
      </c>
      <c r="F8" s="392">
        <v>49287221.380000003</v>
      </c>
      <c r="G8" s="264" t="s">
        <v>1178</v>
      </c>
    </row>
    <row r="9" spans="1:8" x14ac:dyDescent="0.2">
      <c r="A9" s="267" t="s">
        <v>1179</v>
      </c>
      <c r="E9" s="211"/>
      <c r="F9" s="393">
        <v>540424.41</v>
      </c>
      <c r="G9" s="264" t="s">
        <v>1178</v>
      </c>
    </row>
    <row r="10" spans="1:8" x14ac:dyDescent="0.2">
      <c r="E10" s="212"/>
    </row>
    <row r="11" spans="1:8" ht="12" thickBot="1" x14ac:dyDescent="0.25">
      <c r="A11" s="264" t="s">
        <v>1180</v>
      </c>
      <c r="E11" s="211"/>
      <c r="F11" s="213">
        <f>+F8-F9</f>
        <v>48746796.970000006</v>
      </c>
      <c r="G11" s="21"/>
      <c r="H11" s="21"/>
    </row>
    <row r="12" spans="1:8" ht="12" thickTop="1" x14ac:dyDescent="0.2">
      <c r="B12" s="267" t="s">
        <v>1181</v>
      </c>
      <c r="D12" s="21"/>
      <c r="F12" s="21"/>
      <c r="G12" s="21"/>
    </row>
    <row r="13" spans="1:8" x14ac:dyDescent="0.2">
      <c r="D13" s="21"/>
      <c r="F13" s="21"/>
      <c r="G13" s="21"/>
    </row>
    <row r="14" spans="1:8" x14ac:dyDescent="0.2">
      <c r="B14" s="264" t="s">
        <v>1182</v>
      </c>
      <c r="D14" s="210">
        <f>'Inv Org'!C47</f>
        <v>31654070.992561281</v>
      </c>
      <c r="E14" s="211"/>
      <c r="F14" s="210"/>
      <c r="G14" s="21"/>
    </row>
    <row r="15" spans="1:8" x14ac:dyDescent="0.2">
      <c r="B15" s="264" t="s">
        <v>1183</v>
      </c>
      <c r="D15" s="21">
        <f>F9</f>
        <v>540424.41</v>
      </c>
      <c r="E15" s="211"/>
      <c r="F15" s="210">
        <f>D14+D15</f>
        <v>32194495.402561281</v>
      </c>
      <c r="G15" s="21"/>
    </row>
    <row r="16" spans="1:8" x14ac:dyDescent="0.2">
      <c r="B16" s="264" t="s">
        <v>1184</v>
      </c>
      <c r="E16" s="211"/>
      <c r="F16" s="21">
        <f>D34</f>
        <v>7173912.4451532653</v>
      </c>
      <c r="G16" s="21"/>
    </row>
    <row r="17" spans="2:8" x14ac:dyDescent="0.2">
      <c r="B17" s="264" t="s">
        <v>1185</v>
      </c>
      <c r="D17" s="21"/>
      <c r="F17" s="214">
        <f>D35</f>
        <v>9918813.5182257369</v>
      </c>
      <c r="G17" s="21"/>
    </row>
    <row r="18" spans="2:8" x14ac:dyDescent="0.2">
      <c r="D18" s="21"/>
      <c r="F18" s="21">
        <f>SUM(F15:F17)</f>
        <v>49287221.36594028</v>
      </c>
      <c r="G18" s="210"/>
      <c r="H18" s="268"/>
    </row>
    <row r="19" spans="2:8" x14ac:dyDescent="0.2">
      <c r="B19" s="269"/>
      <c r="C19" s="270"/>
      <c r="D19" s="215"/>
      <c r="E19" s="212"/>
      <c r="F19" s="216"/>
      <c r="G19" s="216"/>
    </row>
    <row r="20" spans="2:8" x14ac:dyDescent="0.2">
      <c r="B20" s="269"/>
      <c r="C20" s="270"/>
      <c r="D20" s="216"/>
      <c r="E20" s="212"/>
      <c r="F20" s="216"/>
      <c r="G20" s="216"/>
    </row>
    <row r="21" spans="2:8" x14ac:dyDescent="0.2">
      <c r="B21" s="269"/>
      <c r="C21" s="269"/>
      <c r="D21" s="216"/>
      <c r="E21" s="212"/>
      <c r="F21" s="216"/>
      <c r="G21" s="216"/>
    </row>
    <row r="22" spans="2:8" x14ac:dyDescent="0.2">
      <c r="B22" s="269"/>
      <c r="C22" s="269"/>
      <c r="D22" s="216"/>
      <c r="E22" s="212"/>
      <c r="F22" s="269"/>
      <c r="G22" s="216"/>
    </row>
    <row r="23" spans="2:8" x14ac:dyDescent="0.2">
      <c r="B23" s="269"/>
      <c r="C23" s="269"/>
      <c r="D23" s="216"/>
      <c r="E23" s="212"/>
      <c r="F23" s="269"/>
      <c r="G23" s="216"/>
    </row>
    <row r="24" spans="2:8" x14ac:dyDescent="0.2">
      <c r="C24" s="264" t="s">
        <v>1186</v>
      </c>
      <c r="D24" s="216"/>
      <c r="E24" s="212"/>
      <c r="F24" s="216"/>
      <c r="G24" s="216"/>
    </row>
    <row r="25" spans="2:8" x14ac:dyDescent="0.2">
      <c r="B25" s="269"/>
      <c r="C25" s="269" t="s">
        <v>915</v>
      </c>
      <c r="D25" s="215">
        <f>'Inv Org'!C48</f>
        <v>8549116.77308123</v>
      </c>
      <c r="E25" s="212">
        <f>ROUND(D25/D27,4)</f>
        <v>0.58030000000000004</v>
      </c>
      <c r="F25" s="216"/>
      <c r="G25" s="216"/>
    </row>
    <row r="26" spans="2:8" x14ac:dyDescent="0.2">
      <c r="B26" s="269"/>
      <c r="C26" s="270" t="s">
        <v>450</v>
      </c>
      <c r="D26" s="215">
        <f>'Inv Org'!C49</f>
        <v>6183283.9358698791</v>
      </c>
      <c r="E26" s="217">
        <f>ROUND(D26/D27,4)</f>
        <v>0.41970000000000002</v>
      </c>
      <c r="F26" s="216"/>
      <c r="G26" s="216"/>
    </row>
    <row r="27" spans="2:8" ht="12" thickBot="1" x14ac:dyDescent="0.25">
      <c r="B27" s="269"/>
      <c r="C27" s="270"/>
      <c r="D27" s="219">
        <f>D26+D25</f>
        <v>14732400.708951108</v>
      </c>
      <c r="E27" s="218">
        <f>SUM(E25:E26)</f>
        <v>1</v>
      </c>
      <c r="F27" s="216"/>
      <c r="G27" s="216"/>
    </row>
    <row r="28" spans="2:8" ht="12" thickTop="1" x14ac:dyDescent="0.2">
      <c r="B28" s="269"/>
      <c r="C28" s="269"/>
      <c r="D28" s="216"/>
      <c r="E28" s="212"/>
      <c r="F28" s="216"/>
      <c r="G28" s="216"/>
    </row>
    <row r="29" spans="2:8" x14ac:dyDescent="0.2">
      <c r="B29" s="269"/>
      <c r="C29" s="269" t="s">
        <v>1187</v>
      </c>
      <c r="D29" s="215">
        <f>'Inv Org'!C50</f>
        <v>2360325.2544278922</v>
      </c>
      <c r="E29" s="269"/>
      <c r="F29" s="216"/>
      <c r="G29" s="216"/>
    </row>
    <row r="30" spans="2:8" x14ac:dyDescent="0.2">
      <c r="B30" s="269"/>
      <c r="C30" s="337" t="str">
        <f>"to transmission total "&amp;E25*100&amp;"%:"</f>
        <v>to transmission total 58.03%:</v>
      </c>
      <c r="D30" s="271">
        <f>D29*E25</f>
        <v>1369696.745144506</v>
      </c>
      <c r="E30" s="271"/>
      <c r="F30" s="216"/>
      <c r="G30" s="216"/>
    </row>
    <row r="31" spans="2:8" x14ac:dyDescent="0.2">
      <c r="B31" s="269"/>
      <c r="C31" s="337" t="str">
        <f>"to distribution total "&amp;E26*100&amp;"%:"</f>
        <v>to distribution total 41.97%:</v>
      </c>
      <c r="D31" s="271">
        <f>D29*E26</f>
        <v>990628.5092833864</v>
      </c>
      <c r="E31" s="269"/>
      <c r="F31" s="269"/>
      <c r="G31" s="269"/>
    </row>
    <row r="32" spans="2:8" ht="12" thickBot="1" x14ac:dyDescent="0.25">
      <c r="B32" s="269"/>
      <c r="C32" s="269"/>
      <c r="D32" s="219">
        <f>D30+D31</f>
        <v>2360325.2544278922</v>
      </c>
      <c r="E32" s="269"/>
      <c r="F32" s="269"/>
      <c r="G32" s="269"/>
    </row>
    <row r="33" spans="2:7" ht="12" thickTop="1" x14ac:dyDescent="0.2">
      <c r="B33" s="269"/>
      <c r="C33" s="269"/>
      <c r="D33" s="269"/>
      <c r="E33" s="269"/>
      <c r="F33" s="269"/>
      <c r="G33" s="269"/>
    </row>
    <row r="34" spans="2:7" x14ac:dyDescent="0.2">
      <c r="B34" s="269"/>
      <c r="C34" s="269" t="s">
        <v>450</v>
      </c>
      <c r="D34" s="271">
        <f>D26+D31</f>
        <v>7173912.4451532653</v>
      </c>
      <c r="E34" s="269"/>
      <c r="F34" s="269"/>
      <c r="G34" s="269"/>
    </row>
    <row r="35" spans="2:7" x14ac:dyDescent="0.2">
      <c r="B35" s="269"/>
      <c r="C35" s="269" t="s">
        <v>915</v>
      </c>
      <c r="D35" s="271">
        <f>D25+D30</f>
        <v>9918813.5182257369</v>
      </c>
      <c r="E35" s="269"/>
      <c r="F35" s="269"/>
      <c r="G35" s="269"/>
    </row>
    <row r="36" spans="2:7" x14ac:dyDescent="0.2">
      <c r="B36" s="269"/>
      <c r="C36" s="269" t="s">
        <v>1188</v>
      </c>
      <c r="D36" s="271">
        <f>F15</f>
        <v>32194495.402561281</v>
      </c>
      <c r="E36" s="269"/>
      <c r="F36" s="269"/>
      <c r="G36" s="269"/>
    </row>
    <row r="37" spans="2:7" x14ac:dyDescent="0.2">
      <c r="B37" s="269"/>
      <c r="C37" s="264" t="s">
        <v>1189</v>
      </c>
      <c r="D37" s="272">
        <v>0</v>
      </c>
      <c r="E37" s="269"/>
      <c r="F37" s="269"/>
      <c r="G37" s="269"/>
    </row>
    <row r="38" spans="2:7" x14ac:dyDescent="0.2">
      <c r="B38" s="269"/>
      <c r="C38" s="269"/>
      <c r="D38" s="271">
        <f>SUM(D34:D37)</f>
        <v>49287221.365940288</v>
      </c>
      <c r="E38" s="269"/>
      <c r="F38" s="269"/>
      <c r="G38" s="269"/>
    </row>
    <row r="39" spans="2:7" x14ac:dyDescent="0.2">
      <c r="B39" s="269"/>
      <c r="C39" s="269"/>
      <c r="D39" s="269"/>
      <c r="E39" s="269"/>
      <c r="F39" s="269"/>
      <c r="G39" s="269"/>
    </row>
    <row r="40" spans="2:7" x14ac:dyDescent="0.2">
      <c r="B40" s="269"/>
      <c r="C40" s="269"/>
      <c r="D40" s="269"/>
      <c r="E40" s="269"/>
      <c r="F40" s="269"/>
      <c r="G40" s="269"/>
    </row>
  </sheetData>
  <mergeCells count="3">
    <mergeCell ref="A1:F1"/>
    <mergeCell ref="A3:F3"/>
    <mergeCell ref="A4:F4"/>
  </mergeCells>
  <pageMargins left="0.75" right="0.75" top="1" bottom="1" header="0.5" footer="0.5"/>
  <pageSetup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1399"/>
  <sheetViews>
    <sheetView tabSelected="1" view="pageBreakPreview" zoomScale="55" zoomScaleNormal="75" zoomScaleSheetLayoutView="55" workbookViewId="0">
      <selection activeCell="R19" sqref="R19"/>
    </sheetView>
  </sheetViews>
  <sheetFormatPr defaultColWidth="8" defaultRowHeight="12.75" x14ac:dyDescent="0.2"/>
  <cols>
    <col min="1" max="1" width="5.44140625" style="323" customWidth="1"/>
    <col min="2" max="2" width="51.6640625" style="3" customWidth="1"/>
    <col min="3" max="3" width="17.77734375" style="3" customWidth="1"/>
    <col min="4" max="4" width="20.6640625" style="3" customWidth="1"/>
    <col min="5" max="5" width="17.88671875" style="3" customWidth="1"/>
    <col min="6" max="6" width="20.6640625" style="3" customWidth="1"/>
    <col min="7" max="7" width="17.88671875" style="3" hidden="1" customWidth="1"/>
    <col min="8" max="8" width="17.88671875" style="3" customWidth="1"/>
    <col min="9" max="9" width="19.88671875" style="3" customWidth="1"/>
    <col min="10" max="11" width="6.109375" style="3" hidden="1" customWidth="1"/>
    <col min="12" max="12" width="18.21875" style="3" customWidth="1"/>
    <col min="13" max="13" width="18.109375" style="3" hidden="1" customWidth="1"/>
    <col min="14" max="16" width="18" style="3" customWidth="1"/>
    <col min="17" max="17" width="14" style="3" customWidth="1"/>
    <col min="18" max="16384" width="8" style="3"/>
  </cols>
  <sheetData>
    <row r="1" spans="1:19" ht="15" x14ac:dyDescent="0.2">
      <c r="A1" s="320"/>
      <c r="B1" s="1"/>
      <c r="C1" s="1"/>
      <c r="D1" s="1">
        <v>0</v>
      </c>
      <c r="E1" s="1">
        <v>1</v>
      </c>
      <c r="F1" s="324">
        <f t="shared" ref="F1:S1" si="0">1+E1</f>
        <v>2</v>
      </c>
      <c r="G1" s="2">
        <f t="shared" si="0"/>
        <v>3</v>
      </c>
      <c r="H1" s="324">
        <f t="shared" si="0"/>
        <v>4</v>
      </c>
      <c r="I1" s="324">
        <f t="shared" si="0"/>
        <v>5</v>
      </c>
      <c r="J1" s="324">
        <f t="shared" si="0"/>
        <v>6</v>
      </c>
      <c r="K1" s="324">
        <f t="shared" si="0"/>
        <v>7</v>
      </c>
      <c r="L1" s="324">
        <f t="shared" si="0"/>
        <v>8</v>
      </c>
      <c r="M1" s="324">
        <f t="shared" si="0"/>
        <v>9</v>
      </c>
      <c r="N1" s="324">
        <f t="shared" si="0"/>
        <v>10</v>
      </c>
      <c r="O1" s="324">
        <f t="shared" si="0"/>
        <v>11</v>
      </c>
      <c r="P1" s="324">
        <f t="shared" si="0"/>
        <v>12</v>
      </c>
      <c r="Q1" s="324">
        <f t="shared" si="0"/>
        <v>13</v>
      </c>
      <c r="R1" s="324">
        <f t="shared" si="0"/>
        <v>14</v>
      </c>
      <c r="S1" s="324">
        <f t="shared" si="0"/>
        <v>15</v>
      </c>
    </row>
    <row r="2" spans="1:19" ht="15" x14ac:dyDescent="0.2">
      <c r="A2" s="321"/>
      <c r="B2" s="50"/>
      <c r="C2" s="4"/>
      <c r="D2" s="4"/>
      <c r="F2" s="5" t="s">
        <v>545</v>
      </c>
      <c r="G2" s="4"/>
      <c r="H2" s="4"/>
      <c r="I2" s="4"/>
      <c r="J2" s="4"/>
      <c r="K2" s="4"/>
      <c r="L2" s="4"/>
      <c r="M2" s="2" t="str">
        <f>F2</f>
        <v xml:space="preserve">         KENTUCKY UTILITIES COMPANY</v>
      </c>
      <c r="N2" s="4"/>
      <c r="O2" s="4"/>
      <c r="P2" s="409"/>
      <c r="Q2" s="4"/>
      <c r="R2" s="4"/>
      <c r="S2" s="4"/>
    </row>
    <row r="3" spans="1:19" ht="15" x14ac:dyDescent="0.2">
      <c r="A3" s="321"/>
      <c r="B3" s="51"/>
      <c r="C3" s="4"/>
      <c r="D3" s="4"/>
      <c r="F3" s="5" t="s">
        <v>698</v>
      </c>
      <c r="G3" s="4"/>
      <c r="H3" s="4"/>
      <c r="I3" s="6"/>
      <c r="J3" s="4"/>
      <c r="K3" s="4"/>
      <c r="L3" s="4"/>
      <c r="M3" s="2" t="str">
        <f>F3</f>
        <v xml:space="preserve">     ELECTRIC COST OF SERVICE STUDY</v>
      </c>
      <c r="N3" s="4"/>
      <c r="O3" s="4"/>
      <c r="P3" s="410"/>
      <c r="R3" s="4"/>
      <c r="S3" s="4"/>
    </row>
    <row r="4" spans="1:19" ht="15" x14ac:dyDescent="0.2">
      <c r="A4" s="321"/>
      <c r="B4" s="4"/>
      <c r="C4" s="4"/>
      <c r="D4" s="4"/>
      <c r="F4" s="5" t="s">
        <v>546</v>
      </c>
      <c r="G4" s="4"/>
      <c r="H4" s="4"/>
      <c r="I4" s="4"/>
      <c r="J4" s="4"/>
      <c r="K4" s="4"/>
      <c r="L4" s="4"/>
      <c r="M4" s="2" t="str">
        <f>F4</f>
        <v xml:space="preserve">          JURISDICTIONAL SEPARATION</v>
      </c>
      <c r="N4" s="4"/>
      <c r="O4" s="4"/>
      <c r="P4" s="4"/>
      <c r="Q4" s="4"/>
      <c r="R4" s="4"/>
      <c r="S4" s="4"/>
    </row>
    <row r="5" spans="1:19" ht="15" x14ac:dyDescent="0.2">
      <c r="A5" s="321"/>
      <c r="B5" s="6" t="s">
        <v>2452</v>
      </c>
      <c r="C5" s="4"/>
      <c r="D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ht="15" x14ac:dyDescent="0.2">
      <c r="A6" s="321"/>
      <c r="B6" s="157" t="s">
        <v>600</v>
      </c>
      <c r="C6" s="4"/>
      <c r="D6" s="16"/>
      <c r="F6" s="17" t="str">
        <f>TOTALCO!$E17</f>
        <v xml:space="preserve">    12 MONTHS ENDING APRIL 30, 2020</v>
      </c>
      <c r="G6" s="4"/>
      <c r="H6" s="4"/>
      <c r="I6" s="4"/>
      <c r="J6" s="4"/>
      <c r="K6" s="4"/>
      <c r="L6" s="4"/>
      <c r="M6" s="2" t="str">
        <f>F6</f>
        <v xml:space="preserve">    12 MONTHS ENDING APRIL 30, 2020</v>
      </c>
      <c r="N6" s="4"/>
      <c r="O6" s="4"/>
      <c r="P6" s="4"/>
      <c r="Q6" s="4"/>
      <c r="R6" s="4"/>
      <c r="S6" s="4"/>
    </row>
    <row r="7" spans="1:19" ht="15" x14ac:dyDescent="0.2">
      <c r="A7" s="321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19" ht="15" x14ac:dyDescent="0.2">
      <c r="A8" s="321"/>
      <c r="B8" s="4"/>
      <c r="C8" s="4"/>
      <c r="D8" s="7" t="s">
        <v>547</v>
      </c>
      <c r="E8" s="4"/>
      <c r="F8" s="7" t="s">
        <v>548</v>
      </c>
      <c r="G8" s="4"/>
      <c r="H8" s="7" t="s">
        <v>552</v>
      </c>
      <c r="I8" s="18" t="s">
        <v>700</v>
      </c>
      <c r="J8" s="4"/>
      <c r="K8" s="4"/>
      <c r="L8" s="7" t="s">
        <v>549</v>
      </c>
      <c r="M8" s="4"/>
      <c r="N8" s="4"/>
      <c r="O8" s="4"/>
      <c r="P8" s="4"/>
      <c r="Q8" s="4"/>
      <c r="R8" s="4"/>
      <c r="S8" s="4"/>
    </row>
    <row r="9" spans="1:19" ht="15" x14ac:dyDescent="0.2">
      <c r="A9" s="321"/>
      <c r="B9" s="4"/>
      <c r="C9" s="4"/>
      <c r="D9" s="7" t="s">
        <v>548</v>
      </c>
      <c r="E9" s="4"/>
      <c r="F9" s="7" t="s">
        <v>551</v>
      </c>
      <c r="G9" s="4"/>
      <c r="H9" s="7" t="s">
        <v>551</v>
      </c>
      <c r="I9" s="7" t="s">
        <v>549</v>
      </c>
      <c r="J9" s="4"/>
      <c r="K9" s="4"/>
      <c r="L9" s="7" t="s">
        <v>551</v>
      </c>
      <c r="M9" s="7"/>
      <c r="N9" s="7" t="s">
        <v>553</v>
      </c>
      <c r="O9" s="4"/>
      <c r="P9" s="4"/>
      <c r="Q9" s="4"/>
      <c r="R9" s="4"/>
      <c r="S9" s="4"/>
    </row>
    <row r="10" spans="1:19" ht="15" x14ac:dyDescent="0.2">
      <c r="A10" s="321"/>
      <c r="B10" s="4"/>
      <c r="C10" s="8" t="s">
        <v>554</v>
      </c>
      <c r="D10" s="7" t="s">
        <v>557</v>
      </c>
      <c r="E10" s="4"/>
      <c r="F10" s="7" t="s">
        <v>558</v>
      </c>
      <c r="G10" s="4"/>
      <c r="H10" s="7" t="s">
        <v>558</v>
      </c>
      <c r="I10" s="7" t="s">
        <v>558</v>
      </c>
      <c r="J10" s="4"/>
      <c r="K10" s="4"/>
      <c r="L10" s="7" t="s">
        <v>558</v>
      </c>
      <c r="M10" s="7"/>
      <c r="N10" s="7" t="s">
        <v>558</v>
      </c>
      <c r="O10" s="7" t="s">
        <v>559</v>
      </c>
      <c r="P10" s="7" t="s">
        <v>560</v>
      </c>
      <c r="Q10" s="7"/>
      <c r="R10" s="4"/>
      <c r="S10" s="4"/>
    </row>
    <row r="11" spans="1:19" ht="15" x14ac:dyDescent="0.2">
      <c r="A11" s="321"/>
      <c r="B11" s="4"/>
      <c r="C11" s="4"/>
      <c r="D11" s="199" t="s">
        <v>141</v>
      </c>
      <c r="E11" s="4"/>
      <c r="F11" s="7" t="s">
        <v>563</v>
      </c>
      <c r="G11" s="4"/>
      <c r="H11" s="19">
        <v>-3</v>
      </c>
      <c r="I11" s="19">
        <v>-4</v>
      </c>
      <c r="J11" s="4"/>
      <c r="K11" s="4"/>
      <c r="L11" s="19">
        <v>-5</v>
      </c>
      <c r="M11" s="7"/>
      <c r="N11" s="7" t="s">
        <v>564</v>
      </c>
      <c r="O11" s="7" t="s">
        <v>565</v>
      </c>
      <c r="P11" s="7" t="s">
        <v>566</v>
      </c>
      <c r="Q11" s="7"/>
      <c r="R11" s="4"/>
      <c r="S11" s="4"/>
    </row>
    <row r="12" spans="1:19" ht="15" x14ac:dyDescent="0.2">
      <c r="A12" s="321"/>
      <c r="B12" s="4"/>
      <c r="C12" s="9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 ht="15" x14ac:dyDescent="0.2">
      <c r="A13" s="321" t="str">
        <f>IF(TOTALCO!A539="", "",TOTALCO!A539)</f>
        <v/>
      </c>
      <c r="B13" s="4" t="str">
        <f>IF(TOTALCO!B539="", "",TOTALCO!B539)</f>
        <v>SUMMARY OF RESULTS AS ALLOCATED</v>
      </c>
      <c r="C13" s="4" t="str">
        <f>IF(TOTALCO!C539="", "",TOTALCO!C539)</f>
        <v/>
      </c>
      <c r="D13" s="4" t="str">
        <f>IF(TOTALCO!D539="", "",TOTALCO!D539)</f>
        <v/>
      </c>
      <c r="E13" s="4" t="str">
        <f>IF(TOTALCO!E539="", "",TOTALCO!E539)</f>
        <v/>
      </c>
      <c r="F13" s="4" t="str">
        <f>IF(TOTALCO!F539="", "",TOTALCO!F539)</f>
        <v/>
      </c>
      <c r="G13" s="4" t="str">
        <f>IF(TOTALCO!G539="", "",TOTALCO!G539)</f>
        <v/>
      </c>
      <c r="H13" s="4" t="str">
        <f>IF(TOTALCO!H539="", "",TOTALCO!H539)</f>
        <v/>
      </c>
      <c r="I13" s="4" t="str">
        <f>IF(TOTALCO!I539="", "",TOTALCO!I539)</f>
        <v/>
      </c>
      <c r="J13" s="4" t="str">
        <f>IF(TOTALCO!J539="", "",TOTALCO!J539)</f>
        <v/>
      </c>
      <c r="K13" s="4" t="str">
        <f>IF(TOTALCO!K539="", "",TOTALCO!K539)</f>
        <v/>
      </c>
      <c r="L13" s="4" t="str">
        <f>IF(TOTALCO!L539="", "",TOTALCO!L539)</f>
        <v/>
      </c>
      <c r="M13" s="4" t="str">
        <f>IF(TOTALCO!M539="", "",TOTALCO!M539)</f>
        <v/>
      </c>
      <c r="N13" s="4" t="str">
        <f>IF(TOTALCO!N539="", "",TOTALCO!N539)</f>
        <v/>
      </c>
      <c r="O13" s="4" t="str">
        <f>IF(TOTALCO!O539="", "",TOTALCO!O539)</f>
        <v/>
      </c>
      <c r="P13" s="4" t="str">
        <f>IF(TOTALCO!P539="", "",TOTALCO!P539)</f>
        <v/>
      </c>
      <c r="Q13" s="4"/>
      <c r="R13" s="4"/>
      <c r="S13" s="4"/>
    </row>
    <row r="14" spans="1:19" ht="15" x14ac:dyDescent="0.2">
      <c r="A14" s="321" t="str">
        <f>IF(TOTALCO!A540="", "",TOTALCO!A540)</f>
        <v/>
      </c>
      <c r="B14" s="4" t="str">
        <f>IF(TOTALCO!B540="", "",TOTALCO!B540)</f>
        <v/>
      </c>
      <c r="C14" s="4" t="str">
        <f>IF(TOTALCO!C540="", "",TOTALCO!C540)</f>
        <v/>
      </c>
      <c r="D14" s="4" t="str">
        <f>IF(TOTALCO!D540="", "",TOTALCO!D540)</f>
        <v/>
      </c>
      <c r="E14" s="4" t="str">
        <f>IF(TOTALCO!E540="", "",TOTALCO!E540)</f>
        <v/>
      </c>
      <c r="F14" s="4" t="str">
        <f>IF(TOTALCO!F540="", "",TOTALCO!F540)</f>
        <v/>
      </c>
      <c r="G14" s="4" t="str">
        <f>IF(TOTALCO!G540="", "",TOTALCO!G540)</f>
        <v/>
      </c>
      <c r="H14" s="4" t="str">
        <f>IF(TOTALCO!H540="", "",TOTALCO!H540)</f>
        <v/>
      </c>
      <c r="I14" s="4" t="str">
        <f>IF(TOTALCO!I540="", "",TOTALCO!I540)</f>
        <v/>
      </c>
      <c r="J14" s="4" t="str">
        <f>IF(TOTALCO!J540="", "",TOTALCO!J540)</f>
        <v/>
      </c>
      <c r="K14" s="4" t="str">
        <f>IF(TOTALCO!K540="", "",TOTALCO!K540)</f>
        <v/>
      </c>
      <c r="L14" s="4" t="str">
        <f>IF(TOTALCO!L540="", "",TOTALCO!L540)</f>
        <v/>
      </c>
      <c r="M14" s="4" t="str">
        <f>IF(TOTALCO!M540="", "",TOTALCO!M540)</f>
        <v/>
      </c>
      <c r="N14" s="4" t="str">
        <f>IF(TOTALCO!N540="", "",TOTALCO!N540)</f>
        <v/>
      </c>
      <c r="O14" s="4" t="str">
        <f>IF(TOTALCO!O540="", "",TOTALCO!O540)</f>
        <v/>
      </c>
      <c r="P14" s="4" t="str">
        <f>IF(TOTALCO!P540="", "",TOTALCO!P540)</f>
        <v/>
      </c>
      <c r="Q14" s="4"/>
      <c r="R14" s="4"/>
      <c r="S14" s="4"/>
    </row>
    <row r="15" spans="1:19" ht="15" x14ac:dyDescent="0.2">
      <c r="A15" s="321" t="str">
        <f>IF(TOTALCO!A541="", "",TOTALCO!A541)</f>
        <v/>
      </c>
      <c r="B15" s="4" t="str">
        <f>IF(TOTALCO!B541="", "",TOTALCO!B541)</f>
        <v>ELEMENTS OF RATE BASE</v>
      </c>
      <c r="C15" s="4" t="str">
        <f>IF(TOTALCO!C541="", "",TOTALCO!C541)</f>
        <v/>
      </c>
      <c r="D15" s="4" t="str">
        <f>IF(TOTALCO!D541="", "",TOTALCO!D541)</f>
        <v/>
      </c>
      <c r="E15" s="4" t="str">
        <f>IF(TOTALCO!E541="", "",TOTALCO!E541)</f>
        <v/>
      </c>
      <c r="F15" s="4" t="str">
        <f>IF(TOTALCO!F541="", "",TOTALCO!F541)</f>
        <v/>
      </c>
      <c r="G15" s="4" t="str">
        <f>IF(TOTALCO!G541="", "",TOTALCO!G541)</f>
        <v/>
      </c>
      <c r="H15" s="4" t="str">
        <f>IF(TOTALCO!H541="", "",TOTALCO!H541)</f>
        <v/>
      </c>
      <c r="I15" s="4" t="str">
        <f>IF(TOTALCO!I541="", "",TOTALCO!I541)</f>
        <v/>
      </c>
      <c r="J15" s="4" t="str">
        <f>IF(TOTALCO!J541="", "",TOTALCO!J541)</f>
        <v/>
      </c>
      <c r="K15" s="4" t="str">
        <f>IF(TOTALCO!K541="", "",TOTALCO!K541)</f>
        <v/>
      </c>
      <c r="L15" s="4" t="str">
        <f>IF(TOTALCO!L541="", "",TOTALCO!L541)</f>
        <v/>
      </c>
      <c r="M15" s="4" t="str">
        <f>IF(TOTALCO!M541="", "",TOTALCO!M541)</f>
        <v/>
      </c>
      <c r="N15" s="4" t="str">
        <f>IF(TOTALCO!N541="", "",TOTALCO!N541)</f>
        <v/>
      </c>
      <c r="O15" s="4" t="str">
        <f>IF(TOTALCO!O541="", "",TOTALCO!O541)</f>
        <v/>
      </c>
      <c r="P15" s="4" t="str">
        <f>IF(TOTALCO!P541="", "",TOTALCO!P541)</f>
        <v/>
      </c>
      <c r="Q15" s="4"/>
      <c r="R15" s="4"/>
      <c r="S15" s="4"/>
    </row>
    <row r="16" spans="1:19" ht="15" x14ac:dyDescent="0.2">
      <c r="A16" s="321" t="str">
        <f>IF(TOTALCO!A542="", "",TOTALCO!A542)</f>
        <v/>
      </c>
      <c r="B16" s="4" t="str">
        <f>IF(TOTALCO!B542="", "",TOTALCO!B542)</f>
        <v/>
      </c>
      <c r="C16" s="4" t="str">
        <f>IF(TOTALCO!C542="", "",TOTALCO!C542)</f>
        <v/>
      </c>
      <c r="D16" s="4" t="str">
        <f>IF(TOTALCO!D542="", "",TOTALCO!D542)</f>
        <v/>
      </c>
      <c r="E16" s="4" t="str">
        <f>IF(TOTALCO!E542="", "",TOTALCO!E542)</f>
        <v/>
      </c>
      <c r="F16" s="4" t="str">
        <f>IF(TOTALCO!F542="", "",TOTALCO!F542)</f>
        <v/>
      </c>
      <c r="G16" s="4" t="str">
        <f>IF(TOTALCO!G542="", "",TOTALCO!G542)</f>
        <v/>
      </c>
      <c r="H16" s="4" t="str">
        <f>IF(TOTALCO!H542="", "",TOTALCO!H542)</f>
        <v/>
      </c>
      <c r="I16" s="4" t="str">
        <f>IF(TOTALCO!I542="", "",TOTALCO!I542)</f>
        <v/>
      </c>
      <c r="J16" s="4" t="str">
        <f>IF(TOTALCO!J542="", "",TOTALCO!J542)</f>
        <v/>
      </c>
      <c r="K16" s="4" t="str">
        <f>IF(TOTALCO!K542="", "",TOTALCO!K542)</f>
        <v/>
      </c>
      <c r="L16" s="4" t="str">
        <f>IF(TOTALCO!L542="", "",TOTALCO!L542)</f>
        <v/>
      </c>
      <c r="M16" s="4" t="str">
        <f>IF(TOTALCO!M542="", "",TOTALCO!M542)</f>
        <v/>
      </c>
      <c r="N16" s="4" t="str">
        <f>IF(TOTALCO!N542="", "",TOTALCO!N542)</f>
        <v/>
      </c>
      <c r="O16" s="4" t="str">
        <f>IF(TOTALCO!O542="", "",TOTALCO!O542)</f>
        <v/>
      </c>
      <c r="P16" s="4" t="str">
        <f>IF(TOTALCO!P542="", "",TOTALCO!P542)</f>
        <v/>
      </c>
      <c r="Q16" s="4"/>
      <c r="R16" s="4"/>
      <c r="S16" s="4"/>
    </row>
    <row r="17" spans="1:19" ht="15" x14ac:dyDescent="0.2">
      <c r="A17" s="321">
        <f>IF(TOTALCO!A543="", "",TOTALCO!A543)</f>
        <v>1</v>
      </c>
      <c r="B17" s="4" t="str">
        <f>IF(TOTALCO!B543="", "",TOTALCO!B543)</f>
        <v xml:space="preserve"> PLANT IN SERVICE</v>
      </c>
      <c r="C17" s="4" t="str">
        <f>IF(TOTALCO!C543="", "",TOTALCO!C543)</f>
        <v/>
      </c>
      <c r="D17" s="12">
        <f ca="1">IF(TOTALCO!D543="", "",TOTALCO!D543)</f>
        <v>10062394693.696922</v>
      </c>
      <c r="E17" s="12" t="str">
        <f>IF(TOTALCO!E543="", "",TOTALCO!E543)</f>
        <v/>
      </c>
      <c r="F17" s="12">
        <f ca="1">IF(TOTALCO!F543="", "",TOTALCO!F543)</f>
        <v>9408080312.420742</v>
      </c>
      <c r="G17" s="12" t="str">
        <f>IF(TOTALCO!G543="", "",TOTALCO!G543)</f>
        <v/>
      </c>
      <c r="H17" s="12">
        <f ca="1">IF(TOTALCO!H543="", "",TOTALCO!H543)</f>
        <v>507908229.56304741</v>
      </c>
      <c r="I17" s="12">
        <f ca="1">IF(TOTALCO!I543="", "",TOTALCO!I543)</f>
        <v>146406151.71313202</v>
      </c>
      <c r="J17" s="12" t="str">
        <f>IF(TOTALCO!J543="", "",TOTALCO!J543)</f>
        <v/>
      </c>
      <c r="K17" s="12" t="str">
        <f>IF(TOTALCO!K543="", "",TOTALCO!K543)</f>
        <v/>
      </c>
      <c r="L17" s="12">
        <f ca="1">IF(TOTALCO!L543="", "",TOTALCO!L543)</f>
        <v>691517.97762954782</v>
      </c>
      <c r="M17" s="12" t="str">
        <f>IF(TOTALCO!M543="", "",TOTALCO!M543)</f>
        <v/>
      </c>
      <c r="N17" s="12">
        <f ca="1">IF(TOTALCO!N543="", "",TOTALCO!N543)</f>
        <v>145714633.73550248</v>
      </c>
      <c r="O17" s="12">
        <f ca="1">IF(TOTALCO!O543="", "",TOTALCO!O543)</f>
        <v>75736331.338313594</v>
      </c>
      <c r="P17" s="12">
        <f ca="1">IF(TOTALCO!P543="", "",TOTALCO!P543)</f>
        <v>69978302.397188902</v>
      </c>
      <c r="Q17" s="12"/>
      <c r="R17" s="12"/>
      <c r="S17" s="4"/>
    </row>
    <row r="18" spans="1:19" ht="15" x14ac:dyDescent="0.2">
      <c r="A18" s="321" t="str">
        <f>IF(TOTALCO!A544="", "",TOTALCO!A544)</f>
        <v/>
      </c>
      <c r="B18" s="4" t="str">
        <f>IF(TOTALCO!B544="", "",TOTALCO!B544)</f>
        <v/>
      </c>
      <c r="C18" s="4" t="str">
        <f>IF(TOTALCO!C544="", "",TOTALCO!C544)</f>
        <v/>
      </c>
      <c r="D18" s="12" t="str">
        <f>IF(TOTALCO!D544="", "",TOTALCO!D544)</f>
        <v/>
      </c>
      <c r="E18" s="12" t="str">
        <f>IF(TOTALCO!E544="", "",TOTALCO!E544)</f>
        <v/>
      </c>
      <c r="F18" s="12" t="str">
        <f>IF(TOTALCO!F544="", "",TOTALCO!F544)</f>
        <v/>
      </c>
      <c r="G18" s="12" t="str">
        <f>IF(TOTALCO!G544="", "",TOTALCO!G544)</f>
        <v/>
      </c>
      <c r="H18" s="12" t="str">
        <f>IF(TOTALCO!H544="", "",TOTALCO!H544)</f>
        <v/>
      </c>
      <c r="I18" s="12" t="str">
        <f>IF(TOTALCO!I544="", "",TOTALCO!I544)</f>
        <v/>
      </c>
      <c r="J18" s="12" t="str">
        <f>IF(TOTALCO!J544="", "",TOTALCO!J544)</f>
        <v/>
      </c>
      <c r="K18" s="12" t="str">
        <f>IF(TOTALCO!K544="", "",TOTALCO!K544)</f>
        <v/>
      </c>
      <c r="L18" s="12" t="str">
        <f>IF(TOTALCO!L544="", "",TOTALCO!L544)</f>
        <v/>
      </c>
      <c r="M18" s="12" t="str">
        <f>IF(TOTALCO!M544="", "",TOTALCO!M544)</f>
        <v/>
      </c>
      <c r="N18" s="12" t="str">
        <f>IF(TOTALCO!N544="", "",TOTALCO!N544)</f>
        <v/>
      </c>
      <c r="O18" s="12" t="str">
        <f>IF(TOTALCO!O544="", "",TOTALCO!O544)</f>
        <v/>
      </c>
      <c r="P18" s="12" t="str">
        <f>IF(TOTALCO!P544="", "",TOTALCO!P544)</f>
        <v/>
      </c>
      <c r="Q18" s="12"/>
      <c r="R18" s="12"/>
      <c r="S18" s="4"/>
    </row>
    <row r="19" spans="1:19" ht="15" x14ac:dyDescent="0.2">
      <c r="A19" s="321">
        <f>IF(TOTALCO!A545="", "",TOTALCO!A545)</f>
        <v>2</v>
      </c>
      <c r="B19" s="4" t="str">
        <f>IF(TOTALCO!B545="", "",TOTALCO!B545)</f>
        <v xml:space="preserve"> LESS RESERVE FOR DEPRECIATION</v>
      </c>
      <c r="C19" s="4" t="str">
        <f>IF(TOTALCO!C545="", "",TOTALCO!C545)</f>
        <v/>
      </c>
      <c r="D19" s="12">
        <f ca="1">IF(TOTALCO!D545="", "",TOTALCO!D545)</f>
        <v>3496764881.0426474</v>
      </c>
      <c r="E19" s="12" t="str">
        <f>IF(TOTALCO!E545="", "",TOTALCO!E545)</f>
        <v/>
      </c>
      <c r="F19" s="12">
        <f ca="1">IF(TOTALCO!F545="", "",TOTALCO!F545)</f>
        <v>3248986652.0563989</v>
      </c>
      <c r="G19" s="12" t="str">
        <f>IF(TOTALCO!G545="", "",TOTALCO!G545)</f>
        <v/>
      </c>
      <c r="H19" s="12">
        <f ca="1">IF(TOTALCO!H545="", "",TOTALCO!H545)</f>
        <v>195125323.29468253</v>
      </c>
      <c r="I19" s="12">
        <f ca="1">IF(TOTALCO!I545="", "",TOTALCO!I545)</f>
        <v>52652905.691565983</v>
      </c>
      <c r="J19" s="12" t="str">
        <f>IF(TOTALCO!J545="", "",TOTALCO!J545)</f>
        <v/>
      </c>
      <c r="K19" s="12" t="str">
        <f>IF(TOTALCO!K545="", "",TOTALCO!K545)</f>
        <v/>
      </c>
      <c r="L19" s="12">
        <f ca="1">IF(TOTALCO!L545="", "",TOTALCO!L545)</f>
        <v>170032.16873777637</v>
      </c>
      <c r="M19" s="12" t="str">
        <f>IF(TOTALCO!M545="", "",TOTALCO!M545)</f>
        <v/>
      </c>
      <c r="N19" s="12">
        <f ca="1">IF(TOTALCO!N545="", "",TOTALCO!N545)</f>
        <v>52482873.522828206</v>
      </c>
      <c r="O19" s="12">
        <f ca="1">IF(TOTALCO!O545="", "",TOTALCO!O545)</f>
        <v>27265785.093761932</v>
      </c>
      <c r="P19" s="12">
        <f ca="1">IF(TOTALCO!P545="", "",TOTALCO!P545)</f>
        <v>25217088.429066274</v>
      </c>
      <c r="Q19" s="12"/>
      <c r="R19" s="12"/>
      <c r="S19" s="4"/>
    </row>
    <row r="20" spans="1:19" ht="15" x14ac:dyDescent="0.2">
      <c r="A20" s="321">
        <f>IF(TOTALCO!A546="", "",TOTALCO!A546)</f>
        <v>3</v>
      </c>
      <c r="B20" s="4" t="str">
        <f>IF(TOTALCO!B546="", "",TOTALCO!B546)</f>
        <v xml:space="preserve">     NET PLANT IN SERVICE</v>
      </c>
      <c r="C20" s="4" t="str">
        <f>IF(TOTALCO!C546="", "",TOTALCO!C546)</f>
        <v/>
      </c>
      <c r="D20" s="12">
        <f ca="1">IF(TOTALCO!D546="", "",TOTALCO!D546)</f>
        <v>6565629812.6542749</v>
      </c>
      <c r="E20" s="12" t="str">
        <f>IF(TOTALCO!E546="", "",TOTALCO!E546)</f>
        <v/>
      </c>
      <c r="F20" s="12">
        <f ca="1">IF(TOTALCO!F546="", "",TOTALCO!F546)</f>
        <v>6159093660.3643436</v>
      </c>
      <c r="G20" s="12" t="str">
        <f>IF(TOTALCO!G546="", "",TOTALCO!G546)</f>
        <v/>
      </c>
      <c r="H20" s="12">
        <f ca="1">IF(TOTALCO!H546="", "",TOTALCO!H546)</f>
        <v>312782906.26836491</v>
      </c>
      <c r="I20" s="12">
        <f ca="1">IF(TOTALCO!I546="", "",TOTALCO!I546)</f>
        <v>93753246.021566063</v>
      </c>
      <c r="J20" s="12" t="str">
        <f>IF(TOTALCO!J546="", "",TOTALCO!J546)</f>
        <v/>
      </c>
      <c r="K20" s="12" t="str">
        <f>IF(TOTALCO!K546="", "",TOTALCO!K546)</f>
        <v/>
      </c>
      <c r="L20" s="12">
        <f ca="1">IF(TOTALCO!L546="", "",TOTALCO!L546)</f>
        <v>521485.80889177148</v>
      </c>
      <c r="M20" s="12" t="str">
        <f>IF(TOTALCO!M546="", "",TOTALCO!M546)</f>
        <v/>
      </c>
      <c r="N20" s="12">
        <f ca="1">IF(TOTALCO!N546="", "",TOTALCO!N546)</f>
        <v>93231760.21267429</v>
      </c>
      <c r="O20" s="12">
        <f ca="1">IF(TOTALCO!O546="", "",TOTALCO!O546)</f>
        <v>48470546.244551659</v>
      </c>
      <c r="P20" s="12">
        <f ca="1">IF(TOTALCO!P546="", "",TOTALCO!P546)</f>
        <v>44761213.968122631</v>
      </c>
      <c r="Q20" s="12"/>
      <c r="R20" s="12"/>
      <c r="S20" s="4"/>
    </row>
    <row r="21" spans="1:19" ht="15" x14ac:dyDescent="0.2">
      <c r="A21" s="321" t="str">
        <f>IF(TOTALCO!A547="", "",TOTALCO!A547)</f>
        <v/>
      </c>
      <c r="B21" s="4" t="str">
        <f>IF(TOTALCO!B547="", "",TOTALCO!B547)</f>
        <v/>
      </c>
      <c r="C21" s="4" t="str">
        <f>IF(TOTALCO!C547="", "",TOTALCO!C547)</f>
        <v/>
      </c>
      <c r="D21" s="12" t="str">
        <f>IF(TOTALCO!D547="", "",TOTALCO!D547)</f>
        <v/>
      </c>
      <c r="E21" s="12" t="str">
        <f>IF(TOTALCO!E547="", "",TOTALCO!E547)</f>
        <v/>
      </c>
      <c r="F21" s="12" t="str">
        <f>IF(TOTALCO!F547="", "",TOTALCO!F547)</f>
        <v/>
      </c>
      <c r="G21" s="12" t="str">
        <f>IF(TOTALCO!G547="", "",TOTALCO!G547)</f>
        <v/>
      </c>
      <c r="H21" s="12" t="str">
        <f>IF(TOTALCO!H547="", "",TOTALCO!H547)</f>
        <v/>
      </c>
      <c r="I21" s="12" t="str">
        <f>IF(TOTALCO!I547="", "",TOTALCO!I547)</f>
        <v/>
      </c>
      <c r="J21" s="12" t="str">
        <f>IF(TOTALCO!J547="", "",TOTALCO!J547)</f>
        <v/>
      </c>
      <c r="K21" s="12" t="str">
        <f>IF(TOTALCO!K547="", "",TOTALCO!K547)</f>
        <v/>
      </c>
      <c r="L21" s="12" t="str">
        <f>IF(TOTALCO!L547="", "",TOTALCO!L547)</f>
        <v/>
      </c>
      <c r="M21" s="12" t="str">
        <f>IF(TOTALCO!M547="", "",TOTALCO!M547)</f>
        <v/>
      </c>
      <c r="N21" s="12" t="str">
        <f>IF(TOTALCO!N547="", "",TOTALCO!N547)</f>
        <v/>
      </c>
      <c r="O21" s="12" t="str">
        <f>IF(TOTALCO!O547="", "",TOTALCO!O547)</f>
        <v/>
      </c>
      <c r="P21" s="12" t="str">
        <f>IF(TOTALCO!P547="", "",TOTALCO!P547)</f>
        <v/>
      </c>
      <c r="Q21" s="12"/>
      <c r="R21" s="12"/>
      <c r="S21" s="4"/>
    </row>
    <row r="22" spans="1:19" ht="15" x14ac:dyDescent="0.2">
      <c r="A22" s="321">
        <f>IF(TOTALCO!A548="", "",TOTALCO!A548)</f>
        <v>4</v>
      </c>
      <c r="B22" s="4" t="str">
        <f>IF(TOTALCO!B548="", "",TOTALCO!B548)</f>
        <v xml:space="preserve"> CONST WORK IN PROGRESS</v>
      </c>
      <c r="C22" s="4" t="str">
        <f>IF(TOTALCO!C548="", "",TOTALCO!C548)</f>
        <v/>
      </c>
      <c r="D22" s="12">
        <f ca="1">IF(TOTALCO!D548="", "",TOTALCO!D548)</f>
        <v>233249502.22749329</v>
      </c>
      <c r="E22" s="12" t="str">
        <f>IF(TOTALCO!E548="", "",TOTALCO!E548)</f>
        <v/>
      </c>
      <c r="F22" s="12">
        <f ca="1">IF(TOTALCO!F548="", "",TOTALCO!F548)</f>
        <v>217783949.3517569</v>
      </c>
      <c r="G22" s="12" t="str">
        <f>IF(TOTALCO!G548="", "",TOTALCO!G548)</f>
        <v/>
      </c>
      <c r="H22" s="12">
        <f ca="1">IF(TOTALCO!H548="", "",TOTALCO!H548)</f>
        <v>12499879.896325186</v>
      </c>
      <c r="I22" s="12">
        <f ca="1">IF(TOTALCO!I548="", "",TOTALCO!I548)</f>
        <v>2965672.9794111778</v>
      </c>
      <c r="J22" s="12" t="str">
        <f>IF(TOTALCO!J548="", "",TOTALCO!J548)</f>
        <v/>
      </c>
      <c r="K22" s="12" t="str">
        <f>IF(TOTALCO!K548="", "",TOTALCO!K548)</f>
        <v/>
      </c>
      <c r="L22" s="12">
        <f ca="1">IF(TOTALCO!L548="", "",TOTALCO!L548)</f>
        <v>2060.565244668649</v>
      </c>
      <c r="M22" s="12" t="str">
        <f>IF(TOTALCO!M548="", "",TOTALCO!M548)</f>
        <v/>
      </c>
      <c r="N22" s="12">
        <f ca="1">IF(TOTALCO!N548="", "",TOTALCO!N548)</f>
        <v>2963612.4141665092</v>
      </c>
      <c r="O22" s="12">
        <f ca="1">IF(TOTALCO!O548="", "",TOTALCO!O548)</f>
        <v>1506799.5911952925</v>
      </c>
      <c r="P22" s="12">
        <f ca="1">IF(TOTALCO!P548="", "",TOTALCO!P548)</f>
        <v>1456812.8229712166</v>
      </c>
      <c r="Q22" s="12"/>
      <c r="R22" s="12"/>
      <c r="S22" s="4"/>
    </row>
    <row r="23" spans="1:19" ht="15" x14ac:dyDescent="0.2">
      <c r="A23" s="321">
        <f>IF(TOTALCO!A549="", "",TOTALCO!A549)</f>
        <v>5</v>
      </c>
      <c r="B23" s="4" t="str">
        <f>IF(TOTALCO!B549="", "",TOTALCO!B549)</f>
        <v xml:space="preserve">     NET PLANT</v>
      </c>
      <c r="C23" s="4" t="str">
        <f>IF(TOTALCO!C549="", "",TOTALCO!C549)</f>
        <v/>
      </c>
      <c r="D23" s="12">
        <f ca="1">IF(TOTALCO!D549="", "",TOTALCO!D549)</f>
        <v>6798879314.8817682</v>
      </c>
      <c r="E23" s="12" t="str">
        <f>IF(TOTALCO!E549="", "",TOTALCO!E549)</f>
        <v/>
      </c>
      <c r="F23" s="12">
        <f ca="1">IF(TOTALCO!F549="", "",TOTALCO!F549)</f>
        <v>6376877609.7161007</v>
      </c>
      <c r="G23" s="12" t="str">
        <f>IF(TOTALCO!G549="", "",TOTALCO!G549)</f>
        <v/>
      </c>
      <c r="H23" s="12">
        <f ca="1">IF(TOTALCO!H549="", "",TOTALCO!H549)</f>
        <v>325282786.16469008</v>
      </c>
      <c r="I23" s="12">
        <f ca="1">IF(TOTALCO!I549="", "",TOTALCO!I549)</f>
        <v>96718919.000977233</v>
      </c>
      <c r="J23" s="12" t="str">
        <f>IF(TOTALCO!J549="", "",TOTALCO!J549)</f>
        <v/>
      </c>
      <c r="K23" s="12" t="str">
        <f>IF(TOTALCO!K549="", "",TOTALCO!K549)</f>
        <v/>
      </c>
      <c r="L23" s="12">
        <f ca="1">IF(TOTALCO!L549="", "",TOTALCO!L549)</f>
        <v>523546.37413644011</v>
      </c>
      <c r="M23" s="12" t="str">
        <f>IF(TOTALCO!M549="", "",TOTALCO!M549)</f>
        <v/>
      </c>
      <c r="N23" s="12">
        <f ca="1">IF(TOTALCO!N549="", "",TOTALCO!N549)</f>
        <v>96195372.6268408</v>
      </c>
      <c r="O23" s="12">
        <f ca="1">IF(TOTALCO!O549="", "",TOTALCO!O549)</f>
        <v>49977345.835746951</v>
      </c>
      <c r="P23" s="12">
        <f ca="1">IF(TOTALCO!P549="", "",TOTALCO!P549)</f>
        <v>46218026.791093849</v>
      </c>
      <c r="Q23" s="12"/>
      <c r="R23" s="12"/>
      <c r="S23" s="4"/>
    </row>
    <row r="24" spans="1:19" ht="15" x14ac:dyDescent="0.2">
      <c r="A24" s="321" t="str">
        <f>IF(TOTALCO!A550="", "",TOTALCO!A550)</f>
        <v/>
      </c>
      <c r="B24" s="4" t="str">
        <f>IF(TOTALCO!B550="", "",TOTALCO!B550)</f>
        <v/>
      </c>
      <c r="C24" s="4" t="str">
        <f>IF(TOTALCO!C550="", "",TOTALCO!C550)</f>
        <v/>
      </c>
      <c r="D24" s="12"/>
      <c r="E24" s="12" t="str">
        <f>IF(TOTALCO!E550="", "",TOTALCO!E550)</f>
        <v/>
      </c>
      <c r="F24" s="12" t="str">
        <f>IF(TOTALCO!F550="", "",TOTALCO!F550)</f>
        <v/>
      </c>
      <c r="G24" s="12" t="str">
        <f>IF(TOTALCO!G550="", "",TOTALCO!G550)</f>
        <v/>
      </c>
      <c r="H24" s="12" t="str">
        <f>IF(TOTALCO!H550="", "",TOTALCO!H550)</f>
        <v/>
      </c>
      <c r="I24" s="12" t="str">
        <f>IF(TOTALCO!I550="", "",TOTALCO!I550)</f>
        <v/>
      </c>
      <c r="J24" s="12" t="str">
        <f>IF(TOTALCO!J550="", "",TOTALCO!J550)</f>
        <v/>
      </c>
      <c r="K24" s="12" t="str">
        <f>IF(TOTALCO!K550="", "",TOTALCO!K550)</f>
        <v/>
      </c>
      <c r="L24" s="12" t="str">
        <f>IF(TOTALCO!L550="", "",TOTALCO!L550)</f>
        <v/>
      </c>
      <c r="M24" s="12" t="str">
        <f>IF(TOTALCO!M550="", "",TOTALCO!M550)</f>
        <v/>
      </c>
      <c r="N24" s="12" t="str">
        <f>IF(TOTALCO!N550="", "",TOTALCO!N550)</f>
        <v/>
      </c>
      <c r="O24" s="12" t="str">
        <f>IF(TOTALCO!O550="", "",TOTALCO!O550)</f>
        <v/>
      </c>
      <c r="P24" s="12" t="str">
        <f>IF(TOTALCO!P550="", "",TOTALCO!P550)</f>
        <v/>
      </c>
      <c r="Q24" s="12"/>
      <c r="R24" s="12"/>
      <c r="S24" s="4"/>
    </row>
    <row r="25" spans="1:19" ht="15" x14ac:dyDescent="0.2">
      <c r="A25" s="321" t="str">
        <f>IF(TOTALCO!A551="", "",TOTALCO!A551)</f>
        <v/>
      </c>
      <c r="B25" s="4" t="str">
        <f>IF(TOTALCO!B551="", "",TOTALCO!B551)</f>
        <v>ADD:</v>
      </c>
      <c r="C25" s="4" t="str">
        <f>IF(TOTALCO!C551="", "",TOTALCO!C551)</f>
        <v/>
      </c>
      <c r="D25" s="12"/>
      <c r="E25" s="12" t="str">
        <f>IF(TOTALCO!E551="", "",TOTALCO!E551)</f>
        <v/>
      </c>
      <c r="F25" s="12" t="str">
        <f>IF(TOTALCO!F551="", "",TOTALCO!F551)</f>
        <v/>
      </c>
      <c r="G25" s="12" t="str">
        <f>IF(TOTALCO!G551="", "",TOTALCO!G551)</f>
        <v/>
      </c>
      <c r="H25" s="12" t="str">
        <f>IF(TOTALCO!H551="", "",TOTALCO!H551)</f>
        <v/>
      </c>
      <c r="I25" s="12" t="str">
        <f>IF(TOTALCO!I551="", "",TOTALCO!I551)</f>
        <v/>
      </c>
      <c r="J25" s="12" t="str">
        <f>IF(TOTALCO!J551="", "",TOTALCO!J551)</f>
        <v/>
      </c>
      <c r="K25" s="12" t="str">
        <f>IF(TOTALCO!K551="", "",TOTALCO!K551)</f>
        <v/>
      </c>
      <c r="L25" s="12" t="str">
        <f>IF(TOTALCO!L551="", "",TOTALCO!L551)</f>
        <v/>
      </c>
      <c r="M25" s="12" t="str">
        <f>IF(TOTALCO!M551="", "",TOTALCO!M551)</f>
        <v/>
      </c>
      <c r="N25" s="12" t="str">
        <f>IF(TOTALCO!N551="", "",TOTALCO!N551)</f>
        <v/>
      </c>
      <c r="O25" s="12" t="str">
        <f>IF(TOTALCO!O551="", "",TOTALCO!O551)</f>
        <v/>
      </c>
      <c r="P25" s="12" t="str">
        <f>IF(TOTALCO!P551="", "",TOTALCO!P551)</f>
        <v/>
      </c>
      <c r="Q25" s="12"/>
      <c r="R25" s="13"/>
    </row>
    <row r="26" spans="1:19" ht="15" x14ac:dyDescent="0.2">
      <c r="A26" s="321">
        <f>IF(TOTALCO!A552="", "",TOTALCO!A552)</f>
        <v>6</v>
      </c>
      <c r="B26" s="4" t="str">
        <f>IF(TOTALCO!B552="", "",TOTALCO!B552)</f>
        <v xml:space="preserve">    MATERIALS &amp; SUPPLIES</v>
      </c>
      <c r="C26" s="4" t="str">
        <f>IF(TOTALCO!C552="", "",TOTALCO!C552)</f>
        <v/>
      </c>
      <c r="D26" s="12">
        <f ca="1">IF(TOTALCO!D552="", "",TOTALCO!D552)</f>
        <v>60204949</v>
      </c>
      <c r="E26" s="12" t="str">
        <f>IF(TOTALCO!E552="", "",TOTALCO!E552)</f>
        <v/>
      </c>
      <c r="F26" s="12">
        <f ca="1">IF(TOTALCO!F552="", "",TOTALCO!F552)</f>
        <v>56082637.706670344</v>
      </c>
      <c r="G26" s="12" t="str">
        <f>IF(TOTALCO!G552="", "",TOTALCO!G552)</f>
        <v/>
      </c>
      <c r="H26" s="12">
        <f ca="1">IF(TOTALCO!H552="", "",TOTALCO!H552)</f>
        <v>3281761.510750595</v>
      </c>
      <c r="I26" s="12">
        <f ca="1">IF(TOTALCO!I552="", "",TOTALCO!I552)</f>
        <v>840549.78257906705</v>
      </c>
      <c r="J26" s="12" t="str">
        <f>IF(TOTALCO!J552="", "",TOTALCO!J552)</f>
        <v/>
      </c>
      <c r="K26" s="12" t="str">
        <f>IF(TOTALCO!K552="", "",TOTALCO!K552)</f>
        <v/>
      </c>
      <c r="L26" s="12">
        <f ca="1">IF(TOTALCO!L552="", "",TOTALCO!L552)</f>
        <v>2948.7730927748071</v>
      </c>
      <c r="M26" s="12" t="str">
        <f>IF(TOTALCO!M552="", "",TOTALCO!M552)</f>
        <v/>
      </c>
      <c r="N26" s="12">
        <f ca="1">IF(TOTALCO!N552="", "",TOTALCO!N552)</f>
        <v>837601.00948629226</v>
      </c>
      <c r="O26" s="12">
        <f ca="1">IF(TOTALCO!O552="", "",TOTALCO!O552)</f>
        <v>432496.21149952943</v>
      </c>
      <c r="P26" s="12">
        <f ca="1">IF(TOTALCO!P552="", "",TOTALCO!P552)</f>
        <v>405104.79798676289</v>
      </c>
      <c r="Q26" s="12"/>
      <c r="R26" s="13"/>
    </row>
    <row r="27" spans="1:19" ht="15" x14ac:dyDescent="0.2">
      <c r="A27" s="321">
        <f>IF(TOTALCO!A553="", "",TOTALCO!A553)</f>
        <v>7</v>
      </c>
      <c r="B27" s="4" t="str">
        <f>IF(TOTALCO!B553="", "",TOTALCO!B553)</f>
        <v xml:space="preserve">    FUEL INVENTORY</v>
      </c>
      <c r="C27" s="4" t="str">
        <f>IF(TOTALCO!C553="", "",TOTALCO!C553)</f>
        <v/>
      </c>
      <c r="D27" s="12">
        <f ca="1">IF(TOTALCO!D553="", "",TOTALCO!D553)</f>
        <v>62955456.000000007</v>
      </c>
      <c r="E27" s="12" t="str">
        <f>IF(TOTALCO!E553="", "",TOTALCO!E553)</f>
        <v/>
      </c>
      <c r="F27" s="12">
        <f ca="1">IF(TOTALCO!F553="", "",TOTALCO!F553)</f>
        <v>59241660.740988947</v>
      </c>
      <c r="G27" s="12" t="str">
        <f>IF(TOTALCO!G553="", "",TOTALCO!G553)</f>
        <v/>
      </c>
      <c r="H27" s="12">
        <f ca="1">IF(TOTALCO!H553="", "",TOTALCO!H553)</f>
        <v>2416789.5602463312</v>
      </c>
      <c r="I27" s="12">
        <f ca="1">IF(TOTALCO!I553="", "",TOTALCO!I553)</f>
        <v>1297005.6987647284</v>
      </c>
      <c r="J27" s="12" t="str">
        <f>IF(TOTALCO!J553="", "",TOTALCO!J553)</f>
        <v/>
      </c>
      <c r="K27" s="12" t="str">
        <f>IF(TOTALCO!K553="", "",TOTALCO!K553)</f>
        <v/>
      </c>
      <c r="L27" s="12">
        <f ca="1">IF(TOTALCO!L553="", "",TOTALCO!L553)</f>
        <v>265.13329903306823</v>
      </c>
      <c r="M27" s="12" t="str">
        <f>IF(TOTALCO!M553="", "",TOTALCO!M553)</f>
        <v/>
      </c>
      <c r="N27" s="12">
        <f ca="1">IF(TOTALCO!N553="", "",TOTALCO!N553)</f>
        <v>1296740.5654656952</v>
      </c>
      <c r="O27" s="12">
        <f ca="1">IF(TOTALCO!O553="", "",TOTALCO!O553)</f>
        <v>656679.3526504836</v>
      </c>
      <c r="P27" s="12">
        <f ca="1">IF(TOTALCO!P553="", "",TOTALCO!P553)</f>
        <v>640061.2128152115</v>
      </c>
      <c r="Q27" s="12"/>
      <c r="R27" s="13"/>
    </row>
    <row r="28" spans="1:19" ht="15" x14ac:dyDescent="0.2">
      <c r="A28" s="321">
        <f>IF(TOTALCO!A554="", "",TOTALCO!A554)</f>
        <v>8</v>
      </c>
      <c r="B28" s="4" t="str">
        <f>IF(TOTALCO!B554="", "",TOTALCO!B554)</f>
        <v xml:space="preserve">    PREPAYMENTS</v>
      </c>
      <c r="C28" s="4" t="str">
        <f>IF(TOTALCO!C554="", "",TOTALCO!C554)</f>
        <v/>
      </c>
      <c r="D28" s="12">
        <f ca="1">IF(TOTALCO!D554="", "",TOTALCO!D554)</f>
        <v>15827640.36401503</v>
      </c>
      <c r="E28" s="12" t="str">
        <f>IF(TOTALCO!E554="", "",TOTALCO!E554)</f>
        <v/>
      </c>
      <c r="F28" s="12">
        <f ca="1">IF(TOTALCO!F554="", "",TOTALCO!F554)</f>
        <v>15604608.223605685</v>
      </c>
      <c r="G28" s="12" t="str">
        <f>IF(TOTALCO!G554="", "",TOTALCO!G554)</f>
        <v/>
      </c>
      <c r="H28" s="12">
        <f ca="1">IF(TOTALCO!H554="", "",TOTALCO!H554)</f>
        <v>0</v>
      </c>
      <c r="I28" s="12">
        <f ca="1">IF(TOTALCO!I554="", "",TOTALCO!I554)</f>
        <v>223032.14040934504</v>
      </c>
      <c r="J28" s="12" t="str">
        <f>IF(TOTALCO!J554="", "",TOTALCO!J554)</f>
        <v/>
      </c>
      <c r="K28" s="12" t="str">
        <f>IF(TOTALCO!K554="", "",TOTALCO!K554)</f>
        <v/>
      </c>
      <c r="L28" s="12">
        <f ca="1">IF(TOTALCO!L554="", "",TOTALCO!L554)</f>
        <v>1133.8842851194138</v>
      </c>
      <c r="M28" s="12" t="str">
        <f>IF(TOTALCO!M554="", "",TOTALCO!M554)</f>
        <v/>
      </c>
      <c r="N28" s="12">
        <f ca="1">IF(TOTALCO!N554="", "",TOTALCO!N554)</f>
        <v>221898.25612422562</v>
      </c>
      <c r="O28" s="12">
        <f ca="1">IF(TOTALCO!O554="", "",TOTALCO!O554)</f>
        <v>115468.19291125862</v>
      </c>
      <c r="P28" s="12">
        <f ca="1">IF(TOTALCO!P554="", "",TOTALCO!P554)</f>
        <v>106430.06321296701</v>
      </c>
      <c r="Q28" s="12"/>
      <c r="R28" s="13"/>
    </row>
    <row r="29" spans="1:19" ht="15" x14ac:dyDescent="0.2">
      <c r="A29" s="321">
        <f>IF(TOTALCO!A555="", "",TOTALCO!A555)</f>
        <v>9</v>
      </c>
      <c r="B29" s="4" t="str">
        <f>IF(TOTALCO!B555="", "",TOTALCO!B555)</f>
        <v xml:space="preserve">    WORKING CASH</v>
      </c>
      <c r="C29" s="4" t="str">
        <f>IF(TOTALCO!C555="", "",TOTALCO!C555)</f>
        <v/>
      </c>
      <c r="D29" s="12">
        <f ca="1">IF(TOTALCO!D555="", "",TOTALCO!D555)</f>
        <v>107245712.3979117</v>
      </c>
      <c r="E29" s="12" t="str">
        <f>IF(TOTALCO!E555="", "",TOTALCO!E555)</f>
        <v/>
      </c>
      <c r="F29" s="12">
        <f ca="1">IF(TOTALCO!F555="", "",TOTALCO!F555)</f>
        <v>98232982.688082933</v>
      </c>
      <c r="G29" s="12" t="str">
        <f>IF(TOTALCO!G555="", "",TOTALCO!G555)</f>
        <v/>
      </c>
      <c r="H29" s="12">
        <f ca="1">IF(TOTALCO!H555="", "",TOTALCO!H555)</f>
        <v>7223881.5541795744</v>
      </c>
      <c r="I29" s="12">
        <f ca="1">IF(TOTALCO!I555="", "",TOTALCO!I555)</f>
        <v>1788848.1556491852</v>
      </c>
      <c r="J29" s="12" t="str">
        <f>IF(TOTALCO!J555="", "",TOTALCO!J555)</f>
        <v/>
      </c>
      <c r="K29" s="12" t="str">
        <f>IF(TOTALCO!K555="", "",TOTALCO!K555)</f>
        <v/>
      </c>
      <c r="L29" s="12">
        <f ca="1">IF(TOTALCO!L555="", "",TOTALCO!L555)</f>
        <v>3132.7200044813271</v>
      </c>
      <c r="M29" s="12" t="str">
        <f>IF(TOTALCO!M555="", "",TOTALCO!M555)</f>
        <v/>
      </c>
      <c r="N29" s="12">
        <f ca="1">IF(TOTALCO!N555="", "",TOTALCO!N555)</f>
        <v>1785715.4356447039</v>
      </c>
      <c r="O29" s="12">
        <f ca="1">IF(TOTALCO!O555="", "",TOTALCO!O555)</f>
        <v>910962.66564261296</v>
      </c>
      <c r="P29" s="12">
        <f ca="1">IF(TOTALCO!P555="", "",TOTALCO!P555)</f>
        <v>874752.77000209084</v>
      </c>
      <c r="Q29" s="12"/>
      <c r="R29" s="13"/>
    </row>
    <row r="30" spans="1:19" ht="15" x14ac:dyDescent="0.2">
      <c r="A30" s="321">
        <f>IF(TOTALCO!A556="", "",TOTALCO!A556)</f>
        <v>10</v>
      </c>
      <c r="B30" s="4" t="str">
        <f>IF(TOTALCO!B556="", "",TOTALCO!B556)</f>
        <v xml:space="preserve">    EMISSION ALLOWANCES</v>
      </c>
      <c r="C30" s="4" t="str">
        <f>IF(TOTALCO!C556="", "",TOTALCO!C556)</f>
        <v/>
      </c>
      <c r="D30" s="12">
        <f ca="1">IF(TOTALCO!D556="", "",TOTALCO!D556)</f>
        <v>129522</v>
      </c>
      <c r="E30" s="12" t="str">
        <f>IF(TOTALCO!E556="", "",TOTALCO!E556)</f>
        <v/>
      </c>
      <c r="F30" s="12">
        <f ca="1">IF(TOTALCO!F556="", "",TOTALCO!F556)</f>
        <v>121415.99914063678</v>
      </c>
      <c r="G30" s="12" t="str">
        <f>IF(TOTALCO!G556="", "",TOTALCO!G556)</f>
        <v/>
      </c>
      <c r="H30" s="12">
        <f ca="1">IF(TOTALCO!H556="", "",TOTALCO!H556)</f>
        <v>5559.7880225348144</v>
      </c>
      <c r="I30" s="12">
        <f ca="1">IF(TOTALCO!I556="", "",TOTALCO!I556)</f>
        <v>2546.2128368284079</v>
      </c>
      <c r="J30" s="12" t="str">
        <f>IF(TOTALCO!J556="", "",TOTALCO!J556)</f>
        <v/>
      </c>
      <c r="K30" s="12" t="str">
        <f>IF(TOTALCO!K556="", "",TOTALCO!K556)</f>
        <v/>
      </c>
      <c r="L30" s="12">
        <f ca="1">IF(TOTALCO!L556="", "",TOTALCO!L556)</f>
        <v>0.3897284430270167</v>
      </c>
      <c r="M30" s="12" t="str">
        <f>IF(TOTALCO!M556="", "",TOTALCO!M556)</f>
        <v/>
      </c>
      <c r="N30" s="12">
        <f ca="1">IF(TOTALCO!N556="", "",TOTALCO!N556)</f>
        <v>2545.8231083853811</v>
      </c>
      <c r="O30" s="12">
        <f ca="1">IF(TOTALCO!O556="", "",TOTALCO!O556)</f>
        <v>1291.1703317485064</v>
      </c>
      <c r="P30" s="12">
        <f ca="1">IF(TOTALCO!P556="", "",TOTALCO!P556)</f>
        <v>1254.6527766368747</v>
      </c>
      <c r="Q30" s="12"/>
      <c r="R30" s="13"/>
    </row>
    <row r="31" spans="1:19" ht="15" x14ac:dyDescent="0.2">
      <c r="A31" s="321">
        <f>IF(TOTALCO!A557="", "",TOTALCO!A557)</f>
        <v>11</v>
      </c>
      <c r="B31" s="4" t="str">
        <f>IF(TOTALCO!B557="", "",TOTALCO!B557)</f>
        <v xml:space="preserve">    UNAMORTIZED CLOSURE COSTS</v>
      </c>
      <c r="C31" s="4" t="str">
        <f>IF(TOTALCO!C557="", "",TOTALCO!C557)</f>
        <v/>
      </c>
      <c r="D31" s="12">
        <f ca="1">IF(TOTALCO!D557="", "",TOTALCO!D557)</f>
        <v>101937692.82886787</v>
      </c>
      <c r="E31" s="12" t="str">
        <f>IF(TOTALCO!E557="", "",TOTALCO!E557)</f>
        <v/>
      </c>
      <c r="F31" s="12">
        <f>IF(TOTALCO!F557="", "",TOTALCO!F557)</f>
        <v>96343596</v>
      </c>
      <c r="G31" s="12" t="str">
        <f>IF(TOTALCO!G557="", "",TOTALCO!G557)</f>
        <v/>
      </c>
      <c r="H31" s="12">
        <f ca="1">IF(TOTALCO!H557="", "",TOTALCO!H557)</f>
        <v>3332590.8360824827</v>
      </c>
      <c r="I31" s="12">
        <f ca="1">IF(TOTALCO!I557="", "",TOTALCO!I557)</f>
        <v>2261505.9927853812</v>
      </c>
      <c r="J31" s="12" t="str">
        <f>IF(TOTALCO!J557="", "",TOTALCO!J557)</f>
        <v/>
      </c>
      <c r="K31" s="12" t="str">
        <f>IF(TOTALCO!K557="", "",TOTALCO!K557)</f>
        <v/>
      </c>
      <c r="L31" s="12">
        <f ca="1">IF(TOTALCO!L557="", "",TOTALCO!L557)</f>
        <v>346.15064252144873</v>
      </c>
      <c r="M31" s="12" t="str">
        <f>IF(TOTALCO!M557="", "",TOTALCO!M557)</f>
        <v/>
      </c>
      <c r="N31" s="12">
        <f ca="1">IF(TOTALCO!N557="", "",TOTALCO!N557)</f>
        <v>2261159.8421428595</v>
      </c>
      <c r="O31" s="12">
        <f ca="1">IF(TOTALCO!O557="", "",TOTALCO!O557)</f>
        <v>1146797.0786735597</v>
      </c>
      <c r="P31" s="12">
        <f ca="1">IF(TOTALCO!P557="", "",TOTALCO!P557)</f>
        <v>1114362.7634692998</v>
      </c>
      <c r="Q31" s="12"/>
      <c r="R31" s="13"/>
    </row>
    <row r="32" spans="1:19" ht="15" x14ac:dyDescent="0.2">
      <c r="A32" s="321">
        <f>IF(TOTALCO!A558="", "",TOTALCO!A558)</f>
        <v>12</v>
      </c>
      <c r="B32" s="4" t="str">
        <f>IF(TOTALCO!B558="", "",TOTALCO!B558)</f>
        <v xml:space="preserve">     TOTAL ADDITIONS</v>
      </c>
      <c r="C32" s="4" t="str">
        <f>IF(TOTALCO!C558="", "",TOTALCO!C558)</f>
        <v/>
      </c>
      <c r="D32" s="12">
        <f ca="1">IF(TOTALCO!D558="", "",TOTALCO!D558)</f>
        <v>348300972.59079462</v>
      </c>
      <c r="E32" s="12" t="str">
        <f>IF(TOTALCO!E558="", "",TOTALCO!E558)</f>
        <v/>
      </c>
      <c r="F32" s="12">
        <f ca="1">IF(TOTALCO!F558="", "",TOTALCO!F558)</f>
        <v>325626901.35848856</v>
      </c>
      <c r="G32" s="12" t="str">
        <f>IF(TOTALCO!G558="", "",TOTALCO!G558)</f>
        <v/>
      </c>
      <c r="H32" s="12">
        <f ca="1">IF(TOTALCO!H558="", "",TOTALCO!H558)</f>
        <v>16260583.249281518</v>
      </c>
      <c r="I32" s="12">
        <f ca="1">IF(TOTALCO!I558="", "",TOTALCO!I558)</f>
        <v>6413487.9830245348</v>
      </c>
      <c r="J32" s="12" t="str">
        <f>IF(TOTALCO!J558="", "",TOTALCO!J558)</f>
        <v/>
      </c>
      <c r="K32" s="12" t="str">
        <f>IF(TOTALCO!K558="", "",TOTALCO!K558)</f>
        <v/>
      </c>
      <c r="L32" s="12">
        <f ca="1">IF(TOTALCO!L558="", "",TOTALCO!L558)</f>
        <v>7827.0510523730918</v>
      </c>
      <c r="M32" s="12" t="str">
        <f>IF(TOTALCO!M558="", "",TOTALCO!M558)</f>
        <v/>
      </c>
      <c r="N32" s="12">
        <f ca="1">IF(TOTALCO!N558="", "",TOTALCO!N558)</f>
        <v>6405660.9319721619</v>
      </c>
      <c r="O32" s="12">
        <f ca="1">IF(TOTALCO!O558="", "",TOTALCO!O558)</f>
        <v>3263694.6717091929</v>
      </c>
      <c r="P32" s="12">
        <f ca="1">IF(TOTALCO!P558="", "",TOTALCO!P558)</f>
        <v>3141966.2602629689</v>
      </c>
      <c r="Q32" s="12"/>
      <c r="R32" s="13"/>
    </row>
    <row r="33" spans="1:18" ht="15" x14ac:dyDescent="0.2">
      <c r="A33" s="321" t="str">
        <f>IF(TOTALCO!A559="", "",TOTALCO!A559)</f>
        <v/>
      </c>
      <c r="B33" s="4" t="str">
        <f>IF(TOTALCO!B559="", "",TOTALCO!B559)</f>
        <v/>
      </c>
      <c r="C33" s="4" t="str">
        <f>IF(TOTALCO!C559="", "",TOTALCO!C559)</f>
        <v/>
      </c>
      <c r="D33" s="12" t="str">
        <f>IF(TOTALCO!D559="", "",TOTALCO!D559)</f>
        <v/>
      </c>
      <c r="E33" s="12" t="str">
        <f>IF(TOTALCO!E559="", "",TOTALCO!E559)</f>
        <v/>
      </c>
      <c r="F33" s="12" t="str">
        <f>IF(TOTALCO!F559="", "",TOTALCO!F559)</f>
        <v/>
      </c>
      <c r="G33" s="12" t="str">
        <f>IF(TOTALCO!G559="", "",TOTALCO!G559)</f>
        <v/>
      </c>
      <c r="H33" s="12" t="str">
        <f>IF(TOTALCO!H559="", "",TOTALCO!H559)</f>
        <v/>
      </c>
      <c r="I33" s="12" t="str">
        <f>IF(TOTALCO!I559="", "",TOTALCO!I559)</f>
        <v/>
      </c>
      <c r="J33" s="12" t="str">
        <f>IF(TOTALCO!J559="", "",TOTALCO!J559)</f>
        <v/>
      </c>
      <c r="K33" s="12" t="str">
        <f>IF(TOTALCO!K559="", "",TOTALCO!K559)</f>
        <v/>
      </c>
      <c r="L33" s="12" t="str">
        <f>IF(TOTALCO!L559="", "",TOTALCO!L559)</f>
        <v/>
      </c>
      <c r="M33" s="12" t="str">
        <f>IF(TOTALCO!M559="", "",TOTALCO!M559)</f>
        <v/>
      </c>
      <c r="N33" s="12" t="str">
        <f>IF(TOTALCO!N559="", "",TOTALCO!N559)</f>
        <v/>
      </c>
      <c r="O33" s="12" t="str">
        <f>IF(TOTALCO!O559="", "",TOTALCO!O559)</f>
        <v/>
      </c>
      <c r="P33" s="12" t="str">
        <f>IF(TOTALCO!P559="", "",TOTALCO!P559)</f>
        <v/>
      </c>
      <c r="Q33" s="12"/>
      <c r="R33" s="13"/>
    </row>
    <row r="34" spans="1:18" ht="15" x14ac:dyDescent="0.2">
      <c r="A34" s="321" t="str">
        <f>IF(TOTALCO!A560="", "",TOTALCO!A560)</f>
        <v/>
      </c>
      <c r="B34" s="4" t="str">
        <f>IF(TOTALCO!B560="", "",TOTALCO!B560)</f>
        <v>DEDUCT:</v>
      </c>
      <c r="C34" s="4" t="str">
        <f>IF(TOTALCO!C560="", "",TOTALCO!C560)</f>
        <v/>
      </c>
      <c r="D34" s="12" t="str">
        <f>IF(TOTALCO!D560="", "",TOTALCO!D560)</f>
        <v/>
      </c>
      <c r="E34" s="12" t="str">
        <f>IF(TOTALCO!E560="", "",TOTALCO!E560)</f>
        <v/>
      </c>
      <c r="F34" s="12" t="str">
        <f>IF(TOTALCO!F560="", "",TOTALCO!F560)</f>
        <v/>
      </c>
      <c r="G34" s="12" t="str">
        <f>IF(TOTALCO!G560="", "",TOTALCO!G560)</f>
        <v/>
      </c>
      <c r="H34" s="12" t="str">
        <f>IF(TOTALCO!H560="", "",TOTALCO!H560)</f>
        <v/>
      </c>
      <c r="I34" s="12" t="str">
        <f>IF(TOTALCO!I560="", "",TOTALCO!I560)</f>
        <v/>
      </c>
      <c r="J34" s="12" t="str">
        <f>IF(TOTALCO!J560="", "",TOTALCO!J560)</f>
        <v/>
      </c>
      <c r="K34" s="12" t="str">
        <f>IF(TOTALCO!K560="", "",TOTALCO!K560)</f>
        <v/>
      </c>
      <c r="L34" s="12" t="str">
        <f>IF(TOTALCO!L560="", "",TOTALCO!L560)</f>
        <v/>
      </c>
      <c r="M34" s="12" t="str">
        <f>IF(TOTALCO!M560="", "",TOTALCO!M560)</f>
        <v/>
      </c>
      <c r="N34" s="12" t="str">
        <f>IF(TOTALCO!N560="", "",TOTALCO!N560)</f>
        <v/>
      </c>
      <c r="O34" s="12" t="str">
        <f>IF(TOTALCO!O560="", "",TOTALCO!O560)</f>
        <v/>
      </c>
      <c r="P34" s="12" t="str">
        <f>IF(TOTALCO!P560="", "",TOTALCO!P560)</f>
        <v/>
      </c>
      <c r="Q34" s="12"/>
      <c r="R34" s="13"/>
    </row>
    <row r="35" spans="1:18" ht="15" x14ac:dyDescent="0.2">
      <c r="A35" s="321">
        <f>IF(TOTALCO!A561="", "",TOTALCO!A561)</f>
        <v>13</v>
      </c>
      <c r="B35" s="4" t="str">
        <f>IF(TOTALCO!B561="", "",TOTALCO!B561)</f>
        <v xml:space="preserve">    RESERVE FOR DEF TAXES</v>
      </c>
      <c r="C35" s="4" t="str">
        <f>IF(TOTALCO!C561="", "",TOTALCO!C561)</f>
        <v/>
      </c>
      <c r="D35" s="12">
        <f ca="1">IF(TOTALCO!D561="", "",TOTALCO!D561)</f>
        <v>1404815477</v>
      </c>
      <c r="E35" s="12" t="str">
        <f>IF(TOTALCO!E561="", "",TOTALCO!E561)</f>
        <v/>
      </c>
      <c r="F35" s="12">
        <f ca="1">IF(TOTALCO!F561="", "",TOTALCO!F561)</f>
        <v>1317889436.0861118</v>
      </c>
      <c r="G35" s="12" t="str">
        <f>IF(TOTALCO!G561="", "",TOTALCO!G561)</f>
        <v/>
      </c>
      <c r="H35" s="12">
        <f ca="1">IF(TOTALCO!H561="", "",TOTALCO!H561)</f>
        <v>67576750.926321954</v>
      </c>
      <c r="I35" s="12">
        <f ca="1">IF(TOTALCO!I561="", "",TOTALCO!I561)</f>
        <v>19349289.987566315</v>
      </c>
      <c r="J35" s="12" t="str">
        <f>IF(TOTALCO!J561="", "",TOTALCO!J561)</f>
        <v/>
      </c>
      <c r="K35" s="12" t="str">
        <f>IF(TOTALCO!K561="", "",TOTALCO!K561)</f>
        <v/>
      </c>
      <c r="L35" s="12">
        <f ca="1">IF(TOTALCO!L561="", "",TOTALCO!L561)</f>
        <v>97679.958979519186</v>
      </c>
      <c r="M35" s="12" t="str">
        <f>IF(TOTALCO!M561="", "",TOTALCO!M561)</f>
        <v/>
      </c>
      <c r="N35" s="12">
        <f ca="1">IF(TOTALCO!N561="", "",TOTALCO!N561)</f>
        <v>19251610.028586794</v>
      </c>
      <c r="O35" s="12">
        <f ca="1">IF(TOTALCO!O561="", "",TOTALCO!O561)</f>
        <v>10023003.474723751</v>
      </c>
      <c r="P35" s="12">
        <f ca="1">IF(TOTALCO!P561="", "",TOTALCO!P561)</f>
        <v>9228606.553863043</v>
      </c>
      <c r="Q35" s="12"/>
      <c r="R35" s="13"/>
    </row>
    <row r="36" spans="1:18" ht="15" x14ac:dyDescent="0.2">
      <c r="A36" s="321">
        <f>IF(TOTALCO!A562="", "",TOTALCO!A562)</f>
        <v>14</v>
      </c>
      <c r="B36" s="4" t="str">
        <f>IF(TOTALCO!B562="", "",TOTALCO!B562)</f>
        <v xml:space="preserve">    RESERVE FOR ITC</v>
      </c>
      <c r="C36" s="4" t="str">
        <f>IF(TOTALCO!C562="", "",TOTALCO!C562)</f>
        <v/>
      </c>
      <c r="D36" s="12">
        <f ca="1">IF(TOTALCO!D562="", "",TOTALCO!D562)</f>
        <v>89931576.000000015</v>
      </c>
      <c r="E36" s="12" t="str">
        <f>IF(TOTALCO!E562="", "",TOTALCO!E562)</f>
        <v/>
      </c>
      <c r="F36" s="12">
        <f ca="1">IF(TOTALCO!F562="", "",TOTALCO!F562)</f>
        <v>84144180.918383867</v>
      </c>
      <c r="G36" s="12" t="str">
        <f>IF(TOTALCO!G562="", "",TOTALCO!G562)</f>
        <v/>
      </c>
      <c r="H36" s="12">
        <f ca="1">IF(TOTALCO!H562="", "",TOTALCO!H562)</f>
        <v>3907889.6670546061</v>
      </c>
      <c r="I36" s="12">
        <f ca="1">IF(TOTALCO!I562="", "",TOTALCO!I562)</f>
        <v>1879505.4145615399</v>
      </c>
      <c r="J36" s="12" t="str">
        <f>IF(TOTALCO!J562="", "",TOTALCO!J562)</f>
        <v/>
      </c>
      <c r="K36" s="12" t="str">
        <f>IF(TOTALCO!K562="", "",TOTALCO!K562)</f>
        <v/>
      </c>
      <c r="L36" s="12">
        <f ca="1">IF(TOTALCO!L562="", "",TOTALCO!L562)</f>
        <v>268.68863240390107</v>
      </c>
      <c r="M36" s="12" t="str">
        <f>IF(TOTALCO!M562="", "",TOTALCO!M562)</f>
        <v/>
      </c>
      <c r="N36" s="12">
        <f ca="1">IF(TOTALCO!N562="", "",TOTALCO!N562)</f>
        <v>1879236.7259291359</v>
      </c>
      <c r="O36" s="12">
        <f ca="1">IF(TOTALCO!O562="", "",TOTALCO!O562)</f>
        <v>953096.34784122417</v>
      </c>
      <c r="P36" s="12">
        <f ca="1">IF(TOTALCO!P562="", "",TOTALCO!P562)</f>
        <v>926140.37808791187</v>
      </c>
      <c r="Q36" s="12"/>
      <c r="R36" s="13"/>
    </row>
    <row r="37" spans="1:18" ht="15" x14ac:dyDescent="0.2">
      <c r="A37" s="321">
        <f>IF(TOTALCO!A563="", "",TOTALCO!A563)</f>
        <v>15</v>
      </c>
      <c r="B37" s="4" t="str">
        <f>IF(TOTALCO!B563="", "",TOTALCO!B563)</f>
        <v xml:space="preserve">    CUSTOMER ADVANCES</v>
      </c>
      <c r="C37" s="4" t="str">
        <f>IF(TOTALCO!C563="", "",TOTALCO!C563)</f>
        <v/>
      </c>
      <c r="D37" s="12">
        <f ca="1">IF(TOTALCO!D563="", "",TOTALCO!D563)</f>
        <v>980981.36999999965</v>
      </c>
      <c r="E37" s="12" t="str">
        <f>IF(TOTALCO!E563="", "",TOTALCO!E563)</f>
        <v/>
      </c>
      <c r="F37" s="12">
        <f ca="1">IF(TOTALCO!F563="", "",TOTALCO!F563)</f>
        <v>951646.55364259344</v>
      </c>
      <c r="G37" s="12" t="str">
        <f>IF(TOTALCO!G563="", "",TOTALCO!G563)</f>
        <v/>
      </c>
      <c r="H37" s="12">
        <f ca="1">IF(TOTALCO!H563="", "",TOTALCO!H563)</f>
        <v>29334.816357406231</v>
      </c>
      <c r="I37" s="12">
        <f ca="1">IF(TOTALCO!I563="", "",TOTALCO!I563)</f>
        <v>0</v>
      </c>
      <c r="J37" s="12" t="str">
        <f>IF(TOTALCO!J563="", "",TOTALCO!J563)</f>
        <v/>
      </c>
      <c r="K37" s="12" t="str">
        <f>IF(TOTALCO!K563="", "",TOTALCO!K563)</f>
        <v/>
      </c>
      <c r="L37" s="12">
        <f ca="1">IF(TOTALCO!L563="", "",TOTALCO!L563)</f>
        <v>0</v>
      </c>
      <c r="M37" s="12" t="str">
        <f>IF(TOTALCO!M563="", "",TOTALCO!M563)</f>
        <v/>
      </c>
      <c r="N37" s="12">
        <f ca="1">IF(TOTALCO!N563="", "",TOTALCO!N563)</f>
        <v>0</v>
      </c>
      <c r="O37" s="12">
        <f ca="1">IF(TOTALCO!O563="", "",TOTALCO!O563)</f>
        <v>0</v>
      </c>
      <c r="P37" s="12">
        <f ca="1">IF(TOTALCO!P563="", "",TOTALCO!P563)</f>
        <v>0</v>
      </c>
      <c r="Q37" s="12"/>
      <c r="R37" s="13"/>
    </row>
    <row r="38" spans="1:18" ht="15" x14ac:dyDescent="0.2">
      <c r="A38" s="321">
        <f>IF(TOTALCO!A564="", "",TOTALCO!A564)</f>
        <v>16</v>
      </c>
      <c r="B38" s="4" t="str">
        <f>IF(TOTALCO!B564="", "",TOTALCO!B564)</f>
        <v xml:space="preserve">    CUSTOMER DEPOSITS-VIRGINIA</v>
      </c>
      <c r="C38" s="4" t="str">
        <f>IF(TOTALCO!C564="", "",TOTALCO!C564)</f>
        <v/>
      </c>
      <c r="D38" s="12">
        <f>IF(TOTALCO!D564="", "",TOTALCO!D564)</f>
        <v>30898393.370000001</v>
      </c>
      <c r="E38" s="12" t="str">
        <f>IF(TOTALCO!E564="", "",TOTALCO!E564)</f>
        <v/>
      </c>
      <c r="F38" s="12">
        <f>IF(TOTALCO!F564="", "",TOTALCO!F564)</f>
        <v>0</v>
      </c>
      <c r="G38" s="12" t="str">
        <f>IF(TOTALCO!G564="", "",TOTALCO!G564)</f>
        <v/>
      </c>
      <c r="H38" s="12">
        <f ca="1">IF(TOTALCO!H564="", "",TOTALCO!H564)</f>
        <v>1710542.4421739152</v>
      </c>
      <c r="I38" s="12">
        <f ca="1">IF(TOTALCO!I564="", "",TOTALCO!I564)</f>
        <v>1.0102626508301783E-2</v>
      </c>
      <c r="J38" s="12" t="str">
        <f>IF(TOTALCO!J564="", "",TOTALCO!J564)</f>
        <v/>
      </c>
      <c r="K38" s="12" t="str">
        <f>IF(TOTALCO!K564="", "",TOTALCO!K564)</f>
        <v/>
      </c>
      <c r="L38" s="12">
        <f ca="1">IF(TOTALCO!L564="", "",TOTALCO!L564)</f>
        <v>0</v>
      </c>
      <c r="M38" s="12" t="str">
        <f>IF(TOTALCO!M564="", "",TOTALCO!M564)</f>
        <v/>
      </c>
      <c r="N38" s="12">
        <f ca="1">IF(TOTALCO!N564="", "",TOTALCO!N564)</f>
        <v>1.0102626508301783E-2</v>
      </c>
      <c r="O38" s="12">
        <f ca="1">IF(TOTALCO!O564="", "",TOTALCO!O564)</f>
        <v>1.0102626508301783E-2</v>
      </c>
      <c r="P38" s="12">
        <f ca="1">IF(TOTALCO!P564="", "",TOTALCO!P564)</f>
        <v>0</v>
      </c>
      <c r="Q38" s="12"/>
      <c r="R38" s="13"/>
    </row>
    <row r="39" spans="1:18" ht="15" x14ac:dyDescent="0.2">
      <c r="A39" s="321">
        <f>IF(TOTALCO!A565="", "",TOTALCO!A565)</f>
        <v>17</v>
      </c>
      <c r="B39" s="4" t="str">
        <f>IF(TOTALCO!B565="", "",TOTALCO!B565)</f>
        <v xml:space="preserve">    DEFERRED FUEL-VIRGINIA</v>
      </c>
      <c r="C39" s="4" t="str">
        <f>IF(TOTALCO!C565="", "",TOTALCO!C565)</f>
        <v/>
      </c>
      <c r="D39" s="12">
        <f ca="1">IF(TOTALCO!D565="", "",TOTALCO!D565)</f>
        <v>-91173</v>
      </c>
      <c r="E39" s="12" t="str">
        <f>IF(TOTALCO!E565="", "",TOTALCO!E565)</f>
        <v/>
      </c>
      <c r="F39" s="12">
        <f ca="1">IF(TOTALCO!F565="", "",TOTALCO!F565)</f>
        <v>0</v>
      </c>
      <c r="G39" s="12" t="str">
        <f>IF(TOTALCO!G565="", "",TOTALCO!G565)</f>
        <v/>
      </c>
      <c r="H39" s="12">
        <f ca="1">IF(TOTALCO!H565="", "",TOTALCO!H565)</f>
        <v>-91173</v>
      </c>
      <c r="I39" s="12">
        <f ca="1">IF(TOTALCO!I565="", "",TOTALCO!I565)</f>
        <v>0</v>
      </c>
      <c r="J39" s="12" t="str">
        <f>IF(TOTALCO!J565="", "",TOTALCO!J565)</f>
        <v/>
      </c>
      <c r="K39" s="12" t="str">
        <f>IF(TOTALCO!K565="", "",TOTALCO!K565)</f>
        <v/>
      </c>
      <c r="L39" s="12">
        <f ca="1">IF(TOTALCO!L565="", "",TOTALCO!L565)</f>
        <v>0</v>
      </c>
      <c r="M39" s="12" t="str">
        <f>IF(TOTALCO!M565="", "",TOTALCO!M565)</f>
        <v/>
      </c>
      <c r="N39" s="12">
        <f ca="1">IF(TOTALCO!N565="", "",TOTALCO!N565)</f>
        <v>0</v>
      </c>
      <c r="O39" s="12">
        <f ca="1">IF(TOTALCO!O565="", "",TOTALCO!O565)</f>
        <v>0</v>
      </c>
      <c r="P39" s="12">
        <f ca="1">IF(TOTALCO!P565="", "",TOTALCO!P565)</f>
        <v>0</v>
      </c>
      <c r="Q39" s="12"/>
      <c r="R39" s="13"/>
    </row>
    <row r="40" spans="1:18" ht="15" x14ac:dyDescent="0.2">
      <c r="A40" s="321">
        <f>IF(TOTALCO!A566="", "",TOTALCO!A566)</f>
        <v>18</v>
      </c>
      <c r="B40" s="4" t="str">
        <f>IF(TOTALCO!B566="", "",TOTALCO!B566)</f>
        <v xml:space="preserve">    OPEB UNFUNDED-VIRGINIA</v>
      </c>
      <c r="C40" s="4" t="str">
        <f>IF(TOTALCO!C566="", "",TOTALCO!C566)</f>
        <v/>
      </c>
      <c r="D40" s="12">
        <f>IF(TOTALCO!D566="", "",TOTALCO!D566)</f>
        <v>18730630.045384593</v>
      </c>
      <c r="E40" s="12" t="str">
        <f>IF(TOTALCO!E566="", "",TOTALCO!E566)</f>
        <v/>
      </c>
      <c r="F40" s="12">
        <f>IF(TOTALCO!F566="", "",TOTALCO!F566)</f>
        <v>0</v>
      </c>
      <c r="G40" s="12" t="str">
        <f>IF(TOTALCO!G566="", "",TOTALCO!G566)</f>
        <v/>
      </c>
      <c r="H40" s="12">
        <f ca="1">IF(TOTALCO!H566="", "",TOTALCO!H566)</f>
        <v>886854.04044750531</v>
      </c>
      <c r="I40" s="12">
        <f ca="1">IF(TOTALCO!I566="", "",TOTALCO!I566)</f>
        <v>9.983713851556715E-13</v>
      </c>
      <c r="J40" s="12" t="str">
        <f>IF(TOTALCO!J566="", "",TOTALCO!J566)</f>
        <v/>
      </c>
      <c r="K40" s="12" t="str">
        <f>IF(TOTALCO!K566="", "",TOTALCO!K566)</f>
        <v/>
      </c>
      <c r="L40" s="12">
        <f>IF(TOTALCO!L566="", "",TOTALCO!L566)</f>
        <v>0</v>
      </c>
      <c r="M40" s="12" t="str">
        <f>IF(TOTALCO!M566="", "",TOTALCO!M566)</f>
        <v/>
      </c>
      <c r="N40" s="12">
        <f ca="1">IF(TOTALCO!N566="", "",TOTALCO!N566)</f>
        <v>9.983713851556715E-13</v>
      </c>
      <c r="O40" s="12">
        <f>IF(TOTALCO!O566="", "",TOTALCO!O566)</f>
        <v>0</v>
      </c>
      <c r="P40" s="12">
        <f>IF(TOTALCO!P566="", "",TOTALCO!P566)</f>
        <v>0</v>
      </c>
      <c r="Q40" s="12"/>
      <c r="R40" s="13"/>
    </row>
    <row r="41" spans="1:18" ht="15" x14ac:dyDescent="0.2">
      <c r="A41" s="321">
        <f>IF(TOTALCO!A567="", "",TOTALCO!A567)</f>
        <v>19</v>
      </c>
      <c r="B41" s="4" t="str">
        <f>IF(TOTALCO!B567="", "",TOTALCO!B567)</f>
        <v xml:space="preserve">    WORKMANS COMPENSATION-FERC</v>
      </c>
      <c r="C41" s="4" t="str">
        <f>IF(TOTALCO!C567="", "",TOTALCO!C567)</f>
        <v/>
      </c>
      <c r="D41" s="12">
        <f>IF(TOTALCO!D567="", "",TOTALCO!D567)</f>
        <v>6921646.9999999981</v>
      </c>
      <c r="E41" s="12" t="str">
        <f>IF(TOTALCO!E567="", "",TOTALCO!E567)</f>
        <v/>
      </c>
      <c r="F41" s="12">
        <f>IF(TOTALCO!F567="", "",TOTALCO!F567)</f>
        <v>0</v>
      </c>
      <c r="G41" s="12" t="str">
        <f>IF(TOTALCO!G567="", "",TOTALCO!G567)</f>
        <v/>
      </c>
      <c r="H41" s="12">
        <f>IF(TOTALCO!H567="", "",TOTALCO!H567)</f>
        <v>0</v>
      </c>
      <c r="I41" s="12">
        <f ca="1">IF(TOTALCO!I567="", "",TOTALCO!I567)</f>
        <v>82431.071509685571</v>
      </c>
      <c r="J41" s="12" t="str">
        <f>IF(TOTALCO!J567="", "",TOTALCO!J567)</f>
        <v/>
      </c>
      <c r="K41" s="12" t="str">
        <f>IF(TOTALCO!K567="", "",TOTALCO!K567)</f>
        <v/>
      </c>
      <c r="L41" s="12">
        <f>IF(TOTALCO!L567="", "",TOTALCO!L567)</f>
        <v>0</v>
      </c>
      <c r="M41" s="12" t="str">
        <f>IF(TOTALCO!M567="", "",TOTALCO!M567)</f>
        <v/>
      </c>
      <c r="N41" s="12">
        <f ca="1">IF(TOTALCO!N567="", "",TOTALCO!N567)</f>
        <v>82431.071509685571</v>
      </c>
      <c r="O41" s="12">
        <f ca="1">IF(TOTALCO!O567="", "",TOTALCO!O567)</f>
        <v>42969.645203490792</v>
      </c>
      <c r="P41" s="12">
        <f ca="1">IF(TOTALCO!P567="", "",TOTALCO!P567)</f>
        <v>39461.426306194786</v>
      </c>
      <c r="Q41" s="12"/>
      <c r="R41" s="13"/>
    </row>
    <row r="42" spans="1:18" ht="15" x14ac:dyDescent="0.2">
      <c r="A42" s="321">
        <f>IF(TOTALCO!A568="", "",TOTALCO!A568)</f>
        <v>20</v>
      </c>
      <c r="B42" s="4" t="str">
        <f>IF(TOTALCO!B568="", "",TOTALCO!B568)</f>
        <v xml:space="preserve">    VESTED VACATION-FERC</v>
      </c>
      <c r="C42" s="4" t="str">
        <f>IF(TOTALCO!C568="", "",TOTALCO!C568)</f>
        <v/>
      </c>
      <c r="D42" s="12">
        <f>IF(TOTALCO!D568="", "",TOTALCO!D568)</f>
        <v>6465681.3499999996</v>
      </c>
      <c r="E42" s="12" t="str">
        <f>IF(TOTALCO!E568="", "",TOTALCO!E568)</f>
        <v/>
      </c>
      <c r="F42" s="12">
        <f>IF(TOTALCO!F568="", "",TOTALCO!F568)</f>
        <v>0</v>
      </c>
      <c r="G42" s="12" t="str">
        <f>IF(TOTALCO!G568="", "",TOTALCO!G568)</f>
        <v/>
      </c>
      <c r="H42" s="12">
        <f>IF(TOTALCO!H568="", "",TOTALCO!H568)</f>
        <v>0</v>
      </c>
      <c r="I42" s="12">
        <f ca="1">IF(TOTALCO!I568="", "",TOTALCO!I568)</f>
        <v>77000.89902312131</v>
      </c>
      <c r="J42" s="12" t="str">
        <f>IF(TOTALCO!J568="", "",TOTALCO!J568)</f>
        <v/>
      </c>
      <c r="K42" s="12" t="str">
        <f>IF(TOTALCO!K568="", "",TOTALCO!K568)</f>
        <v/>
      </c>
      <c r="L42" s="12">
        <f>IF(TOTALCO!L568="", "",TOTALCO!L568)</f>
        <v>0</v>
      </c>
      <c r="M42" s="12" t="str">
        <f>IF(TOTALCO!M568="", "",TOTALCO!M568)</f>
        <v/>
      </c>
      <c r="N42" s="12">
        <f ca="1">IF(TOTALCO!N568="", "",TOTALCO!N568)</f>
        <v>77000.89902312131</v>
      </c>
      <c r="O42" s="12">
        <f ca="1">IF(TOTALCO!O568="", "",TOTALCO!O568)</f>
        <v>40139.006454435985</v>
      </c>
      <c r="P42" s="12">
        <f ca="1">IF(TOTALCO!P568="", "",TOTALCO!P568)</f>
        <v>36861.892568685318</v>
      </c>
      <c r="Q42" s="12"/>
      <c r="R42" s="13"/>
    </row>
    <row r="43" spans="1:18" ht="15" x14ac:dyDescent="0.2">
      <c r="A43" s="321">
        <f>IF(TOTALCO!A569="", "",TOTALCO!A569)</f>
        <v>21</v>
      </c>
      <c r="B43" s="4" t="str">
        <f>IF(TOTALCO!B569="", "",TOTALCO!B569)</f>
        <v xml:space="preserve">    MEDICAL AND DENTAL RESERVE-FERC</v>
      </c>
      <c r="C43" s="4" t="str">
        <f>IF(TOTALCO!C569="", "",TOTALCO!C569)</f>
        <v/>
      </c>
      <c r="D43" s="12">
        <f>IF(TOTALCO!D569="", "",TOTALCO!D569)</f>
        <v>1944142.0800000003</v>
      </c>
      <c r="E43" s="12" t="str">
        <f>IF(TOTALCO!E569="", "",TOTALCO!E569)</f>
        <v/>
      </c>
      <c r="F43" s="12">
        <f>IF(TOTALCO!F569="", "",TOTALCO!F569)</f>
        <v>0</v>
      </c>
      <c r="G43" s="12" t="str">
        <f>IF(TOTALCO!G569="", "",TOTALCO!G569)</f>
        <v/>
      </c>
      <c r="H43" s="12">
        <f>IF(TOTALCO!H569="", "",TOTALCO!H569)</f>
        <v>0</v>
      </c>
      <c r="I43" s="12">
        <f ca="1">IF(TOTALCO!I569="", "",TOTALCO!I569)</f>
        <v>23153.118733369229</v>
      </c>
      <c r="J43" s="12" t="str">
        <f>IF(TOTALCO!J569="", "",TOTALCO!J569)</f>
        <v/>
      </c>
      <c r="K43" s="12" t="str">
        <f>IF(TOTALCO!K569="", "",TOTALCO!K569)</f>
        <v/>
      </c>
      <c r="L43" s="12">
        <f>IF(TOTALCO!L569="", "",TOTALCO!L569)</f>
        <v>0</v>
      </c>
      <c r="M43" s="12" t="str">
        <f>IF(TOTALCO!M569="", "",TOTALCO!M569)</f>
        <v/>
      </c>
      <c r="N43" s="12">
        <f ca="1">IF(TOTALCO!N569="", "",TOTALCO!N569)</f>
        <v>23153.118733369229</v>
      </c>
      <c r="O43" s="12">
        <f ca="1">IF(TOTALCO!O569="", "",TOTALCO!O569)</f>
        <v>12069.251061600895</v>
      </c>
      <c r="P43" s="12">
        <f ca="1">IF(TOTALCO!P569="", "",TOTALCO!P569)</f>
        <v>11083.867671768334</v>
      </c>
      <c r="Q43" s="12"/>
      <c r="R43" s="13"/>
    </row>
    <row r="44" spans="1:18" ht="15" x14ac:dyDescent="0.2">
      <c r="A44" s="321">
        <f>IF(TOTALCO!A570="", "",TOTALCO!A570)</f>
        <v>22</v>
      </c>
      <c r="B44" s="4" t="str">
        <f>IF(TOTALCO!B570="", "",TOTALCO!B570)</f>
        <v xml:space="preserve">     TOTAL DEDUCTIONS</v>
      </c>
      <c r="C44" s="4" t="str">
        <f>IF(TOTALCO!C570="", "",TOTALCO!C570)</f>
        <v/>
      </c>
      <c r="D44" s="12">
        <f ca="1">IF(TOTALCO!D570="", "",TOTALCO!D570)</f>
        <v>1560597355.2153842</v>
      </c>
      <c r="E44" s="12" t="str">
        <f>IF(TOTALCO!E570="", "",TOTALCO!E570)</f>
        <v/>
      </c>
      <c r="F44" s="12">
        <f ca="1">IF(TOTALCO!F570="", "",TOTALCO!F570)</f>
        <v>1402985263.5581381</v>
      </c>
      <c r="G44" s="12" t="str">
        <f>IF(TOTALCO!G570="", "",TOTALCO!G570)</f>
        <v/>
      </c>
      <c r="H44" s="12">
        <f ca="1">IF(TOTALCO!H570="", "",TOTALCO!H570)</f>
        <v>74020198.892355382</v>
      </c>
      <c r="I44" s="12">
        <f ca="1">IF(TOTALCO!I570="", "",TOTALCO!I570)</f>
        <v>21411380.501496658</v>
      </c>
      <c r="J44" s="12" t="str">
        <f>IF(TOTALCO!J570="", "",TOTALCO!J570)</f>
        <v/>
      </c>
      <c r="K44" s="12" t="str">
        <f>IF(TOTALCO!K570="", "",TOTALCO!K570)</f>
        <v/>
      </c>
      <c r="L44" s="12">
        <f ca="1">IF(TOTALCO!L570="", "",TOTALCO!L570)</f>
        <v>97948.647611923094</v>
      </c>
      <c r="M44" s="12" t="str">
        <f>IF(TOTALCO!M570="", "",TOTALCO!M570)</f>
        <v/>
      </c>
      <c r="N44" s="12">
        <f ca="1">IF(TOTALCO!N570="", "",TOTALCO!N570)</f>
        <v>21313431.853884734</v>
      </c>
      <c r="O44" s="12">
        <f ca="1">IF(TOTALCO!O570="", "",TOTALCO!O570)</f>
        <v>11071277.73538713</v>
      </c>
      <c r="P44" s="12">
        <f ca="1">IF(TOTALCO!P570="", "",TOTALCO!P570)</f>
        <v>10242154.118497605</v>
      </c>
      <c r="Q44" s="12"/>
      <c r="R44" s="13"/>
    </row>
    <row r="45" spans="1:18" ht="15" x14ac:dyDescent="0.2">
      <c r="A45" s="321" t="str">
        <f>IF(TOTALCO!A571="", "",TOTALCO!A571)</f>
        <v/>
      </c>
      <c r="B45" s="4" t="str">
        <f>IF(TOTALCO!B571="", "",TOTALCO!B571)</f>
        <v/>
      </c>
      <c r="C45" s="4" t="str">
        <f>IF(TOTALCO!C571="", "",TOTALCO!C571)</f>
        <v/>
      </c>
      <c r="D45" s="12" t="str">
        <f>IF(TOTALCO!D571="", "",TOTALCO!D571)</f>
        <v/>
      </c>
      <c r="E45" s="12" t="str">
        <f>IF(TOTALCO!E571="", "",TOTALCO!E571)</f>
        <v/>
      </c>
      <c r="F45" s="12" t="str">
        <f>IF(TOTALCO!F571="", "",TOTALCO!F571)</f>
        <v/>
      </c>
      <c r="G45" s="12" t="str">
        <f>IF(TOTALCO!G571="", "",TOTALCO!G571)</f>
        <v/>
      </c>
      <c r="H45" s="12" t="str">
        <f>IF(TOTALCO!H571="", "",TOTALCO!H571)</f>
        <v/>
      </c>
      <c r="I45" s="12" t="str">
        <f>IF(TOTALCO!I571="", "",TOTALCO!I571)</f>
        <v/>
      </c>
      <c r="J45" s="12" t="str">
        <f>IF(TOTALCO!J571="", "",TOTALCO!J571)</f>
        <v/>
      </c>
      <c r="K45" s="12" t="str">
        <f>IF(TOTALCO!K571="", "",TOTALCO!K571)</f>
        <v/>
      </c>
      <c r="L45" s="12" t="str">
        <f>IF(TOTALCO!L571="", "",TOTALCO!L571)</f>
        <v/>
      </c>
      <c r="M45" s="12" t="str">
        <f>IF(TOTALCO!M571="", "",TOTALCO!M571)</f>
        <v/>
      </c>
      <c r="N45" s="12" t="str">
        <f>IF(TOTALCO!N571="", "",TOTALCO!N571)</f>
        <v/>
      </c>
      <c r="O45" s="12" t="str">
        <f>IF(TOTALCO!O571="", "",TOTALCO!O571)</f>
        <v/>
      </c>
      <c r="P45" s="12" t="str">
        <f>IF(TOTALCO!P571="", "",TOTALCO!P571)</f>
        <v/>
      </c>
      <c r="Q45" s="12"/>
      <c r="R45" s="13"/>
    </row>
    <row r="46" spans="1:18" ht="15" x14ac:dyDescent="0.2">
      <c r="A46" s="321">
        <f>IF(TOTALCO!A572="", "",TOTALCO!A572)</f>
        <v>23</v>
      </c>
      <c r="B46" s="4" t="str">
        <f>IF(TOTALCO!B572="", "",TOTALCO!B572)</f>
        <v>NET ORIGINAL COST RATE BASE</v>
      </c>
      <c r="C46" s="4" t="str">
        <f>IF(TOTALCO!C572="", "",TOTALCO!C572)</f>
        <v/>
      </c>
      <c r="D46" s="12">
        <f ca="1">IF(TOTALCO!D572="", "",TOTALCO!D572)</f>
        <v>5586582932.2571783</v>
      </c>
      <c r="E46" s="12" t="str">
        <f>IF(TOTALCO!E572="", "",TOTALCO!E572)</f>
        <v/>
      </c>
      <c r="F46" s="12">
        <f ca="1">IF(TOTALCO!F572="", "",TOTALCO!F572)</f>
        <v>5299519247.5164509</v>
      </c>
      <c r="G46" s="12" t="str">
        <f>IF(TOTALCO!G572="", "",TOTALCO!G572)</f>
        <v/>
      </c>
      <c r="H46" s="12">
        <f ca="1">IF(TOTALCO!H572="", "",TOTALCO!H572)</f>
        <v>267523170.52161622</v>
      </c>
      <c r="I46" s="12">
        <f ca="1">IF(TOTALCO!I572="", "",TOTALCO!I572)</f>
        <v>81721026.482505113</v>
      </c>
      <c r="J46" s="12" t="str">
        <f>IF(TOTALCO!J572="", "",TOTALCO!J572)</f>
        <v/>
      </c>
      <c r="K46" s="12" t="str">
        <f>IF(TOTALCO!K572="", "",TOTALCO!K572)</f>
        <v/>
      </c>
      <c r="L46" s="12">
        <f ca="1">IF(TOTALCO!L572="", "",TOTALCO!L572)</f>
        <v>433424.77757689013</v>
      </c>
      <c r="M46" s="12" t="str">
        <f>IF(TOTALCO!M572="", "",TOTALCO!M572)</f>
        <v/>
      </c>
      <c r="N46" s="12">
        <f ca="1">IF(TOTALCO!N572="", "",TOTALCO!N572)</f>
        <v>81287601.704928219</v>
      </c>
      <c r="O46" s="12">
        <f ca="1">IF(TOTALCO!O572="", "",TOTALCO!O572)</f>
        <v>42169762.772069015</v>
      </c>
      <c r="P46" s="12">
        <f ca="1">IF(TOTALCO!P572="", "",TOTALCO!P572)</f>
        <v>39117838.932859212</v>
      </c>
      <c r="Q46" s="12"/>
      <c r="R46" s="13"/>
    </row>
    <row r="47" spans="1:18" ht="15" x14ac:dyDescent="0.2">
      <c r="A47" s="321" t="str">
        <f>IF(TOTALCO!A573="", "",TOTALCO!A573)</f>
        <v/>
      </c>
      <c r="B47" s="4" t="str">
        <f>IF(TOTALCO!B573="", "",TOTALCO!B573)</f>
        <v/>
      </c>
      <c r="C47" s="4" t="str">
        <f>IF(TOTALCO!C573="", "",TOTALCO!C573)</f>
        <v/>
      </c>
      <c r="D47" s="12" t="str">
        <f>IF(TOTALCO!D573="", "",TOTALCO!D573)</f>
        <v/>
      </c>
      <c r="E47" s="12" t="str">
        <f>IF(TOTALCO!E573="", "",TOTALCO!E573)</f>
        <v/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3"/>
    </row>
    <row r="48" spans="1:18" ht="15" x14ac:dyDescent="0.2">
      <c r="A48" s="321" t="str">
        <f>IF(TOTALCO!A574="", "",TOTALCO!A574)</f>
        <v/>
      </c>
      <c r="B48" s="4" t="str">
        <f>IF(TOTALCO!B574="", "",TOTALCO!B574)</f>
        <v>DEVELOPMENT OF RETURN</v>
      </c>
      <c r="C48" s="4" t="str">
        <f>IF(TOTALCO!C574="", "",TOTALCO!C574)</f>
        <v/>
      </c>
      <c r="D48" s="12" t="str">
        <f>IF(TOTALCO!D574="", "",TOTALCO!D574)</f>
        <v/>
      </c>
      <c r="E48" s="12" t="str">
        <f>IF(TOTALCO!E574="", "",TOTALCO!E574)</f>
        <v/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3"/>
    </row>
    <row r="49" spans="1:18" ht="15" x14ac:dyDescent="0.2">
      <c r="A49" s="321">
        <f>IF(TOTALCO!A575="", "",TOTALCO!A575)</f>
        <v>24</v>
      </c>
      <c r="B49" s="4" t="str">
        <f>IF(TOTALCO!B575="", "",TOTALCO!B575)</f>
        <v>OPERATING REVENUES</v>
      </c>
      <c r="C49" s="4" t="str">
        <f>IF(TOTALCO!C575="", "",TOTALCO!C575)</f>
        <v/>
      </c>
      <c r="D49" s="12">
        <f ca="1">IF(TOTALCO!D575="", "",TOTALCO!D575)</f>
        <v>1736120504.5603518</v>
      </c>
      <c r="E49" s="12" t="str">
        <f>IF(TOTALCO!E575="", "",TOTALCO!E575)</f>
        <v/>
      </c>
      <c r="F49" s="12">
        <f ca="1">IF(TOTALCO!F575="", "",TOTALCO!F575)</f>
        <v>1637069309.6055508</v>
      </c>
      <c r="G49" s="12" t="str">
        <f>IF(TOTALCO!G575="", "",TOTALCO!G575)</f>
        <v/>
      </c>
      <c r="H49" s="12">
        <f ca="1">IF(TOTALCO!H575="", "",TOTALCO!H575)</f>
        <v>73646268.174997061</v>
      </c>
      <c r="I49" s="12">
        <f ca="1">IF(TOTALCO!I575="", "",TOTALCO!I575)</f>
        <v>25404926.779804032</v>
      </c>
      <c r="J49" s="12" t="str">
        <f>IF(TOTALCO!J575="", "",TOTALCO!J575)</f>
        <v/>
      </c>
      <c r="K49" s="12" t="str">
        <f>IF(TOTALCO!K575="", "",TOTALCO!K575)</f>
        <v/>
      </c>
      <c r="L49" s="12">
        <f ca="1">IF(TOTALCO!L575="", "",TOTALCO!L575)</f>
        <v>172.13271890353676</v>
      </c>
      <c r="M49" s="12" t="str">
        <f>IF(TOTALCO!M575="", "",TOTALCO!M575)</f>
        <v/>
      </c>
      <c r="N49" s="12">
        <f ca="1">IF(TOTALCO!N575="", "",TOTALCO!N575)</f>
        <v>25404754.64708513</v>
      </c>
      <c r="O49" s="12">
        <f ca="1">IF(TOTALCO!O575="", "",TOTALCO!O575)</f>
        <v>12946042.706812311</v>
      </c>
      <c r="P49" s="12">
        <f ca="1">IF(TOTALCO!P575="", "",TOTALCO!P575)</f>
        <v>12458711.940272819</v>
      </c>
      <c r="Q49" s="12"/>
      <c r="R49" s="13"/>
    </row>
    <row r="50" spans="1:18" ht="15" x14ac:dyDescent="0.2">
      <c r="A50" s="321" t="str">
        <f>IF(TOTALCO!A576="", "",TOTALCO!A576)</f>
        <v/>
      </c>
      <c r="B50" s="4" t="str">
        <f>IF(TOTALCO!B576="", "",TOTALCO!B576)</f>
        <v/>
      </c>
      <c r="C50" s="4" t="str">
        <f>IF(TOTALCO!C576="", "",TOTALCO!C576)</f>
        <v/>
      </c>
      <c r="D50" s="12" t="str">
        <f>IF(TOTALCO!D576="", "",TOTALCO!D576)</f>
        <v/>
      </c>
      <c r="E50" s="12" t="str">
        <f>IF(TOTALCO!E576="", "",TOTALCO!E576)</f>
        <v/>
      </c>
      <c r="F50" s="12" t="str">
        <f>IF(TOTALCO!F576="", "",TOTALCO!F576)</f>
        <v/>
      </c>
      <c r="G50" s="12" t="str">
        <f>IF(TOTALCO!G576="", "",TOTALCO!G576)</f>
        <v/>
      </c>
      <c r="H50" s="12" t="str">
        <f>IF(TOTALCO!H576="", "",TOTALCO!H576)</f>
        <v/>
      </c>
      <c r="I50" s="12" t="str">
        <f>IF(TOTALCO!I576="", "",TOTALCO!I576)</f>
        <v/>
      </c>
      <c r="J50" s="12" t="str">
        <f>IF(TOTALCO!J576="", "",TOTALCO!J576)</f>
        <v/>
      </c>
      <c r="K50" s="12" t="str">
        <f>IF(TOTALCO!K576="", "",TOTALCO!K576)</f>
        <v/>
      </c>
      <c r="L50" s="12" t="str">
        <f>IF(TOTALCO!L576="", "",TOTALCO!L576)</f>
        <v/>
      </c>
      <c r="M50" s="12" t="str">
        <f>IF(TOTALCO!M576="", "",TOTALCO!M576)</f>
        <v/>
      </c>
      <c r="N50" s="12" t="str">
        <f>IF(TOTALCO!N576="", "",TOTALCO!N576)</f>
        <v/>
      </c>
      <c r="O50" s="12" t="str">
        <f>IF(TOTALCO!O576="", "",TOTALCO!O576)</f>
        <v/>
      </c>
      <c r="P50" s="12" t="str">
        <f>IF(TOTALCO!P576="", "",TOTALCO!P576)</f>
        <v/>
      </c>
      <c r="Q50" s="12"/>
      <c r="R50" s="13"/>
    </row>
    <row r="51" spans="1:18" ht="15" x14ac:dyDescent="0.2">
      <c r="A51" s="321" t="str">
        <f>IF(TOTALCO!A577="", "",TOTALCO!A577)</f>
        <v/>
      </c>
      <c r="B51" s="4" t="str">
        <f>IF(TOTALCO!B577="", "",TOTALCO!B577)</f>
        <v>OPERATING EXPENSES</v>
      </c>
      <c r="C51" s="4" t="str">
        <f>IF(TOTALCO!C577="", "",TOTALCO!C577)</f>
        <v/>
      </c>
      <c r="D51" s="12" t="str">
        <f>IF(TOTALCO!D577="", "",TOTALCO!D577)</f>
        <v/>
      </c>
      <c r="E51" s="12" t="str">
        <f>IF(TOTALCO!E577="", "",TOTALCO!E577)</f>
        <v/>
      </c>
      <c r="F51" s="12" t="str">
        <f>IF(TOTALCO!F577="", "",TOTALCO!F577)</f>
        <v/>
      </c>
      <c r="G51" s="12" t="str">
        <f>IF(TOTALCO!G577="", "",TOTALCO!G577)</f>
        <v/>
      </c>
      <c r="H51" s="12" t="str">
        <f>IF(TOTALCO!H577="", "",TOTALCO!H577)</f>
        <v/>
      </c>
      <c r="I51" s="12" t="str">
        <f>IF(TOTALCO!I577="", "",TOTALCO!I577)</f>
        <v/>
      </c>
      <c r="J51" s="12" t="str">
        <f>IF(TOTALCO!J577="", "",TOTALCO!J577)</f>
        <v/>
      </c>
      <c r="K51" s="12" t="str">
        <f>IF(TOTALCO!K577="", "",TOTALCO!K577)</f>
        <v/>
      </c>
      <c r="L51" s="12" t="str">
        <f>IF(TOTALCO!L577="", "",TOTALCO!L577)</f>
        <v/>
      </c>
      <c r="M51" s="12" t="str">
        <f>IF(TOTALCO!M577="", "",TOTALCO!M577)</f>
        <v/>
      </c>
      <c r="N51" s="12" t="str">
        <f>IF(TOTALCO!N577="", "",TOTALCO!N577)</f>
        <v/>
      </c>
      <c r="O51" s="12" t="str">
        <f>IF(TOTALCO!O577="", "",TOTALCO!O577)</f>
        <v/>
      </c>
      <c r="P51" s="12" t="str">
        <f>IF(TOTALCO!P577="", "",TOTALCO!P577)</f>
        <v/>
      </c>
      <c r="Q51" s="12"/>
      <c r="R51" s="13"/>
    </row>
    <row r="52" spans="1:18" ht="15" x14ac:dyDescent="0.2">
      <c r="A52" s="321">
        <f>IF(TOTALCO!A578="", "",TOTALCO!A578)</f>
        <v>25</v>
      </c>
      <c r="B52" s="4" t="str">
        <f>IF(TOTALCO!B578="", "",TOTALCO!B578)</f>
        <v xml:space="preserve">    OPERATION &amp; MAINT EXPENSE</v>
      </c>
      <c r="C52" s="4" t="str">
        <f>IF(TOTALCO!C578="", "",TOTALCO!C578)</f>
        <v/>
      </c>
      <c r="D52" s="12">
        <f ca="1">IF(TOTALCO!D578="", "",TOTALCO!D578)</f>
        <v>938986321.69972646</v>
      </c>
      <c r="E52" s="12" t="str">
        <f>IF(TOTALCO!E578="", "",TOTALCO!E578)</f>
        <v/>
      </c>
      <c r="F52" s="12">
        <f ca="1">IF(TOTALCO!F578="", "",TOTALCO!F578)</f>
        <v>880920467.52057183</v>
      </c>
      <c r="G52" s="12" t="str">
        <f>IF(TOTALCO!G578="", "",TOTALCO!G578)</f>
        <v/>
      </c>
      <c r="H52" s="12">
        <f ca="1">IF(TOTALCO!H578="", "",TOTALCO!H578)</f>
        <v>42570834.742930502</v>
      </c>
      <c r="I52" s="12">
        <f ca="1">IF(TOTALCO!I578="", "",TOTALCO!I578)</f>
        <v>15495019.436224075</v>
      </c>
      <c r="J52" s="12" t="str">
        <f>IF(TOTALCO!J578="", "",TOTALCO!J578)</f>
        <v/>
      </c>
      <c r="K52" s="12" t="str">
        <f>IF(TOTALCO!K578="", "",TOTALCO!K578)</f>
        <v/>
      </c>
      <c r="L52" s="12">
        <f ca="1">IF(TOTALCO!L578="", "",TOTALCO!L578)</f>
        <v>25291.61392747115</v>
      </c>
      <c r="M52" s="12" t="str">
        <f>IF(TOTALCO!M578="", "",TOTALCO!M578)</f>
        <v/>
      </c>
      <c r="N52" s="12">
        <f ca="1">IF(TOTALCO!N578="", "",TOTALCO!N578)</f>
        <v>15469727.822296605</v>
      </c>
      <c r="O52" s="12">
        <f ca="1">IF(TOTALCO!O578="", "",TOTALCO!O578)</f>
        <v>7887472.1403945638</v>
      </c>
      <c r="P52" s="12">
        <f ca="1">IF(TOTALCO!P578="", "",TOTALCO!P578)</f>
        <v>7582255.6819020417</v>
      </c>
      <c r="Q52" s="12"/>
      <c r="R52" s="13"/>
    </row>
    <row r="53" spans="1:18" ht="15" x14ac:dyDescent="0.2">
      <c r="A53" s="321">
        <f>IF(TOTALCO!A579="", "",TOTALCO!A579)</f>
        <v>26</v>
      </c>
      <c r="B53" s="4" t="str">
        <f>IF(TOTALCO!B579="", "",TOTALCO!B579)</f>
        <v xml:space="preserve">    DEPRECIATION &amp; AMORT EXP</v>
      </c>
      <c r="C53" s="4" t="str">
        <f>IF(TOTALCO!C579="", "",TOTALCO!C579)</f>
        <v/>
      </c>
      <c r="D53" s="12">
        <f ca="1">IF(TOTALCO!D579="", "",TOTALCO!D579)</f>
        <v>358022830.75845891</v>
      </c>
      <c r="E53" s="12" t="str">
        <f>IF(TOTALCO!E579="", "",TOTALCO!E579)</f>
        <v/>
      </c>
      <c r="F53" s="12">
        <f ca="1">IF(TOTALCO!F579="", "",TOTALCO!F579)</f>
        <v>335078116.00850677</v>
      </c>
      <c r="G53" s="12" t="str">
        <f>IF(TOTALCO!G579="", "",TOTALCO!G579)</f>
        <v/>
      </c>
      <c r="H53" s="12">
        <f ca="1">IF(TOTALCO!H579="", "",TOTALCO!H579)</f>
        <v>17272167.44674965</v>
      </c>
      <c r="I53" s="12">
        <f ca="1">IF(TOTALCO!I579="", "",TOTALCO!I579)</f>
        <v>5672547.3032024838</v>
      </c>
      <c r="J53" s="12" t="str">
        <f>IF(TOTALCO!J579="", "",TOTALCO!J579)</f>
        <v/>
      </c>
      <c r="K53" s="12" t="str">
        <f>IF(TOTALCO!K579="", "",TOTALCO!K579)</f>
        <v/>
      </c>
      <c r="L53" s="12">
        <f ca="1">IF(TOTALCO!L579="", "",TOTALCO!L579)</f>
        <v>7210.9210236152066</v>
      </c>
      <c r="M53" s="12" t="str">
        <f>IF(TOTALCO!M579="", "",TOTALCO!M579)</f>
        <v/>
      </c>
      <c r="N53" s="12">
        <f ca="1">IF(TOTALCO!N579="", "",TOTALCO!N579)</f>
        <v>5665336.3821788682</v>
      </c>
      <c r="O53" s="12">
        <f ca="1">IF(TOTALCO!O579="", "",TOTALCO!O579)</f>
        <v>2922543.2308066781</v>
      </c>
      <c r="P53" s="12">
        <f ca="1">IF(TOTALCO!P579="", "",TOTALCO!P579)</f>
        <v>2742793.1513721901</v>
      </c>
      <c r="Q53" s="12"/>
      <c r="R53" s="13"/>
    </row>
    <row r="54" spans="1:18" ht="15" x14ac:dyDescent="0.2">
      <c r="A54" s="321">
        <f>IF(TOTALCO!A580="", "",TOTALCO!A580)</f>
        <v>27</v>
      </c>
      <c r="B54" s="4" t="str">
        <f>IF(TOTALCO!B580="", "",TOTALCO!B580)</f>
        <v xml:space="preserve">    REGULATORY DEBITS</v>
      </c>
      <c r="C54" s="4" t="str">
        <f>IF(TOTALCO!C580="", "",TOTALCO!C580)</f>
        <v/>
      </c>
      <c r="D54" s="12">
        <f ca="1">IF(TOTALCO!D580="", "",TOTALCO!D580)</f>
        <v>9627413.0644305404</v>
      </c>
      <c r="E54" s="12" t="str">
        <f>IF(TOTALCO!E580="", "",TOTALCO!E580)</f>
        <v/>
      </c>
      <c r="F54" s="12">
        <f ca="1">IF(TOTALCO!F580="", "",TOTALCO!F580)</f>
        <v>8494101.2644305397</v>
      </c>
      <c r="G54" s="12" t="str">
        <f>IF(TOTALCO!G580="", "",TOTALCO!G580)</f>
        <v/>
      </c>
      <c r="H54" s="12">
        <f ca="1">IF(TOTALCO!H580="", "",TOTALCO!H580)</f>
        <v>1133311.8</v>
      </c>
      <c r="I54" s="12">
        <f ca="1">IF(TOTALCO!I580="", "",TOTALCO!I580)</f>
        <v>0</v>
      </c>
      <c r="J54" s="12" t="str">
        <f>IF(TOTALCO!J580="", "",TOTALCO!J580)</f>
        <v/>
      </c>
      <c r="K54" s="12" t="str">
        <f>IF(TOTALCO!K580="", "",TOTALCO!K580)</f>
        <v/>
      </c>
      <c r="L54" s="12">
        <f ca="1">IF(TOTALCO!L580="", "",TOTALCO!L580)</f>
        <v>0</v>
      </c>
      <c r="M54" s="12" t="str">
        <f>IF(TOTALCO!M580="", "",TOTALCO!M580)</f>
        <v/>
      </c>
      <c r="N54" s="12">
        <f ca="1">IF(TOTALCO!N580="", "",TOTALCO!N580)</f>
        <v>0</v>
      </c>
      <c r="O54" s="12">
        <f ca="1">IF(TOTALCO!O580="", "",TOTALCO!O580)</f>
        <v>0</v>
      </c>
      <c r="P54" s="12">
        <f ca="1">IF(TOTALCO!P580="", "",TOTALCO!P580)</f>
        <v>0</v>
      </c>
      <c r="Q54" s="12"/>
      <c r="R54" s="13"/>
    </row>
    <row r="55" spans="1:18" ht="15" x14ac:dyDescent="0.2">
      <c r="A55" s="321">
        <f>IF(TOTALCO!A581="", "",TOTALCO!A581)</f>
        <v>28</v>
      </c>
      <c r="B55" s="4" t="str">
        <f>IF(TOTALCO!B581="", "",TOTALCO!B581)</f>
        <v xml:space="preserve">    TAXES OTHER THAN INC TAX</v>
      </c>
      <c r="C55" s="4" t="str">
        <f>IF(TOTALCO!C581="", "",TOTALCO!C581)</f>
        <v/>
      </c>
      <c r="D55" s="12">
        <f ca="1">IF(TOTALCO!D581="", "",TOTALCO!D581)</f>
        <v>48259251.829488397</v>
      </c>
      <c r="E55" s="12" t="str">
        <f>IF(TOTALCO!E581="", "",TOTALCO!E581)</f>
        <v/>
      </c>
      <c r="F55" s="12">
        <f ca="1">IF(TOTALCO!F581="", "",TOTALCO!F581)</f>
        <v>45509691.146959946</v>
      </c>
      <c r="G55" s="12" t="str">
        <f>IF(TOTALCO!G581="", "",TOTALCO!G581)</f>
        <v/>
      </c>
      <c r="H55" s="12">
        <f ca="1">IF(TOTALCO!H581="", "",TOTALCO!H581)</f>
        <v>2133630.9316561818</v>
      </c>
      <c r="I55" s="12">
        <f ca="1">IF(TOTALCO!I581="", "",TOTALCO!I581)</f>
        <v>615929.75087226706</v>
      </c>
      <c r="J55" s="12" t="str">
        <f>IF(TOTALCO!J582="", "",TOTALCO!J582)</f>
        <v/>
      </c>
      <c r="K55" s="12" t="str">
        <f>IF(TOTALCO!K582="", "",TOTALCO!K582)</f>
        <v/>
      </c>
      <c r="L55" s="12">
        <f ca="1">IF(TOTALCO!L581="", "",TOTALCO!L581)</f>
        <v>3434.1438449766092</v>
      </c>
      <c r="M55" s="12" t="str">
        <f>IF(TOTALCO!M581="", "",TOTALCO!M581)</f>
        <v/>
      </c>
      <c r="N55" s="12">
        <f ca="1">IF(TOTALCO!N581="", "",TOTALCO!N581)</f>
        <v>612495.60702729051</v>
      </c>
      <c r="O55" s="12">
        <f ca="1">IF(TOTALCO!O581="", "",TOTALCO!O581)</f>
        <v>318608.1565690529</v>
      </c>
      <c r="P55" s="12">
        <f ca="1">IF(TOTALCO!P581="", "",TOTALCO!P581)</f>
        <v>293887.45045823761</v>
      </c>
      <c r="Q55" s="12"/>
      <c r="R55" s="13"/>
    </row>
    <row r="56" spans="1:18" ht="15" x14ac:dyDescent="0.2">
      <c r="A56" s="321">
        <f>IF(TOTALCO!A582="", "",TOTALCO!A582)</f>
        <v>29</v>
      </c>
      <c r="B56" s="4" t="str">
        <f>IF(TOTALCO!B582="", "",TOTALCO!B582)</f>
        <v xml:space="preserve">    INCOME TAXES</v>
      </c>
      <c r="C56" s="4" t="str">
        <f>IF(TOTALCO!C582="", "",TOTALCO!C582)</f>
        <v/>
      </c>
      <c r="D56" s="12">
        <f ca="1">IF(TOTALCO!D582="", "",TOTALCO!D582)</f>
        <v>47732386.200000003</v>
      </c>
      <c r="E56" s="12" t="str">
        <f>IF(TOTALCO!E582="", "",TOTALCO!E582)</f>
        <v/>
      </c>
      <c r="F56" s="12">
        <f ca="1">IF(TOTALCO!F582="", "",TOTALCO!F582)</f>
        <v>47024902.357943915</v>
      </c>
      <c r="G56" s="12" t="str">
        <f>IF(TOTALCO!G582="", "",TOTALCO!G582)</f>
        <v/>
      </c>
      <c r="H56" s="12">
        <f ca="1">IF(TOTALCO!H582="", "",TOTALCO!H582)</f>
        <v>675646.39088924241</v>
      </c>
      <c r="I56" s="12">
        <f ca="1">IF(TOTALCO!I582="", "",TOTALCO!I582)</f>
        <v>246111.60235073496</v>
      </c>
      <c r="J56" s="12" t="str">
        <f>IF(TOTALCO!J583="", "",TOTALCO!J583)</f>
        <v/>
      </c>
      <c r="K56" s="12" t="str">
        <f>IF(TOTALCO!K583="", "",TOTALCO!K583)</f>
        <v/>
      </c>
      <c r="L56" s="12">
        <f ca="1">IF(TOTALCO!L582="", "",TOTALCO!L582)</f>
        <v>-12345.117201263338</v>
      </c>
      <c r="M56" s="12" t="str">
        <f>IF(TOTALCO!M582="", "",TOTALCO!M582)</f>
        <v/>
      </c>
      <c r="N56" s="12">
        <f ca="1">IF(TOTALCO!N582="", "",TOTALCO!N582)</f>
        <v>258456.71955199831</v>
      </c>
      <c r="O56" s="12">
        <f ca="1">IF(TOTALCO!O582="", "",TOTALCO!O582)</f>
        <v>113748.9827932163</v>
      </c>
      <c r="P56" s="12">
        <f ca="1">IF(TOTALCO!P582="", "",TOTALCO!P582)</f>
        <v>144707.736758782</v>
      </c>
      <c r="Q56" s="12"/>
      <c r="R56" s="13"/>
    </row>
    <row r="57" spans="1:18" ht="15" x14ac:dyDescent="0.2">
      <c r="A57" s="321">
        <f>IF(TOTALCO!A583="", "",TOTALCO!A583)</f>
        <v>30</v>
      </c>
      <c r="B57" s="4" t="str">
        <f>IF(TOTALCO!B583="", "",TOTALCO!B583)</f>
        <v xml:space="preserve">    (GAIN) / LOSS DISPOSITION ALLOWANCES</v>
      </c>
      <c r="C57" s="4" t="str">
        <f>IF(TOTALCO!C583="", "",TOTALCO!C583)</f>
        <v/>
      </c>
      <c r="D57" s="12">
        <f ca="1">IF(TOTALCO!D583="", "",TOTALCO!D583)</f>
        <v>0</v>
      </c>
      <c r="E57" s="12" t="str">
        <f>IF(TOTALCO!E583="", "",TOTALCO!E583)</f>
        <v/>
      </c>
      <c r="F57" s="12">
        <f ca="1">IF(TOTALCO!F583="", "",TOTALCO!F583)</f>
        <v>0</v>
      </c>
      <c r="G57" s="12" t="str">
        <f>IF(TOTALCO!G583="", "",TOTALCO!G583)</f>
        <v/>
      </c>
      <c r="H57" s="12">
        <f ca="1">IF(TOTALCO!H583="", "",TOTALCO!H583)</f>
        <v>0</v>
      </c>
      <c r="I57" s="12">
        <f ca="1">IF(TOTALCO!I583="", "",TOTALCO!I583)</f>
        <v>0</v>
      </c>
      <c r="J57" s="12"/>
      <c r="K57" s="12"/>
      <c r="L57" s="12">
        <f ca="1">IF(TOTALCO!L583="", "",TOTALCO!L583)</f>
        <v>0</v>
      </c>
      <c r="M57" s="12" t="str">
        <f>IF(TOTALCO!M583="", "",TOTALCO!M583)</f>
        <v/>
      </c>
      <c r="N57" s="12">
        <f ca="1">IF(TOTALCO!N583="", "",TOTALCO!N583)</f>
        <v>0</v>
      </c>
      <c r="O57" s="12">
        <f ca="1">IF(TOTALCO!O583="", "",TOTALCO!O583)</f>
        <v>0</v>
      </c>
      <c r="P57" s="12">
        <f ca="1">IF(TOTALCO!P583="", "",TOTALCO!P583)</f>
        <v>0</v>
      </c>
      <c r="Q57" s="12"/>
      <c r="R57" s="13"/>
    </row>
    <row r="58" spans="1:18" ht="15" x14ac:dyDescent="0.2">
      <c r="A58" s="321">
        <f>IF(TOTALCO!A584="", "",TOTALCO!A584)</f>
        <v>31</v>
      </c>
      <c r="B58" s="4" t="str">
        <f>IF(TOTALCO!B584="", "",TOTALCO!B584)</f>
        <v xml:space="preserve">    (GAIN) / LOSS DISPOSITION PROPERTY-VA</v>
      </c>
      <c r="C58" s="4" t="str">
        <f>IF(TOTALCO!C584="", "",TOTALCO!C584)</f>
        <v/>
      </c>
      <c r="D58" s="12">
        <f>IF(TOTALCO!D584="", "",TOTALCO!D584)</f>
        <v>0</v>
      </c>
      <c r="E58" s="12" t="str">
        <f>IF(TOTALCO!E584="", "",TOTALCO!E584)</f>
        <v/>
      </c>
      <c r="F58" s="12">
        <f>IF(TOTALCO!F584="", "",TOTALCO!F584)</f>
        <v>0</v>
      </c>
      <c r="G58" s="12" t="str">
        <f>IF(TOTALCO!G584="", "",TOTALCO!G584)</f>
        <v/>
      </c>
      <c r="H58" s="12">
        <f ca="1">IF(TOTALCO!H584="", "",TOTALCO!H584)</f>
        <v>0</v>
      </c>
      <c r="I58" s="12">
        <f>IF(TOTALCO!I584="", "",TOTALCO!I584)</f>
        <v>0</v>
      </c>
      <c r="J58" s="12"/>
      <c r="K58" s="12"/>
      <c r="L58" s="12">
        <f>IF(TOTALCO!L584="", "",TOTALCO!L584)</f>
        <v>0</v>
      </c>
      <c r="M58" s="12" t="str">
        <f>IF(TOTALCO!M584="", "",TOTALCO!M584)</f>
        <v/>
      </c>
      <c r="N58" s="12">
        <f>IF(TOTALCO!N584="", "",TOTALCO!N584)</f>
        <v>0</v>
      </c>
      <c r="O58" s="12">
        <f>IF(TOTALCO!O584="", "",TOTALCO!O584)</f>
        <v>0</v>
      </c>
      <c r="P58" s="12">
        <f>IF(TOTALCO!P584="", "",TOTALCO!P584)</f>
        <v>0</v>
      </c>
      <c r="Q58" s="12"/>
      <c r="R58" s="13"/>
    </row>
    <row r="59" spans="1:18" ht="15" x14ac:dyDescent="0.2">
      <c r="A59" s="321">
        <f>IF(TOTALCO!A585="", "",TOTALCO!A585)</f>
        <v>32</v>
      </c>
      <c r="B59" s="4" t="str">
        <f>IF(TOTALCO!B585="", "",TOTALCO!B585)</f>
        <v xml:space="preserve">    CHARITABLE CONTRIBUTIONS-VA</v>
      </c>
      <c r="C59" s="4" t="str">
        <f>IF(TOTALCO!C585="", "",TOTALCO!C585)</f>
        <v/>
      </c>
      <c r="D59" s="12">
        <f>IF(TOTALCO!D585="", "",TOTALCO!D585)</f>
        <v>1123628.06</v>
      </c>
      <c r="E59" s="12" t="str">
        <f>IF(TOTALCO!E585="", "",TOTALCO!E585)</f>
        <v/>
      </c>
      <c r="F59" s="12">
        <f>IF(TOTALCO!F585="", "",TOTALCO!F585)</f>
        <v>0</v>
      </c>
      <c r="G59" s="12" t="str">
        <f>IF(TOTALCO!G585="", "",TOTALCO!G585)</f>
        <v/>
      </c>
      <c r="H59" s="12">
        <f ca="1">IF(TOTALCO!H585="", "",TOTALCO!H585)</f>
        <v>26600.655785648218</v>
      </c>
      <c r="I59" s="12">
        <f>IF(TOTALCO!I585="", "",TOTALCO!I585)</f>
        <v>0</v>
      </c>
      <c r="J59" s="12"/>
      <c r="K59" s="12"/>
      <c r="L59" s="12">
        <f>IF(TOTALCO!L585="", "",TOTALCO!L585)</f>
        <v>0</v>
      </c>
      <c r="M59" s="12" t="str">
        <f>IF(TOTALCO!M585="", "",TOTALCO!M585)</f>
        <v/>
      </c>
      <c r="N59" s="12">
        <f>IF(TOTALCO!N585="", "",TOTALCO!N585)</f>
        <v>0</v>
      </c>
      <c r="O59" s="12">
        <f>IF(TOTALCO!O585="", "",TOTALCO!O585)</f>
        <v>0</v>
      </c>
      <c r="P59" s="12">
        <f>IF(TOTALCO!P585="", "",TOTALCO!P585)</f>
        <v>0</v>
      </c>
      <c r="Q59" s="12"/>
      <c r="R59" s="13"/>
    </row>
    <row r="60" spans="1:18" ht="15" x14ac:dyDescent="0.2">
      <c r="A60" s="321">
        <f>IF(TOTALCO!A586="", "",TOTALCO!A586)</f>
        <v>33</v>
      </c>
      <c r="B60" s="4" t="str">
        <f>IF(TOTALCO!B586="", "",TOTALCO!B586)</f>
        <v xml:space="preserve">    INTEREST ON CUSTOMER DEPOSITS-VA</v>
      </c>
      <c r="C60" s="4" t="str">
        <f>IF(TOTALCO!C586="", "",TOTALCO!C586)</f>
        <v/>
      </c>
      <c r="D60" s="12">
        <f>IF(TOTALCO!D586="", "",TOTALCO!D586)</f>
        <v>435510.9</v>
      </c>
      <c r="E60" s="12" t="str">
        <f>IF(TOTALCO!E586="", "",TOTALCO!E586)</f>
        <v/>
      </c>
      <c r="F60" s="12">
        <f>IF(TOTALCO!F586="", "",TOTALCO!F586)</f>
        <v>0</v>
      </c>
      <c r="G60" s="12" t="str">
        <f>IF(TOTALCO!G586="", "",TOTALCO!G586)</f>
        <v/>
      </c>
      <c r="H60" s="12">
        <f ca="1">IF(TOTALCO!H586="", "",TOTALCO!H586)</f>
        <v>21902.279497089981</v>
      </c>
      <c r="I60" s="12">
        <f>IF(TOTALCO!I586="", "",TOTALCO!I586)</f>
        <v>0</v>
      </c>
      <c r="J60" s="12"/>
      <c r="K60" s="12"/>
      <c r="L60" s="12">
        <f>IF(TOTALCO!L586="", "",TOTALCO!L586)</f>
        <v>0</v>
      </c>
      <c r="M60" s="12" t="str">
        <f>IF(TOTALCO!M586="", "",TOTALCO!M586)</f>
        <v/>
      </c>
      <c r="N60" s="12">
        <f>IF(TOTALCO!N586="", "",TOTALCO!N586)</f>
        <v>0</v>
      </c>
      <c r="O60" s="12">
        <f>IF(TOTALCO!O586="", "",TOTALCO!O586)</f>
        <v>0</v>
      </c>
      <c r="P60" s="12">
        <f>IF(TOTALCO!P586="", "",TOTALCO!P586)</f>
        <v>0</v>
      </c>
      <c r="Q60" s="12"/>
      <c r="R60" s="13"/>
    </row>
    <row r="61" spans="1:18" ht="15" x14ac:dyDescent="0.2">
      <c r="A61" s="321">
        <f>IF(TOTALCO!A587="", "",TOTALCO!A587)</f>
        <v>34</v>
      </c>
      <c r="B61" s="4" t="str">
        <f>IF(TOTALCO!B587="", "",TOTALCO!B587)</f>
        <v xml:space="preserve">    ACCRETION EXPENSE</v>
      </c>
      <c r="C61" s="4" t="str">
        <f>IF(TOTALCO!C587="", "",TOTALCO!C587)</f>
        <v/>
      </c>
      <c r="D61" s="12">
        <f ca="1">IF(TOTALCO!D587="", "",TOTALCO!D587)</f>
        <v>0</v>
      </c>
      <c r="E61" s="12" t="str">
        <f>IF(TOTALCO!E587="", "",TOTALCO!E587)</f>
        <v/>
      </c>
      <c r="F61" s="12">
        <f ca="1">IF(TOTALCO!F587="", "",TOTALCO!F587)</f>
        <v>0</v>
      </c>
      <c r="G61" s="12" t="str">
        <f>IF(TOTALCO!G587="", "",TOTALCO!G587)</f>
        <v/>
      </c>
      <c r="H61" s="12">
        <f ca="1">IF(TOTALCO!H587="", "",TOTALCO!H587)</f>
        <v>0</v>
      </c>
      <c r="I61" s="12">
        <f ca="1">IF(TOTALCO!I587="", "",TOTALCO!I587)</f>
        <v>0</v>
      </c>
      <c r="J61" s="12"/>
      <c r="K61" s="12"/>
      <c r="L61" s="12">
        <f ca="1">IF(TOTALCO!L587="", "",TOTALCO!L587)</f>
        <v>0</v>
      </c>
      <c r="M61" s="12" t="str">
        <f>IF(TOTALCO!M587="", "",TOTALCO!M587)</f>
        <v/>
      </c>
      <c r="N61" s="12">
        <f ca="1">IF(TOTALCO!N587="", "",TOTALCO!N587)</f>
        <v>0</v>
      </c>
      <c r="O61" s="12">
        <f ca="1">IF(TOTALCO!O587="", "",TOTALCO!O587)</f>
        <v>0</v>
      </c>
      <c r="P61" s="12">
        <f ca="1">IF(TOTALCO!P587="", "",TOTALCO!P587)</f>
        <v>0</v>
      </c>
      <c r="Q61" s="12"/>
      <c r="R61" s="13"/>
    </row>
    <row r="62" spans="1:18" ht="15" x14ac:dyDescent="0.2">
      <c r="A62" s="321">
        <f>IF(TOTALCO!A588="", "",TOTALCO!A588)</f>
        <v>35</v>
      </c>
      <c r="B62" s="4" t="str">
        <f>IF(TOTALCO!B588="", "",TOTALCO!B588)</f>
        <v xml:space="preserve">     TOTAL OPERATING EXPENSES</v>
      </c>
      <c r="C62" s="4" t="str">
        <f>IF(TOTALCO!C588="", "",TOTALCO!C588)</f>
        <v/>
      </c>
      <c r="D62" s="12">
        <f ca="1">IF(TOTALCO!D588="", "",TOTALCO!D588)</f>
        <v>1404187342.5121043</v>
      </c>
      <c r="E62" s="12" t="str">
        <f>IF(TOTALCO!E588="", "",TOTALCO!E588)</f>
        <v/>
      </c>
      <c r="F62" s="12">
        <f ca="1">IF(TOTALCO!F588="", "",TOTALCO!F588)</f>
        <v>1317027278.298413</v>
      </c>
      <c r="G62" s="12" t="str">
        <f>IF(TOTALCO!G588="", "",TOTALCO!G588)</f>
        <v/>
      </c>
      <c r="H62" s="12">
        <f ca="1">IF(TOTALCO!H588="", "",TOTALCO!H588)</f>
        <v>63834094.24750831</v>
      </c>
      <c r="I62" s="12">
        <f ca="1">IF(TOTALCO!I588="", "",TOTALCO!I588)</f>
        <v>22029608.09264956</v>
      </c>
      <c r="J62" s="12" t="str">
        <f>IF(TOTALCO!J589="", "",TOTALCO!J589)</f>
        <v/>
      </c>
      <c r="K62" s="12" t="str">
        <f>IF(TOTALCO!K589="", "",TOTALCO!K589)</f>
        <v/>
      </c>
      <c r="L62" s="12">
        <f ca="1">IF(TOTALCO!L588="", "",TOTALCO!L588)</f>
        <v>23591.561594799627</v>
      </c>
      <c r="M62" s="12" t="str">
        <f>IF(TOTALCO!M588="", "",TOTALCO!M588)</f>
        <v/>
      </c>
      <c r="N62" s="12">
        <f ca="1">IF(TOTALCO!N588="", "",TOTALCO!N588)</f>
        <v>22006016.531054761</v>
      </c>
      <c r="O62" s="12">
        <f ca="1">IF(TOTALCO!O588="", "",TOTALCO!O588)</f>
        <v>11242372.51056351</v>
      </c>
      <c r="P62" s="12">
        <f ca="1">IF(TOTALCO!P588="", "",TOTALCO!P588)</f>
        <v>10763644.020491252</v>
      </c>
      <c r="Q62" s="12"/>
      <c r="R62" s="13"/>
    </row>
    <row r="63" spans="1:18" ht="15" x14ac:dyDescent="0.2">
      <c r="A63" s="321" t="str">
        <f>IF(TOTALCO!A589="", "",TOTALCO!A589)</f>
        <v/>
      </c>
      <c r="B63" s="4" t="str">
        <f>IF(TOTALCO!B589="", "",TOTALCO!B589)</f>
        <v/>
      </c>
      <c r="C63" s="4" t="str">
        <f>IF(TOTALCO!C589="", "",TOTALCO!C589)</f>
        <v/>
      </c>
      <c r="D63" s="12" t="str">
        <f>IF(TOTALCO!D589="", "",TOTALCO!D589)</f>
        <v/>
      </c>
      <c r="E63" s="12" t="str">
        <f>IF(TOTALCO!E589="", "",TOTALCO!E589)</f>
        <v/>
      </c>
      <c r="F63" s="12" t="str">
        <f>IF(TOTALCO!F589="", "",TOTALCO!F589)</f>
        <v/>
      </c>
      <c r="G63" s="12" t="str">
        <f>IF(TOTALCO!G589="", "",TOTALCO!G589)</f>
        <v/>
      </c>
      <c r="H63" s="12" t="str">
        <f>IF(TOTALCO!H589="", "",TOTALCO!H589)</f>
        <v/>
      </c>
      <c r="I63" s="12" t="str">
        <f>IF(TOTALCO!I589="", "",TOTALCO!I589)</f>
        <v/>
      </c>
      <c r="J63" s="12" t="str">
        <f>IF(TOTALCO!J590="", "",TOTALCO!J590)</f>
        <v/>
      </c>
      <c r="K63" s="12" t="str">
        <f>IF(TOTALCO!K590="", "",TOTALCO!K590)</f>
        <v/>
      </c>
      <c r="L63" s="12" t="str">
        <f>IF(TOTALCO!L589="", "",TOTALCO!L589)</f>
        <v/>
      </c>
      <c r="M63" s="12" t="str">
        <f>IF(TOTALCO!M589="", "",TOTALCO!M589)</f>
        <v/>
      </c>
      <c r="N63" s="12" t="str">
        <f>IF(TOTALCO!N589="", "",TOTALCO!N589)</f>
        <v/>
      </c>
      <c r="O63" s="12" t="str">
        <f>IF(TOTALCO!O589="", "",TOTALCO!O589)</f>
        <v/>
      </c>
      <c r="P63" s="12" t="str">
        <f>IF(TOTALCO!P589="", "",TOTALCO!P589)</f>
        <v/>
      </c>
      <c r="Q63" s="12"/>
      <c r="R63" s="13"/>
    </row>
    <row r="64" spans="1:18" ht="15" x14ac:dyDescent="0.2">
      <c r="A64" s="321">
        <f>IF(TOTALCO!A590="", "",TOTALCO!A590)</f>
        <v>36</v>
      </c>
      <c r="B64" s="4" t="str">
        <f>IF(TOTALCO!B590="", "",TOTALCO!B590)</f>
        <v>RETURN</v>
      </c>
      <c r="C64" s="4" t="str">
        <f>IF(TOTALCO!C590="", "",TOTALCO!C590)</f>
        <v/>
      </c>
      <c r="D64" s="12">
        <f ca="1">IF(TOTALCO!D590="", "",TOTALCO!D590)</f>
        <v>331933162.04824758</v>
      </c>
      <c r="E64" s="12" t="str">
        <f>IF(TOTALCO!E590="", "",TOTALCO!E590)</f>
        <v/>
      </c>
      <c r="F64" s="12">
        <f ca="1">IF(TOTALCO!F590="", "",TOTALCO!F590)</f>
        <v>320042031.30713773</v>
      </c>
      <c r="G64" s="12" t="str">
        <f>IF(TOTALCO!G590="", "",TOTALCO!G590)</f>
        <v/>
      </c>
      <c r="H64" s="12">
        <f ca="1">IF(TOTALCO!H590="", "",TOTALCO!H590)</f>
        <v>9812173.9274887517</v>
      </c>
      <c r="I64" s="12">
        <f ca="1">IF(TOTALCO!I590="", "",TOTALCO!I590)</f>
        <v>3375318.6871544728</v>
      </c>
      <c r="J64" s="12" t="str">
        <f>IF(TOTALCO!J591="", "",TOTALCO!J591)</f>
        <v/>
      </c>
      <c r="K64" s="12" t="str">
        <f>IF(TOTALCO!K591="", "",TOTALCO!K591)</f>
        <v/>
      </c>
      <c r="L64" s="12">
        <f ca="1">IF(TOTALCO!L590="", "",TOTALCO!L590)</f>
        <v>-23419.42887589609</v>
      </c>
      <c r="M64" s="12" t="str">
        <f>IF(TOTALCO!M590="", "",TOTALCO!M590)</f>
        <v/>
      </c>
      <c r="N64" s="12">
        <f ca="1">IF(TOTALCO!N590="", "",TOTALCO!N590)</f>
        <v>3398738.116030369</v>
      </c>
      <c r="O64" s="12">
        <f ca="1">IF(TOTALCO!O590="", "",TOTALCO!O590)</f>
        <v>1703670.1962488014</v>
      </c>
      <c r="P64" s="12">
        <f ca="1">IF(TOTALCO!P590="", "",TOTALCO!P590)</f>
        <v>1695067.9197815675</v>
      </c>
      <c r="Q64" s="12"/>
      <c r="R64" s="13"/>
    </row>
    <row r="65" spans="1:18" ht="15" x14ac:dyDescent="0.2">
      <c r="A65" s="321">
        <f>IF(TOTALCO!A591="", "",TOTALCO!A591)</f>
        <v>37</v>
      </c>
      <c r="B65" s="4" t="str">
        <f>IF(TOTALCO!B591="", "",TOTALCO!B591)</f>
        <v>RATE OF RETURN</v>
      </c>
      <c r="C65" s="4" t="str">
        <f>IF(TOTALCO!C591="", "",TOTALCO!C591)</f>
        <v/>
      </c>
      <c r="D65" s="20">
        <f ca="1">IF(TOTALCO!D591="", "",TOTALCO!D591)</f>
        <v>5.9416134347823023E-2</v>
      </c>
      <c r="E65" s="20" t="str">
        <f>IF(TOTALCO!E591="", "",TOTALCO!E591)</f>
        <v/>
      </c>
      <c r="F65" s="20">
        <f ca="1">IF(TOTALCO!F591="", "",TOTALCO!F591)</f>
        <v>6.0390766852506703E-2</v>
      </c>
      <c r="G65" s="20" t="str">
        <f>IF(TOTALCO!G591="", "",TOTALCO!G591)</f>
        <v/>
      </c>
      <c r="H65" s="20">
        <f ca="1">IF(TOTALCO!H591="", "",TOTALCO!H591)</f>
        <v>3.6677847037910744E-2</v>
      </c>
      <c r="I65" s="20">
        <f ca="1">IF(TOTALCO!I591="", "",TOTALCO!I591)</f>
        <v>4.1302940411266899E-2</v>
      </c>
      <c r="J65" s="20" t="str">
        <f>IF(TOTALCO!J592="", "",TOTALCO!J592)</f>
        <v/>
      </c>
      <c r="K65" s="20" t="str">
        <f>IF(TOTALCO!K592="", "",TOTALCO!K592)</f>
        <v/>
      </c>
      <c r="L65" s="20">
        <f ca="1">IF(TOTALCO!L591="", "",TOTALCO!L591)</f>
        <v>-5.4033433452570563E-2</v>
      </c>
      <c r="M65" s="20" t="str">
        <f>IF(TOTALCO!M591="", "",TOTALCO!M591)</f>
        <v/>
      </c>
      <c r="N65" s="20">
        <f ca="1">IF(TOTALCO!N591="", "",TOTALCO!N591)</f>
        <v>4.1811273118472554E-2</v>
      </c>
      <c r="O65" s="20">
        <f ca="1">IF(TOTALCO!O591="", "",TOTALCO!O591)</f>
        <v>4.0400279353177228E-2</v>
      </c>
      <c r="P65" s="20">
        <f ca="1">IF(TOTALCO!P591="", "",TOTALCO!P591)</f>
        <v>4.3332350815466457E-2</v>
      </c>
      <c r="Q65" s="20"/>
      <c r="R65" s="13"/>
    </row>
    <row r="66" spans="1:18" ht="15" x14ac:dyDescent="0.2">
      <c r="A66" s="321" t="str">
        <f>IF(TOTALCO!A593="", "",TOTALCO!A593)</f>
        <v/>
      </c>
      <c r="B66" s="4" t="str">
        <f>IF(TOTALCO!B593="", "",TOTALCO!B593)</f>
        <v/>
      </c>
      <c r="C66" s="4" t="str">
        <f>IF(TOTALCO!C593="", "",TOTALCO!C593)</f>
        <v/>
      </c>
      <c r="D66" s="12" t="str">
        <f>IF(TOTALCO!D593="", "",TOTALCO!D593)</f>
        <v/>
      </c>
      <c r="E66" s="12" t="str">
        <f>IF(TOTALCO!E593="", "",TOTALCO!E593)</f>
        <v/>
      </c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12"/>
      <c r="R66" s="13"/>
    </row>
    <row r="67" spans="1:18" ht="15" x14ac:dyDescent="0.2">
      <c r="A67" s="321" t="str">
        <f>IF(TOTALCO!A594="", "",TOTALCO!A594)</f>
        <v/>
      </c>
      <c r="B67" s="4" t="str">
        <f>IF(TOTALCO!B594="", "",TOTALCO!B594)</f>
        <v/>
      </c>
      <c r="C67" s="4" t="str">
        <f>IF(TOTALCO!C594="", "",TOTALCO!C594)</f>
        <v/>
      </c>
      <c r="D67" s="12" t="str">
        <f>IF(TOTALCO!D594="", "",TOTALCO!D594)</f>
        <v/>
      </c>
      <c r="E67" s="12" t="str">
        <f>IF(TOTALCO!E594="", "",TOTALCO!E594)</f>
        <v/>
      </c>
      <c r="F67" s="12" t="str">
        <f>IF(TOTALCO!F594="", "",TOTALCO!F594)</f>
        <v/>
      </c>
      <c r="G67" s="12" t="str">
        <f>IF(TOTALCO!G594="", "",TOTALCO!G594)</f>
        <v/>
      </c>
      <c r="H67" s="12" t="str">
        <f>IF(TOTALCO!H594="", "",TOTALCO!H594)</f>
        <v/>
      </c>
      <c r="I67" s="12" t="str">
        <f>IF(TOTALCO!I594="", "",TOTALCO!I594)</f>
        <v/>
      </c>
      <c r="J67" s="12" t="str">
        <f>IF(TOTALCO!J594="", "",TOTALCO!J594)</f>
        <v/>
      </c>
      <c r="K67" s="12" t="str">
        <f>IF(TOTALCO!K594="", "",TOTALCO!K594)</f>
        <v/>
      </c>
      <c r="L67" s="12" t="str">
        <f>IF(TOTALCO!L594="", "",TOTALCO!L594)</f>
        <v/>
      </c>
      <c r="M67" s="12" t="str">
        <f>IF(TOTALCO!M594="", "",TOTALCO!M594)</f>
        <v/>
      </c>
      <c r="N67" s="12" t="str">
        <f>IF(TOTALCO!N594="", "",TOTALCO!N594)</f>
        <v/>
      </c>
      <c r="O67" s="12" t="str">
        <f>IF(TOTALCO!O594="", "",TOTALCO!O594)</f>
        <v/>
      </c>
      <c r="P67" s="12" t="str">
        <f>IF(TOTALCO!P594="", "",TOTALCO!P594)</f>
        <v/>
      </c>
      <c r="Q67" s="12"/>
      <c r="R67" s="13"/>
    </row>
    <row r="68" spans="1:18" ht="15" x14ac:dyDescent="0.2">
      <c r="A68" s="321" t="str">
        <f>IF(TOTALCO!A595="", "",TOTALCO!A595)</f>
        <v/>
      </c>
      <c r="B68" s="4" t="str">
        <f>IF(TOTALCO!B595="", "",TOTALCO!B595)</f>
        <v/>
      </c>
      <c r="C68" s="4" t="str">
        <f>IF(TOTALCO!C595="", "",TOTALCO!C595)</f>
        <v/>
      </c>
      <c r="D68" s="12" t="str">
        <f>IF(TOTALCO!D595="", "",TOTALCO!D595)</f>
        <v/>
      </c>
      <c r="E68" s="12" t="str">
        <f>IF(TOTALCO!E595="", "",TOTALCO!E595)</f>
        <v/>
      </c>
      <c r="F68" s="12" t="str">
        <f>IF(TOTALCO!F595="", "",TOTALCO!F595)</f>
        <v/>
      </c>
      <c r="G68" s="12" t="str">
        <f>IF(TOTALCO!G595="", "",TOTALCO!G595)</f>
        <v/>
      </c>
      <c r="H68" s="12" t="str">
        <f>IF(TOTALCO!H595="", "",TOTALCO!H595)</f>
        <v/>
      </c>
      <c r="I68" s="12" t="str">
        <f>IF(TOTALCO!I595="", "",TOTALCO!I595)</f>
        <v/>
      </c>
      <c r="J68" s="12" t="str">
        <f>IF(TOTALCO!J595="", "",TOTALCO!J595)</f>
        <v/>
      </c>
      <c r="K68" s="12" t="str">
        <f>IF(TOTALCO!K595="", "",TOTALCO!K595)</f>
        <v/>
      </c>
      <c r="L68" s="12" t="str">
        <f>IF(TOTALCO!L595="", "",TOTALCO!L595)</f>
        <v/>
      </c>
      <c r="M68" s="12" t="str">
        <f>IF(TOTALCO!M595="", "",TOTALCO!M595)</f>
        <v/>
      </c>
      <c r="N68" s="12" t="str">
        <f>IF(TOTALCO!N595="", "",TOTALCO!N595)</f>
        <v/>
      </c>
      <c r="O68" s="12" t="str">
        <f>IF(TOTALCO!O595="", "",TOTALCO!O595)</f>
        <v/>
      </c>
      <c r="P68" s="12" t="str">
        <f>IF(TOTALCO!P595="", "",TOTALCO!P595)</f>
        <v/>
      </c>
      <c r="Q68" s="12"/>
      <c r="R68" s="13"/>
    </row>
    <row r="69" spans="1:18" ht="15" x14ac:dyDescent="0.2">
      <c r="A69" s="321" t="str">
        <f>IF(TOTALCO!A596="", "",TOTALCO!A596)</f>
        <v/>
      </c>
      <c r="B69" s="4" t="str">
        <f>IF(TOTALCO!B596="", "",TOTALCO!B596)</f>
        <v>ELECTRIC PLANT IN SERVICE</v>
      </c>
      <c r="C69" s="4" t="str">
        <f>IF(TOTALCO!C596="", "",TOTALCO!C596)</f>
        <v/>
      </c>
      <c r="D69" s="12" t="str">
        <f>IF(TOTALCO!D596="", "",TOTALCO!D596)</f>
        <v/>
      </c>
      <c r="E69" s="12" t="str">
        <f>IF(TOTALCO!E596="", "",TOTALCO!E596)</f>
        <v/>
      </c>
      <c r="F69" s="12" t="str">
        <f>IF(TOTALCO!F596="", "",TOTALCO!F596)</f>
        <v/>
      </c>
      <c r="G69" s="12" t="str">
        <f>IF(TOTALCO!G596="", "",TOTALCO!G596)</f>
        <v/>
      </c>
      <c r="H69" s="12" t="str">
        <f>IF(TOTALCO!H596="", "",TOTALCO!H596)</f>
        <v/>
      </c>
      <c r="I69" s="12" t="str">
        <f>IF(TOTALCO!I596="", "",TOTALCO!I596)</f>
        <v/>
      </c>
      <c r="J69" s="12" t="str">
        <f>IF(TOTALCO!J596="", "",TOTALCO!J596)</f>
        <v/>
      </c>
      <c r="K69" s="12" t="str">
        <f>IF(TOTALCO!K596="", "",TOTALCO!K596)</f>
        <v/>
      </c>
      <c r="L69" s="12" t="str">
        <f>IF(TOTALCO!L596="", "",TOTALCO!L596)</f>
        <v/>
      </c>
      <c r="M69" s="12" t="str">
        <f>IF(TOTALCO!M596="", "",TOTALCO!M596)</f>
        <v/>
      </c>
      <c r="N69" s="12" t="str">
        <f>IF(TOTALCO!N596="", "",TOTALCO!N596)</f>
        <v/>
      </c>
      <c r="O69" s="12" t="str">
        <f>IF(TOTALCO!O596="", "",TOTALCO!O596)</f>
        <v/>
      </c>
      <c r="P69" s="12" t="str">
        <f>IF(TOTALCO!P596="", "",TOTALCO!P596)</f>
        <v/>
      </c>
      <c r="Q69" s="12"/>
      <c r="R69" s="13"/>
    </row>
    <row r="70" spans="1:18" ht="15" x14ac:dyDescent="0.2">
      <c r="A70" s="321" t="str">
        <f>IF(TOTALCO!A597="", "",TOTALCO!A597)</f>
        <v/>
      </c>
      <c r="B70" s="4" t="str">
        <f>IF(TOTALCO!B597="", "",TOTALCO!B597)</f>
        <v/>
      </c>
      <c r="C70" s="4" t="str">
        <f>IF(TOTALCO!C597="", "",TOTALCO!C597)</f>
        <v/>
      </c>
      <c r="D70" s="12" t="str">
        <f>IF(TOTALCO!D597="", "",TOTALCO!D597)</f>
        <v/>
      </c>
      <c r="E70" s="12" t="str">
        <f>IF(TOTALCO!E597="", "",TOTALCO!E597)</f>
        <v/>
      </c>
      <c r="F70" s="12" t="str">
        <f>IF(TOTALCO!F597="", "",TOTALCO!F597)</f>
        <v/>
      </c>
      <c r="G70" s="12" t="str">
        <f>IF(TOTALCO!G597="", "",TOTALCO!G597)</f>
        <v/>
      </c>
      <c r="H70" s="12" t="str">
        <f>IF(TOTALCO!H597="", "",TOTALCO!H597)</f>
        <v/>
      </c>
      <c r="I70" s="12" t="str">
        <f>IF(TOTALCO!I597="", "",TOTALCO!I597)</f>
        <v/>
      </c>
      <c r="J70" s="12" t="str">
        <f>IF(TOTALCO!J597="", "",TOTALCO!J597)</f>
        <v/>
      </c>
      <c r="K70" s="12" t="str">
        <f>IF(TOTALCO!K597="", "",TOTALCO!K597)</f>
        <v/>
      </c>
      <c r="L70" s="12" t="str">
        <f>IF(TOTALCO!L597="", "",TOTALCO!L597)</f>
        <v/>
      </c>
      <c r="M70" s="12" t="str">
        <f>IF(TOTALCO!M597="", "",TOTALCO!M597)</f>
        <v/>
      </c>
      <c r="N70" s="12" t="str">
        <f>IF(TOTALCO!N597="", "",TOTALCO!N597)</f>
        <v/>
      </c>
      <c r="O70" s="12" t="str">
        <f>IF(TOTALCO!O597="", "",TOTALCO!O597)</f>
        <v/>
      </c>
      <c r="P70" s="12" t="str">
        <f>IF(TOTALCO!P597="", "",TOTALCO!P597)</f>
        <v/>
      </c>
      <c r="Q70" s="12"/>
      <c r="R70" s="13"/>
    </row>
    <row r="71" spans="1:18" ht="15" x14ac:dyDescent="0.2">
      <c r="A71" s="321" t="str">
        <f>IF(TOTALCO!A598="", "",TOTALCO!A598)</f>
        <v/>
      </c>
      <c r="B71" s="4" t="str">
        <f>IF(TOTALCO!B598="", "",TOTALCO!B598)</f>
        <v>INTANGIBLE PLANT</v>
      </c>
      <c r="C71" s="4" t="str">
        <f>IF(TOTALCO!C598="", "",TOTALCO!C598)</f>
        <v/>
      </c>
      <c r="D71" s="12" t="str">
        <f>IF(TOTALCO!D598="", "",TOTALCO!D598)</f>
        <v/>
      </c>
      <c r="E71" s="12" t="str">
        <f>IF(TOTALCO!E598="", "",TOTALCO!E598)</f>
        <v/>
      </c>
      <c r="F71" s="12" t="str">
        <f>IF(TOTALCO!F598="", "",TOTALCO!F598)</f>
        <v/>
      </c>
      <c r="G71" s="12" t="str">
        <f>IF(TOTALCO!G598="", "",TOTALCO!G598)</f>
        <v/>
      </c>
      <c r="H71" s="12" t="str">
        <f>IF(TOTALCO!H598="", "",TOTALCO!H598)</f>
        <v/>
      </c>
      <c r="I71" s="12" t="str">
        <f>IF(TOTALCO!I598="", "",TOTALCO!I598)</f>
        <v/>
      </c>
      <c r="J71" s="12" t="str">
        <f>IF(TOTALCO!J598="", "",TOTALCO!J598)</f>
        <v/>
      </c>
      <c r="K71" s="12" t="str">
        <f>IF(TOTALCO!K598="", "",TOTALCO!K598)</f>
        <v/>
      </c>
      <c r="L71" s="12" t="str">
        <f>IF(TOTALCO!L598="", "",TOTALCO!L598)</f>
        <v/>
      </c>
      <c r="M71" s="12" t="str">
        <f>IF(TOTALCO!M598="", "",TOTALCO!M598)</f>
        <v/>
      </c>
      <c r="N71" s="12" t="str">
        <f>IF(TOTALCO!N598="", "",TOTALCO!N598)</f>
        <v/>
      </c>
      <c r="O71" s="12" t="str">
        <f>IF(TOTALCO!O598="", "",TOTALCO!O598)</f>
        <v/>
      </c>
      <c r="P71" s="12" t="str">
        <f>IF(TOTALCO!P598="", "",TOTALCO!P598)</f>
        <v/>
      </c>
      <c r="Q71" s="12"/>
      <c r="R71" s="13"/>
    </row>
    <row r="72" spans="1:18" ht="15" x14ac:dyDescent="0.2">
      <c r="A72" s="321">
        <f>IF(TOTALCO!A599="", "",TOTALCO!A599)</f>
        <v>1</v>
      </c>
      <c r="B72" s="4" t="str">
        <f>IF(TOTALCO!B599="", "",TOTALCO!B599)</f>
        <v xml:space="preserve"> 301-ORGANIZATION</v>
      </c>
      <c r="C72" s="4" t="str">
        <f>IF(TOTALCO!C599="", "",TOTALCO!C599)</f>
        <v>PTDGPLT</v>
      </c>
      <c r="D72" s="12">
        <f ca="1">IF(TOTALCO!D599="", "",TOTALCO!D599)</f>
        <v>44455.58</v>
      </c>
      <c r="E72" s="12" t="str">
        <f>IF(TOTALCO!E599="", "",TOTALCO!E599)</f>
        <v/>
      </c>
      <c r="F72" s="12">
        <f ca="1">IF(TOTALCO!F599="", "",TOTALCO!F599)</f>
        <v>41564.808185138463</v>
      </c>
      <c r="G72" s="12" t="str">
        <f>IF(TOTALCO!G599="", "",TOTALCO!G599)</f>
        <v/>
      </c>
      <c r="H72" s="12">
        <f ca="1">IF(TOTALCO!H599="", "",TOTALCO!H599)</f>
        <v>2243.9470024996299</v>
      </c>
      <c r="I72" s="12">
        <f ca="1">IF(TOTALCO!I599="", "",TOTALCO!I599)</f>
        <v>646.82481236191131</v>
      </c>
      <c r="J72" s="12" t="str">
        <f>IF(TOTALCO!J599="", "",TOTALCO!J599)</f>
        <v/>
      </c>
      <c r="K72" s="12" t="str">
        <f>IF(TOTALCO!K599="", "",TOTALCO!K599)</f>
        <v/>
      </c>
      <c r="L72" s="12">
        <f ca="1">IF(TOTALCO!L599="", "",TOTALCO!L599)</f>
        <v>3.0551379220836417</v>
      </c>
      <c r="M72" s="12" t="str">
        <f>IF(TOTALCO!M599="", "",TOTALCO!M599)</f>
        <v/>
      </c>
      <c r="N72" s="12">
        <f ca="1">IF(TOTALCO!N599="", "",TOTALCO!N599)</f>
        <v>643.76967443982767</v>
      </c>
      <c r="O72" s="12">
        <f ca="1">IF(TOTALCO!O599="", "",TOTALCO!O599)</f>
        <v>334.60437101626371</v>
      </c>
      <c r="P72" s="12">
        <f ca="1">IF(TOTALCO!P599="", "",TOTALCO!P599)</f>
        <v>309.1653034235639</v>
      </c>
      <c r="Q72" s="12"/>
      <c r="R72" s="13"/>
    </row>
    <row r="73" spans="1:18" ht="15" x14ac:dyDescent="0.2">
      <c r="A73" s="321">
        <f>IF(TOTALCO!A600="", "",TOTALCO!A600)</f>
        <v>2</v>
      </c>
      <c r="B73" s="4" t="str">
        <f>IF(TOTALCO!B600="", "",TOTALCO!B600)</f>
        <v xml:space="preserve"> 302-FRANCHISE</v>
      </c>
      <c r="C73" s="4" t="str">
        <f>IF(TOTALCO!C600="", "",TOTALCO!C600)</f>
        <v>KURETPLT</v>
      </c>
      <c r="D73" s="12">
        <f ca="1">IF(TOTALCO!D600="", "",TOTALCO!D600)</f>
        <v>55918.829999999994</v>
      </c>
      <c r="E73" s="12" t="str">
        <f>IF(TOTALCO!E600="", "",TOTALCO!E600)</f>
        <v/>
      </c>
      <c r="F73" s="12">
        <f ca="1">IF(TOTALCO!F600="", "",TOTALCO!F600)</f>
        <v>55918.829999999994</v>
      </c>
      <c r="G73" s="12" t="str">
        <f>IF(TOTALCO!G600="", "",TOTALCO!G600)</f>
        <v/>
      </c>
      <c r="H73" s="12">
        <f ca="1">IF(TOTALCO!H600="", "",TOTALCO!H600)</f>
        <v>0</v>
      </c>
      <c r="I73" s="12">
        <f ca="1">IF(TOTALCO!I600="", "",TOTALCO!I600)</f>
        <v>0</v>
      </c>
      <c r="J73" s="12" t="str">
        <f>IF(TOTALCO!J600="", "",TOTALCO!J600)</f>
        <v/>
      </c>
      <c r="K73" s="12" t="str">
        <f>IF(TOTALCO!K600="", "",TOTALCO!K600)</f>
        <v/>
      </c>
      <c r="L73" s="12">
        <f ca="1">IF(TOTALCO!L600="", "",TOTALCO!L600)</f>
        <v>0</v>
      </c>
      <c r="M73" s="12" t="str">
        <f>IF(TOTALCO!M600="", "",TOTALCO!M600)</f>
        <v/>
      </c>
      <c r="N73" s="12">
        <f ca="1">IF(TOTALCO!N600="", "",TOTALCO!N600)</f>
        <v>0</v>
      </c>
      <c r="O73" s="12">
        <f ca="1">IF(TOTALCO!O600="", "",TOTALCO!O600)</f>
        <v>0</v>
      </c>
      <c r="P73" s="12">
        <f ca="1">IF(TOTALCO!P600="", "",TOTALCO!P600)</f>
        <v>0</v>
      </c>
      <c r="Q73" s="12"/>
      <c r="R73" s="13"/>
    </row>
    <row r="74" spans="1:18" ht="15" x14ac:dyDescent="0.2">
      <c r="A74" s="321">
        <f>IF(TOTALCO!A601="", "",TOTALCO!A601)</f>
        <v>3</v>
      </c>
      <c r="B74" s="4" t="str">
        <f>IF(TOTALCO!B601="", "",TOTALCO!B601)</f>
        <v xml:space="preserve"> 303-SOFTWARE</v>
      </c>
      <c r="C74" s="4" t="str">
        <f>IF(TOTALCO!C601="", "",TOTALCO!C601)</f>
        <v>PTDGPLT</v>
      </c>
      <c r="D74" s="12">
        <f ca="1">IF(TOTALCO!D601="", "",TOTALCO!D601)</f>
        <v>97263001.621538445</v>
      </c>
      <c r="E74" s="12" t="str">
        <f>IF(TOTALCO!E601="", "",TOTALCO!E601)</f>
        <v/>
      </c>
      <c r="F74" s="12">
        <f ca="1">IF(TOTALCO!F601="", "",TOTALCO!F601)</f>
        <v>90938370.524241433</v>
      </c>
      <c r="G74" s="12" t="str">
        <f>IF(TOTALCO!G601="", "",TOTALCO!G601)</f>
        <v/>
      </c>
      <c r="H74" s="12">
        <f ca="1">IF(TOTALCO!H601="", "",TOTALCO!H601)</f>
        <v>4909462.9052813575</v>
      </c>
      <c r="I74" s="12">
        <f ca="1">IF(TOTALCO!I601="", "",TOTALCO!I601)</f>
        <v>1415168.1920156677</v>
      </c>
      <c r="J74" s="12" t="str">
        <f>IF(TOTALCO!J601="", "",TOTALCO!J601)</f>
        <v/>
      </c>
      <c r="K74" s="12" t="str">
        <f>IF(TOTALCO!K601="", "",TOTALCO!K601)</f>
        <v/>
      </c>
      <c r="L74" s="12">
        <f ca="1">IF(TOTALCO!L601="", "",TOTALCO!L601)</f>
        <v>6684.2426680665249</v>
      </c>
      <c r="M74" s="12" t="str">
        <f>IF(TOTALCO!M601="", "",TOTALCO!M601)</f>
        <v/>
      </c>
      <c r="N74" s="12">
        <f ca="1">IF(TOTALCO!N601="", "",TOTALCO!N601)</f>
        <v>1408483.949347601</v>
      </c>
      <c r="O74" s="12">
        <f ca="1">IF(TOTALCO!O601="", "",TOTALCO!O601)</f>
        <v>732070.65301428316</v>
      </c>
      <c r="P74" s="12">
        <f ca="1">IF(TOTALCO!P601="", "",TOTALCO!P601)</f>
        <v>676413.29633331788</v>
      </c>
      <c r="Q74" s="12"/>
      <c r="R74" s="13"/>
    </row>
    <row r="75" spans="1:18" ht="15" x14ac:dyDescent="0.2">
      <c r="A75" s="321">
        <f>IF(TOTALCO!A602="", "",TOTALCO!A602)</f>
        <v>4</v>
      </c>
      <c r="B75" s="4" t="str">
        <f>IF(TOTALCO!B602="", "",TOTALCO!B602)</f>
        <v>TOTAL INTANGIBLE PLANT</v>
      </c>
      <c r="C75" s="4" t="str">
        <f>IF(TOTALCO!C602="", "",TOTALCO!C602)</f>
        <v/>
      </c>
      <c r="D75" s="12">
        <f ca="1">IF(TOTALCO!D602="", "",TOTALCO!D602)</f>
        <v>97363376.031538457</v>
      </c>
      <c r="E75" s="12" t="str">
        <f>IF(TOTALCO!E602="", "",TOTALCO!E602)</f>
        <v/>
      </c>
      <c r="F75" s="12">
        <f ca="1">IF(TOTALCO!F602="", "",TOTALCO!F602)</f>
        <v>91035854.162426576</v>
      </c>
      <c r="G75" s="12" t="str">
        <f>IF(TOTALCO!G602="", "",TOTALCO!G602)</f>
        <v/>
      </c>
      <c r="H75" s="12">
        <f ca="1">IF(TOTALCO!H602="", "",TOTALCO!H602)</f>
        <v>4911706.8522838568</v>
      </c>
      <c r="I75" s="12">
        <f ca="1">IF(TOTALCO!I602="", "",TOTALCO!I602)</f>
        <v>1415815.0168280294</v>
      </c>
      <c r="J75" s="12" t="str">
        <f>IF(TOTALCO!J602="", "",TOTALCO!J602)</f>
        <v/>
      </c>
      <c r="K75" s="12" t="str">
        <f>IF(TOTALCO!K602="", "",TOTALCO!K602)</f>
        <v/>
      </c>
      <c r="L75" s="12">
        <f ca="1">IF(TOTALCO!L602="", "",TOTALCO!L602)</f>
        <v>6687.2978059886082</v>
      </c>
      <c r="M75" s="12" t="str">
        <f>IF(TOTALCO!M602="", "",TOTALCO!M602)</f>
        <v/>
      </c>
      <c r="N75" s="12">
        <f ca="1">IF(TOTALCO!N602="", "",TOTALCO!N602)</f>
        <v>1409127.7190220407</v>
      </c>
      <c r="O75" s="12">
        <f ca="1">IF(TOTALCO!O602="", "",TOTALCO!O602)</f>
        <v>732405.25738529942</v>
      </c>
      <c r="P75" s="12">
        <f ca="1">IF(TOTALCO!P602="", "",TOTALCO!P602)</f>
        <v>676722.46163674141</v>
      </c>
      <c r="Q75" s="12"/>
      <c r="R75" s="13"/>
    </row>
    <row r="76" spans="1:18" ht="15" x14ac:dyDescent="0.2">
      <c r="A76" s="321" t="str">
        <f>IF(TOTALCO!A603="", "",TOTALCO!A603)</f>
        <v/>
      </c>
      <c r="B76" s="4" t="str">
        <f>IF(TOTALCO!B603="", "",TOTALCO!B603)</f>
        <v/>
      </c>
      <c r="C76" s="4" t="str">
        <f>IF(TOTALCO!C603="", "",TOTALCO!C603)</f>
        <v/>
      </c>
      <c r="D76" s="12" t="str">
        <f>IF(TOTALCO!D603="", "",TOTALCO!D603)</f>
        <v/>
      </c>
      <c r="E76" s="12" t="str">
        <f>IF(TOTALCO!E603="", "",TOTALCO!E603)</f>
        <v/>
      </c>
      <c r="F76" s="12" t="str">
        <f>IF(TOTALCO!F603="", "",TOTALCO!F603)</f>
        <v/>
      </c>
      <c r="G76" s="12" t="str">
        <f>IF(TOTALCO!G603="", "",TOTALCO!G603)</f>
        <v/>
      </c>
      <c r="H76" s="12" t="str">
        <f>IF(TOTALCO!H603="", "",TOTALCO!H603)</f>
        <v/>
      </c>
      <c r="I76" s="12" t="str">
        <f>IF(TOTALCO!I603="", "",TOTALCO!I603)</f>
        <v/>
      </c>
      <c r="J76" s="12" t="str">
        <f>IF(TOTALCO!J603="", "",TOTALCO!J603)</f>
        <v/>
      </c>
      <c r="K76" s="12" t="str">
        <f>IF(TOTALCO!K603="", "",TOTALCO!K603)</f>
        <v/>
      </c>
      <c r="L76" s="12" t="str">
        <f>IF(TOTALCO!L603="", "",TOTALCO!L603)</f>
        <v/>
      </c>
      <c r="M76" s="12" t="str">
        <f>IF(TOTALCO!M603="", "",TOTALCO!M603)</f>
        <v/>
      </c>
      <c r="N76" s="12" t="str">
        <f>IF(TOTALCO!N603="", "",TOTALCO!N603)</f>
        <v/>
      </c>
      <c r="O76" s="12" t="str">
        <f>IF(TOTALCO!O603="", "",TOTALCO!O603)</f>
        <v/>
      </c>
      <c r="P76" s="12" t="str">
        <f>IF(TOTALCO!P603="", "",TOTALCO!P603)</f>
        <v/>
      </c>
      <c r="Q76" s="12"/>
      <c r="R76" s="13"/>
    </row>
    <row r="77" spans="1:18" ht="15" x14ac:dyDescent="0.2">
      <c r="A77" s="321" t="str">
        <f>IF(TOTALCO!A604="", "",TOTALCO!A604)</f>
        <v/>
      </c>
      <c r="B77" s="4" t="str">
        <f>IF(TOTALCO!B604="", "",TOTALCO!B604)</f>
        <v>PRODUCTION PLANT</v>
      </c>
      <c r="C77" s="4" t="str">
        <f>IF(TOTALCO!C604="", "",TOTALCO!C604)</f>
        <v/>
      </c>
      <c r="D77" s="12" t="str">
        <f>IF(TOTALCO!D604="", "",TOTALCO!D604)</f>
        <v/>
      </c>
      <c r="E77" s="12" t="str">
        <f>IF(TOTALCO!E604="", "",TOTALCO!E604)</f>
        <v/>
      </c>
      <c r="F77" s="12" t="str">
        <f>IF(TOTALCO!F604="", "",TOTALCO!F604)</f>
        <v/>
      </c>
      <c r="G77" s="12" t="str">
        <f>IF(TOTALCO!G604="", "",TOTALCO!G604)</f>
        <v/>
      </c>
      <c r="H77" s="12" t="str">
        <f>IF(TOTALCO!H604="", "",TOTALCO!H604)</f>
        <v/>
      </c>
      <c r="I77" s="12" t="str">
        <f>IF(TOTALCO!I604="", "",TOTALCO!I604)</f>
        <v/>
      </c>
      <c r="J77" s="12" t="str">
        <f>IF(TOTALCO!J604="", "",TOTALCO!J604)</f>
        <v/>
      </c>
      <c r="K77" s="12" t="str">
        <f>IF(TOTALCO!K604="", "",TOTALCO!K604)</f>
        <v/>
      </c>
      <c r="L77" s="12" t="str">
        <f>IF(TOTALCO!L604="", "",TOTALCO!L604)</f>
        <v/>
      </c>
      <c r="M77" s="12" t="str">
        <f>IF(TOTALCO!M604="", "",TOTALCO!M604)</f>
        <v/>
      </c>
      <c r="N77" s="12" t="str">
        <f>IF(TOTALCO!N604="", "",TOTALCO!N604)</f>
        <v/>
      </c>
      <c r="O77" s="12" t="str">
        <f>IF(TOTALCO!O604="", "",TOTALCO!O604)</f>
        <v/>
      </c>
      <c r="P77" s="12" t="str">
        <f>IF(TOTALCO!P604="", "",TOTALCO!P604)</f>
        <v/>
      </c>
      <c r="Q77" s="12"/>
      <c r="R77" s="13"/>
    </row>
    <row r="78" spans="1:18" ht="15" x14ac:dyDescent="0.2">
      <c r="A78" s="321" t="str">
        <f>IF(TOTALCO!A605="", "",TOTALCO!A605)</f>
        <v/>
      </c>
      <c r="B78" s="4" t="str">
        <f>IF(TOTALCO!B605="", "",TOTALCO!B605)</f>
        <v>STEAM PRODUCTION PLANT</v>
      </c>
      <c r="C78" s="4" t="str">
        <f>IF(TOTALCO!C605="", "",TOTALCO!C605)</f>
        <v/>
      </c>
      <c r="D78" s="12" t="str">
        <f>IF(TOTALCO!D605="", "",TOTALCO!D605)</f>
        <v/>
      </c>
      <c r="E78" s="12" t="str">
        <f>IF(TOTALCO!E605="", "",TOTALCO!E605)</f>
        <v/>
      </c>
      <c r="F78" s="12" t="str">
        <f>IF(TOTALCO!F605="", "",TOTALCO!F605)</f>
        <v/>
      </c>
      <c r="G78" s="12" t="str">
        <f>IF(TOTALCO!G605="", "",TOTALCO!G605)</f>
        <v/>
      </c>
      <c r="H78" s="12" t="str">
        <f>IF(TOTALCO!H605="", "",TOTALCO!H605)</f>
        <v/>
      </c>
      <c r="I78" s="12" t="str">
        <f>IF(TOTALCO!I605="", "",TOTALCO!I605)</f>
        <v/>
      </c>
      <c r="J78" s="12" t="str">
        <f>IF(TOTALCO!J605="", "",TOTALCO!J605)</f>
        <v/>
      </c>
      <c r="K78" s="12" t="str">
        <f>IF(TOTALCO!K605="", "",TOTALCO!K605)</f>
        <v/>
      </c>
      <c r="L78" s="12" t="str">
        <f>IF(TOTALCO!L605="", "",TOTALCO!L605)</f>
        <v/>
      </c>
      <c r="M78" s="12" t="str">
        <f>IF(TOTALCO!M605="", "",TOTALCO!M605)</f>
        <v/>
      </c>
      <c r="N78" s="12" t="str">
        <f>IF(TOTALCO!N605="", "",TOTALCO!N605)</f>
        <v/>
      </c>
      <c r="O78" s="12" t="str">
        <f>IF(TOTALCO!O605="", "",TOTALCO!O605)</f>
        <v/>
      </c>
      <c r="P78" s="12" t="str">
        <f>IF(TOTALCO!P605="", "",TOTALCO!P605)</f>
        <v/>
      </c>
      <c r="Q78" s="12"/>
      <c r="R78" s="13"/>
    </row>
    <row r="79" spans="1:18" ht="15" x14ac:dyDescent="0.2">
      <c r="A79" s="321">
        <f>IF(TOTALCO!A606="", "",TOTALCO!A606)</f>
        <v>5</v>
      </c>
      <c r="B79" s="4" t="str">
        <f>IF(TOTALCO!B606="", "",TOTALCO!B606)</f>
        <v xml:space="preserve"> 310-LAND</v>
      </c>
      <c r="C79" s="4" t="str">
        <f>IF(TOTALCO!C606="", "",TOTALCO!C606)</f>
        <v>DEMPROD</v>
      </c>
      <c r="D79" s="12">
        <f ca="1">IF(TOTALCO!D606="", "",TOTALCO!D606)</f>
        <v>24446473.829999898</v>
      </c>
      <c r="E79" s="12" t="str">
        <f>IF(TOTALCO!E606="", "",TOTALCO!E606)</f>
        <v/>
      </c>
      <c r="F79" s="12">
        <f ca="1">IF(TOTALCO!F606="", "",TOTALCO!F606)</f>
        <v>22916516.464653626</v>
      </c>
      <c r="G79" s="12" t="str">
        <f>IF(TOTALCO!G606="", "",TOTALCO!G606)</f>
        <v/>
      </c>
      <c r="H79" s="12">
        <f ca="1">IF(TOTALCO!H606="", "",TOTALCO!H606)</f>
        <v>1049375.4913701473</v>
      </c>
      <c r="I79" s="12">
        <f ca="1">IF(TOTALCO!I606="", "",TOTALCO!I606)</f>
        <v>480581.87397612358</v>
      </c>
      <c r="J79" s="12" t="str">
        <f>IF(TOTALCO!J606="", "",TOTALCO!J606)</f>
        <v/>
      </c>
      <c r="K79" s="12" t="str">
        <f>IF(TOTALCO!K606="", "",TOTALCO!K606)</f>
        <v/>
      </c>
      <c r="L79" s="12">
        <f ca="1">IF(TOTALCO!L606="", "",TOTALCO!L606)</f>
        <v>73.55882539851585</v>
      </c>
      <c r="M79" s="12" t="str">
        <f>IF(TOTALCO!M606="", "",TOTALCO!M606)</f>
        <v/>
      </c>
      <c r="N79" s="12">
        <f ca="1">IF(TOTALCO!N606="", "",TOTALCO!N606)</f>
        <v>480508.31515072507</v>
      </c>
      <c r="O79" s="12">
        <f ca="1">IF(TOTALCO!O606="", "",TOTALCO!O606)</f>
        <v>243700.388545283</v>
      </c>
      <c r="P79" s="12">
        <f ca="1">IF(TOTALCO!P606="", "",TOTALCO!P606)</f>
        <v>236807.92660544204</v>
      </c>
      <c r="Q79" s="12"/>
      <c r="R79" s="13"/>
    </row>
    <row r="80" spans="1:18" ht="15" x14ac:dyDescent="0.2">
      <c r="A80" s="321">
        <f>IF(TOTALCO!A607="", "",TOTALCO!A607)</f>
        <v>6</v>
      </c>
      <c r="B80" s="4" t="str">
        <f>IF(TOTALCO!B607="", "",TOTALCO!B607)</f>
        <v xml:space="preserve"> 311-STRUCTURES AND IMPROVEMENTS</v>
      </c>
      <c r="C80" s="4" t="str">
        <f>IF(TOTALCO!C607="", "",TOTALCO!C607)</f>
        <v>DEMPROD</v>
      </c>
      <c r="D80" s="12">
        <f ca="1">IF(TOTALCO!D607="", "",TOTALCO!D607)</f>
        <v>352632986.09461451</v>
      </c>
      <c r="E80" s="12" t="str">
        <f>IF(TOTALCO!E607="", "",TOTALCO!E607)</f>
        <v/>
      </c>
      <c r="F80" s="12">
        <f ca="1">IF(TOTALCO!F607="", "",TOTALCO!F607)</f>
        <v>330563814.15222043</v>
      </c>
      <c r="G80" s="12" t="str">
        <f>IF(TOTALCO!G607="", "",TOTALCO!G607)</f>
        <v/>
      </c>
      <c r="H80" s="12">
        <f ca="1">IF(TOTALCO!H607="", "",TOTALCO!H607)</f>
        <v>15136923.861888509</v>
      </c>
      <c r="I80" s="12">
        <f ca="1">IF(TOTALCO!I607="", "",TOTALCO!I607)</f>
        <v>6932248.0805055583</v>
      </c>
      <c r="J80" s="12" t="str">
        <f>IF(TOTALCO!J607="", "",TOTALCO!J607)</f>
        <v/>
      </c>
      <c r="K80" s="12" t="str">
        <f>IF(TOTALCO!K607="", "",TOTALCO!K607)</f>
        <v/>
      </c>
      <c r="L80" s="12">
        <f ca="1">IF(TOTALCO!L607="", "",TOTALCO!L607)</f>
        <v>1061.0637932600002</v>
      </c>
      <c r="M80" s="12" t="str">
        <f>IF(TOTALCO!M607="", "",TOTALCO!M607)</f>
        <v/>
      </c>
      <c r="N80" s="12">
        <f ca="1">IF(TOTALCO!N607="", "",TOTALCO!N607)</f>
        <v>6931187.0167122986</v>
      </c>
      <c r="O80" s="12">
        <f ca="1">IF(TOTALCO!O607="", "",TOTALCO!O607)</f>
        <v>3515304.3470703806</v>
      </c>
      <c r="P80" s="12">
        <f ca="1">IF(TOTALCO!P607="", "",TOTALCO!P607)</f>
        <v>3415882.669641918</v>
      </c>
      <c r="Q80" s="12"/>
      <c r="R80" s="13"/>
    </row>
    <row r="81" spans="1:18" ht="15" x14ac:dyDescent="0.2">
      <c r="A81" s="321">
        <f>IF(TOTALCO!A608="", "",TOTALCO!A608)</f>
        <v>7</v>
      </c>
      <c r="B81" s="4" t="str">
        <f>IF(TOTALCO!B608="", "",TOTALCO!B608)</f>
        <v xml:space="preserve"> 312-BOILER PLANT EQUIPMENT</v>
      </c>
      <c r="C81" s="4" t="str">
        <f>IF(TOTALCO!C608="", "",TOTALCO!C608)</f>
        <v>DEMPROD</v>
      </c>
      <c r="D81" s="12">
        <f ca="1">IF(TOTALCO!D608="", "",TOTALCO!D608)</f>
        <v>4237631210.364615</v>
      </c>
      <c r="E81" s="12" t="str">
        <f>IF(TOTALCO!E608="", "",TOTALCO!E608)</f>
        <v/>
      </c>
      <c r="F81" s="12">
        <f ca="1">IF(TOTALCO!F608="", "",TOTALCO!F608)</f>
        <v>3972423429.1932311</v>
      </c>
      <c r="G81" s="12" t="str">
        <f>IF(TOTALCO!G608="", "",TOTALCO!G608)</f>
        <v/>
      </c>
      <c r="H81" s="12">
        <f ca="1">IF(TOTALCO!H608="", "",TOTALCO!H608)</f>
        <v>181902157.52771649</v>
      </c>
      <c r="I81" s="12">
        <f ca="1">IF(TOTALCO!I608="", "",TOTALCO!I608)</f>
        <v>83305623.643667385</v>
      </c>
      <c r="J81" s="12" t="str">
        <f>IF(TOTALCO!J608="", "",TOTALCO!J608)</f>
        <v/>
      </c>
      <c r="K81" s="12" t="str">
        <f>IF(TOTALCO!K608="", "",TOTALCO!K608)</f>
        <v/>
      </c>
      <c r="L81" s="12">
        <f ca="1">IF(TOTALCO!L608="", "",TOTALCO!L608)</f>
        <v>12750.925817529791</v>
      </c>
      <c r="M81" s="12" t="str">
        <f>IF(TOTALCO!M608="", "",TOTALCO!M608)</f>
        <v/>
      </c>
      <c r="N81" s="12">
        <f ca="1">IF(TOTALCO!N608="", "",TOTALCO!N608)</f>
        <v>83292872.717849851</v>
      </c>
      <c r="O81" s="12">
        <f ca="1">IF(TOTALCO!O608="", "",TOTALCO!O608)</f>
        <v>42243817.233476199</v>
      </c>
      <c r="P81" s="12">
        <f ca="1">IF(TOTALCO!P608="", "",TOTALCO!P608)</f>
        <v>41049055.484373651</v>
      </c>
      <c r="Q81" s="12"/>
      <c r="R81" s="13"/>
    </row>
    <row r="82" spans="1:18" ht="15" x14ac:dyDescent="0.2">
      <c r="A82" s="321">
        <f>IF(TOTALCO!A609="", "",TOTALCO!A609)</f>
        <v>8</v>
      </c>
      <c r="B82" s="4" t="str">
        <f>IF(TOTALCO!B609="", "",TOTALCO!B609)</f>
        <v xml:space="preserve"> 314-TURBOGENERATOR UNITS</v>
      </c>
      <c r="C82" s="4" t="str">
        <f>IF(TOTALCO!C609="", "",TOTALCO!C609)</f>
        <v>DEMPROD</v>
      </c>
      <c r="D82" s="12">
        <f ca="1">IF(TOTALCO!D609="", "",TOTALCO!D609)</f>
        <v>330257103.93461531</v>
      </c>
      <c r="E82" s="12" t="str">
        <f>IF(TOTALCO!E609="", "",TOTALCO!E609)</f>
        <v/>
      </c>
      <c r="F82" s="12">
        <f ca="1">IF(TOTALCO!F609="", "",TOTALCO!F609)</f>
        <v>309588303.51225621</v>
      </c>
      <c r="G82" s="12" t="str">
        <f>IF(TOTALCO!G609="", "",TOTALCO!G609)</f>
        <v/>
      </c>
      <c r="H82" s="12">
        <f ca="1">IF(TOTALCO!H609="", "",TOTALCO!H609)</f>
        <v>14176429.415950259</v>
      </c>
      <c r="I82" s="12">
        <f ca="1">IF(TOTALCO!I609="", "",TOTALCO!I609)</f>
        <v>6492371.0064088833</v>
      </c>
      <c r="J82" s="12" t="str">
        <f>IF(TOTALCO!J609="", "",TOTALCO!J609)</f>
        <v/>
      </c>
      <c r="K82" s="12" t="str">
        <f>IF(TOTALCO!K609="", "",TOTALCO!K609)</f>
        <v/>
      </c>
      <c r="L82" s="12">
        <f ca="1">IF(TOTALCO!L609="", "",TOTALCO!L609)</f>
        <v>993.735326161187</v>
      </c>
      <c r="M82" s="12" t="str">
        <f>IF(TOTALCO!M609="", "",TOTALCO!M609)</f>
        <v/>
      </c>
      <c r="N82" s="12">
        <f ca="1">IF(TOTALCO!N609="", "",TOTALCO!N609)</f>
        <v>6491377.2710827217</v>
      </c>
      <c r="O82" s="12">
        <f ca="1">IF(TOTALCO!O609="", "",TOTALCO!O609)</f>
        <v>3292245.1355720125</v>
      </c>
      <c r="P82" s="12">
        <f ca="1">IF(TOTALCO!P609="", "",TOTALCO!P609)</f>
        <v>3199132.1355107087</v>
      </c>
      <c r="Q82" s="12"/>
      <c r="R82" s="13"/>
    </row>
    <row r="83" spans="1:18" ht="15" x14ac:dyDescent="0.2">
      <c r="A83" s="321">
        <f>IF(TOTALCO!A610="", "",TOTALCO!A610)</f>
        <v>9</v>
      </c>
      <c r="B83" s="4" t="str">
        <f>IF(TOTALCO!B610="", "",TOTALCO!B610)</f>
        <v xml:space="preserve"> 315-ACCESSORY ELECTRIC EQUIP</v>
      </c>
      <c r="C83" s="4" t="str">
        <f>IF(TOTALCO!C610="", "",TOTALCO!C610)</f>
        <v>DEMPROD</v>
      </c>
      <c r="D83" s="12">
        <f ca="1">IF(TOTALCO!D610="", "",TOTALCO!D610)</f>
        <v>250701562.97153842</v>
      </c>
      <c r="E83" s="12" t="str">
        <f>IF(TOTALCO!E610="", "",TOTALCO!E610)</f>
        <v/>
      </c>
      <c r="F83" s="12">
        <f ca="1">IF(TOTALCO!F610="", "",TOTALCO!F610)</f>
        <v>235011664.07489544</v>
      </c>
      <c r="G83" s="12" t="str">
        <f>IF(TOTALCO!G610="", "",TOTALCO!G610)</f>
        <v/>
      </c>
      <c r="H83" s="12">
        <f ca="1">IF(TOTALCO!H610="", "",TOTALCO!H610)</f>
        <v>10761473.317582471</v>
      </c>
      <c r="I83" s="12">
        <f ca="1">IF(TOTALCO!I610="", "",TOTALCO!I610)</f>
        <v>4928425.5790605191</v>
      </c>
      <c r="J83" s="12" t="str">
        <f>IF(TOTALCO!J610="", "",TOTALCO!J610)</f>
        <v/>
      </c>
      <c r="K83" s="12" t="str">
        <f>IF(TOTALCO!K610="", "",TOTALCO!K610)</f>
        <v/>
      </c>
      <c r="L83" s="12">
        <f ca="1">IF(TOTALCO!L610="", "",TOTALCO!L610)</f>
        <v>754.35470268631775</v>
      </c>
      <c r="M83" s="12" t="str">
        <f>IF(TOTALCO!M610="", "",TOTALCO!M610)</f>
        <v/>
      </c>
      <c r="N83" s="12">
        <f ca="1">IF(TOTALCO!N610="", "",TOTALCO!N610)</f>
        <v>4927671.2243578332</v>
      </c>
      <c r="O83" s="12">
        <f ca="1">IF(TOTALCO!O610="", "",TOTALCO!O610)</f>
        <v>2499177.1299997708</v>
      </c>
      <c r="P83" s="12">
        <f ca="1">IF(TOTALCO!P610="", "",TOTALCO!P610)</f>
        <v>2428494.0943580624</v>
      </c>
      <c r="Q83" s="12"/>
      <c r="R83" s="13"/>
    </row>
    <row r="84" spans="1:18" ht="15" x14ac:dyDescent="0.2">
      <c r="A84" s="321">
        <f>IF(TOTALCO!A611="", "",TOTALCO!A611)</f>
        <v>10</v>
      </c>
      <c r="B84" s="4" t="str">
        <f>IF(TOTALCO!B611="", "",TOTALCO!B611)</f>
        <v xml:space="preserve"> 316-MISC POWER PLANT EQUIP</v>
      </c>
      <c r="C84" s="4" t="str">
        <f>IF(TOTALCO!C611="", "",TOTALCO!C611)</f>
        <v>DEMPROD</v>
      </c>
      <c r="D84" s="12">
        <f ca="1">IF(TOTALCO!D611="", "",TOTALCO!D611)</f>
        <v>43103349.172307625</v>
      </c>
      <c r="E84" s="12" t="str">
        <f>IF(TOTALCO!E611="", "",TOTALCO!E611)</f>
        <v/>
      </c>
      <c r="F84" s="12">
        <f ca="1">IF(TOTALCO!F611="", "",TOTALCO!F611)</f>
        <v>40405770.495077819</v>
      </c>
      <c r="G84" s="12" t="str">
        <f>IF(TOTALCO!G611="", "",TOTALCO!G611)</f>
        <v/>
      </c>
      <c r="H84" s="12">
        <f ca="1">IF(TOTALCO!H611="", "",TOTALCO!H611)</f>
        <v>1850229.9567589429</v>
      </c>
      <c r="I84" s="12">
        <f ca="1">IF(TOTALCO!I611="", "",TOTALCO!I611)</f>
        <v>847348.72047086048</v>
      </c>
      <c r="J84" s="12" t="str">
        <f>IF(TOTALCO!J611="", "",TOTALCO!J611)</f>
        <v/>
      </c>
      <c r="K84" s="12" t="str">
        <f>IF(TOTALCO!K611="", "",TOTALCO!K611)</f>
        <v/>
      </c>
      <c r="L84" s="12">
        <f ca="1">IF(TOTALCO!L611="", "",TOTALCO!L611)</f>
        <v>129.69689444398091</v>
      </c>
      <c r="M84" s="12" t="str">
        <f>IF(TOTALCO!M611="", "",TOTALCO!M611)</f>
        <v/>
      </c>
      <c r="N84" s="12">
        <f ca="1">IF(TOTALCO!N611="", "",TOTALCO!N611)</f>
        <v>847219.02357641654</v>
      </c>
      <c r="O84" s="12">
        <f ca="1">IF(TOTALCO!O611="", "",TOTALCO!O611)</f>
        <v>429685.81129290879</v>
      </c>
      <c r="P84" s="12">
        <f ca="1">IF(TOTALCO!P611="", "",TOTALCO!P611)</f>
        <v>417533.21228350775</v>
      </c>
      <c r="Q84" s="12"/>
      <c r="R84" s="13"/>
    </row>
    <row r="85" spans="1:18" ht="15" x14ac:dyDescent="0.2">
      <c r="A85" s="321">
        <f>IF(TOTALCO!A612="", "",TOTALCO!A612)</f>
        <v>11</v>
      </c>
      <c r="B85" s="4" t="str">
        <f>IF(TOTALCO!B612="", "",TOTALCO!B612)</f>
        <v xml:space="preserve"> 317-ARO COST STEAM EQUIP</v>
      </c>
      <c r="C85" s="4" t="str">
        <f>IF(TOTALCO!C612="", "",TOTALCO!C612)</f>
        <v>DEMPROD</v>
      </c>
      <c r="D85" s="12">
        <f ca="1">IF(TOTALCO!D612="", "",TOTALCO!D612)</f>
        <v>178310652.40384617</v>
      </c>
      <c r="E85" s="12" t="str">
        <f>IF(TOTALCO!E612="", "",TOTALCO!E612)</f>
        <v/>
      </c>
      <c r="F85" s="12">
        <f ca="1">IF(TOTALCO!F612="", "",TOTALCO!F612)</f>
        <v>167151264.02488977</v>
      </c>
      <c r="G85" s="12" t="str">
        <f>IF(TOTALCO!G612="", "",TOTALCO!G612)</f>
        <v/>
      </c>
      <c r="H85" s="12">
        <f ca="1">IF(TOTALCO!H612="", "",TOTALCO!H612)</f>
        <v>7654062.0861727931</v>
      </c>
      <c r="I85" s="12">
        <f ca="1">IF(TOTALCO!I612="", "",TOTALCO!I612)</f>
        <v>3505326.2927836305</v>
      </c>
      <c r="J85" s="12" t="str">
        <f>IF(TOTALCO!J612="", "",TOTALCO!J612)</f>
        <v/>
      </c>
      <c r="K85" s="12" t="str">
        <f>IF(TOTALCO!K612="", "",TOTALCO!K612)</f>
        <v/>
      </c>
      <c r="L85" s="12">
        <f ca="1">IF(TOTALCO!L612="", "",TOTALCO!L612)</f>
        <v>536.53227201929053</v>
      </c>
      <c r="M85" s="12" t="str">
        <f>IF(TOTALCO!M612="", "",TOTALCO!M612)</f>
        <v/>
      </c>
      <c r="N85" s="12">
        <f ca="1">IF(TOTALCO!N612="", "",TOTALCO!N612)</f>
        <v>3504789.7605116111</v>
      </c>
      <c r="O85" s="12">
        <f ca="1">IF(TOTALCO!O612="", "",TOTALCO!O612)</f>
        <v>1777531.4171999095</v>
      </c>
      <c r="P85" s="12">
        <f ca="1">IF(TOTALCO!P612="", "",TOTALCO!P612)</f>
        <v>1727258.3433117017</v>
      </c>
      <c r="Q85" s="12"/>
      <c r="R85" s="13"/>
    </row>
    <row r="86" spans="1:18" ht="15" x14ac:dyDescent="0.2">
      <c r="A86" s="321">
        <f>IF(TOTALCO!A613="", "",TOTALCO!A613)</f>
        <v>12</v>
      </c>
      <c r="B86" s="4" t="str">
        <f>IF(TOTALCO!B613="", "",TOTALCO!B613)</f>
        <v xml:space="preserve"> FERC-AFUDC PRE</v>
      </c>
      <c r="C86" s="4" t="str">
        <f>IF(TOTALCO!C613="", "",TOTALCO!C613)</f>
        <v>DEMFERC</v>
      </c>
      <c r="D86" s="12">
        <f ca="1">IF(TOTALCO!D613="", "",TOTALCO!D613)</f>
        <v>16782672.029999997</v>
      </c>
      <c r="E86" s="12" t="str">
        <f>IF(TOTALCO!E613="", "",TOTALCO!E613)</f>
        <v/>
      </c>
      <c r="F86" s="12">
        <f ca="1">IF(TOTALCO!F613="", "",TOTALCO!F613)</f>
        <v>8813546.6613437645</v>
      </c>
      <c r="G86" s="12" t="str">
        <f>IF(TOTALCO!G613="", "",TOTALCO!G613)</f>
        <v/>
      </c>
      <c r="H86" s="12">
        <f ca="1">IF(TOTALCO!H613="", "",TOTALCO!H613)</f>
        <v>5466169.9234149307</v>
      </c>
      <c r="I86" s="12">
        <f ca="1">IF(TOTALCO!I613="", "",TOTALCO!I613)</f>
        <v>2502955.4452413009</v>
      </c>
      <c r="J86" s="12" t="str">
        <f>IF(TOTALCO!J613="", "",TOTALCO!J613)</f>
        <v/>
      </c>
      <c r="K86" s="12" t="str">
        <f>IF(TOTALCO!K613="", "",TOTALCO!K613)</f>
        <v/>
      </c>
      <c r="L86" s="12">
        <f ca="1">IF(TOTALCO!L613="", "",TOTALCO!L613)</f>
        <v>0</v>
      </c>
      <c r="M86" s="12" t="str">
        <f>IF(TOTALCO!M613="", "",TOTALCO!M613)</f>
        <v/>
      </c>
      <c r="N86" s="12">
        <f ca="1">IF(TOTALCO!N613="", "",TOTALCO!N613)</f>
        <v>2502955.4452413009</v>
      </c>
      <c r="O86" s="12">
        <f ca="1">IF(TOTALCO!O613="", "",TOTALCO!O613)</f>
        <v>1269429.0510363011</v>
      </c>
      <c r="P86" s="12">
        <f ca="1">IF(TOTALCO!P613="", "",TOTALCO!P613)</f>
        <v>1233526.3942049998</v>
      </c>
      <c r="Q86" s="12"/>
      <c r="R86" s="13"/>
    </row>
    <row r="87" spans="1:18" ht="15" x14ac:dyDescent="0.2">
      <c r="A87" s="321">
        <f>IF(TOTALCO!A614="", "",TOTALCO!A614)</f>
        <v>13</v>
      </c>
      <c r="B87" s="4" t="str">
        <f>IF(TOTALCO!B614="", "",TOTALCO!B614)</f>
        <v xml:space="preserve"> FERC-AFUDC POST</v>
      </c>
      <c r="C87" s="4" t="str">
        <f>IF(TOTALCO!C614="", "",TOTALCO!C614)</f>
        <v>DEMFERCP</v>
      </c>
      <c r="D87" s="12">
        <f ca="1">IF(TOTALCO!D614="", "",TOTALCO!D614)</f>
        <v>24580305.350000001</v>
      </c>
      <c r="E87" s="12" t="str">
        <f>IF(TOTALCO!E614="", "",TOTALCO!E614)</f>
        <v/>
      </c>
      <c r="F87" s="12">
        <f ca="1">IF(TOTALCO!F614="", "",TOTALCO!F614)</f>
        <v>19143695.29664474</v>
      </c>
      <c r="G87" s="12" t="str">
        <f>IF(TOTALCO!G614="", "",TOTALCO!G614)</f>
        <v/>
      </c>
      <c r="H87" s="12">
        <f ca="1">IF(TOTALCO!H614="", "",TOTALCO!H614)</f>
        <v>0</v>
      </c>
      <c r="I87" s="12">
        <f ca="1">IF(TOTALCO!I614="", "",TOTALCO!I614)</f>
        <v>5436610.0533552635</v>
      </c>
      <c r="J87" s="12" t="str">
        <f>IF(TOTALCO!J614="", "",TOTALCO!J614)</f>
        <v/>
      </c>
      <c r="K87" s="12" t="str">
        <f>IF(TOTALCO!K614="", "",TOTALCO!K614)</f>
        <v/>
      </c>
      <c r="L87" s="12">
        <f ca="1">IF(TOTALCO!L614="", "",TOTALCO!L614)</f>
        <v>0</v>
      </c>
      <c r="M87" s="12" t="str">
        <f>IF(TOTALCO!M614="", "",TOTALCO!M614)</f>
        <v/>
      </c>
      <c r="N87" s="12">
        <f ca="1">IF(TOTALCO!N614="", "",TOTALCO!N614)</f>
        <v>5436610.0533552635</v>
      </c>
      <c r="O87" s="12">
        <f ca="1">IF(TOTALCO!O614="", "",TOTALCO!O614)</f>
        <v>2757296.6806126465</v>
      </c>
      <c r="P87" s="12">
        <f ca="1">IF(TOTALCO!P614="", "",TOTALCO!P614)</f>
        <v>2679313.3727426175</v>
      </c>
      <c r="Q87" s="12"/>
      <c r="R87" s="13"/>
    </row>
    <row r="88" spans="1:18" ht="15" x14ac:dyDescent="0.2">
      <c r="A88" s="321">
        <f>IF(TOTALCO!A615="", "",TOTALCO!A615)</f>
        <v>14</v>
      </c>
      <c r="B88" s="4" t="str">
        <f>IF(TOTALCO!B615="", "",TOTALCO!B615)</f>
        <v>TOTAL STEAM PROD PLANT</v>
      </c>
      <c r="C88" s="4" t="str">
        <f>IF(TOTALCO!C615="", "",TOTALCO!C615)</f>
        <v/>
      </c>
      <c r="D88" s="12">
        <f ca="1">IF(TOTALCO!D615="", "",TOTALCO!D615)</f>
        <v>5458446316.1515388</v>
      </c>
      <c r="E88" s="12" t="str">
        <f>IF(TOTALCO!E615="", "",TOTALCO!E615)</f>
        <v/>
      </c>
      <c r="F88" s="12">
        <f ca="1">IF(TOTALCO!F615="", "",TOTALCO!F615)</f>
        <v>5106018003.8752146</v>
      </c>
      <c r="G88" s="12" t="str">
        <f>IF(TOTALCO!G615="", "",TOTALCO!G615)</f>
        <v/>
      </c>
      <c r="H88" s="12">
        <f ca="1">IF(TOTALCO!H615="", "",TOTALCO!H615)</f>
        <v>237996821.58085454</v>
      </c>
      <c r="I88" s="12">
        <f ca="1">IF(TOTALCO!I615="", "",TOTALCO!I615)</f>
        <v>114431490.69546951</v>
      </c>
      <c r="J88" s="12" t="str">
        <f>IF(TOTALCO!J615="", "",TOTALCO!J615)</f>
        <v/>
      </c>
      <c r="K88" s="12" t="str">
        <f>IF(TOTALCO!K615="", "",TOTALCO!K615)</f>
        <v/>
      </c>
      <c r="L88" s="12">
        <f ca="1">IF(TOTALCO!L615="", "",TOTALCO!L615)</f>
        <v>16299.867631499083</v>
      </c>
      <c r="M88" s="12" t="str">
        <f>IF(TOTALCO!M615="", "",TOTALCO!M615)</f>
        <v/>
      </c>
      <c r="N88" s="12">
        <f ca="1">IF(TOTALCO!N615="", "",TOTALCO!N615)</f>
        <v>114415190.82783802</v>
      </c>
      <c r="O88" s="12">
        <f ca="1">IF(TOTALCO!O615="", "",TOTALCO!O615)</f>
        <v>58028187.194805413</v>
      </c>
      <c r="P88" s="12">
        <f ca="1">IF(TOTALCO!P615="", "",TOTALCO!P615)</f>
        <v>56387003.633032605</v>
      </c>
      <c r="Q88" s="12"/>
      <c r="R88" s="13"/>
    </row>
    <row r="89" spans="1:18" ht="15" x14ac:dyDescent="0.2">
      <c r="A89" s="321" t="str">
        <f>IF(TOTALCO!A616="", "",TOTALCO!A616)</f>
        <v/>
      </c>
      <c r="B89" s="4" t="str">
        <f>IF(TOTALCO!B616="", "",TOTALCO!B616)</f>
        <v/>
      </c>
      <c r="C89" s="4" t="str">
        <f>IF(TOTALCO!C616="", "",TOTALCO!C616)</f>
        <v/>
      </c>
      <c r="D89" s="12" t="str">
        <f>IF(TOTALCO!D616="", "",TOTALCO!D616)</f>
        <v/>
      </c>
      <c r="E89" s="12" t="str">
        <f>IF(TOTALCO!E616="", "",TOTALCO!E616)</f>
        <v/>
      </c>
      <c r="F89" s="12" t="str">
        <f>IF(TOTALCO!F616="", "",TOTALCO!F616)</f>
        <v/>
      </c>
      <c r="G89" s="12" t="str">
        <f>IF(TOTALCO!G616="", "",TOTALCO!G616)</f>
        <v/>
      </c>
      <c r="H89" s="12" t="str">
        <f>IF(TOTALCO!H616="", "",TOTALCO!H616)</f>
        <v/>
      </c>
      <c r="I89" s="12" t="str">
        <f>IF(TOTALCO!I616="", "",TOTALCO!I616)</f>
        <v/>
      </c>
      <c r="J89" s="12" t="str">
        <f>IF(TOTALCO!J616="", "",TOTALCO!J616)</f>
        <v/>
      </c>
      <c r="K89" s="12" t="str">
        <f>IF(TOTALCO!K616="", "",TOTALCO!K616)</f>
        <v/>
      </c>
      <c r="L89" s="12" t="str">
        <f>IF(TOTALCO!L616="", "",TOTALCO!L616)</f>
        <v/>
      </c>
      <c r="M89" s="12" t="str">
        <f>IF(TOTALCO!M616="", "",TOTALCO!M616)</f>
        <v/>
      </c>
      <c r="N89" s="12" t="str">
        <f>IF(TOTALCO!N616="", "",TOTALCO!N616)</f>
        <v/>
      </c>
      <c r="O89" s="12" t="str">
        <f>IF(TOTALCO!O616="", "",TOTALCO!O616)</f>
        <v/>
      </c>
      <c r="P89" s="12" t="str">
        <f>IF(TOTALCO!P616="", "",TOTALCO!P616)</f>
        <v/>
      </c>
      <c r="Q89" s="12"/>
      <c r="R89" s="13"/>
    </row>
    <row r="90" spans="1:18" ht="15" x14ac:dyDescent="0.2">
      <c r="A90" s="321" t="str">
        <f>IF(TOTALCO!A617="", "",TOTALCO!A617)</f>
        <v/>
      </c>
      <c r="B90" s="4" t="str">
        <f>IF(TOTALCO!B617="", "",TOTALCO!B617)</f>
        <v>HYDRAULIC PRODUCTION PLANT</v>
      </c>
      <c r="C90" s="4" t="str">
        <f>IF(TOTALCO!C617="", "",TOTALCO!C617)</f>
        <v/>
      </c>
      <c r="D90" s="12" t="str">
        <f>IF(TOTALCO!D617="", "",TOTALCO!D617)</f>
        <v/>
      </c>
      <c r="E90" s="12" t="str">
        <f>IF(TOTALCO!E617="", "",TOTALCO!E617)</f>
        <v/>
      </c>
      <c r="F90" s="12" t="str">
        <f>IF(TOTALCO!F617="", "",TOTALCO!F617)</f>
        <v/>
      </c>
      <c r="G90" s="12" t="str">
        <f>IF(TOTALCO!G617="", "",TOTALCO!G617)</f>
        <v/>
      </c>
      <c r="H90" s="12" t="str">
        <f>IF(TOTALCO!H617="", "",TOTALCO!H617)</f>
        <v/>
      </c>
      <c r="I90" s="12" t="str">
        <f>IF(TOTALCO!I617="", "",TOTALCO!I617)</f>
        <v/>
      </c>
      <c r="J90" s="12" t="str">
        <f>IF(TOTALCO!J617="", "",TOTALCO!J617)</f>
        <v/>
      </c>
      <c r="K90" s="12" t="str">
        <f>IF(TOTALCO!K617="", "",TOTALCO!K617)</f>
        <v/>
      </c>
      <c r="L90" s="12" t="str">
        <f>IF(TOTALCO!L617="", "",TOTALCO!L617)</f>
        <v/>
      </c>
      <c r="M90" s="12" t="str">
        <f>IF(TOTALCO!M617="", "",TOTALCO!M617)</f>
        <v/>
      </c>
      <c r="N90" s="12" t="str">
        <f>IF(TOTALCO!N617="", "",TOTALCO!N617)</f>
        <v/>
      </c>
      <c r="O90" s="12" t="str">
        <f>IF(TOTALCO!O617="", "",TOTALCO!O617)</f>
        <v/>
      </c>
      <c r="P90" s="12" t="str">
        <f>IF(TOTALCO!P617="", "",TOTALCO!P617)</f>
        <v/>
      </c>
      <c r="Q90" s="12"/>
      <c r="R90" s="13"/>
    </row>
    <row r="91" spans="1:18" ht="15" x14ac:dyDescent="0.2">
      <c r="A91" s="321">
        <f>IF(TOTALCO!A618="", "",TOTALCO!A618)</f>
        <v>15</v>
      </c>
      <c r="B91" s="4" t="str">
        <f>IF(TOTALCO!B618="", "",TOTALCO!B618)</f>
        <v xml:space="preserve"> 330-LAND RIGHTS</v>
      </c>
      <c r="C91" s="4" t="str">
        <f>IF(TOTALCO!C618="", "",TOTALCO!C618)</f>
        <v>DEMPROD</v>
      </c>
      <c r="D91" s="12">
        <f ca="1">IF(TOTALCO!D618="", "",TOTALCO!D618)</f>
        <v>855636.47000000009</v>
      </c>
      <c r="E91" s="12" t="str">
        <f>IF(TOTALCO!E618="", "",TOTALCO!E618)</f>
        <v/>
      </c>
      <c r="F91" s="12">
        <f ca="1">IF(TOTALCO!F618="", "",TOTALCO!F618)</f>
        <v>802087.34351089003</v>
      </c>
      <c r="G91" s="12" t="str">
        <f>IF(TOTALCO!G618="", "",TOTALCO!G618)</f>
        <v/>
      </c>
      <c r="H91" s="12">
        <f ca="1">IF(TOTALCO!H618="", "",TOTALCO!H618)</f>
        <v>36728.56655664651</v>
      </c>
      <c r="I91" s="12">
        <f ca="1">IF(TOTALCO!I618="", "",TOTALCO!I618)</f>
        <v>16820.559932463562</v>
      </c>
      <c r="J91" s="12" t="str">
        <f>IF(TOTALCO!J618="", "",TOTALCO!J618)</f>
        <v/>
      </c>
      <c r="K91" s="12" t="str">
        <f>IF(TOTALCO!K618="", "",TOTALCO!K618)</f>
        <v/>
      </c>
      <c r="L91" s="12">
        <f ca="1">IF(TOTALCO!L618="", "",TOTALCO!L618)</f>
        <v>2.5745886355231753</v>
      </c>
      <c r="M91" s="12" t="str">
        <f>IF(TOTALCO!M618="", "",TOTALCO!M618)</f>
        <v/>
      </c>
      <c r="N91" s="12">
        <f ca="1">IF(TOTALCO!N618="", "",TOTALCO!N618)</f>
        <v>16817.985343828041</v>
      </c>
      <c r="O91" s="12">
        <f ca="1">IF(TOTALCO!O618="", "",TOTALCO!O618)</f>
        <v>8529.6121494882809</v>
      </c>
      <c r="P91" s="12">
        <f ca="1">IF(TOTALCO!P618="", "",TOTALCO!P618)</f>
        <v>8288.3731943397579</v>
      </c>
      <c r="Q91" s="12"/>
      <c r="R91" s="13"/>
    </row>
    <row r="92" spans="1:18" ht="15" x14ac:dyDescent="0.2">
      <c r="A92" s="321">
        <f>IF(TOTALCO!A619="", "",TOTALCO!A619)</f>
        <v>16</v>
      </c>
      <c r="B92" s="4" t="str">
        <f>IF(TOTALCO!B619="", "",TOTALCO!B619)</f>
        <v xml:space="preserve"> 331-STRUCTURES AND IMPROVEMENTS</v>
      </c>
      <c r="C92" s="4" t="str">
        <f>IF(TOTALCO!C619="", "",TOTALCO!C619)</f>
        <v>DEMPROD</v>
      </c>
      <c r="D92" s="12">
        <f ca="1">IF(TOTALCO!D619="", "",TOTALCO!D619)</f>
        <v>4472311.3646153836</v>
      </c>
      <c r="E92" s="12" t="str">
        <f>IF(TOTALCO!E619="", "",TOTALCO!E619)</f>
        <v/>
      </c>
      <c r="F92" s="12">
        <f ca="1">IF(TOTALCO!F619="", "",TOTALCO!F619)</f>
        <v>4192416.3678973573</v>
      </c>
      <c r="G92" s="12" t="str">
        <f>IF(TOTALCO!G619="", "",TOTALCO!G619)</f>
        <v/>
      </c>
      <c r="H92" s="12">
        <f ca="1">IF(TOTALCO!H619="", "",TOTALCO!H619)</f>
        <v>191975.90492761802</v>
      </c>
      <c r="I92" s="12">
        <f ca="1">IF(TOTALCO!I619="", "",TOTALCO!I619)</f>
        <v>87919.091790408303</v>
      </c>
      <c r="J92" s="12" t="str">
        <f>IF(TOTALCO!J619="", "",TOTALCO!J619)</f>
        <v/>
      </c>
      <c r="K92" s="12" t="str">
        <f>IF(TOTALCO!K619="", "",TOTALCO!K619)</f>
        <v/>
      </c>
      <c r="L92" s="12">
        <f ca="1">IF(TOTALCO!L619="", "",TOTALCO!L619)</f>
        <v>13.457072504003843</v>
      </c>
      <c r="M92" s="12" t="str">
        <f>IF(TOTALCO!M619="", "",TOTALCO!M619)</f>
        <v/>
      </c>
      <c r="N92" s="12">
        <f ca="1">IF(TOTALCO!N619="", "",TOTALCO!N619)</f>
        <v>87905.634717904293</v>
      </c>
      <c r="O92" s="12">
        <f ca="1">IF(TOTALCO!O619="", "",TOTALCO!O619)</f>
        <v>44583.281205764732</v>
      </c>
      <c r="P92" s="12">
        <f ca="1">IF(TOTALCO!P619="", "",TOTALCO!P619)</f>
        <v>43322.353512139569</v>
      </c>
      <c r="Q92" s="12"/>
      <c r="R92" s="13"/>
    </row>
    <row r="93" spans="1:18" ht="15" x14ac:dyDescent="0.2">
      <c r="A93" s="321">
        <f>IF(TOTALCO!A620="", "",TOTALCO!A620)</f>
        <v>17</v>
      </c>
      <c r="B93" s="4" t="str">
        <f>IF(TOTALCO!B620="", "",TOTALCO!B620)</f>
        <v xml:space="preserve"> 332-RESERVOIRS, DAMS, AND WATER</v>
      </c>
      <c r="C93" s="4" t="str">
        <f>IF(TOTALCO!C620="", "",TOTALCO!C620)</f>
        <v>DEMPROD</v>
      </c>
      <c r="D93" s="12">
        <f ca="1">IF(TOTALCO!D620="", "",TOTALCO!D620)</f>
        <v>21842694.049999993</v>
      </c>
      <c r="E93" s="12" t="str">
        <f>IF(TOTALCO!E620="", "",TOTALCO!E620)</f>
        <v/>
      </c>
      <c r="F93" s="12">
        <f ca="1">IF(TOTALCO!F620="", "",TOTALCO!F620)</f>
        <v>20475691.558221702</v>
      </c>
      <c r="G93" s="12" t="str">
        <f>IF(TOTALCO!G620="", "",TOTALCO!G620)</f>
        <v/>
      </c>
      <c r="H93" s="12">
        <f ca="1">IF(TOTALCO!H620="", "",TOTALCO!H620)</f>
        <v>937607.11507761164</v>
      </c>
      <c r="I93" s="12">
        <f ca="1">IF(TOTALCO!I620="", "",TOTALCO!I620)</f>
        <v>429395.37670068</v>
      </c>
      <c r="J93" s="12" t="str">
        <f>IF(TOTALCO!J620="", "",TOTALCO!J620)</f>
        <v/>
      </c>
      <c r="K93" s="12" t="str">
        <f>IF(TOTALCO!K620="", "",TOTALCO!K620)</f>
        <v/>
      </c>
      <c r="L93" s="12">
        <f ca="1">IF(TOTALCO!L620="", "",TOTALCO!L620)</f>
        <v>65.724117475193239</v>
      </c>
      <c r="M93" s="12" t="str">
        <f>IF(TOTALCO!M620="", "",TOTALCO!M620)</f>
        <v/>
      </c>
      <c r="N93" s="12">
        <f ca="1">IF(TOTALCO!N620="", "",TOTALCO!N620)</f>
        <v>429329.65258320479</v>
      </c>
      <c r="O93" s="12">
        <f ca="1">IF(TOTALCO!O620="", "",TOTALCO!O620)</f>
        <v>217744.00119531521</v>
      </c>
      <c r="P93" s="12">
        <f ca="1">IF(TOTALCO!P620="", "",TOTALCO!P620)</f>
        <v>211585.65138788958</v>
      </c>
      <c r="Q93" s="12"/>
      <c r="R93" s="13"/>
    </row>
    <row r="94" spans="1:18" ht="15" x14ac:dyDescent="0.2">
      <c r="A94" s="321">
        <f>IF(TOTALCO!A621="", "",TOTALCO!A621)</f>
        <v>18</v>
      </c>
      <c r="B94" s="4" t="str">
        <f>IF(TOTALCO!B621="", "",TOTALCO!B621)</f>
        <v xml:space="preserve"> 333-WATER WHEEL, TURBINES, GEN</v>
      </c>
      <c r="C94" s="4" t="str">
        <f>IF(TOTALCO!C621="", "",TOTALCO!C621)</f>
        <v>DEMPROD</v>
      </c>
      <c r="D94" s="12">
        <f ca="1">IF(TOTALCO!D621="", "",TOTALCO!D621)</f>
        <v>13988241.579999998</v>
      </c>
      <c r="E94" s="12" t="str">
        <f>IF(TOTALCO!E621="", "",TOTALCO!E621)</f>
        <v/>
      </c>
      <c r="F94" s="12">
        <f ca="1">IF(TOTALCO!F621="", "",TOTALCO!F621)</f>
        <v>13112801.899725912</v>
      </c>
      <c r="G94" s="12" t="str">
        <f>IF(TOTALCO!G621="", "",TOTALCO!G621)</f>
        <v/>
      </c>
      <c r="H94" s="12">
        <f ca="1">IF(TOTALCO!H621="", "",TOTALCO!H621)</f>
        <v>600451.33639696322</v>
      </c>
      <c r="I94" s="12">
        <f ca="1">IF(TOTALCO!I621="", "",TOTALCO!I621)</f>
        <v>274988.34387712431</v>
      </c>
      <c r="J94" s="12" t="str">
        <f>IF(TOTALCO!J621="", "",TOTALCO!J621)</f>
        <v/>
      </c>
      <c r="K94" s="12" t="str">
        <f>IF(TOTALCO!K621="", "",TOTALCO!K621)</f>
        <v/>
      </c>
      <c r="L94" s="12">
        <f ca="1">IF(TOTALCO!L621="", "",TOTALCO!L621)</f>
        <v>42.090267380515868</v>
      </c>
      <c r="M94" s="12" t="str">
        <f>IF(TOTALCO!M621="", "",TOTALCO!M621)</f>
        <v/>
      </c>
      <c r="N94" s="12">
        <f ca="1">IF(TOTALCO!N621="", "",TOTALCO!N621)</f>
        <v>274946.25360974378</v>
      </c>
      <c r="O94" s="12">
        <f ca="1">IF(TOTALCO!O621="", "",TOTALCO!O621)</f>
        <v>139445.05583164908</v>
      </c>
      <c r="P94" s="12">
        <f ca="1">IF(TOTALCO!P621="", "",TOTALCO!P621)</f>
        <v>135501.19777809471</v>
      </c>
      <c r="Q94" s="12"/>
      <c r="R94" s="13"/>
    </row>
    <row r="95" spans="1:18" ht="15" x14ac:dyDescent="0.2">
      <c r="A95" s="321">
        <f>IF(TOTALCO!A622="", "",TOTALCO!A622)</f>
        <v>19</v>
      </c>
      <c r="B95" s="4" t="str">
        <f>IF(TOTALCO!B622="", "",TOTALCO!B622)</f>
        <v xml:space="preserve"> 334-ACCESSORY ELECTRIC EQUIP</v>
      </c>
      <c r="C95" s="4" t="str">
        <f>IF(TOTALCO!C622="", "",TOTALCO!C622)</f>
        <v>DEMPROD</v>
      </c>
      <c r="D95" s="12">
        <f ca="1">IF(TOTALCO!D622="", "",TOTALCO!D622)</f>
        <v>1377986.23</v>
      </c>
      <c r="E95" s="12" t="str">
        <f>IF(TOTALCO!E622="", "",TOTALCO!E622)</f>
        <v/>
      </c>
      <c r="F95" s="12">
        <f ca="1">IF(TOTALCO!F622="", "",TOTALCO!F622)</f>
        <v>1291746.3822168382</v>
      </c>
      <c r="G95" s="12" t="str">
        <f>IF(TOTALCO!G622="", "",TOTALCO!G622)</f>
        <v/>
      </c>
      <c r="H95" s="12">
        <f ca="1">IF(TOTALCO!H622="", "",TOTALCO!H622)</f>
        <v>59150.656543073019</v>
      </c>
      <c r="I95" s="12">
        <f ca="1">IF(TOTALCO!I622="", "",TOTALCO!I622)</f>
        <v>27089.191240088814</v>
      </c>
      <c r="J95" s="12" t="str">
        <f>IF(TOTALCO!J622="", "",TOTALCO!J622)</f>
        <v/>
      </c>
      <c r="K95" s="12" t="str">
        <f>IF(TOTALCO!K622="", "",TOTALCO!K622)</f>
        <v/>
      </c>
      <c r="L95" s="12">
        <f ca="1">IF(TOTALCO!L622="", "",TOTALCO!L622)</f>
        <v>4.1463259363704124</v>
      </c>
      <c r="M95" s="12" t="str">
        <f>IF(TOTALCO!M622="", "",TOTALCO!M622)</f>
        <v/>
      </c>
      <c r="N95" s="12">
        <f ca="1">IF(TOTALCO!N622="", "",TOTALCO!N622)</f>
        <v>27085.044914152444</v>
      </c>
      <c r="O95" s="12">
        <f ca="1">IF(TOTALCO!O622="", "",TOTALCO!O622)</f>
        <v>13736.777827195176</v>
      </c>
      <c r="P95" s="12">
        <f ca="1">IF(TOTALCO!P622="", "",TOTALCO!P622)</f>
        <v>13348.267086957267</v>
      </c>
      <c r="Q95" s="12"/>
      <c r="R95" s="13"/>
    </row>
    <row r="96" spans="1:18" ht="15" x14ac:dyDescent="0.2">
      <c r="A96" s="321">
        <f>IF(TOTALCO!A623="", "",TOTALCO!A623)</f>
        <v>20</v>
      </c>
      <c r="B96" s="4" t="str">
        <f>IF(TOTALCO!B623="", "",TOTALCO!B623)</f>
        <v xml:space="preserve"> 335-MISC POWER PLANT EQUIP</v>
      </c>
      <c r="C96" s="4" t="str">
        <f>IF(TOTALCO!C623="", "",TOTALCO!C623)</f>
        <v>DEMPROD</v>
      </c>
      <c r="D96" s="12">
        <f ca="1">IF(TOTALCO!D623="", "",TOTALCO!D623)</f>
        <v>328554.18</v>
      </c>
      <c r="E96" s="12" t="str">
        <f>IF(TOTALCO!E623="", "",TOTALCO!E623)</f>
        <v/>
      </c>
      <c r="F96" s="12">
        <f ca="1">IF(TOTALCO!F623="", "",TOTALCO!F623)</f>
        <v>307991.95531672315</v>
      </c>
      <c r="G96" s="12" t="str">
        <f>IF(TOTALCO!G623="", "",TOTALCO!G623)</f>
        <v/>
      </c>
      <c r="H96" s="12">
        <f ca="1">IF(TOTALCO!H623="", "",TOTALCO!H623)</f>
        <v>14103.33066751399</v>
      </c>
      <c r="I96" s="12">
        <f ca="1">IF(TOTALCO!I623="", "",TOTALCO!I623)</f>
        <v>6458.894015762814</v>
      </c>
      <c r="J96" s="12" t="str">
        <f>IF(TOTALCO!J623="", "",TOTALCO!J623)</f>
        <v/>
      </c>
      <c r="K96" s="12" t="str">
        <f>IF(TOTALCO!K623="", "",TOTALCO!K623)</f>
        <v/>
      </c>
      <c r="L96" s="12">
        <f ca="1">IF(TOTALCO!L623="", "",TOTALCO!L623)</f>
        <v>0.98861127083752698</v>
      </c>
      <c r="M96" s="12" t="str">
        <f>IF(TOTALCO!M623="", "",TOTALCO!M623)</f>
        <v/>
      </c>
      <c r="N96" s="12">
        <f ca="1">IF(TOTALCO!N623="", "",TOTALCO!N623)</f>
        <v>6457.9054044919767</v>
      </c>
      <c r="O96" s="12">
        <f ca="1">IF(TOTALCO!O623="", "",TOTALCO!O623)</f>
        <v>3275.2691402847267</v>
      </c>
      <c r="P96" s="12">
        <f ca="1">IF(TOTALCO!P623="", "",TOTALCO!P623)</f>
        <v>3182.63626420725</v>
      </c>
      <c r="Q96" s="12"/>
      <c r="R96" s="13"/>
    </row>
    <row r="97" spans="1:18" ht="15" x14ac:dyDescent="0.2">
      <c r="A97" s="321">
        <f>IF(TOTALCO!A624="", "",TOTALCO!A624)</f>
        <v>21</v>
      </c>
      <c r="B97" s="4" t="str">
        <f>IF(TOTALCO!B624="", "",TOTALCO!B624)</f>
        <v xml:space="preserve"> 336-ROADS, RAILROADS, AND BRIDGES</v>
      </c>
      <c r="C97" s="4" t="str">
        <f>IF(TOTALCO!C624="", "",TOTALCO!C624)</f>
        <v>DEMPROD</v>
      </c>
      <c r="D97" s="12">
        <f ca="1">IF(TOTALCO!D624="", "",TOTALCO!D624)</f>
        <v>234509.12999999998</v>
      </c>
      <c r="E97" s="12" t="str">
        <f>IF(TOTALCO!E624="", "",TOTALCO!E624)</f>
        <v/>
      </c>
      <c r="F97" s="12">
        <f ca="1">IF(TOTALCO!F624="", "",TOTALCO!F624)</f>
        <v>219832.6178298009</v>
      </c>
      <c r="G97" s="12" t="str">
        <f>IF(TOTALCO!G624="", "",TOTALCO!G624)</f>
        <v/>
      </c>
      <c r="H97" s="12">
        <f ca="1">IF(TOTALCO!H624="", "",TOTALCO!H624)</f>
        <v>10066.406109765594</v>
      </c>
      <c r="I97" s="12">
        <f ca="1">IF(TOTALCO!I624="", "",TOTALCO!I624)</f>
        <v>4610.1060604334534</v>
      </c>
      <c r="J97" s="12" t="str">
        <f>IF(TOTALCO!J624="", "",TOTALCO!J624)</f>
        <v/>
      </c>
      <c r="K97" s="12" t="str">
        <f>IF(TOTALCO!K624="", "",TOTALCO!K624)</f>
        <v/>
      </c>
      <c r="L97" s="12">
        <f ca="1">IF(TOTALCO!L624="", "",TOTALCO!L624)</f>
        <v>0.70563207880144097</v>
      </c>
      <c r="M97" s="12" t="str">
        <f>IF(TOTALCO!M624="", "",TOTALCO!M624)</f>
        <v/>
      </c>
      <c r="N97" s="12">
        <f ca="1">IF(TOTALCO!N624="", "",TOTALCO!N624)</f>
        <v>4609.4004283546519</v>
      </c>
      <c r="O97" s="12">
        <f ca="1">IF(TOTALCO!O624="", "",TOTALCO!O624)</f>
        <v>2337.7590770691736</v>
      </c>
      <c r="P97" s="12">
        <f ca="1">IF(TOTALCO!P624="", "",TOTALCO!P624)</f>
        <v>2271.6413512854783</v>
      </c>
      <c r="Q97" s="12"/>
      <c r="R97" s="13"/>
    </row>
    <row r="98" spans="1:18" ht="15" x14ac:dyDescent="0.2">
      <c r="A98" s="321">
        <f>IF(TOTALCO!A625="", "",TOTALCO!A625)</f>
        <v>22</v>
      </c>
      <c r="B98" s="4" t="str">
        <f>IF(TOTALCO!B625="", "",TOTALCO!B625)</f>
        <v xml:space="preserve"> 337-ARO COST HYDRO PROD EQUIP</v>
      </c>
      <c r="C98" s="4" t="str">
        <f>IF(TOTALCO!C625="", "",TOTALCO!C625)</f>
        <v>DEMPROD</v>
      </c>
      <c r="D98" s="12">
        <f ca="1">IF(TOTALCO!D625="", "",TOTALCO!D625)</f>
        <v>645787.98999999987</v>
      </c>
      <c r="E98" s="12" t="str">
        <f>IF(TOTALCO!E625="", "",TOTALCO!E625)</f>
        <v/>
      </c>
      <c r="F98" s="12">
        <f ca="1">IF(TOTALCO!F625="", "",TOTALCO!F625)</f>
        <v>605372.01432091487</v>
      </c>
      <c r="G98" s="12" t="str">
        <f>IF(TOTALCO!G625="", "",TOTALCO!G625)</f>
        <v/>
      </c>
      <c r="H98" s="12">
        <f ca="1">IF(TOTALCO!H625="", "",TOTALCO!H625)</f>
        <v>27720.7295432346</v>
      </c>
      <c r="I98" s="12">
        <f ca="1">IF(TOTALCO!I625="", "",TOTALCO!I625)</f>
        <v>12695.246135850399</v>
      </c>
      <c r="J98" s="12" t="str">
        <f>IF(TOTALCO!J625="", "",TOTALCO!J625)</f>
        <v/>
      </c>
      <c r="K98" s="12" t="str">
        <f>IF(TOTALCO!K625="", "",TOTALCO!K625)</f>
        <v/>
      </c>
      <c r="L98" s="12">
        <f ca="1">IF(TOTALCO!L625="", "",TOTALCO!L625)</f>
        <v>1.9431598328333919</v>
      </c>
      <c r="M98" s="12" t="str">
        <f>IF(TOTALCO!M625="", "",TOTALCO!M625)</f>
        <v/>
      </c>
      <c r="N98" s="12">
        <f ca="1">IF(TOTALCO!N625="", "",TOTALCO!N625)</f>
        <v>12693.302976017565</v>
      </c>
      <c r="O98" s="12">
        <f ca="1">IF(TOTALCO!O625="", "",TOTALCO!O625)</f>
        <v>6437.6885261770276</v>
      </c>
      <c r="P98" s="12">
        <f ca="1">IF(TOTALCO!P625="", "",TOTALCO!P625)</f>
        <v>6255.6144498405374</v>
      </c>
      <c r="Q98" s="12"/>
      <c r="R98" s="13"/>
    </row>
    <row r="99" spans="1:18" ht="15" x14ac:dyDescent="0.2">
      <c r="A99" s="321">
        <f>IF(TOTALCO!A626="", "",TOTALCO!A626)</f>
        <v>23</v>
      </c>
      <c r="B99" s="4" t="str">
        <f>IF(TOTALCO!B626="", "",TOTALCO!B626)</f>
        <v xml:space="preserve"> FERC-AFUDC PRE</v>
      </c>
      <c r="C99" s="4" t="str">
        <f>IF(TOTALCO!C626="", "",TOTALCO!C626)</f>
        <v>DEMFERC</v>
      </c>
      <c r="D99" s="12">
        <f ca="1">IF(TOTALCO!D626="", "",TOTALCO!D626)</f>
        <v>819.99999999999989</v>
      </c>
      <c r="E99" s="12" t="str">
        <f>IF(TOTALCO!E626="", "",TOTALCO!E626)</f>
        <v/>
      </c>
      <c r="F99" s="12">
        <f ca="1">IF(TOTALCO!F626="", "",TOTALCO!F626)</f>
        <v>430.62917808219174</v>
      </c>
      <c r="G99" s="12" t="str">
        <f>IF(TOTALCO!G626="", "",TOTALCO!G626)</f>
        <v/>
      </c>
      <c r="H99" s="12">
        <f ca="1">IF(TOTALCO!H626="", "",TOTALCO!H626)</f>
        <v>267.07662100456622</v>
      </c>
      <c r="I99" s="12">
        <f ca="1">IF(TOTALCO!I626="", "",TOTALCO!I626)</f>
        <v>122.29420091324201</v>
      </c>
      <c r="J99" s="12" t="str">
        <f>IF(TOTALCO!J626="", "",TOTALCO!J626)</f>
        <v/>
      </c>
      <c r="K99" s="12" t="str">
        <f>IF(TOTALCO!K626="", "",TOTALCO!K626)</f>
        <v/>
      </c>
      <c r="L99" s="12">
        <f ca="1">IF(TOTALCO!L626="", "",TOTALCO!L626)</f>
        <v>0</v>
      </c>
      <c r="M99" s="12" t="str">
        <f>IF(TOTALCO!M626="", "",TOTALCO!M626)</f>
        <v/>
      </c>
      <c r="N99" s="12">
        <f ca="1">IF(TOTALCO!N626="", "",TOTALCO!N626)</f>
        <v>122.29420091324201</v>
      </c>
      <c r="O99" s="12">
        <f ca="1">IF(TOTALCO!O626="", "",TOTALCO!O626)</f>
        <v>62.024200913242005</v>
      </c>
      <c r="P99" s="12">
        <f ca="1">IF(TOTALCO!P626="", "",TOTALCO!P626)</f>
        <v>60.269999999999996</v>
      </c>
      <c r="Q99" s="12"/>
      <c r="R99" s="13"/>
    </row>
    <row r="100" spans="1:18" ht="15" x14ac:dyDescent="0.2">
      <c r="A100" s="321">
        <f>IF(TOTALCO!A627="", "",TOTALCO!A627)</f>
        <v>24</v>
      </c>
      <c r="B100" s="4" t="str">
        <f>IF(TOTALCO!B627="", "",TOTALCO!B627)</f>
        <v xml:space="preserve"> FERC-AFUDC POST</v>
      </c>
      <c r="C100" s="4" t="str">
        <f>IF(TOTALCO!C627="", "",TOTALCO!C627)</f>
        <v>DEMFERCP</v>
      </c>
      <c r="D100" s="12">
        <f ca="1">IF(TOTALCO!D627="", "",TOTALCO!D627)</f>
        <v>105336.76000000001</v>
      </c>
      <c r="E100" s="12" t="str">
        <f>IF(TOTALCO!E627="", "",TOTALCO!E627)</f>
        <v/>
      </c>
      <c r="F100" s="12">
        <f ca="1">IF(TOTALCO!F627="", "",TOTALCO!F627)</f>
        <v>82038.640621516752</v>
      </c>
      <c r="G100" s="12" t="str">
        <f>IF(TOTALCO!G627="", "",TOTALCO!G627)</f>
        <v/>
      </c>
      <c r="H100" s="12">
        <f ca="1">IF(TOTALCO!H627="", "",TOTALCO!H627)</f>
        <v>0</v>
      </c>
      <c r="I100" s="12">
        <f ca="1">IF(TOTALCO!I627="", "",TOTALCO!I627)</f>
        <v>23298.119378483254</v>
      </c>
      <c r="J100" s="12" t="str">
        <f>IF(TOTALCO!J627="", "",TOTALCO!J627)</f>
        <v/>
      </c>
      <c r="K100" s="12" t="str">
        <f>IF(TOTALCO!K627="", "",TOTALCO!K627)</f>
        <v/>
      </c>
      <c r="L100" s="12">
        <f ca="1">IF(TOTALCO!L627="", "",TOTALCO!L627)</f>
        <v>0</v>
      </c>
      <c r="M100" s="12" t="str">
        <f>IF(TOTALCO!M627="", "",TOTALCO!M627)</f>
        <v/>
      </c>
      <c r="N100" s="12">
        <f ca="1">IF(TOTALCO!N627="", "",TOTALCO!N627)</f>
        <v>23298.119378483254</v>
      </c>
      <c r="O100" s="12">
        <f ca="1">IF(TOTALCO!O627="", "",TOTALCO!O627)</f>
        <v>11816.155029762109</v>
      </c>
      <c r="P100" s="12">
        <f ca="1">IF(TOTALCO!P627="", "",TOTALCO!P627)</f>
        <v>11481.964348721145</v>
      </c>
      <c r="Q100" s="12"/>
      <c r="R100" s="13"/>
    </row>
    <row r="101" spans="1:18" ht="15" x14ac:dyDescent="0.2">
      <c r="A101" s="321">
        <f>IF(TOTALCO!A628="", "",TOTALCO!A628)</f>
        <v>25</v>
      </c>
      <c r="B101" s="4" t="str">
        <f>IF(TOTALCO!B628="", "",TOTALCO!B628)</f>
        <v xml:space="preserve"> TOTAL HYDRAULIC PROD PLANT</v>
      </c>
      <c r="C101" s="4" t="str">
        <f>IF(TOTALCO!C628="", "",TOTALCO!C628)</f>
        <v/>
      </c>
      <c r="D101" s="12">
        <f ca="1">IF(TOTALCO!D628="", "",TOTALCO!D628)</f>
        <v>43851877.754615381</v>
      </c>
      <c r="E101" s="12" t="str">
        <f>IF(TOTALCO!E628="", "",TOTALCO!E628)</f>
        <v/>
      </c>
      <c r="F101" s="12">
        <f ca="1">IF(TOTALCO!F628="", "",TOTALCO!F628)</f>
        <v>41090409.40883974</v>
      </c>
      <c r="G101" s="12" t="str">
        <f>IF(TOTALCO!G628="", "",TOTALCO!G628)</f>
        <v/>
      </c>
      <c r="H101" s="12">
        <f ca="1">IF(TOTALCO!H628="", "",TOTALCO!H628)</f>
        <v>1878071.1224434311</v>
      </c>
      <c r="I101" s="12">
        <f ca="1">IF(TOTALCO!I628="", "",TOTALCO!I628)</f>
        <v>883397.22333220835</v>
      </c>
      <c r="J101" s="12" t="str">
        <f>IF(TOTALCO!J628="", "",TOTALCO!J628)</f>
        <v/>
      </c>
      <c r="K101" s="12" t="str">
        <f>IF(TOTALCO!K628="", "",TOTALCO!K628)</f>
        <v/>
      </c>
      <c r="L101" s="12">
        <f ca="1">IF(TOTALCO!L628="", "",TOTALCO!L628)</f>
        <v>131.62977511407891</v>
      </c>
      <c r="M101" s="12" t="str">
        <f>IF(TOTALCO!M628="", "",TOTALCO!M628)</f>
        <v/>
      </c>
      <c r="N101" s="12">
        <f ca="1">IF(TOTALCO!N628="", "",TOTALCO!N628)</f>
        <v>883265.59355709422</v>
      </c>
      <c r="O101" s="12">
        <f ca="1">IF(TOTALCO!O628="", "",TOTALCO!O628)</f>
        <v>447967.62418361881</v>
      </c>
      <c r="P101" s="12">
        <f ca="1">IF(TOTALCO!P628="", "",TOTALCO!P628)</f>
        <v>435297.96937347541</v>
      </c>
      <c r="Q101" s="12"/>
      <c r="R101" s="13"/>
    </row>
    <row r="102" spans="1:18" ht="15" x14ac:dyDescent="0.2">
      <c r="A102" s="321" t="str">
        <f>IF(TOTALCO!A629="", "",TOTALCO!A629)</f>
        <v/>
      </c>
      <c r="B102" s="4" t="str">
        <f>IF(TOTALCO!B629="", "",TOTALCO!B629)</f>
        <v/>
      </c>
      <c r="C102" s="4" t="str">
        <f>IF(TOTALCO!C629="", "",TOTALCO!C629)</f>
        <v/>
      </c>
      <c r="D102" s="12" t="str">
        <f>IF(TOTALCO!D629="", "",TOTALCO!D629)</f>
        <v/>
      </c>
      <c r="E102" s="12" t="str">
        <f>IF(TOTALCO!E629="", "",TOTALCO!E629)</f>
        <v/>
      </c>
      <c r="F102" s="12" t="str">
        <f>IF(TOTALCO!F629="", "",TOTALCO!F629)</f>
        <v/>
      </c>
      <c r="G102" s="12" t="str">
        <f>IF(TOTALCO!G629="", "",TOTALCO!G629)</f>
        <v/>
      </c>
      <c r="H102" s="12" t="str">
        <f>IF(TOTALCO!H629="", "",TOTALCO!H629)</f>
        <v/>
      </c>
      <c r="I102" s="12" t="str">
        <f>IF(TOTALCO!I629="", "",TOTALCO!I629)</f>
        <v/>
      </c>
      <c r="J102" s="12" t="str">
        <f>IF(TOTALCO!J629="", "",TOTALCO!J629)</f>
        <v/>
      </c>
      <c r="K102" s="12" t="str">
        <f>IF(TOTALCO!K629="", "",TOTALCO!K629)</f>
        <v/>
      </c>
      <c r="L102" s="12" t="str">
        <f>IF(TOTALCO!L629="", "",TOTALCO!L629)</f>
        <v/>
      </c>
      <c r="M102" s="12" t="str">
        <f>IF(TOTALCO!M629="", "",TOTALCO!M629)</f>
        <v/>
      </c>
      <c r="N102" s="12" t="str">
        <f>IF(TOTALCO!N629="", "",TOTALCO!N629)</f>
        <v/>
      </c>
      <c r="O102" s="12" t="str">
        <f>IF(TOTALCO!O629="", "",TOTALCO!O629)</f>
        <v/>
      </c>
      <c r="P102" s="12" t="str">
        <f>IF(TOTALCO!P629="", "",TOTALCO!P629)</f>
        <v/>
      </c>
      <c r="Q102" s="12"/>
      <c r="R102" s="13"/>
    </row>
    <row r="103" spans="1:18" ht="15" x14ac:dyDescent="0.2">
      <c r="A103" s="321" t="str">
        <f>IF(TOTALCO!A630="", "",TOTALCO!A630)</f>
        <v/>
      </c>
      <c r="B103" s="4" t="str">
        <f>IF(TOTALCO!B630="", "",TOTALCO!B630)</f>
        <v>OTHER PRODUCTION PLANT</v>
      </c>
      <c r="C103" s="4" t="str">
        <f>IF(TOTALCO!C630="", "",TOTALCO!C630)</f>
        <v/>
      </c>
      <c r="D103" s="12" t="str">
        <f>IF(TOTALCO!D630="", "",TOTALCO!D630)</f>
        <v/>
      </c>
      <c r="E103" s="12" t="str">
        <f>IF(TOTALCO!E630="", "",TOTALCO!E630)</f>
        <v/>
      </c>
      <c r="F103" s="12" t="str">
        <f>IF(TOTALCO!F630="", "",TOTALCO!F630)</f>
        <v/>
      </c>
      <c r="G103" s="12" t="str">
        <f>IF(TOTALCO!G630="", "",TOTALCO!G630)</f>
        <v/>
      </c>
      <c r="H103" s="12" t="str">
        <f>IF(TOTALCO!H630="", "",TOTALCO!H630)</f>
        <v/>
      </c>
      <c r="I103" s="12" t="str">
        <f>IF(TOTALCO!I630="", "",TOTALCO!I630)</f>
        <v/>
      </c>
      <c r="J103" s="12" t="str">
        <f>IF(TOTALCO!J630="", "",TOTALCO!J630)</f>
        <v/>
      </c>
      <c r="K103" s="12" t="str">
        <f>IF(TOTALCO!K630="", "",TOTALCO!K630)</f>
        <v/>
      </c>
      <c r="L103" s="12" t="str">
        <f>IF(TOTALCO!L630="", "",TOTALCO!L630)</f>
        <v/>
      </c>
      <c r="M103" s="12" t="str">
        <f>IF(TOTALCO!M630="", "",TOTALCO!M630)</f>
        <v/>
      </c>
      <c r="N103" s="12" t="str">
        <f>IF(TOTALCO!N630="", "",TOTALCO!N630)</f>
        <v/>
      </c>
      <c r="O103" s="12" t="str">
        <f>IF(TOTALCO!O630="", "",TOTALCO!O630)</f>
        <v/>
      </c>
      <c r="P103" s="12" t="str">
        <f>IF(TOTALCO!P630="", "",TOTALCO!P630)</f>
        <v/>
      </c>
      <c r="Q103" s="12"/>
      <c r="R103" s="13"/>
    </row>
    <row r="104" spans="1:18" ht="15" x14ac:dyDescent="0.2">
      <c r="A104" s="321">
        <f>IF(TOTALCO!A631="", "",TOTALCO!A631)</f>
        <v>26</v>
      </c>
      <c r="B104" s="4" t="str">
        <f>IF(TOTALCO!B631="", "",TOTALCO!B631)</f>
        <v xml:space="preserve"> 340-LAND &amp; LAND RIGHTS</v>
      </c>
      <c r="C104" s="4" t="str">
        <f>IF(TOTALCO!C631="", "",TOTALCO!C631)</f>
        <v>DEMPROD</v>
      </c>
      <c r="D104" s="12">
        <f ca="1">IF(TOTALCO!D631="", "",TOTALCO!D631)</f>
        <v>902801.46</v>
      </c>
      <c r="E104" s="12" t="str">
        <f>IF(TOTALCO!E631="", "",TOTALCO!E631)</f>
        <v/>
      </c>
      <c r="F104" s="12">
        <f ca="1">IF(TOTALCO!F631="", "",TOTALCO!F631)</f>
        <v>846300.56122917822</v>
      </c>
      <c r="G104" s="12" t="str">
        <f>IF(TOTALCO!G631="", "",TOTALCO!G631)</f>
        <v/>
      </c>
      <c r="H104" s="12">
        <f ca="1">IF(TOTALCO!H631="", "",TOTALCO!H631)</f>
        <v>38753.144207431498</v>
      </c>
      <c r="I104" s="12">
        <f ca="1">IF(TOTALCO!I631="", "",TOTALCO!I631)</f>
        <v>17747.754563390223</v>
      </c>
      <c r="J104" s="12" t="str">
        <f>IF(TOTALCO!J631="", "",TOTALCO!J631)</f>
        <v/>
      </c>
      <c r="K104" s="12" t="str">
        <f>IF(TOTALCO!K631="", "",TOTALCO!K631)</f>
        <v/>
      </c>
      <c r="L104" s="12">
        <f ca="1">IF(TOTALCO!L631="", "",TOTALCO!L631)</f>
        <v>2.7165069051459789</v>
      </c>
      <c r="M104" s="12" t="str">
        <f>IF(TOTALCO!M631="", "",TOTALCO!M631)</f>
        <v/>
      </c>
      <c r="N104" s="12">
        <f ca="1">IF(TOTALCO!N631="", "",TOTALCO!N631)</f>
        <v>17745.038056485078</v>
      </c>
      <c r="O104" s="12">
        <f ca="1">IF(TOTALCO!O631="", "",TOTALCO!O631)</f>
        <v>8999.787376748629</v>
      </c>
      <c r="P104" s="12">
        <f ca="1">IF(TOTALCO!P631="", "",TOTALCO!P631)</f>
        <v>8745.2506797364495</v>
      </c>
      <c r="Q104" s="12"/>
      <c r="R104" s="13"/>
    </row>
    <row r="105" spans="1:18" ht="15" x14ac:dyDescent="0.2">
      <c r="A105" s="321">
        <f>IF(TOTALCO!A632="", "",TOTALCO!A632)</f>
        <v>27</v>
      </c>
      <c r="B105" s="4" t="str">
        <f>IF(TOTALCO!B632="", "",TOTALCO!B632)</f>
        <v xml:space="preserve"> 341-STRUCTURES AND IMPROVEMENTS</v>
      </c>
      <c r="C105" s="4" t="str">
        <f>IF(TOTALCO!C632="", "",TOTALCO!C632)</f>
        <v>DEMPROD</v>
      </c>
      <c r="D105" s="12">
        <f ca="1">IF(TOTALCO!D632="", "",TOTALCO!D632)</f>
        <v>86587215.239999995</v>
      </c>
      <c r="E105" s="12" t="str">
        <f>IF(TOTALCO!E632="", "",TOTALCO!E632)</f>
        <v/>
      </c>
      <c r="F105" s="12">
        <f ca="1">IF(TOTALCO!F632="", "",TOTALCO!F632)</f>
        <v>81168243.627877668</v>
      </c>
      <c r="G105" s="12" t="str">
        <f>IF(TOTALCO!G632="", "",TOTALCO!G632)</f>
        <v/>
      </c>
      <c r="H105" s="12">
        <f ca="1">IF(TOTALCO!H632="", "",TOTALCO!H632)</f>
        <v>3716793.7662790562</v>
      </c>
      <c r="I105" s="12">
        <f ca="1">IF(TOTALCO!I632="", "",TOTALCO!I632)</f>
        <v>1702177.8458432725</v>
      </c>
      <c r="J105" s="12" t="str">
        <f>IF(TOTALCO!J632="", "",TOTALCO!J632)</f>
        <v/>
      </c>
      <c r="K105" s="12" t="str">
        <f>IF(TOTALCO!K632="", "",TOTALCO!K632)</f>
        <v/>
      </c>
      <c r="L105" s="12">
        <f ca="1">IF(TOTALCO!L632="", "",TOTALCO!L632)</f>
        <v>260.53875466353492</v>
      </c>
      <c r="M105" s="12" t="str">
        <f>IF(TOTALCO!M632="", "",TOTALCO!M632)</f>
        <v/>
      </c>
      <c r="N105" s="12">
        <f ca="1">IF(TOTALCO!N632="", "",TOTALCO!N632)</f>
        <v>1701917.3070886091</v>
      </c>
      <c r="O105" s="12">
        <f ca="1">IF(TOTALCO!O632="", "",TOTALCO!O632)</f>
        <v>863164.89420029125</v>
      </c>
      <c r="P105" s="12">
        <f ca="1">IF(TOTALCO!P632="", "",TOTALCO!P632)</f>
        <v>838752.41288831783</v>
      </c>
      <c r="Q105" s="12"/>
      <c r="R105" s="13"/>
    </row>
    <row r="106" spans="1:18" ht="15" x14ac:dyDescent="0.2">
      <c r="A106" s="321">
        <f>IF(TOTALCO!A633="", "",TOTALCO!A633)</f>
        <v>28</v>
      </c>
      <c r="B106" s="4" t="str">
        <f>IF(TOTALCO!B633="", "",TOTALCO!B633)</f>
        <v xml:space="preserve"> 342-FUEL HOLDERS, PRODUCERS, ACC</v>
      </c>
      <c r="C106" s="4" t="str">
        <f>IF(TOTALCO!C633="", "",TOTALCO!C633)</f>
        <v>DEMPROD</v>
      </c>
      <c r="D106" s="12">
        <f ca="1">IF(TOTALCO!D633="", "",TOTALCO!D633)</f>
        <v>75137359.71153833</v>
      </c>
      <c r="E106" s="12" t="str">
        <f>IF(TOTALCO!E633="", "",TOTALCO!E633)</f>
        <v/>
      </c>
      <c r="F106" s="12">
        <f ca="1">IF(TOTALCO!F633="", "",TOTALCO!F633)</f>
        <v>70434965.505210355</v>
      </c>
      <c r="G106" s="12" t="str">
        <f>IF(TOTALCO!G633="", "",TOTALCO!G633)</f>
        <v/>
      </c>
      <c r="H106" s="12">
        <f ca="1">IF(TOTALCO!H633="", "",TOTALCO!H633)</f>
        <v>3225303.7520197402</v>
      </c>
      <c r="I106" s="12">
        <f ca="1">IF(TOTALCO!I633="", "",TOTALCO!I633)</f>
        <v>1477090.4543082456</v>
      </c>
      <c r="J106" s="12" t="str">
        <f>IF(TOTALCO!J633="", "",TOTALCO!J633)</f>
        <v/>
      </c>
      <c r="K106" s="12" t="str">
        <f>IF(TOTALCO!K633="", "",TOTALCO!K633)</f>
        <v/>
      </c>
      <c r="L106" s="12">
        <f ca="1">IF(TOTALCO!L633="", "",TOTALCO!L633)</f>
        <v>226.08642712078822</v>
      </c>
      <c r="M106" s="12" t="str">
        <f>IF(TOTALCO!M633="", "",TOTALCO!M633)</f>
        <v/>
      </c>
      <c r="N106" s="12">
        <f ca="1">IF(TOTALCO!N633="", "",TOTALCO!N633)</f>
        <v>1476864.3678811248</v>
      </c>
      <c r="O106" s="12">
        <f ca="1">IF(TOTALCO!O633="", "",TOTALCO!O633)</f>
        <v>749024.33305117139</v>
      </c>
      <c r="P106" s="12">
        <f ca="1">IF(TOTALCO!P633="", "",TOTALCO!P633)</f>
        <v>727840.03482995345</v>
      </c>
      <c r="Q106" s="12"/>
      <c r="R106" s="13"/>
    </row>
    <row r="107" spans="1:18" ht="15" x14ac:dyDescent="0.2">
      <c r="A107" s="321">
        <f>IF(TOTALCO!A634="", "",TOTALCO!A634)</f>
        <v>29</v>
      </c>
      <c r="B107" s="4" t="str">
        <f>IF(TOTALCO!B634="", "",TOTALCO!B634)</f>
        <v xml:space="preserve"> 343-PRIME MOVERS</v>
      </c>
      <c r="C107" s="4" t="str">
        <f>IF(TOTALCO!C634="", "",TOTALCO!C634)</f>
        <v>DEMPROD</v>
      </c>
      <c r="D107" s="12">
        <f ca="1">IF(TOTALCO!D634="", "",TOTALCO!D634)</f>
        <v>676385810.19923067</v>
      </c>
      <c r="E107" s="12" t="str">
        <f>IF(TOTALCO!E634="", "",TOTALCO!E634)</f>
        <v/>
      </c>
      <c r="F107" s="12">
        <f ca="1">IF(TOTALCO!F634="", "",TOTALCO!F634)</f>
        <v>634054901.48305845</v>
      </c>
      <c r="G107" s="12" t="str">
        <f>IF(TOTALCO!G634="", "",TOTALCO!G634)</f>
        <v/>
      </c>
      <c r="H107" s="12">
        <f ca="1">IF(TOTALCO!H634="", "",TOTALCO!H634)</f>
        <v>29034154.245287973</v>
      </c>
      <c r="I107" s="12">
        <f ca="1">IF(TOTALCO!I634="", "",TOTALCO!I634)</f>
        <v>13296754.470884208</v>
      </c>
      <c r="J107" s="12" t="str">
        <f>IF(TOTALCO!J634="", "",TOTALCO!J634)</f>
        <v/>
      </c>
      <c r="K107" s="12" t="str">
        <f>IF(TOTALCO!K634="", "",TOTALCO!K634)</f>
        <v/>
      </c>
      <c r="L107" s="12">
        <f ca="1">IF(TOTALCO!L634="", "",TOTALCO!L634)</f>
        <v>2035.2279048695466</v>
      </c>
      <c r="M107" s="12" t="str">
        <f>IF(TOTALCO!M634="", "",TOTALCO!M634)</f>
        <v/>
      </c>
      <c r="N107" s="12">
        <f ca="1">IF(TOTALCO!N634="", "",TOTALCO!N634)</f>
        <v>13294719.242979338</v>
      </c>
      <c r="O107" s="12">
        <f ca="1">IF(TOTALCO!O634="", "",TOTALCO!O634)</f>
        <v>6742710.0488328077</v>
      </c>
      <c r="P107" s="12">
        <f ca="1">IF(TOTALCO!P634="", "",TOTALCO!P634)</f>
        <v>6552009.1941465307</v>
      </c>
      <c r="Q107" s="12"/>
      <c r="R107" s="13"/>
    </row>
    <row r="108" spans="1:18" ht="15" x14ac:dyDescent="0.2">
      <c r="A108" s="321">
        <f>IF(TOTALCO!A635="", "",TOTALCO!A635)</f>
        <v>30</v>
      </c>
      <c r="B108" s="4" t="str">
        <f>IF(TOTALCO!B635="", "",TOTALCO!B635)</f>
        <v xml:space="preserve"> 344-GENERATORS</v>
      </c>
      <c r="C108" s="4" t="str">
        <f>IF(TOTALCO!C635="", "",TOTALCO!C635)</f>
        <v>DEMPROD</v>
      </c>
      <c r="D108" s="12">
        <f ca="1">IF(TOTALCO!D635="", "",TOTALCO!D635)</f>
        <v>131706344.10230757</v>
      </c>
      <c r="E108" s="12" t="str">
        <f>IF(TOTALCO!E635="", "",TOTALCO!E635)</f>
        <v/>
      </c>
      <c r="F108" s="12">
        <f ca="1">IF(TOTALCO!F635="", "",TOTALCO!F635)</f>
        <v>123463638.31891252</v>
      </c>
      <c r="G108" s="12" t="str">
        <f>IF(TOTALCO!G635="", "",TOTALCO!G635)</f>
        <v/>
      </c>
      <c r="H108" s="12">
        <f ca="1">IF(TOTALCO!H635="", "",TOTALCO!H635)</f>
        <v>5653551.9404568989</v>
      </c>
      <c r="I108" s="12">
        <f ca="1">IF(TOTALCO!I635="", "",TOTALCO!I635)</f>
        <v>2589153.8429381498</v>
      </c>
      <c r="J108" s="12" t="str">
        <f>IF(TOTALCO!J635="", "",TOTALCO!J635)</f>
        <v/>
      </c>
      <c r="K108" s="12" t="str">
        <f>IF(TOTALCO!K635="", "",TOTALCO!K635)</f>
        <v/>
      </c>
      <c r="L108" s="12">
        <f ca="1">IF(TOTALCO!L635="", "",TOTALCO!L635)</f>
        <v>396.30107953685734</v>
      </c>
      <c r="M108" s="12" t="str">
        <f>IF(TOTALCO!M635="", "",TOTALCO!M635)</f>
        <v/>
      </c>
      <c r="N108" s="12">
        <f ca="1">IF(TOTALCO!N635="", "",TOTALCO!N635)</f>
        <v>2588757.541858613</v>
      </c>
      <c r="O108" s="12">
        <f ca="1">IF(TOTALCO!O635="", "",TOTALCO!O635)</f>
        <v>1312945.4765056083</v>
      </c>
      <c r="P108" s="12">
        <f ca="1">IF(TOTALCO!P635="", "",TOTALCO!P635)</f>
        <v>1275812.0653530047</v>
      </c>
      <c r="Q108" s="12"/>
      <c r="R108" s="13"/>
    </row>
    <row r="109" spans="1:18" ht="15" x14ac:dyDescent="0.2">
      <c r="A109" s="321">
        <f>IF(TOTALCO!A636="", "",TOTALCO!A636)</f>
        <v>31</v>
      </c>
      <c r="B109" s="4" t="str">
        <f>IF(TOTALCO!B636="", "",TOTALCO!B636)</f>
        <v xml:space="preserve"> 345-ACCESSORY ELECTRIC EQUIP</v>
      </c>
      <c r="C109" s="4" t="str">
        <f>IF(TOTALCO!C636="", "",TOTALCO!C636)</f>
        <v>DEMPROD</v>
      </c>
      <c r="D109" s="12">
        <f ca="1">IF(TOTALCO!D636="", "",TOTALCO!D636)</f>
        <v>78988054.973076835</v>
      </c>
      <c r="E109" s="12" t="str">
        <f>IF(TOTALCO!E636="", "",TOTALCO!E636)</f>
        <v/>
      </c>
      <c r="F109" s="12">
        <f ca="1">IF(TOTALCO!F636="", "",TOTALCO!F636)</f>
        <v>74044668.973083094</v>
      </c>
      <c r="G109" s="12" t="str">
        <f>IF(TOTALCO!G636="", "",TOTALCO!G636)</f>
        <v/>
      </c>
      <c r="H109" s="12">
        <f ca="1">IF(TOTALCO!H636="", "",TOTALCO!H636)</f>
        <v>3390596.5161334295</v>
      </c>
      <c r="I109" s="12">
        <f ca="1">IF(TOTALCO!I636="", "",TOTALCO!I636)</f>
        <v>1552789.4838603188</v>
      </c>
      <c r="J109" s="12" t="str">
        <f>IF(TOTALCO!J636="", "",TOTALCO!J636)</f>
        <v/>
      </c>
      <c r="K109" s="12" t="str">
        <f>IF(TOTALCO!K636="", "",TOTALCO!K636)</f>
        <v/>
      </c>
      <c r="L109" s="12">
        <f ca="1">IF(TOTALCO!L636="", "",TOTALCO!L636)</f>
        <v>237.67307239225488</v>
      </c>
      <c r="M109" s="12" t="str">
        <f>IF(TOTALCO!M636="", "",TOTALCO!M636)</f>
        <v/>
      </c>
      <c r="N109" s="12">
        <f ca="1">IF(TOTALCO!N636="", "",TOTALCO!N636)</f>
        <v>1552551.8107879264</v>
      </c>
      <c r="O109" s="12">
        <f ca="1">IF(TOTALCO!O636="", "",TOTALCO!O636)</f>
        <v>787410.88883554051</v>
      </c>
      <c r="P109" s="12">
        <f ca="1">IF(TOTALCO!P636="", "",TOTALCO!P636)</f>
        <v>765140.92195238604</v>
      </c>
      <c r="Q109" s="12"/>
      <c r="R109" s="13"/>
    </row>
    <row r="110" spans="1:18" ht="15" x14ac:dyDescent="0.2">
      <c r="A110" s="321">
        <f>IF(TOTALCO!A637="", "",TOTALCO!A637)</f>
        <v>32</v>
      </c>
      <c r="B110" s="4" t="str">
        <f>IF(TOTALCO!B637="", "",TOTALCO!B637)</f>
        <v xml:space="preserve"> 346-MISC POWER PLANT EQUIP</v>
      </c>
      <c r="C110" s="4" t="str">
        <f>IF(TOTALCO!C637="", "",TOTALCO!C637)</f>
        <v>DEMPROD</v>
      </c>
      <c r="D110" s="12">
        <f ca="1">IF(TOTALCO!D637="", "",TOTALCO!D637)</f>
        <v>12558313.253846155</v>
      </c>
      <c r="E110" s="12" t="str">
        <f>IF(TOTALCO!E637="", "",TOTALCO!E637)</f>
        <v/>
      </c>
      <c r="F110" s="12">
        <f ca="1">IF(TOTALCO!F637="", "",TOTALCO!F637)</f>
        <v>11772364.163901363</v>
      </c>
      <c r="G110" s="12" t="str">
        <f>IF(TOTALCO!G637="", "",TOTALCO!G637)</f>
        <v/>
      </c>
      <c r="H110" s="12">
        <f ca="1">IF(TOTALCO!H637="", "",TOTALCO!H637)</f>
        <v>539071.04284966306</v>
      </c>
      <c r="I110" s="12">
        <f ca="1">IF(TOTALCO!I637="", "",TOTALCO!I637)</f>
        <v>246878.04709512991</v>
      </c>
      <c r="J110" s="12" t="str">
        <f>IF(TOTALCO!J637="", "",TOTALCO!J637)</f>
        <v/>
      </c>
      <c r="K110" s="12" t="str">
        <f>IF(TOTALCO!K637="", "",TOTALCO!K637)</f>
        <v/>
      </c>
      <c r="L110" s="12">
        <f ca="1">IF(TOTALCO!L637="", "",TOTALCO!L637)</f>
        <v>37.787648982157549</v>
      </c>
      <c r="M110" s="12" t="str">
        <f>IF(TOTALCO!M637="", "",TOTALCO!M637)</f>
        <v/>
      </c>
      <c r="N110" s="12">
        <f ca="1">IF(TOTALCO!N637="", "",TOTALCO!N637)</f>
        <v>246840.25944614774</v>
      </c>
      <c r="O110" s="12">
        <f ca="1">IF(TOTALCO!O637="", "",TOTALCO!O637)</f>
        <v>125190.48107788796</v>
      </c>
      <c r="P110" s="12">
        <f ca="1">IF(TOTALCO!P637="", "",TOTALCO!P637)</f>
        <v>121649.77836825978</v>
      </c>
      <c r="Q110" s="12"/>
      <c r="R110" s="13"/>
    </row>
    <row r="111" spans="1:18" ht="15" x14ac:dyDescent="0.2">
      <c r="A111" s="321">
        <f>IF(TOTALCO!A638="", "",TOTALCO!A638)</f>
        <v>33</v>
      </c>
      <c r="B111" s="4" t="str">
        <f>IF(TOTALCO!B638="", "",TOTALCO!B638)</f>
        <v xml:space="preserve"> 347-ARO COST OTHER PROD EQUIP</v>
      </c>
      <c r="C111" s="4" t="str">
        <f>IF(TOTALCO!C638="", "",TOTALCO!C638)</f>
        <v>DEMPROD</v>
      </c>
      <c r="D111" s="12">
        <f ca="1">IF(TOTALCO!D638="", "",TOTALCO!D638)</f>
        <v>406991.12</v>
      </c>
      <c r="E111" s="12" t="str">
        <f>IF(TOTALCO!E638="", "",TOTALCO!E638)</f>
        <v/>
      </c>
      <c r="F111" s="12">
        <f ca="1">IF(TOTALCO!F638="", "",TOTALCO!F638)</f>
        <v>381520.00027923286</v>
      </c>
      <c r="G111" s="12" t="str">
        <f>IF(TOTALCO!G638="", "",TOTALCO!G638)</f>
        <v/>
      </c>
      <c r="H111" s="12">
        <f ca="1">IF(TOTALCO!H638="", "",TOTALCO!H638)</f>
        <v>17470.270334414457</v>
      </c>
      <c r="I111" s="12">
        <f ca="1">IF(TOTALCO!I638="", "",TOTALCO!I638)</f>
        <v>8000.8493863526746</v>
      </c>
      <c r="J111" s="12" t="str">
        <f>IF(TOTALCO!J638="", "",TOTALCO!J638)</f>
        <v/>
      </c>
      <c r="K111" s="12" t="str">
        <f>IF(TOTALCO!K638="", "",TOTALCO!K638)</f>
        <v/>
      </c>
      <c r="L111" s="12">
        <f ca="1">IF(TOTALCO!L638="", "",TOTALCO!L638)</f>
        <v>1.2246260521256753</v>
      </c>
      <c r="M111" s="12" t="str">
        <f>IF(TOTALCO!M638="", "",TOTALCO!M638)</f>
        <v/>
      </c>
      <c r="N111" s="12">
        <f ca="1">IF(TOTALCO!N638="", "",TOTALCO!N638)</f>
        <v>7999.6247603005486</v>
      </c>
      <c r="O111" s="12">
        <f ca="1">IF(TOTALCO!O638="", "",TOTALCO!O638)</f>
        <v>4057.1861106923625</v>
      </c>
      <c r="P111" s="12">
        <f ca="1">IF(TOTALCO!P638="", "",TOTALCO!P638)</f>
        <v>3942.4386496081861</v>
      </c>
      <c r="Q111" s="12"/>
      <c r="R111" s="13"/>
    </row>
    <row r="112" spans="1:18" ht="15" x14ac:dyDescent="0.2">
      <c r="A112" s="321">
        <f>IF(TOTALCO!A639="", "",TOTALCO!A639)</f>
        <v>34</v>
      </c>
      <c r="B112" s="4" t="str">
        <f>IF(TOTALCO!B639="", "",TOTALCO!B639)</f>
        <v xml:space="preserve"> FERC-AFUDC PRE</v>
      </c>
      <c r="C112" s="4" t="str">
        <f>IF(TOTALCO!C639="", "",TOTALCO!C639)</f>
        <v>DEMFERC</v>
      </c>
      <c r="D112" s="12">
        <f ca="1">IF(TOTALCO!D639="", "",TOTALCO!D639)</f>
        <v>1934.2600000000002</v>
      </c>
      <c r="E112" s="12" t="str">
        <f>IF(TOTALCO!E639="", "",TOTALCO!E639)</f>
        <v/>
      </c>
      <c r="F112" s="12">
        <f ca="1">IF(TOTALCO!F639="", "",TOTALCO!F639)</f>
        <v>1015.7912121917808</v>
      </c>
      <c r="G112" s="12" t="str">
        <f>IF(TOTALCO!G639="", "",TOTALCO!G639)</f>
        <v/>
      </c>
      <c r="H112" s="12">
        <f ca="1">IF(TOTALCO!H639="", "",TOTALCO!H639)</f>
        <v>629.99466456621019</v>
      </c>
      <c r="I112" s="12">
        <f ca="1">IF(TOTALCO!I639="", "",TOTALCO!I639)</f>
        <v>288.47412324200917</v>
      </c>
      <c r="J112" s="12" t="str">
        <f>IF(TOTALCO!J639="", "",TOTALCO!J639)</f>
        <v/>
      </c>
      <c r="K112" s="12" t="str">
        <f>IF(TOTALCO!K639="", "",TOTALCO!K639)</f>
        <v/>
      </c>
      <c r="L112" s="12">
        <f ca="1">IF(TOTALCO!L639="", "",TOTALCO!L639)</f>
        <v>0</v>
      </c>
      <c r="M112" s="12" t="str">
        <f>IF(TOTALCO!M639="", "",TOTALCO!M639)</f>
        <v/>
      </c>
      <c r="N112" s="12">
        <f ca="1">IF(TOTALCO!N639="", "",TOTALCO!N639)</f>
        <v>288.47412324200917</v>
      </c>
      <c r="O112" s="12">
        <f ca="1">IF(TOTALCO!O639="", "",TOTALCO!O639)</f>
        <v>146.30601324200916</v>
      </c>
      <c r="P112" s="12">
        <f ca="1">IF(TOTALCO!P639="", "",TOTALCO!P639)</f>
        <v>142.16811000000001</v>
      </c>
      <c r="Q112" s="12"/>
      <c r="R112" s="13"/>
    </row>
    <row r="113" spans="1:18" ht="15" x14ac:dyDescent="0.2">
      <c r="A113" s="321">
        <f>IF(TOTALCO!A640="", "",TOTALCO!A640)</f>
        <v>35</v>
      </c>
      <c r="B113" s="4" t="str">
        <f>IF(TOTALCO!B640="", "",TOTALCO!B640)</f>
        <v xml:space="preserve"> FERC-AFUDC POST</v>
      </c>
      <c r="C113" s="4" t="str">
        <f>IF(TOTALCO!C640="", "",TOTALCO!C640)</f>
        <v>DEMFERCP</v>
      </c>
      <c r="D113" s="12">
        <f ca="1">IF(TOTALCO!D640="", "",TOTALCO!D640)</f>
        <v>4982273.58</v>
      </c>
      <c r="E113" s="12" t="str">
        <f>IF(TOTALCO!E640="", "",TOTALCO!E640)</f>
        <v/>
      </c>
      <c r="F113" s="12">
        <f ca="1">IF(TOTALCO!F640="", "",TOTALCO!F640)</f>
        <v>3880306.8530653277</v>
      </c>
      <c r="G113" s="12" t="str">
        <f>IF(TOTALCO!G640="", "",TOTALCO!G640)</f>
        <v/>
      </c>
      <c r="H113" s="12">
        <f ca="1">IF(TOTALCO!H640="", "",TOTALCO!H640)</f>
        <v>0</v>
      </c>
      <c r="I113" s="12">
        <f ca="1">IF(TOTALCO!I640="", "",TOTALCO!I640)</f>
        <v>1101966.7269346723</v>
      </c>
      <c r="J113" s="12" t="str">
        <f>IF(TOTALCO!J640="", "",TOTALCO!J640)</f>
        <v/>
      </c>
      <c r="K113" s="12" t="str">
        <f>IF(TOTALCO!K640="", "",TOTALCO!K640)</f>
        <v/>
      </c>
      <c r="L113" s="12">
        <f ca="1">IF(TOTALCO!L640="", "",TOTALCO!L640)</f>
        <v>0</v>
      </c>
      <c r="M113" s="12" t="str">
        <f>IF(TOTALCO!M640="", "",TOTALCO!M640)</f>
        <v/>
      </c>
      <c r="N113" s="12">
        <f ca="1">IF(TOTALCO!N640="", "",TOTALCO!N640)</f>
        <v>1101966.7269346723</v>
      </c>
      <c r="O113" s="12">
        <f ca="1">IF(TOTALCO!O640="", "",TOTALCO!O640)</f>
        <v>558886.72693148965</v>
      </c>
      <c r="P113" s="12">
        <f ca="1">IF(TOTALCO!P640="", "",TOTALCO!P640)</f>
        <v>543080.00000318279</v>
      </c>
      <c r="Q113" s="12"/>
      <c r="R113" s="13"/>
    </row>
    <row r="114" spans="1:18" ht="15" x14ac:dyDescent="0.2">
      <c r="A114" s="321">
        <f>IF(TOTALCO!A641="", "",TOTALCO!A641)</f>
        <v>36</v>
      </c>
      <c r="B114" s="4" t="str">
        <f>IF(TOTALCO!B641="", "",TOTALCO!B641)</f>
        <v xml:space="preserve"> TOTAL OTHER PROD PLANT</v>
      </c>
      <c r="C114" s="4" t="str">
        <f>IF(TOTALCO!C641="", "",TOTALCO!C641)</f>
        <v/>
      </c>
      <c r="D114" s="12">
        <f ca="1">IF(TOTALCO!D641="", "",TOTALCO!D641)</f>
        <v>1067657097.8999995</v>
      </c>
      <c r="E114" s="12" t="str">
        <f>IF(TOTALCO!E641="", "",TOTALCO!E641)</f>
        <v/>
      </c>
      <c r="F114" s="12">
        <f ca="1">IF(TOTALCO!F641="", "",TOTALCO!F641)</f>
        <v>1000047925.2778294</v>
      </c>
      <c r="G114" s="12" t="str">
        <f>IF(TOTALCO!G641="", "",TOTALCO!G641)</f>
        <v/>
      </c>
      <c r="H114" s="12">
        <f ca="1">IF(TOTALCO!H641="", "",TOTALCO!H641)</f>
        <v>45616324.672233164</v>
      </c>
      <c r="I114" s="12">
        <f ca="1">IF(TOTALCO!I641="", "",TOTALCO!I641)</f>
        <v>21992847.949936979</v>
      </c>
      <c r="J114" s="12" t="str">
        <f>IF(TOTALCO!J641="", "",TOTALCO!J641)</f>
        <v/>
      </c>
      <c r="K114" s="12" t="str">
        <f>IF(TOTALCO!K641="", "",TOTALCO!K641)</f>
        <v/>
      </c>
      <c r="L114" s="12">
        <f ca="1">IF(TOTALCO!L641="", "",TOTALCO!L641)</f>
        <v>3197.5560205224106</v>
      </c>
      <c r="M114" s="12" t="str">
        <f>IF(TOTALCO!M641="", "",TOTALCO!M641)</f>
        <v/>
      </c>
      <c r="N114" s="12">
        <f ca="1">IF(TOTALCO!N641="", "",TOTALCO!N641)</f>
        <v>21989650.393916458</v>
      </c>
      <c r="O114" s="12">
        <f ca="1">IF(TOTALCO!O641="", "",TOTALCO!O641)</f>
        <v>11152536.128935479</v>
      </c>
      <c r="P114" s="12">
        <f ca="1">IF(TOTALCO!P641="", "",TOTALCO!P641)</f>
        <v>10837114.264980981</v>
      </c>
      <c r="Q114" s="12"/>
      <c r="R114" s="13"/>
    </row>
    <row r="115" spans="1:18" ht="15" x14ac:dyDescent="0.2">
      <c r="A115" s="321" t="str">
        <f>IF(TOTALCO!A642="", "",TOTALCO!A642)</f>
        <v/>
      </c>
      <c r="B115" s="4" t="str">
        <f>IF(TOTALCO!B642="", "",TOTALCO!B642)</f>
        <v/>
      </c>
      <c r="C115" s="4" t="str">
        <f>IF(TOTALCO!C642="", "",TOTALCO!C642)</f>
        <v/>
      </c>
      <c r="D115" s="12" t="str">
        <f>IF(TOTALCO!D642="", "",TOTALCO!D642)</f>
        <v/>
      </c>
      <c r="E115" s="12" t="str">
        <f>IF(TOTALCO!E642="", "",TOTALCO!E642)</f>
        <v/>
      </c>
      <c r="F115" s="12" t="str">
        <f>IF(TOTALCO!F642="", "",TOTALCO!F642)</f>
        <v/>
      </c>
      <c r="G115" s="12" t="str">
        <f>IF(TOTALCO!G642="", "",TOTALCO!G642)</f>
        <v/>
      </c>
      <c r="H115" s="12" t="str">
        <f>IF(TOTALCO!H642="", "",TOTALCO!H642)</f>
        <v/>
      </c>
      <c r="I115" s="12" t="str">
        <f>IF(TOTALCO!I642="", "",TOTALCO!I642)</f>
        <v/>
      </c>
      <c r="J115" s="12" t="str">
        <f>IF(TOTALCO!J642="", "",TOTALCO!J642)</f>
        <v/>
      </c>
      <c r="K115" s="12" t="str">
        <f>IF(TOTALCO!K642="", "",TOTALCO!K642)</f>
        <v/>
      </c>
      <c r="L115" s="12" t="str">
        <f>IF(TOTALCO!L642="", "",TOTALCO!L642)</f>
        <v/>
      </c>
      <c r="M115" s="12" t="str">
        <f>IF(TOTALCO!M642="", "",TOTALCO!M642)</f>
        <v/>
      </c>
      <c r="N115" s="12" t="str">
        <f>IF(TOTALCO!N642="", "",TOTALCO!N642)</f>
        <v/>
      </c>
      <c r="O115" s="12" t="str">
        <f>IF(TOTALCO!O642="", "",TOTALCO!O642)</f>
        <v/>
      </c>
      <c r="P115" s="12" t="str">
        <f>IF(TOTALCO!P642="", "",TOTALCO!P642)</f>
        <v/>
      </c>
      <c r="Q115" s="12"/>
      <c r="R115" s="13"/>
    </row>
    <row r="116" spans="1:18" ht="15" x14ac:dyDescent="0.2">
      <c r="A116" s="321">
        <f>IF(TOTALCO!A643="", "",TOTALCO!A643)</f>
        <v>37</v>
      </c>
      <c r="B116" s="4" t="str">
        <f>IF(TOTALCO!B643="", "",TOTALCO!B643)</f>
        <v>TOTAL PRODUCTION PLANT</v>
      </c>
      <c r="C116" s="4" t="str">
        <f>IF(TOTALCO!C643="", "",TOTALCO!C643)</f>
        <v/>
      </c>
      <c r="D116" s="12">
        <f ca="1">IF(TOTALCO!D643="", "",TOTALCO!D643)</f>
        <v>6569955291.8061543</v>
      </c>
      <c r="E116" s="12" t="str">
        <f>IF(TOTALCO!E643="", "",TOTALCO!E643)</f>
        <v/>
      </c>
      <c r="F116" s="12">
        <f ca="1">IF(TOTALCO!F643="", "",TOTALCO!F643)</f>
        <v>6147156338.5618839</v>
      </c>
      <c r="G116" s="12" t="str">
        <f>IF(TOTALCO!G643="", "",TOTALCO!G643)</f>
        <v/>
      </c>
      <c r="H116" s="12">
        <f ca="1">IF(TOTALCO!H643="", "",TOTALCO!H643)</f>
        <v>285491217.37553114</v>
      </c>
      <c r="I116" s="12">
        <f ca="1">IF(TOTALCO!I643="", "",TOTALCO!I643)</f>
        <v>137307735.86873868</v>
      </c>
      <c r="J116" s="12" t="str">
        <f>IF(TOTALCO!J643="", "",TOTALCO!J643)</f>
        <v/>
      </c>
      <c r="K116" s="12" t="str">
        <f>IF(TOTALCO!K643="", "",TOTALCO!K643)</f>
        <v/>
      </c>
      <c r="L116" s="12">
        <f ca="1">IF(TOTALCO!L643="", "",TOTALCO!L643)</f>
        <v>19629.053427135572</v>
      </c>
      <c r="M116" s="12" t="str">
        <f>IF(TOTALCO!M643="", "",TOTALCO!M643)</f>
        <v/>
      </c>
      <c r="N116" s="12">
        <f ca="1">IF(TOTALCO!N643="", "",TOTALCO!N643)</f>
        <v>137288106.81531155</v>
      </c>
      <c r="O116" s="12">
        <f ca="1">IF(TOTALCO!O643="", "",TOTALCO!O643)</f>
        <v>69628690.94792451</v>
      </c>
      <c r="P116" s="12">
        <f ca="1">IF(TOTALCO!P643="", "",TOTALCO!P643)</f>
        <v>67659415.867387056</v>
      </c>
      <c r="Q116" s="12"/>
      <c r="R116" s="13"/>
    </row>
    <row r="117" spans="1:18" ht="15" x14ac:dyDescent="0.2">
      <c r="A117" s="321" t="str">
        <f>IF(TOTALCO!A644="", "",TOTALCO!A644)</f>
        <v/>
      </c>
      <c r="B117" s="4" t="str">
        <f>IF(TOTALCO!B644="", "",TOTALCO!B644)</f>
        <v/>
      </c>
      <c r="C117" s="4" t="str">
        <f>IF(TOTALCO!C644="", "",TOTALCO!C644)</f>
        <v/>
      </c>
      <c r="D117" s="12" t="str">
        <f>IF(TOTALCO!D644="", "",TOTALCO!D644)</f>
        <v/>
      </c>
      <c r="E117" s="12" t="str">
        <f>IF(TOTALCO!E644="", "",TOTALCO!E644)</f>
        <v/>
      </c>
      <c r="F117" s="12" t="str">
        <f>IF(TOTALCO!F644="", "",TOTALCO!F644)</f>
        <v/>
      </c>
      <c r="G117" s="12" t="str">
        <f>IF(TOTALCO!G644="", "",TOTALCO!G644)</f>
        <v/>
      </c>
      <c r="H117" s="12" t="str">
        <f>IF(TOTALCO!H644="", "",TOTALCO!H644)</f>
        <v/>
      </c>
      <c r="I117" s="12" t="str">
        <f>IF(TOTALCO!I644="", "",TOTALCO!I644)</f>
        <v/>
      </c>
      <c r="J117" s="12" t="str">
        <f>IF(TOTALCO!J644="", "",TOTALCO!J644)</f>
        <v/>
      </c>
      <c r="K117" s="12" t="str">
        <f>IF(TOTALCO!K644="", "",TOTALCO!K644)</f>
        <v/>
      </c>
      <c r="L117" s="12" t="str">
        <f>IF(TOTALCO!L644="", "",TOTALCO!L644)</f>
        <v/>
      </c>
      <c r="M117" s="12" t="str">
        <f>IF(TOTALCO!M644="", "",TOTALCO!M644)</f>
        <v/>
      </c>
      <c r="N117" s="12" t="str">
        <f>IF(TOTALCO!N644="", "",TOTALCO!N644)</f>
        <v/>
      </c>
      <c r="O117" s="12" t="str">
        <f>IF(TOTALCO!O644="", "",TOTALCO!O644)</f>
        <v/>
      </c>
      <c r="P117" s="12" t="str">
        <f>IF(TOTALCO!P644="", "",TOTALCO!P644)</f>
        <v/>
      </c>
      <c r="Q117" s="12"/>
      <c r="R117" s="13"/>
    </row>
    <row r="118" spans="1:18" ht="15" x14ac:dyDescent="0.2">
      <c r="A118" s="321" t="str">
        <f>IF(TOTALCO!A645="", "",TOTALCO!A645)</f>
        <v/>
      </c>
      <c r="B118" s="4" t="str">
        <f>IF(TOTALCO!B645="", "",TOTALCO!B645)</f>
        <v>ELECTRIC PLANT IN SERVICE CON'T</v>
      </c>
      <c r="C118" s="4" t="str">
        <f>IF(TOTALCO!C645="", "",TOTALCO!C645)</f>
        <v/>
      </c>
      <c r="D118" s="12" t="str">
        <f>IF(TOTALCO!D645="", "",TOTALCO!D645)</f>
        <v/>
      </c>
      <c r="E118" s="12" t="str">
        <f>IF(TOTALCO!E645="", "",TOTALCO!E645)</f>
        <v/>
      </c>
      <c r="F118" s="12" t="str">
        <f>IF(TOTALCO!F645="", "",TOTALCO!F645)</f>
        <v/>
      </c>
      <c r="G118" s="12" t="str">
        <f>IF(TOTALCO!G645="", "",TOTALCO!G645)</f>
        <v/>
      </c>
      <c r="H118" s="12" t="str">
        <f>IF(TOTALCO!H645="", "",TOTALCO!H645)</f>
        <v/>
      </c>
      <c r="I118" s="12" t="str">
        <f>IF(TOTALCO!I645="", "",TOTALCO!I645)</f>
        <v/>
      </c>
      <c r="J118" s="12" t="str">
        <f>IF(TOTALCO!J645="", "",TOTALCO!J645)</f>
        <v/>
      </c>
      <c r="K118" s="12" t="str">
        <f>IF(TOTALCO!K645="", "",TOTALCO!K645)</f>
        <v/>
      </c>
      <c r="L118" s="12" t="str">
        <f>IF(TOTALCO!L645="", "",TOTALCO!L645)</f>
        <v/>
      </c>
      <c r="M118" s="12" t="str">
        <f>IF(TOTALCO!M645="", "",TOTALCO!M645)</f>
        <v/>
      </c>
      <c r="N118" s="12" t="str">
        <f>IF(TOTALCO!N645="", "",TOTALCO!N645)</f>
        <v/>
      </c>
      <c r="O118" s="12" t="str">
        <f>IF(TOTALCO!O645="", "",TOTALCO!O645)</f>
        <v/>
      </c>
      <c r="P118" s="12" t="str">
        <f>IF(TOTALCO!P645="", "",TOTALCO!P645)</f>
        <v/>
      </c>
      <c r="Q118" s="12"/>
      <c r="R118" s="13"/>
    </row>
    <row r="119" spans="1:18" ht="15" x14ac:dyDescent="0.2">
      <c r="A119" s="321" t="str">
        <f>IF(TOTALCO!A646="", "",TOTALCO!A646)</f>
        <v/>
      </c>
      <c r="B119" s="4" t="str">
        <f>IF(TOTALCO!B646="", "",TOTALCO!B646)</f>
        <v/>
      </c>
      <c r="C119" s="4" t="str">
        <f>IF(TOTALCO!C646="", "",TOTALCO!C646)</f>
        <v/>
      </c>
      <c r="D119" s="12" t="str">
        <f>IF(TOTALCO!D646="", "",TOTALCO!D646)</f>
        <v/>
      </c>
      <c r="E119" s="12" t="str">
        <f>IF(TOTALCO!E646="", "",TOTALCO!E646)</f>
        <v/>
      </c>
      <c r="F119" s="12" t="str">
        <f>IF(TOTALCO!F646="", "",TOTALCO!F646)</f>
        <v/>
      </c>
      <c r="G119" s="12" t="str">
        <f>IF(TOTALCO!G646="", "",TOTALCO!G646)</f>
        <v/>
      </c>
      <c r="H119" s="12" t="str">
        <f>IF(TOTALCO!H646="", "",TOTALCO!H646)</f>
        <v/>
      </c>
      <c r="I119" s="12" t="str">
        <f>IF(TOTALCO!I646="", "",TOTALCO!I646)</f>
        <v/>
      </c>
      <c r="J119" s="12" t="str">
        <f>IF(TOTALCO!J646="", "",TOTALCO!J646)</f>
        <v/>
      </c>
      <c r="K119" s="12" t="str">
        <f>IF(TOTALCO!K646="", "",TOTALCO!K646)</f>
        <v/>
      </c>
      <c r="L119" s="12" t="str">
        <f>IF(TOTALCO!L646="", "",TOTALCO!L646)</f>
        <v/>
      </c>
      <c r="M119" s="12" t="str">
        <f>IF(TOTALCO!M646="", "",TOTALCO!M646)</f>
        <v/>
      </c>
      <c r="N119" s="12" t="str">
        <f>IF(TOTALCO!N646="", "",TOTALCO!N646)</f>
        <v/>
      </c>
      <c r="O119" s="12" t="str">
        <f>IF(TOTALCO!O646="", "",TOTALCO!O646)</f>
        <v/>
      </c>
      <c r="P119" s="12" t="str">
        <f>IF(TOTALCO!P646="", "",TOTALCO!P646)</f>
        <v/>
      </c>
      <c r="Q119" s="12"/>
      <c r="R119" s="13"/>
    </row>
    <row r="120" spans="1:18" ht="15" x14ac:dyDescent="0.2">
      <c r="A120" s="321" t="str">
        <f>IF(TOTALCO!A647="", "",TOTALCO!A647)</f>
        <v/>
      </c>
      <c r="B120" s="4" t="str">
        <f>IF(TOTALCO!B647="", "",TOTALCO!B647)</f>
        <v>TRANSMISSION PLANT</v>
      </c>
      <c r="C120" s="4" t="str">
        <f>IF(TOTALCO!C647="", "",TOTALCO!C647)</f>
        <v/>
      </c>
      <c r="D120" s="12" t="str">
        <f>IF(TOTALCO!D647="", "",TOTALCO!D647)</f>
        <v/>
      </c>
      <c r="E120" s="12" t="str">
        <f>IF(TOTALCO!E647="", "",TOTALCO!E647)</f>
        <v/>
      </c>
      <c r="F120" s="12" t="str">
        <f>IF(TOTALCO!F647="", "",TOTALCO!F647)</f>
        <v/>
      </c>
      <c r="G120" s="12" t="str">
        <f>IF(TOTALCO!G647="", "",TOTALCO!G647)</f>
        <v/>
      </c>
      <c r="H120" s="12" t="str">
        <f>IF(TOTALCO!H647="", "",TOTALCO!H647)</f>
        <v/>
      </c>
      <c r="I120" s="12" t="str">
        <f>IF(TOTALCO!I647="", "",TOTALCO!I647)</f>
        <v/>
      </c>
      <c r="J120" s="12" t="str">
        <f>IF(TOTALCO!J647="", "",TOTALCO!J647)</f>
        <v/>
      </c>
      <c r="K120" s="12" t="str">
        <f>IF(TOTALCO!K647="", "",TOTALCO!K647)</f>
        <v/>
      </c>
      <c r="L120" s="12" t="str">
        <f>IF(TOTALCO!L647="", "",TOTALCO!L647)</f>
        <v/>
      </c>
      <c r="M120" s="12" t="str">
        <f>IF(TOTALCO!M647="", "",TOTALCO!M647)</f>
        <v/>
      </c>
      <c r="N120" s="12" t="str">
        <f>IF(TOTALCO!N647="", "",TOTALCO!N647)</f>
        <v/>
      </c>
      <c r="O120" s="12" t="str">
        <f>IF(TOTALCO!O647="", "",TOTALCO!O647)</f>
        <v/>
      </c>
      <c r="P120" s="12" t="str">
        <f>IF(TOTALCO!P647="", "",TOTALCO!P647)</f>
        <v/>
      </c>
      <c r="Q120" s="12"/>
      <c r="R120" s="13"/>
    </row>
    <row r="121" spans="1:18" ht="15" x14ac:dyDescent="0.2">
      <c r="A121" s="321" t="str">
        <f>IF(TOTALCO!A648="", "",TOTALCO!A648)</f>
        <v/>
      </c>
      <c r="B121" s="4" t="str">
        <f>IF(TOTALCO!B648="", "",TOTALCO!B648)</f>
        <v>KENTUCKY SYSTEM PROPERTY</v>
      </c>
      <c r="C121" s="4" t="str">
        <f>IF(TOTALCO!C648="", "",TOTALCO!C648)</f>
        <v/>
      </c>
      <c r="D121" s="12" t="str">
        <f>IF(TOTALCO!D648="", "",TOTALCO!D648)</f>
        <v/>
      </c>
      <c r="E121" s="12" t="str">
        <f>IF(TOTALCO!E648="", "",TOTALCO!E648)</f>
        <v/>
      </c>
      <c r="F121" s="12" t="str">
        <f>IF(TOTALCO!F648="", "",TOTALCO!F648)</f>
        <v/>
      </c>
      <c r="G121" s="12" t="str">
        <f>IF(TOTALCO!G648="", "",TOTALCO!G648)</f>
        <v/>
      </c>
      <c r="H121" s="12" t="str">
        <f>IF(TOTALCO!H648="", "",TOTALCO!H648)</f>
        <v/>
      </c>
      <c r="I121" s="12" t="str">
        <f>IF(TOTALCO!I648="", "",TOTALCO!I648)</f>
        <v/>
      </c>
      <c r="J121" s="12" t="str">
        <f>IF(TOTALCO!J648="", "",TOTALCO!J648)</f>
        <v/>
      </c>
      <c r="K121" s="12" t="str">
        <f>IF(TOTALCO!K648="", "",TOTALCO!K648)</f>
        <v/>
      </c>
      <c r="L121" s="12" t="str">
        <f>IF(TOTALCO!L648="", "",TOTALCO!L648)</f>
        <v/>
      </c>
      <c r="M121" s="12" t="str">
        <f>IF(TOTALCO!M648="", "",TOTALCO!M648)</f>
        <v/>
      </c>
      <c r="N121" s="12" t="str">
        <f>IF(TOTALCO!N648="", "",TOTALCO!N648)</f>
        <v/>
      </c>
      <c r="O121" s="12" t="str">
        <f>IF(TOTALCO!O648="", "",TOTALCO!O648)</f>
        <v/>
      </c>
      <c r="P121" s="12" t="str">
        <f>IF(TOTALCO!P648="", "",TOTALCO!P648)</f>
        <v/>
      </c>
      <c r="Q121" s="12"/>
      <c r="R121" s="13"/>
    </row>
    <row r="122" spans="1:18" ht="15" x14ac:dyDescent="0.2">
      <c r="A122" s="321">
        <f>IF(TOTALCO!A649="", "",TOTALCO!A649)</f>
        <v>1</v>
      </c>
      <c r="B122" s="4" t="str">
        <f>IF(TOTALCO!B649="", "",TOTALCO!B649)</f>
        <v xml:space="preserve"> 350-LAND &amp; LAND RIGHTS</v>
      </c>
      <c r="C122" s="4" t="str">
        <f>IF(TOTALCO!C649="", "",TOTALCO!C649)</f>
        <v>DEMTRANNF</v>
      </c>
      <c r="D122" s="12">
        <f ca="1">IF(TOTALCO!D649="", "",TOTALCO!D649)</f>
        <v>29679524.65000001</v>
      </c>
      <c r="E122" s="12" t="str">
        <f>IF(TOTALCO!E649="", "",TOTALCO!E649)</f>
        <v/>
      </c>
      <c r="F122" s="12">
        <f ca="1">IF(TOTALCO!F649="", "",TOTALCO!F649)</f>
        <v>28379883.751539264</v>
      </c>
      <c r="G122" s="12" t="str">
        <f>IF(TOTALCO!G649="", "",TOTALCO!G649)</f>
        <v/>
      </c>
      <c r="H122" s="12">
        <f ca="1">IF(TOTALCO!H649="", "",TOTALCO!H649)</f>
        <v>1299549.8029874456</v>
      </c>
      <c r="I122" s="12">
        <f ca="1">IF(TOTALCO!I649="", "",TOTALCO!I649)</f>
        <v>91.095473298899876</v>
      </c>
      <c r="J122" s="12" t="str">
        <f>IF(TOTALCO!J649="", "",TOTALCO!J649)</f>
        <v/>
      </c>
      <c r="K122" s="12" t="str">
        <f>IF(TOTALCO!K649="", "",TOTALCO!K649)</f>
        <v/>
      </c>
      <c r="L122" s="12">
        <f ca="1">IF(TOTALCO!L649="", "",TOTALCO!L649)</f>
        <v>91.095473298899876</v>
      </c>
      <c r="M122" s="12" t="str">
        <f>IF(TOTALCO!M649="", "",TOTALCO!M649)</f>
        <v/>
      </c>
      <c r="N122" s="12">
        <f ca="1">IF(TOTALCO!N649="", "",TOTALCO!N649)</f>
        <v>0</v>
      </c>
      <c r="O122" s="12">
        <f ca="1">IF(TOTALCO!O649="", "",TOTALCO!O649)</f>
        <v>0</v>
      </c>
      <c r="P122" s="12">
        <f ca="1">IF(TOTALCO!P649="", "",TOTALCO!P649)</f>
        <v>0</v>
      </c>
      <c r="Q122" s="12"/>
      <c r="R122" s="13"/>
    </row>
    <row r="123" spans="1:18" ht="15" x14ac:dyDescent="0.2">
      <c r="A123" s="321">
        <f>IF(TOTALCO!A650="", "",TOTALCO!A650)</f>
        <v>2</v>
      </c>
      <c r="B123" s="4" t="str">
        <f>IF(TOTALCO!B650="", "",TOTALCO!B650)</f>
        <v xml:space="preserve"> 352-STRUCTURES AND IMPROVEMENTS</v>
      </c>
      <c r="C123" s="4" t="str">
        <f>IF(TOTALCO!C650="", "",TOTALCO!C650)</f>
        <v>DEMTRANNF</v>
      </c>
      <c r="D123" s="12">
        <f ca="1">IF(TOTALCO!D650="", "",TOTALCO!D650)</f>
        <v>27813584.91307693</v>
      </c>
      <c r="E123" s="12" t="str">
        <f>IF(TOTALCO!E650="", "",TOTALCO!E650)</f>
        <v/>
      </c>
      <c r="F123" s="12">
        <f ca="1">IF(TOTALCO!F650="", "",TOTALCO!F650)</f>
        <v>26595651.913403854</v>
      </c>
      <c r="G123" s="12" t="str">
        <f>IF(TOTALCO!G650="", "",TOTALCO!G650)</f>
        <v/>
      </c>
      <c r="H123" s="12">
        <f ca="1">IF(TOTALCO!H650="", "",TOTALCO!H650)</f>
        <v>1217847.6313354198</v>
      </c>
      <c r="I123" s="12">
        <f ca="1">IF(TOTALCO!I650="", "",TOTALCO!I650)</f>
        <v>85.368337656172088</v>
      </c>
      <c r="J123" s="12" t="str">
        <f>IF(TOTALCO!J650="", "",TOTALCO!J650)</f>
        <v/>
      </c>
      <c r="K123" s="12" t="str">
        <f>IF(TOTALCO!K650="", "",TOTALCO!K650)</f>
        <v/>
      </c>
      <c r="L123" s="12">
        <f ca="1">IF(TOTALCO!L650="", "",TOTALCO!L650)</f>
        <v>85.368337656172088</v>
      </c>
      <c r="M123" s="12" t="str">
        <f>IF(TOTALCO!M650="", "",TOTALCO!M650)</f>
        <v/>
      </c>
      <c r="N123" s="12">
        <f ca="1">IF(TOTALCO!N650="", "",TOTALCO!N650)</f>
        <v>0</v>
      </c>
      <c r="O123" s="12">
        <f ca="1">IF(TOTALCO!O650="", "",TOTALCO!O650)</f>
        <v>0</v>
      </c>
      <c r="P123" s="12">
        <f ca="1">IF(TOTALCO!P650="", "",TOTALCO!P650)</f>
        <v>0</v>
      </c>
      <c r="Q123" s="12"/>
      <c r="R123" s="13"/>
    </row>
    <row r="124" spans="1:18" ht="15" x14ac:dyDescent="0.2">
      <c r="A124" s="321">
        <f>IF(TOTALCO!A651="", "",TOTALCO!A651)</f>
        <v>3</v>
      </c>
      <c r="B124" s="4" t="str">
        <f>IF(TOTALCO!B651="", "",TOTALCO!B651)</f>
        <v xml:space="preserve"> 353-STATION EQUIPMENT</v>
      </c>
      <c r="C124" s="4" t="str">
        <f>IF(TOTALCO!C651="", "",TOTALCO!C651)</f>
        <v>DEMTRANNF</v>
      </c>
      <c r="D124" s="12">
        <f ca="1">IF(TOTALCO!D651="", "",TOTALCO!D651)</f>
        <v>345178620.71461433</v>
      </c>
      <c r="E124" s="12" t="str">
        <f>IF(TOTALCO!E651="", "",TOTALCO!E651)</f>
        <v/>
      </c>
      <c r="F124" s="12">
        <f ca="1">IF(TOTALCO!F651="", "",TOTALCO!F651)</f>
        <v>330063545.32020491</v>
      </c>
      <c r="G124" s="12" t="str">
        <f>IF(TOTALCO!G651="", "",TOTALCO!G651)</f>
        <v/>
      </c>
      <c r="H124" s="12">
        <f ca="1">IF(TOTALCO!H651="", "",TOTALCO!H651)</f>
        <v>15114015.936409384</v>
      </c>
      <c r="I124" s="12">
        <f ca="1">IF(TOTALCO!I651="", "",TOTALCO!I651)</f>
        <v>1059.4580000006579</v>
      </c>
      <c r="J124" s="12" t="str">
        <f>IF(TOTALCO!J651="", "",TOTALCO!J651)</f>
        <v/>
      </c>
      <c r="K124" s="12" t="str">
        <f>IF(TOTALCO!K651="", "",TOTALCO!K651)</f>
        <v/>
      </c>
      <c r="L124" s="12">
        <f ca="1">IF(TOTALCO!L651="", "",TOTALCO!L651)</f>
        <v>1059.4580000006579</v>
      </c>
      <c r="M124" s="12" t="str">
        <f>IF(TOTALCO!M651="", "",TOTALCO!M651)</f>
        <v/>
      </c>
      <c r="N124" s="12">
        <f ca="1">IF(TOTALCO!N651="", "",TOTALCO!N651)</f>
        <v>0</v>
      </c>
      <c r="O124" s="12">
        <f ca="1">IF(TOTALCO!O651="", "",TOTALCO!O651)</f>
        <v>0</v>
      </c>
      <c r="P124" s="12">
        <f ca="1">IF(TOTALCO!P651="", "",TOTALCO!P651)</f>
        <v>0</v>
      </c>
      <c r="Q124" s="12"/>
      <c r="R124" s="13"/>
    </row>
    <row r="125" spans="1:18" ht="15" x14ac:dyDescent="0.2">
      <c r="A125" s="321">
        <f>IF(TOTALCO!A652="", "",TOTALCO!A652)</f>
        <v>4</v>
      </c>
      <c r="B125" s="4" t="str">
        <f>IF(TOTALCO!B652="", "",TOTALCO!B652)</f>
        <v xml:space="preserve"> 354-TOWERS AND FIXTURES</v>
      </c>
      <c r="C125" s="4" t="str">
        <f>IF(TOTALCO!C652="", "",TOTALCO!C652)</f>
        <v>DEMTRANNF</v>
      </c>
      <c r="D125" s="12">
        <f ca="1">IF(TOTALCO!D652="", "",TOTALCO!D652)</f>
        <v>69889664.12000002</v>
      </c>
      <c r="E125" s="12" t="str">
        <f>IF(TOTALCO!E652="", "",TOTALCO!E652)</f>
        <v/>
      </c>
      <c r="F125" s="12">
        <f ca="1">IF(TOTALCO!F652="", "",TOTALCO!F652)</f>
        <v>66829255.742804646</v>
      </c>
      <c r="G125" s="12" t="str">
        <f>IF(TOTALCO!G652="", "",TOTALCO!G652)</f>
        <v/>
      </c>
      <c r="H125" s="12">
        <f ca="1">IF(TOTALCO!H652="", "",TOTALCO!H652)</f>
        <v>3060193.8645942817</v>
      </c>
      <c r="I125" s="12">
        <f ca="1">IF(TOTALCO!I652="", "",TOTALCO!I652)</f>
        <v>214.51260108751575</v>
      </c>
      <c r="J125" s="12" t="str">
        <f>IF(TOTALCO!J652="", "",TOTALCO!J652)</f>
        <v/>
      </c>
      <c r="K125" s="12" t="str">
        <f>IF(TOTALCO!K652="", "",TOTALCO!K652)</f>
        <v/>
      </c>
      <c r="L125" s="12">
        <f ca="1">IF(TOTALCO!L652="", "",TOTALCO!L652)</f>
        <v>214.51260108751575</v>
      </c>
      <c r="M125" s="12" t="str">
        <f>IF(TOTALCO!M652="", "",TOTALCO!M652)</f>
        <v/>
      </c>
      <c r="N125" s="12">
        <f ca="1">IF(TOTALCO!N652="", "",TOTALCO!N652)</f>
        <v>0</v>
      </c>
      <c r="O125" s="12">
        <f ca="1">IF(TOTALCO!O652="", "",TOTALCO!O652)</f>
        <v>0</v>
      </c>
      <c r="P125" s="12">
        <f ca="1">IF(TOTALCO!P652="", "",TOTALCO!P652)</f>
        <v>0</v>
      </c>
      <c r="Q125" s="12"/>
      <c r="R125" s="13"/>
    </row>
    <row r="126" spans="1:18" ht="15" x14ac:dyDescent="0.2">
      <c r="A126" s="321">
        <f>IF(TOTALCO!A653="", "",TOTALCO!A653)</f>
        <v>5</v>
      </c>
      <c r="B126" s="4" t="str">
        <f>IF(TOTALCO!B653="", "",TOTALCO!B653)</f>
        <v xml:space="preserve"> 355-POLES AND FIXTURES</v>
      </c>
      <c r="C126" s="4" t="str">
        <f>IF(TOTALCO!C653="", "",TOTALCO!C653)</f>
        <v>DEMTRANNF</v>
      </c>
      <c r="D126" s="12">
        <f ca="1">IF(TOTALCO!D653="", "",TOTALCO!D653)</f>
        <v>417586768.60538429</v>
      </c>
      <c r="E126" s="12" t="str">
        <f>IF(TOTALCO!E653="", "",TOTALCO!E653)</f>
        <v/>
      </c>
      <c r="F126" s="12">
        <f ca="1">IF(TOTALCO!F653="", "",TOTALCO!F653)</f>
        <v>399301002.59209269</v>
      </c>
      <c r="G126" s="12" t="str">
        <f>IF(TOTALCO!G653="", "",TOTALCO!G653)</f>
        <v/>
      </c>
      <c r="H126" s="12">
        <f ca="1">IF(TOTALCO!H653="", "",TOTALCO!H653)</f>
        <v>18284484.312699094</v>
      </c>
      <c r="I126" s="12">
        <f ca="1">IF(TOTALCO!I653="", "",TOTALCO!I653)</f>
        <v>1281.7005925149024</v>
      </c>
      <c r="J126" s="12" t="str">
        <f>IF(TOTALCO!J653="", "",TOTALCO!J653)</f>
        <v/>
      </c>
      <c r="K126" s="12" t="str">
        <f>IF(TOTALCO!K653="", "",TOTALCO!K653)</f>
        <v/>
      </c>
      <c r="L126" s="12">
        <f ca="1">IF(TOTALCO!L653="", "",TOTALCO!L653)</f>
        <v>1281.7005925149024</v>
      </c>
      <c r="M126" s="12" t="str">
        <f>IF(TOTALCO!M653="", "",TOTALCO!M653)</f>
        <v/>
      </c>
      <c r="N126" s="12">
        <f ca="1">IF(TOTALCO!N653="", "",TOTALCO!N653)</f>
        <v>0</v>
      </c>
      <c r="O126" s="12">
        <f ca="1">IF(TOTALCO!O653="", "",TOTALCO!O653)</f>
        <v>0</v>
      </c>
      <c r="P126" s="12">
        <f ca="1">IF(TOTALCO!P653="", "",TOTALCO!P653)</f>
        <v>0</v>
      </c>
      <c r="Q126" s="12"/>
      <c r="R126" s="13"/>
    </row>
    <row r="127" spans="1:18" ht="15" x14ac:dyDescent="0.2">
      <c r="A127" s="321">
        <f>IF(TOTALCO!A654="", "",TOTALCO!A654)</f>
        <v>6</v>
      </c>
      <c r="B127" s="4" t="str">
        <f>IF(TOTALCO!B654="", "",TOTALCO!B654)</f>
        <v xml:space="preserve"> 356-OH CONDUCTORS AND DEVICES</v>
      </c>
      <c r="C127" s="4" t="str">
        <f>IF(TOTALCO!C654="", "",TOTALCO!C654)</f>
        <v>DEMTRANNF</v>
      </c>
      <c r="D127" s="12">
        <f ca="1">IF(TOTALCO!D654="", "",TOTALCO!D654)</f>
        <v>169751654.6423077</v>
      </c>
      <c r="E127" s="12" t="str">
        <f>IF(TOTALCO!E654="", "",TOTALCO!E654)</f>
        <v/>
      </c>
      <c r="F127" s="12">
        <f ca="1">IF(TOTALCO!F654="", "",TOTALCO!F654)</f>
        <v>162318375.45215306</v>
      </c>
      <c r="G127" s="12" t="str">
        <f>IF(TOTALCO!G654="", "",TOTALCO!G654)</f>
        <v/>
      </c>
      <c r="H127" s="12">
        <f ca="1">IF(TOTALCO!H654="", "",TOTALCO!H654)</f>
        <v>7432758.1707816813</v>
      </c>
      <c r="I127" s="12">
        <f ca="1">IF(TOTALCO!I654="", "",TOTALCO!I654)</f>
        <v>521.01937296062488</v>
      </c>
      <c r="J127" s="12" t="str">
        <f>IF(TOTALCO!J654="", "",TOTALCO!J654)</f>
        <v/>
      </c>
      <c r="K127" s="12" t="str">
        <f>IF(TOTALCO!K654="", "",TOTALCO!K654)</f>
        <v/>
      </c>
      <c r="L127" s="12">
        <f ca="1">IF(TOTALCO!L654="", "",TOTALCO!L654)</f>
        <v>521.01937296062488</v>
      </c>
      <c r="M127" s="12" t="str">
        <f>IF(TOTALCO!M654="", "",TOTALCO!M654)</f>
        <v/>
      </c>
      <c r="N127" s="12">
        <f ca="1">IF(TOTALCO!N654="", "",TOTALCO!N654)</f>
        <v>0</v>
      </c>
      <c r="O127" s="12">
        <f ca="1">IF(TOTALCO!O654="", "",TOTALCO!O654)</f>
        <v>0</v>
      </c>
      <c r="P127" s="12">
        <f ca="1">IF(TOTALCO!P654="", "",TOTALCO!P654)</f>
        <v>0</v>
      </c>
      <c r="Q127" s="12"/>
      <c r="R127" s="13"/>
    </row>
    <row r="128" spans="1:18" ht="15" x14ac:dyDescent="0.2">
      <c r="A128" s="321">
        <f>IF(TOTALCO!A655="", "",TOTALCO!A655)</f>
        <v>7</v>
      </c>
      <c r="B128" s="4" t="str">
        <f>IF(TOTALCO!B655="", "",TOTALCO!B655)</f>
        <v xml:space="preserve"> 357-UNDERGROUND CONDUIT</v>
      </c>
      <c r="C128" s="4" t="str">
        <f>IF(TOTALCO!C655="", "",TOTALCO!C655)</f>
        <v>DEMTRANNF</v>
      </c>
      <c r="D128" s="12">
        <f ca="1">IF(TOTALCO!D655="", "",TOTALCO!D655)</f>
        <v>447363.25999999995</v>
      </c>
      <c r="E128" s="12" t="str">
        <f>IF(TOTALCO!E655="", "",TOTALCO!E655)</f>
        <v/>
      </c>
      <c r="F128" s="12">
        <f ca="1">IF(TOTALCO!F655="", "",TOTALCO!F655)</f>
        <v>427773.60699776676</v>
      </c>
      <c r="G128" s="12" t="str">
        <f>IF(TOTALCO!G655="", "",TOTALCO!G655)</f>
        <v/>
      </c>
      <c r="H128" s="12">
        <f ca="1">IF(TOTALCO!H655="", "",TOTALCO!H655)</f>
        <v>19588.279908547029</v>
      </c>
      <c r="I128" s="12">
        <f ca="1">IF(TOTALCO!I655="", "",TOTALCO!I655)</f>
        <v>1.3730936861968506</v>
      </c>
      <c r="J128" s="12" t="str">
        <f>IF(TOTALCO!J655="", "",TOTALCO!J655)</f>
        <v/>
      </c>
      <c r="K128" s="12" t="str">
        <f>IF(TOTALCO!K655="", "",TOTALCO!K655)</f>
        <v/>
      </c>
      <c r="L128" s="12">
        <f ca="1">IF(TOTALCO!L655="", "",TOTALCO!L655)</f>
        <v>1.3730936861968506</v>
      </c>
      <c r="M128" s="12" t="str">
        <f>IF(TOTALCO!M655="", "",TOTALCO!M655)</f>
        <v/>
      </c>
      <c r="N128" s="12">
        <f ca="1">IF(TOTALCO!N655="", "",TOTALCO!N655)</f>
        <v>0</v>
      </c>
      <c r="O128" s="12">
        <f ca="1">IF(TOTALCO!O655="", "",TOTALCO!O655)</f>
        <v>0</v>
      </c>
      <c r="P128" s="12">
        <f ca="1">IF(TOTALCO!P655="", "",TOTALCO!P655)</f>
        <v>0</v>
      </c>
      <c r="Q128" s="12"/>
      <c r="R128" s="13"/>
    </row>
    <row r="129" spans="1:18" ht="15" x14ac:dyDescent="0.2">
      <c r="A129" s="321">
        <f>IF(TOTALCO!A656="", "",TOTALCO!A656)</f>
        <v>8</v>
      </c>
      <c r="B129" s="4" t="str">
        <f>IF(TOTALCO!B656="", "",TOTALCO!B656)</f>
        <v xml:space="preserve"> 358-UG CONDUCTORS AND DEVICES</v>
      </c>
      <c r="C129" s="4" t="str">
        <f>IF(TOTALCO!C656="", "",TOTALCO!C656)</f>
        <v>DEMTRANNF</v>
      </c>
      <c r="D129" s="12">
        <f ca="1">IF(TOTALCO!D656="", "",TOTALCO!D656)</f>
        <v>4859140.0115384609</v>
      </c>
      <c r="E129" s="12" t="str">
        <f>IF(TOTALCO!E656="", "",TOTALCO!E656)</f>
        <v/>
      </c>
      <c r="F129" s="12">
        <f ca="1">IF(TOTALCO!F656="", "",TOTALCO!F656)</f>
        <v>4646362.4430020861</v>
      </c>
      <c r="G129" s="12" t="str">
        <f>IF(TOTALCO!G656="", "",TOTALCO!G656)</f>
        <v/>
      </c>
      <c r="H129" s="12">
        <f ca="1">IF(TOTALCO!H656="", "",TOTALCO!H656)</f>
        <v>212762.65436020785</v>
      </c>
      <c r="I129" s="12">
        <f ca="1">IF(TOTALCO!I656="", "",TOTALCO!I656)</f>
        <v>14.914176166791059</v>
      </c>
      <c r="J129" s="12" t="str">
        <f>IF(TOTALCO!J656="", "",TOTALCO!J656)</f>
        <v/>
      </c>
      <c r="K129" s="12" t="str">
        <f>IF(TOTALCO!K656="", "",TOTALCO!K656)</f>
        <v/>
      </c>
      <c r="L129" s="12">
        <f ca="1">IF(TOTALCO!L656="", "",TOTALCO!L656)</f>
        <v>14.914176166791059</v>
      </c>
      <c r="M129" s="12" t="str">
        <f>IF(TOTALCO!M656="", "",TOTALCO!M656)</f>
        <v/>
      </c>
      <c r="N129" s="12">
        <f ca="1">IF(TOTALCO!N656="", "",TOTALCO!N656)</f>
        <v>0</v>
      </c>
      <c r="O129" s="12">
        <f ca="1">IF(TOTALCO!O656="", "",TOTALCO!O656)</f>
        <v>0</v>
      </c>
      <c r="P129" s="12">
        <f ca="1">IF(TOTALCO!P656="", "",TOTALCO!P656)</f>
        <v>0</v>
      </c>
      <c r="Q129" s="12"/>
      <c r="R129" s="13"/>
    </row>
    <row r="130" spans="1:18" ht="15" x14ac:dyDescent="0.2">
      <c r="A130" s="321">
        <f>IF(TOTALCO!A657="", "",TOTALCO!A657)</f>
        <v>9</v>
      </c>
      <c r="B130" s="4" t="str">
        <f>IF(TOTALCO!B657="", "",TOTALCO!B657)</f>
        <v xml:space="preserve"> 359-ARO COST KY TRANS</v>
      </c>
      <c r="C130" s="4" t="str">
        <f>IF(TOTALCO!C657="", "",TOTALCO!C657)</f>
        <v>DEMTRANNF</v>
      </c>
      <c r="D130" s="12">
        <f ca="1">IF(TOTALCO!D657="", "",TOTALCO!D657)</f>
        <v>551323.88</v>
      </c>
      <c r="E130" s="12" t="str">
        <f>IF(TOTALCO!E657="", "",TOTALCO!E657)</f>
        <v/>
      </c>
      <c r="F130" s="12">
        <f ca="1">IF(TOTALCO!F657="", "",TOTALCO!F657)</f>
        <v>527181.88071949384</v>
      </c>
      <c r="G130" s="12" t="str">
        <f>IF(TOTALCO!G657="", "",TOTALCO!G657)</f>
        <v/>
      </c>
      <c r="H130" s="12">
        <f ca="1">IF(TOTALCO!H657="", "",TOTALCO!H657)</f>
        <v>24140.307100109632</v>
      </c>
      <c r="I130" s="12">
        <f ca="1">IF(TOTALCO!I657="", "",TOTALCO!I657)</f>
        <v>1.6921803964803681</v>
      </c>
      <c r="J130" s="12" t="str">
        <f>IF(TOTALCO!J657="", "",TOTALCO!J657)</f>
        <v/>
      </c>
      <c r="K130" s="12" t="str">
        <f>IF(TOTALCO!K657="", "",TOTALCO!K657)</f>
        <v/>
      </c>
      <c r="L130" s="12">
        <f ca="1">IF(TOTALCO!L657="", "",TOTALCO!L657)</f>
        <v>1.6921803964803681</v>
      </c>
      <c r="M130" s="12" t="str">
        <f>IF(TOTALCO!M657="", "",TOTALCO!M657)</f>
        <v/>
      </c>
      <c r="N130" s="12">
        <f ca="1">IF(TOTALCO!N657="", "",TOTALCO!N657)</f>
        <v>0</v>
      </c>
      <c r="O130" s="12">
        <f ca="1">IF(TOTALCO!O657="", "",TOTALCO!O657)</f>
        <v>0</v>
      </c>
      <c r="P130" s="12">
        <f ca="1">IF(TOTALCO!P657="", "",TOTALCO!P657)</f>
        <v>0</v>
      </c>
      <c r="Q130" s="12"/>
      <c r="R130" s="13"/>
    </row>
    <row r="131" spans="1:18" ht="15" x14ac:dyDescent="0.2">
      <c r="A131" s="321">
        <f>IF(TOTALCO!A658="", "",TOTALCO!A658)</f>
        <v>10</v>
      </c>
      <c r="B131" s="4" t="str">
        <f>IF(TOTALCO!B658="", "",TOTALCO!B658)</f>
        <v xml:space="preserve"> FERC-AFUDC PRE</v>
      </c>
      <c r="C131" s="4" t="str">
        <f>IF(TOTALCO!C658="", "",TOTALCO!C658)</f>
        <v>DEMFERC</v>
      </c>
      <c r="D131" s="12">
        <f ca="1">IF(TOTALCO!D658="", "",TOTALCO!D658)</f>
        <v>2810844.66</v>
      </c>
      <c r="E131" s="12" t="str">
        <f>IF(TOTALCO!E658="", "",TOTALCO!E658)</f>
        <v/>
      </c>
      <c r="F131" s="12">
        <f ca="1">IF(TOTALCO!F658="", "",TOTALCO!F658)</f>
        <v>1476136.2507957534</v>
      </c>
      <c r="G131" s="12" t="str">
        <f>IF(TOTALCO!G658="", "",TOTALCO!G658)</f>
        <v/>
      </c>
      <c r="H131" s="12">
        <f ca="1">IF(TOTALCO!H658="", "",TOTALCO!H658)</f>
        <v>915501.09019698645</v>
      </c>
      <c r="I131" s="12">
        <f ca="1">IF(TOTALCO!I658="", "",TOTALCO!I658)</f>
        <v>419207.31900726026</v>
      </c>
      <c r="J131" s="12" t="str">
        <f>IF(TOTALCO!J658="", "",TOTALCO!J658)</f>
        <v/>
      </c>
      <c r="K131" s="12" t="str">
        <f>IF(TOTALCO!K658="", "",TOTALCO!K658)</f>
        <v/>
      </c>
      <c r="L131" s="12">
        <f ca="1">IF(TOTALCO!L658="", "",TOTALCO!L658)</f>
        <v>0</v>
      </c>
      <c r="M131" s="12" t="str">
        <f>IF(TOTALCO!M658="", "",TOTALCO!M658)</f>
        <v/>
      </c>
      <c r="N131" s="12">
        <f ca="1">IF(TOTALCO!N658="", "",TOTALCO!N658)</f>
        <v>419207.31900726026</v>
      </c>
      <c r="O131" s="12">
        <f ca="1">IF(TOTALCO!O658="", "",TOTALCO!O658)</f>
        <v>212610.23649726028</v>
      </c>
      <c r="P131" s="12">
        <f ca="1">IF(TOTALCO!P658="", "",TOTALCO!P658)</f>
        <v>206597.08251000001</v>
      </c>
      <c r="Q131" s="12"/>
      <c r="R131" s="13"/>
    </row>
    <row r="132" spans="1:18" ht="15" x14ac:dyDescent="0.2">
      <c r="A132" s="321">
        <f>IF(TOTALCO!A659="", "",TOTALCO!A659)</f>
        <v>11</v>
      </c>
      <c r="B132" s="4" t="str">
        <f>IF(TOTALCO!B659="", "",TOTALCO!B659)</f>
        <v xml:space="preserve"> FERC-AFUDC POST</v>
      </c>
      <c r="C132" s="4" t="str">
        <f>IF(TOTALCO!C659="", "",TOTALCO!C659)</f>
        <v>DEMFERCP</v>
      </c>
      <c r="D132" s="12">
        <f ca="1">IF(TOTALCO!D659="", "",TOTALCO!D659)</f>
        <v>1420230.45</v>
      </c>
      <c r="E132" s="12" t="str">
        <f>IF(TOTALCO!E659="", "",TOTALCO!E659)</f>
        <v/>
      </c>
      <c r="F132" s="12">
        <f ca="1">IF(TOTALCO!F659="", "",TOTALCO!F659)</f>
        <v>1106107.4546747499</v>
      </c>
      <c r="G132" s="12" t="str">
        <f>IF(TOTALCO!G659="", "",TOTALCO!G659)</f>
        <v/>
      </c>
      <c r="H132" s="12">
        <f ca="1">IF(TOTALCO!H659="", "",TOTALCO!H659)</f>
        <v>0</v>
      </c>
      <c r="I132" s="12">
        <f ca="1">IF(TOTALCO!I659="", "",TOTALCO!I659)</f>
        <v>314122.99532525009</v>
      </c>
      <c r="J132" s="12" t="str">
        <f>IF(TOTALCO!J659="", "",TOTALCO!J659)</f>
        <v/>
      </c>
      <c r="K132" s="12" t="str">
        <f>IF(TOTALCO!K659="", "",TOTALCO!K659)</f>
        <v/>
      </c>
      <c r="L132" s="12">
        <f ca="1">IF(TOTALCO!L659="", "",TOTALCO!L659)</f>
        <v>0</v>
      </c>
      <c r="M132" s="12" t="str">
        <f>IF(TOTALCO!M659="", "",TOTALCO!M659)</f>
        <v/>
      </c>
      <c r="N132" s="12">
        <f ca="1">IF(TOTALCO!N659="", "",TOTALCO!N659)</f>
        <v>314122.99532525009</v>
      </c>
      <c r="O132" s="12">
        <f ca="1">IF(TOTALCO!O659="", "",TOTALCO!O659)</f>
        <v>159314.40434648644</v>
      </c>
      <c r="P132" s="12">
        <f ca="1">IF(TOTALCO!P659="", "",TOTALCO!P659)</f>
        <v>154808.59097876362</v>
      </c>
      <c r="Q132" s="12"/>
      <c r="R132" s="13"/>
    </row>
    <row r="133" spans="1:18" ht="15" x14ac:dyDescent="0.2">
      <c r="A133" s="321">
        <f>IF(TOTALCO!A660="", "",TOTALCO!A660)</f>
        <v>12</v>
      </c>
      <c r="B133" s="4" t="str">
        <f>IF(TOTALCO!B660="", "",TOTALCO!B660)</f>
        <v>TOTAL KENTUCKY SYSTEM PROPERTY</v>
      </c>
      <c r="C133" s="4" t="str">
        <f>IF(TOTALCO!C660="", "",TOTALCO!C660)</f>
        <v/>
      </c>
      <c r="D133" s="12">
        <f ca="1">IF(TOTALCO!D660="", "",TOTALCO!D660)</f>
        <v>1069988719.9069217</v>
      </c>
      <c r="E133" s="12" t="str">
        <f>IF(TOTALCO!E660="", "",TOTALCO!E660)</f>
        <v/>
      </c>
      <c r="F133" s="12">
        <f ca="1">IF(TOTALCO!F660="", "",TOTALCO!F660)</f>
        <v>1021671276.4083883</v>
      </c>
      <c r="G133" s="12" t="str">
        <f>IF(TOTALCO!G660="", "",TOTALCO!G660)</f>
        <v/>
      </c>
      <c r="H133" s="12">
        <f ca="1">IF(TOTALCO!H660="", "",TOTALCO!H660)</f>
        <v>47580842.050373152</v>
      </c>
      <c r="I133" s="12">
        <f ca="1">IF(TOTALCO!I660="", "",TOTALCO!I660)</f>
        <v>736601.44816027861</v>
      </c>
      <c r="J133" s="12" t="str">
        <f>IF(TOTALCO!J660="", "",TOTALCO!J660)</f>
        <v/>
      </c>
      <c r="K133" s="12" t="str">
        <f>IF(TOTALCO!K660="", "",TOTALCO!K660)</f>
        <v/>
      </c>
      <c r="L133" s="12">
        <f ca="1">IF(TOTALCO!L660="", "",TOTALCO!L660)</f>
        <v>3271.1338277682412</v>
      </c>
      <c r="M133" s="12" t="str">
        <f>IF(TOTALCO!M660="", "",TOTALCO!M660)</f>
        <v/>
      </c>
      <c r="N133" s="12">
        <f ca="1">IF(TOTALCO!N660="", "",TOTALCO!N660)</f>
        <v>733330.31433251034</v>
      </c>
      <c r="O133" s="12">
        <f ca="1">IF(TOTALCO!O660="", "",TOTALCO!O660)</f>
        <v>371924.64084374672</v>
      </c>
      <c r="P133" s="12">
        <f ca="1">IF(TOTALCO!P660="", "",TOTALCO!P660)</f>
        <v>361405.67348876363</v>
      </c>
      <c r="Q133" s="12"/>
      <c r="R133" s="13"/>
    </row>
    <row r="134" spans="1:18" ht="15" x14ac:dyDescent="0.2">
      <c r="A134" s="321" t="str">
        <f>IF(TOTALCO!A661="", "",TOTALCO!A661)</f>
        <v/>
      </c>
      <c r="B134" s="4" t="str">
        <f>IF(TOTALCO!B661="", "",TOTALCO!B661)</f>
        <v/>
      </c>
      <c r="C134" s="4" t="str">
        <f>IF(TOTALCO!C661="", "",TOTALCO!C661)</f>
        <v/>
      </c>
      <c r="D134" s="12" t="str">
        <f>IF(TOTALCO!D661="", "",TOTALCO!D661)</f>
        <v/>
      </c>
      <c r="E134" s="12" t="str">
        <f>IF(TOTALCO!E661="", "",TOTALCO!E661)</f>
        <v/>
      </c>
      <c r="F134" s="12" t="str">
        <f>IF(TOTALCO!F661="", "",TOTALCO!F661)</f>
        <v/>
      </c>
      <c r="G134" s="12" t="str">
        <f>IF(TOTALCO!G661="", "",TOTALCO!G661)</f>
        <v/>
      </c>
      <c r="H134" s="12" t="str">
        <f>IF(TOTALCO!H661="", "",TOTALCO!H661)</f>
        <v/>
      </c>
      <c r="I134" s="12" t="str">
        <f>IF(TOTALCO!I661="", "",TOTALCO!I661)</f>
        <v/>
      </c>
      <c r="J134" s="12" t="str">
        <f>IF(TOTALCO!J661="", "",TOTALCO!J661)</f>
        <v/>
      </c>
      <c r="K134" s="12" t="str">
        <f>IF(TOTALCO!K661="", "",TOTALCO!K661)</f>
        <v/>
      </c>
      <c r="L134" s="12" t="str">
        <f>IF(TOTALCO!L661="", "",TOTALCO!L661)</f>
        <v/>
      </c>
      <c r="M134" s="12" t="str">
        <f>IF(TOTALCO!M661="", "",TOTALCO!M661)</f>
        <v/>
      </c>
      <c r="N134" s="12" t="str">
        <f>IF(TOTALCO!N661="", "",TOTALCO!N661)</f>
        <v/>
      </c>
      <c r="O134" s="12" t="str">
        <f>IF(TOTALCO!O661="", "",TOTALCO!O661)</f>
        <v/>
      </c>
      <c r="P134" s="12" t="str">
        <f>IF(TOTALCO!P661="", "",TOTALCO!P661)</f>
        <v/>
      </c>
      <c r="Q134" s="12"/>
      <c r="R134" s="13"/>
    </row>
    <row r="135" spans="1:18" ht="15" x14ac:dyDescent="0.2">
      <c r="A135" s="321" t="str">
        <f>IF(TOTALCO!A662="", "",TOTALCO!A662)</f>
        <v/>
      </c>
      <c r="B135" s="4" t="str">
        <f>IF(TOTALCO!B662="", "",TOTALCO!B662)</f>
        <v>VIRGINIA PROPERTY</v>
      </c>
      <c r="C135" s="4" t="str">
        <f>IF(TOTALCO!C662="", "",TOTALCO!C662)</f>
        <v/>
      </c>
      <c r="D135" s="12" t="str">
        <f>IF(TOTALCO!D662="", "",TOTALCO!D662)</f>
        <v/>
      </c>
      <c r="E135" s="12" t="str">
        <f>IF(TOTALCO!E662="", "",TOTALCO!E662)</f>
        <v/>
      </c>
      <c r="F135" s="12" t="str">
        <f>IF(TOTALCO!F662="", "",TOTALCO!F662)</f>
        <v/>
      </c>
      <c r="G135" s="12" t="str">
        <f>IF(TOTALCO!G662="", "",TOTALCO!G662)</f>
        <v/>
      </c>
      <c r="H135" s="12" t="str">
        <f>IF(TOTALCO!H662="", "",TOTALCO!H662)</f>
        <v/>
      </c>
      <c r="I135" s="12" t="str">
        <f>IF(TOTALCO!I662="", "",TOTALCO!I662)</f>
        <v/>
      </c>
      <c r="J135" s="12" t="str">
        <f>IF(TOTALCO!J662="", "",TOTALCO!J662)</f>
        <v/>
      </c>
      <c r="K135" s="12" t="str">
        <f>IF(TOTALCO!K662="", "",TOTALCO!K662)</f>
        <v/>
      </c>
      <c r="L135" s="12" t="str">
        <f>IF(TOTALCO!L662="", "",TOTALCO!L662)</f>
        <v/>
      </c>
      <c r="M135" s="12" t="str">
        <f>IF(TOTALCO!M662="", "",TOTALCO!M662)</f>
        <v/>
      </c>
      <c r="N135" s="12" t="str">
        <f>IF(TOTALCO!N662="", "",TOTALCO!N662)</f>
        <v/>
      </c>
      <c r="O135" s="12" t="str">
        <f>IF(TOTALCO!O662="", "",TOTALCO!O662)</f>
        <v/>
      </c>
      <c r="P135" s="12" t="str">
        <f>IF(TOTALCO!P662="", "",TOTALCO!P662)</f>
        <v/>
      </c>
      <c r="Q135" s="12"/>
      <c r="R135" s="13"/>
    </row>
    <row r="136" spans="1:18" ht="15" x14ac:dyDescent="0.2">
      <c r="A136" s="321">
        <f>IF(TOTALCO!A663="", "",TOTALCO!A663)</f>
        <v>13</v>
      </c>
      <c r="B136" s="4" t="str">
        <f>IF(TOTALCO!B663="", "",TOTALCO!B663)</f>
        <v xml:space="preserve"> 350-LAND &amp; LAND RIGHTS</v>
      </c>
      <c r="C136" s="4" t="str">
        <f>IF(TOTALCO!C663="", "",TOTALCO!C663)</f>
        <v>DEMVA</v>
      </c>
      <c r="D136" s="12">
        <f ca="1">IF(TOTALCO!D663="", "",TOTALCO!D663)</f>
        <v>2101901.4269230766</v>
      </c>
      <c r="E136" s="12" t="str">
        <f>IF(TOTALCO!E663="", "",TOTALCO!E663)</f>
        <v/>
      </c>
      <c r="F136" s="12">
        <f ca="1">IF(TOTALCO!F663="", "",TOTALCO!F663)</f>
        <v>0</v>
      </c>
      <c r="G136" s="12" t="str">
        <f>IF(TOTALCO!G663="", "",TOTALCO!G663)</f>
        <v/>
      </c>
      <c r="H136" s="12">
        <f ca="1">IF(TOTALCO!H663="", "",TOTALCO!H663)</f>
        <v>2101901.4269230766</v>
      </c>
      <c r="I136" s="12">
        <f ca="1">IF(TOTALCO!I663="", "",TOTALCO!I663)</f>
        <v>0</v>
      </c>
      <c r="J136" s="12" t="str">
        <f>IF(TOTALCO!J663="", "",TOTALCO!J663)</f>
        <v/>
      </c>
      <c r="K136" s="12" t="str">
        <f>IF(TOTALCO!K663="", "",TOTALCO!K663)</f>
        <v/>
      </c>
      <c r="L136" s="12">
        <f ca="1">IF(TOTALCO!L663="", "",TOTALCO!L663)</f>
        <v>0</v>
      </c>
      <c r="M136" s="12" t="str">
        <f>IF(TOTALCO!M663="", "",TOTALCO!M663)</f>
        <v/>
      </c>
      <c r="N136" s="12">
        <f ca="1">IF(TOTALCO!N663="", "",TOTALCO!N663)</f>
        <v>0</v>
      </c>
      <c r="O136" s="12">
        <f ca="1">IF(TOTALCO!O663="", "",TOTALCO!O663)</f>
        <v>0</v>
      </c>
      <c r="P136" s="12">
        <f ca="1">IF(TOTALCO!P663="", "",TOTALCO!P663)</f>
        <v>0</v>
      </c>
      <c r="Q136" s="12"/>
      <c r="R136" s="13"/>
    </row>
    <row r="137" spans="1:18" ht="15" x14ac:dyDescent="0.2">
      <c r="A137" s="321">
        <f>IF(TOTALCO!A664="", "",TOTALCO!A664)</f>
        <v>14</v>
      </c>
      <c r="B137" s="4" t="str">
        <f>IF(TOTALCO!B664="", "",TOTALCO!B664)</f>
        <v xml:space="preserve"> 352-STRUCTURES AND IMPROVEMENTS</v>
      </c>
      <c r="C137" s="4" t="str">
        <f>IF(TOTALCO!C664="", "",TOTALCO!C664)</f>
        <v>DEMVA</v>
      </c>
      <c r="D137" s="12">
        <f ca="1">IF(TOTALCO!D664="", "",TOTALCO!D664)</f>
        <v>1743195.88</v>
      </c>
      <c r="E137" s="12" t="str">
        <f>IF(TOTALCO!E664="", "",TOTALCO!E664)</f>
        <v/>
      </c>
      <c r="F137" s="12">
        <f ca="1">IF(TOTALCO!F664="", "",TOTALCO!F664)</f>
        <v>0</v>
      </c>
      <c r="G137" s="12" t="str">
        <f>IF(TOTALCO!G664="", "",TOTALCO!G664)</f>
        <v/>
      </c>
      <c r="H137" s="12">
        <f ca="1">IF(TOTALCO!H664="", "",TOTALCO!H664)</f>
        <v>1743195.88</v>
      </c>
      <c r="I137" s="12">
        <f ca="1">IF(TOTALCO!I664="", "",TOTALCO!I664)</f>
        <v>0</v>
      </c>
      <c r="J137" s="12" t="str">
        <f>IF(TOTALCO!J664="", "",TOTALCO!J664)</f>
        <v/>
      </c>
      <c r="K137" s="12" t="str">
        <f>IF(TOTALCO!K664="", "",TOTALCO!K664)</f>
        <v/>
      </c>
      <c r="L137" s="12">
        <f ca="1">IF(TOTALCO!L664="", "",TOTALCO!L664)</f>
        <v>0</v>
      </c>
      <c r="M137" s="12" t="str">
        <f>IF(TOTALCO!M664="", "",TOTALCO!M664)</f>
        <v/>
      </c>
      <c r="N137" s="12">
        <f ca="1">IF(TOTALCO!N664="", "",TOTALCO!N664)</f>
        <v>0</v>
      </c>
      <c r="O137" s="12">
        <f ca="1">IF(TOTALCO!O664="", "",TOTALCO!O664)</f>
        <v>0</v>
      </c>
      <c r="P137" s="12">
        <f ca="1">IF(TOTALCO!P664="", "",TOTALCO!P664)</f>
        <v>0</v>
      </c>
      <c r="Q137" s="12"/>
      <c r="R137" s="13"/>
    </row>
    <row r="138" spans="1:18" ht="15" x14ac:dyDescent="0.2">
      <c r="A138" s="321">
        <f>IF(TOTALCO!A665="", "",TOTALCO!A665)</f>
        <v>15</v>
      </c>
      <c r="B138" s="4" t="str">
        <f>IF(TOTALCO!B665="", "",TOTALCO!B665)</f>
        <v xml:space="preserve"> 353-STATION EQUIPMENT</v>
      </c>
      <c r="C138" s="4" t="str">
        <f>IF(TOTALCO!C665="", "",TOTALCO!C665)</f>
        <v>DEMVA</v>
      </c>
      <c r="D138" s="12">
        <f ca="1">IF(TOTALCO!D665="", "",TOTALCO!D665)</f>
        <v>22950562.109999996</v>
      </c>
      <c r="E138" s="12" t="str">
        <f>IF(TOTALCO!E665="", "",TOTALCO!E665)</f>
        <v/>
      </c>
      <c r="F138" s="12">
        <f ca="1">IF(TOTALCO!F665="", "",TOTALCO!F665)</f>
        <v>0</v>
      </c>
      <c r="G138" s="12" t="str">
        <f>IF(TOTALCO!G665="", "",TOTALCO!G665)</f>
        <v/>
      </c>
      <c r="H138" s="12">
        <f ca="1">IF(TOTALCO!H665="", "",TOTALCO!H665)</f>
        <v>22950562.109999996</v>
      </c>
      <c r="I138" s="12">
        <f ca="1">IF(TOTALCO!I665="", "",TOTALCO!I665)</f>
        <v>0</v>
      </c>
      <c r="J138" s="12" t="str">
        <f>IF(TOTALCO!J665="", "",TOTALCO!J665)</f>
        <v/>
      </c>
      <c r="K138" s="12" t="str">
        <f>IF(TOTALCO!K665="", "",TOTALCO!K665)</f>
        <v/>
      </c>
      <c r="L138" s="12">
        <f ca="1">IF(TOTALCO!L665="", "",TOTALCO!L665)</f>
        <v>0</v>
      </c>
      <c r="M138" s="12" t="str">
        <f>IF(TOTALCO!M665="", "",TOTALCO!M665)</f>
        <v/>
      </c>
      <c r="N138" s="12">
        <f ca="1">IF(TOTALCO!N665="", "",TOTALCO!N665)</f>
        <v>0</v>
      </c>
      <c r="O138" s="12">
        <f ca="1">IF(TOTALCO!O665="", "",TOTALCO!O665)</f>
        <v>0</v>
      </c>
      <c r="P138" s="12">
        <f ca="1">IF(TOTALCO!P665="", "",TOTALCO!P665)</f>
        <v>0</v>
      </c>
      <c r="Q138" s="12"/>
      <c r="R138" s="13"/>
    </row>
    <row r="139" spans="1:18" ht="15" x14ac:dyDescent="0.2">
      <c r="A139" s="321">
        <f>IF(TOTALCO!A666="", "",TOTALCO!A666)</f>
        <v>16</v>
      </c>
      <c r="B139" s="4" t="str">
        <f>IF(TOTALCO!B666="", "",TOTALCO!B666)</f>
        <v xml:space="preserve"> 354-TOWERS AND FIXTURES</v>
      </c>
      <c r="C139" s="4" t="str">
        <f>IF(TOTALCO!C666="", "",TOTALCO!C666)</f>
        <v>DEMVA</v>
      </c>
      <c r="D139" s="12">
        <f ca="1">IF(TOTALCO!D666="", "",TOTALCO!D666)</f>
        <v>2411758.4300000016</v>
      </c>
      <c r="E139" s="12" t="str">
        <f>IF(TOTALCO!E666="", "",TOTALCO!E666)</f>
        <v/>
      </c>
      <c r="F139" s="12">
        <f ca="1">IF(TOTALCO!F666="", "",TOTALCO!F666)</f>
        <v>0</v>
      </c>
      <c r="G139" s="12" t="str">
        <f>IF(TOTALCO!G666="", "",TOTALCO!G666)</f>
        <v/>
      </c>
      <c r="H139" s="12">
        <f ca="1">IF(TOTALCO!H666="", "",TOTALCO!H666)</f>
        <v>2411758.4300000016</v>
      </c>
      <c r="I139" s="12">
        <f ca="1">IF(TOTALCO!I666="", "",TOTALCO!I666)</f>
        <v>0</v>
      </c>
      <c r="J139" s="12" t="str">
        <f>IF(TOTALCO!J666="", "",TOTALCO!J666)</f>
        <v/>
      </c>
      <c r="K139" s="12" t="str">
        <f>IF(TOTALCO!K666="", "",TOTALCO!K666)</f>
        <v/>
      </c>
      <c r="L139" s="12">
        <f ca="1">IF(TOTALCO!L666="", "",TOTALCO!L666)</f>
        <v>0</v>
      </c>
      <c r="M139" s="12" t="str">
        <f>IF(TOTALCO!M666="", "",TOTALCO!M666)</f>
        <v/>
      </c>
      <c r="N139" s="12">
        <f ca="1">IF(TOTALCO!N666="", "",TOTALCO!N666)</f>
        <v>0</v>
      </c>
      <c r="O139" s="12">
        <f ca="1">IF(TOTALCO!O666="", "",TOTALCO!O666)</f>
        <v>0</v>
      </c>
      <c r="P139" s="12">
        <f ca="1">IF(TOTALCO!P666="", "",TOTALCO!P666)</f>
        <v>0</v>
      </c>
      <c r="Q139" s="12"/>
      <c r="R139" s="13"/>
    </row>
    <row r="140" spans="1:18" ht="15" x14ac:dyDescent="0.2">
      <c r="A140" s="321">
        <f>IF(TOTALCO!A667="", "",TOTALCO!A667)</f>
        <v>17</v>
      </c>
      <c r="B140" s="4" t="str">
        <f>IF(TOTALCO!B667="", "",TOTALCO!B667)</f>
        <v xml:space="preserve"> 355-POLES AND FIXTURES</v>
      </c>
      <c r="C140" s="4" t="str">
        <f>IF(TOTALCO!C667="", "",TOTALCO!C667)</f>
        <v>DEMVA</v>
      </c>
      <c r="D140" s="12">
        <f ca="1">IF(TOTALCO!D667="", "",TOTALCO!D667)</f>
        <v>14911337.73384615</v>
      </c>
      <c r="E140" s="12" t="str">
        <f>IF(TOTALCO!E667="", "",TOTALCO!E667)</f>
        <v/>
      </c>
      <c r="F140" s="12">
        <f ca="1">IF(TOTALCO!F667="", "",TOTALCO!F667)</f>
        <v>0</v>
      </c>
      <c r="G140" s="12" t="str">
        <f>IF(TOTALCO!G667="", "",TOTALCO!G667)</f>
        <v/>
      </c>
      <c r="H140" s="12">
        <f ca="1">IF(TOTALCO!H667="", "",TOTALCO!H667)</f>
        <v>14911337.73384615</v>
      </c>
      <c r="I140" s="12">
        <f ca="1">IF(TOTALCO!I667="", "",TOTALCO!I667)</f>
        <v>0</v>
      </c>
      <c r="J140" s="12" t="str">
        <f>IF(TOTALCO!J667="", "",TOTALCO!J667)</f>
        <v/>
      </c>
      <c r="K140" s="12" t="str">
        <f>IF(TOTALCO!K667="", "",TOTALCO!K667)</f>
        <v/>
      </c>
      <c r="L140" s="12">
        <f ca="1">IF(TOTALCO!L667="", "",TOTALCO!L667)</f>
        <v>0</v>
      </c>
      <c r="M140" s="12" t="str">
        <f>IF(TOTALCO!M667="", "",TOTALCO!M667)</f>
        <v/>
      </c>
      <c r="N140" s="12">
        <f ca="1">IF(TOTALCO!N667="", "",TOTALCO!N667)</f>
        <v>0</v>
      </c>
      <c r="O140" s="12">
        <f ca="1">IF(TOTALCO!O667="", "",TOTALCO!O667)</f>
        <v>0</v>
      </c>
      <c r="P140" s="12">
        <f ca="1">IF(TOTALCO!P667="", "",TOTALCO!P667)</f>
        <v>0</v>
      </c>
      <c r="Q140" s="12"/>
      <c r="R140" s="13"/>
    </row>
    <row r="141" spans="1:18" ht="15" x14ac:dyDescent="0.2">
      <c r="A141" s="321">
        <f>IF(TOTALCO!A668="", "",TOTALCO!A668)</f>
        <v>18</v>
      </c>
      <c r="B141" s="4" t="str">
        <f>IF(TOTALCO!B668="", "",TOTALCO!B668)</f>
        <v xml:space="preserve"> 356-OH CONDUCTORS AND DEVICES</v>
      </c>
      <c r="C141" s="4" t="str">
        <f>IF(TOTALCO!C668="", "",TOTALCO!C668)</f>
        <v>DEMVA</v>
      </c>
      <c r="D141" s="12">
        <f ca="1">IF(TOTALCO!D668="", "",TOTALCO!D668)</f>
        <v>15565058.869999992</v>
      </c>
      <c r="E141" s="12" t="str">
        <f>IF(TOTALCO!E668="", "",TOTALCO!E668)</f>
        <v/>
      </c>
      <c r="F141" s="12">
        <f ca="1">IF(TOTALCO!F668="", "",TOTALCO!F668)</f>
        <v>0</v>
      </c>
      <c r="G141" s="12" t="str">
        <f>IF(TOTALCO!G668="", "",TOTALCO!G668)</f>
        <v/>
      </c>
      <c r="H141" s="12">
        <f ca="1">IF(TOTALCO!H668="", "",TOTALCO!H668)</f>
        <v>15565058.869999992</v>
      </c>
      <c r="I141" s="12">
        <f ca="1">IF(TOTALCO!I668="", "",TOTALCO!I668)</f>
        <v>0</v>
      </c>
      <c r="J141" s="12" t="str">
        <f>IF(TOTALCO!J668="", "",TOTALCO!J668)</f>
        <v/>
      </c>
      <c r="K141" s="12" t="str">
        <f>IF(TOTALCO!K668="", "",TOTALCO!K668)</f>
        <v/>
      </c>
      <c r="L141" s="12">
        <f ca="1">IF(TOTALCO!L668="", "",TOTALCO!L668)</f>
        <v>0</v>
      </c>
      <c r="M141" s="12" t="str">
        <f>IF(TOTALCO!M668="", "",TOTALCO!M668)</f>
        <v/>
      </c>
      <c r="N141" s="12">
        <f ca="1">IF(TOTALCO!N668="", "",TOTALCO!N668)</f>
        <v>0</v>
      </c>
      <c r="O141" s="12">
        <f ca="1">IF(TOTALCO!O668="", "",TOTALCO!O668)</f>
        <v>0</v>
      </c>
      <c r="P141" s="12">
        <f ca="1">IF(TOTALCO!P668="", "",TOTALCO!P668)</f>
        <v>0</v>
      </c>
      <c r="Q141" s="12"/>
      <c r="R141" s="13"/>
    </row>
    <row r="142" spans="1:18" ht="15" x14ac:dyDescent="0.2">
      <c r="A142" s="321">
        <f>IF(TOTALCO!A669="", "",TOTALCO!A669)</f>
        <v>19</v>
      </c>
      <c r="B142" s="4" t="str">
        <f>IF(TOTALCO!B669="", "",TOTALCO!B669)</f>
        <v xml:space="preserve"> FERC-AFUDC PRE</v>
      </c>
      <c r="C142" s="4" t="str">
        <f>IF(TOTALCO!C669="", "",TOTALCO!C669)</f>
        <v>DEMVA</v>
      </c>
      <c r="D142" s="12">
        <f ca="1">IF(TOTALCO!D669="", "",TOTALCO!D669)</f>
        <v>2</v>
      </c>
      <c r="E142" s="12" t="str">
        <f>IF(TOTALCO!E669="", "",TOTALCO!E669)</f>
        <v/>
      </c>
      <c r="F142" s="12">
        <f ca="1">IF(TOTALCO!F669="", "",TOTALCO!F669)</f>
        <v>0</v>
      </c>
      <c r="G142" s="12" t="str">
        <f>IF(TOTALCO!G669="", "",TOTALCO!G669)</f>
        <v/>
      </c>
      <c r="H142" s="12">
        <f ca="1">IF(TOTALCO!H669="", "",TOTALCO!H669)</f>
        <v>2</v>
      </c>
      <c r="I142" s="12">
        <f ca="1">IF(TOTALCO!I669="", "",TOTALCO!I669)</f>
        <v>0</v>
      </c>
      <c r="J142" s="12" t="str">
        <f>IF(TOTALCO!J669="", "",TOTALCO!J669)</f>
        <v/>
      </c>
      <c r="K142" s="12" t="str">
        <f>IF(TOTALCO!K669="", "",TOTALCO!K669)</f>
        <v/>
      </c>
      <c r="L142" s="12">
        <f ca="1">IF(TOTALCO!L669="", "",TOTALCO!L669)</f>
        <v>0</v>
      </c>
      <c r="M142" s="12" t="str">
        <f>IF(TOTALCO!M669="", "",TOTALCO!M669)</f>
        <v/>
      </c>
      <c r="N142" s="12">
        <f ca="1">IF(TOTALCO!N669="", "",TOTALCO!N669)</f>
        <v>0</v>
      </c>
      <c r="O142" s="12">
        <f ca="1">IF(TOTALCO!O669="", "",TOTALCO!O669)</f>
        <v>0</v>
      </c>
      <c r="P142" s="12">
        <f ca="1">IF(TOTALCO!P669="", "",TOTALCO!P669)</f>
        <v>0</v>
      </c>
      <c r="Q142" s="12"/>
      <c r="R142" s="13"/>
    </row>
    <row r="143" spans="1:18" ht="15" x14ac:dyDescent="0.2">
      <c r="A143" s="321">
        <f>IF(TOTALCO!A670="", "",TOTALCO!A670)</f>
        <v>20</v>
      </c>
      <c r="B143" s="4" t="str">
        <f>IF(TOTALCO!B670="", "",TOTALCO!B670)</f>
        <v xml:space="preserve"> FERC-AFUDC POST</v>
      </c>
      <c r="C143" s="4" t="str">
        <f>IF(TOTALCO!C670="", "",TOTALCO!C670)</f>
        <v>DEMVA</v>
      </c>
      <c r="D143" s="12">
        <f ca="1">IF(TOTALCO!D670="", "",TOTALCO!D670)</f>
        <v>4288.38</v>
      </c>
      <c r="E143" s="12" t="str">
        <f>IF(TOTALCO!E670="", "",TOTALCO!E670)</f>
        <v/>
      </c>
      <c r="F143" s="12">
        <f ca="1">IF(TOTALCO!F670="", "",TOTALCO!F670)</f>
        <v>0</v>
      </c>
      <c r="G143" s="12" t="str">
        <f>IF(TOTALCO!G670="", "",TOTALCO!G670)</f>
        <v/>
      </c>
      <c r="H143" s="12">
        <f ca="1">IF(TOTALCO!H670="", "",TOTALCO!H670)</f>
        <v>4288.38</v>
      </c>
      <c r="I143" s="12">
        <f ca="1">IF(TOTALCO!I670="", "",TOTALCO!I670)</f>
        <v>0</v>
      </c>
      <c r="J143" s="12" t="str">
        <f>IF(TOTALCO!J670="", "",TOTALCO!J670)</f>
        <v/>
      </c>
      <c r="K143" s="12" t="str">
        <f>IF(TOTALCO!K670="", "",TOTALCO!K670)</f>
        <v/>
      </c>
      <c r="L143" s="12">
        <f ca="1">IF(TOTALCO!L670="", "",TOTALCO!L670)</f>
        <v>0</v>
      </c>
      <c r="M143" s="12" t="str">
        <f>IF(TOTALCO!M670="", "",TOTALCO!M670)</f>
        <v/>
      </c>
      <c r="N143" s="12">
        <f ca="1">IF(TOTALCO!N670="", "",TOTALCO!N670)</f>
        <v>0</v>
      </c>
      <c r="O143" s="12">
        <f ca="1">IF(TOTALCO!O670="", "",TOTALCO!O670)</f>
        <v>0</v>
      </c>
      <c r="P143" s="12">
        <f ca="1">IF(TOTALCO!P670="", "",TOTALCO!P670)</f>
        <v>0</v>
      </c>
      <c r="Q143" s="12"/>
      <c r="R143" s="13"/>
    </row>
    <row r="144" spans="1:18" ht="15" x14ac:dyDescent="0.2">
      <c r="A144" s="321">
        <f>IF(TOTALCO!A671="", "",TOTALCO!A671)</f>
        <v>21</v>
      </c>
      <c r="B144" s="4" t="str">
        <f>IF(TOTALCO!B671="", "",TOTALCO!B671)</f>
        <v>TOTAL VIRGINIA PROPERTY</v>
      </c>
      <c r="C144" s="4" t="str">
        <f>IF(TOTALCO!C671="", "",TOTALCO!C671)</f>
        <v/>
      </c>
      <c r="D144" s="12">
        <f ca="1">IF(TOTALCO!D671="", "",TOTALCO!D671)</f>
        <v>59688104.830769219</v>
      </c>
      <c r="E144" s="12" t="str">
        <f>IF(TOTALCO!E671="", "",TOTALCO!E671)</f>
        <v/>
      </c>
      <c r="F144" s="12">
        <f ca="1">IF(TOTALCO!F671="", "",TOTALCO!F671)</f>
        <v>0</v>
      </c>
      <c r="G144" s="12" t="str">
        <f>IF(TOTALCO!G671="", "",TOTALCO!G671)</f>
        <v/>
      </c>
      <c r="H144" s="12">
        <f ca="1">IF(TOTALCO!H671="", "",TOTALCO!H671)</f>
        <v>59688104.830769219</v>
      </c>
      <c r="I144" s="12">
        <f ca="1">IF(TOTALCO!I671="", "",TOTALCO!I671)</f>
        <v>0</v>
      </c>
      <c r="J144" s="12" t="str">
        <f>IF(TOTALCO!J671="", "",TOTALCO!J671)</f>
        <v/>
      </c>
      <c r="K144" s="12" t="str">
        <f>IF(TOTALCO!K671="", "",TOTALCO!K671)</f>
        <v/>
      </c>
      <c r="L144" s="12">
        <f ca="1">IF(TOTALCO!L671="", "",TOTALCO!L671)</f>
        <v>0</v>
      </c>
      <c r="M144" s="12" t="str">
        <f>IF(TOTALCO!M671="", "",TOTALCO!M671)</f>
        <v/>
      </c>
      <c r="N144" s="12">
        <f ca="1">IF(TOTALCO!N671="", "",TOTALCO!N671)</f>
        <v>0</v>
      </c>
      <c r="O144" s="12">
        <f ca="1">IF(TOTALCO!O671="", "",TOTALCO!O671)</f>
        <v>0</v>
      </c>
      <c r="P144" s="12">
        <f ca="1">IF(TOTALCO!P671="", "",TOTALCO!P671)</f>
        <v>0</v>
      </c>
      <c r="Q144" s="12"/>
      <c r="R144" s="13"/>
    </row>
    <row r="145" spans="1:18" ht="15" x14ac:dyDescent="0.2">
      <c r="A145" s="321" t="str">
        <f>IF(TOTALCO!A672="", "",TOTALCO!A672)</f>
        <v/>
      </c>
      <c r="B145" s="4" t="str">
        <f>IF(TOTALCO!B672="", "",TOTALCO!B672)</f>
        <v/>
      </c>
      <c r="C145" s="4" t="str">
        <f>IF(TOTALCO!C672="", "",TOTALCO!C672)</f>
        <v/>
      </c>
      <c r="D145" s="12" t="str">
        <f>IF(TOTALCO!D672="", "",TOTALCO!D672)</f>
        <v/>
      </c>
      <c r="E145" s="12" t="str">
        <f>IF(TOTALCO!E672="", "",TOTALCO!E672)</f>
        <v/>
      </c>
      <c r="F145" s="12" t="str">
        <f>IF(TOTALCO!F672="", "",TOTALCO!F672)</f>
        <v/>
      </c>
      <c r="G145" s="12" t="str">
        <f>IF(TOTALCO!G672="", "",TOTALCO!G672)</f>
        <v/>
      </c>
      <c r="H145" s="12" t="str">
        <f>IF(TOTALCO!H672="", "",TOTALCO!H672)</f>
        <v/>
      </c>
      <c r="I145" s="12" t="str">
        <f>IF(TOTALCO!I672="", "",TOTALCO!I672)</f>
        <v/>
      </c>
      <c r="J145" s="12" t="str">
        <f>IF(TOTALCO!J672="", "",TOTALCO!J672)</f>
        <v/>
      </c>
      <c r="K145" s="12" t="str">
        <f>IF(TOTALCO!K672="", "",TOTALCO!K672)</f>
        <v/>
      </c>
      <c r="L145" s="12" t="str">
        <f>IF(TOTALCO!L672="", "",TOTALCO!L672)</f>
        <v/>
      </c>
      <c r="M145" s="12" t="str">
        <f>IF(TOTALCO!M672="", "",TOTALCO!M672)</f>
        <v/>
      </c>
      <c r="N145" s="12" t="str">
        <f>IF(TOTALCO!N672="", "",TOTALCO!N672)</f>
        <v/>
      </c>
      <c r="O145" s="12" t="str">
        <f>IF(TOTALCO!O672="", "",TOTALCO!O672)</f>
        <v/>
      </c>
      <c r="P145" s="12" t="str">
        <f>IF(TOTALCO!P672="", "",TOTALCO!P672)</f>
        <v/>
      </c>
      <c r="Q145" s="12"/>
      <c r="R145" s="13"/>
    </row>
    <row r="146" spans="1:18" ht="15" x14ac:dyDescent="0.2">
      <c r="A146" s="321" t="str">
        <f>IF(TOTALCO!A673="", "",TOTALCO!A673)</f>
        <v/>
      </c>
      <c r="B146" s="4" t="str">
        <f>IF(TOTALCO!B673="", "",TOTALCO!B673)</f>
        <v>VIRGINIA PROPERTY-500 KV LINE</v>
      </c>
      <c r="C146" s="4" t="str">
        <f>IF(TOTALCO!C673="", "",TOTALCO!C673)</f>
        <v/>
      </c>
      <c r="D146" s="12" t="str">
        <f>IF(TOTALCO!D673="", "",TOTALCO!D673)</f>
        <v/>
      </c>
      <c r="E146" s="12" t="str">
        <f>IF(TOTALCO!E673="", "",TOTALCO!E673)</f>
        <v/>
      </c>
      <c r="F146" s="12" t="str">
        <f>IF(TOTALCO!F673="", "",TOTALCO!F673)</f>
        <v/>
      </c>
      <c r="G146" s="12" t="str">
        <f>IF(TOTALCO!G673="", "",TOTALCO!G673)</f>
        <v/>
      </c>
      <c r="H146" s="12" t="str">
        <f>IF(TOTALCO!H673="", "",TOTALCO!H673)</f>
        <v/>
      </c>
      <c r="I146" s="12" t="str">
        <f>IF(TOTALCO!I673="", "",TOTALCO!I673)</f>
        <v/>
      </c>
      <c r="J146" s="12" t="str">
        <f>IF(TOTALCO!J673="", "",TOTALCO!J673)</f>
        <v/>
      </c>
      <c r="K146" s="12" t="str">
        <f>IF(TOTALCO!K673="", "",TOTALCO!K673)</f>
        <v/>
      </c>
      <c r="L146" s="12" t="str">
        <f>IF(TOTALCO!L673="", "",TOTALCO!L673)</f>
        <v/>
      </c>
      <c r="M146" s="12" t="str">
        <f>IF(TOTALCO!M673="", "",TOTALCO!M673)</f>
        <v/>
      </c>
      <c r="N146" s="12" t="str">
        <f>IF(TOTALCO!N673="", "",TOTALCO!N673)</f>
        <v/>
      </c>
      <c r="O146" s="12" t="str">
        <f>IF(TOTALCO!O673="", "",TOTALCO!O673)</f>
        <v/>
      </c>
      <c r="P146" s="12" t="str">
        <f>IF(TOTALCO!P673="", "",TOTALCO!P673)</f>
        <v/>
      </c>
      <c r="Q146" s="12"/>
      <c r="R146" s="13"/>
    </row>
    <row r="147" spans="1:18" ht="15" x14ac:dyDescent="0.2">
      <c r="A147" s="321">
        <f>IF(TOTALCO!A674="", "",TOTALCO!A674)</f>
        <v>22</v>
      </c>
      <c r="B147" s="4" t="str">
        <f>IF(TOTALCO!B674="", "",TOTALCO!B674)</f>
        <v xml:space="preserve"> 350-LAND &amp; LAND RIGHTS</v>
      </c>
      <c r="C147" s="4" t="str">
        <f>IF(TOTALCO!C674="", "",TOTALCO!C674)</f>
        <v>DEMTRANNVF</v>
      </c>
      <c r="D147" s="12">
        <f ca="1">IF(TOTALCO!D674="", "",TOTALCO!D674)</f>
        <v>280370.75</v>
      </c>
      <c r="E147" s="12" t="str">
        <f>IF(TOTALCO!E674="", "",TOTALCO!E674)</f>
        <v/>
      </c>
      <c r="F147" s="12">
        <f ca="1">IF(TOTALCO!F674="", "",TOTALCO!F674)</f>
        <v>280369.85005183908</v>
      </c>
      <c r="G147" s="12" t="str">
        <f>IF(TOTALCO!G674="", "",TOTALCO!G674)</f>
        <v/>
      </c>
      <c r="H147" s="12">
        <f ca="1">IF(TOTALCO!H674="", "",TOTALCO!H674)</f>
        <v>0</v>
      </c>
      <c r="I147" s="12">
        <f ca="1">IF(TOTALCO!I674="", "",TOTALCO!I674)</f>
        <v>0.89994816091621976</v>
      </c>
      <c r="J147" s="12" t="str">
        <f>IF(TOTALCO!J674="", "",TOTALCO!J674)</f>
        <v/>
      </c>
      <c r="K147" s="12" t="str">
        <f>IF(TOTALCO!K674="", "",TOTALCO!K674)</f>
        <v/>
      </c>
      <c r="L147" s="12">
        <f ca="1">IF(TOTALCO!L674="", "",TOTALCO!L674)</f>
        <v>0.89994816091621976</v>
      </c>
      <c r="M147" s="12" t="str">
        <f>IF(TOTALCO!M674="", "",TOTALCO!M674)</f>
        <v/>
      </c>
      <c r="N147" s="12">
        <f ca="1">IF(TOTALCO!N674="", "",TOTALCO!N674)</f>
        <v>0</v>
      </c>
      <c r="O147" s="12">
        <f ca="1">IF(TOTALCO!O674="", "",TOTALCO!O674)</f>
        <v>0</v>
      </c>
      <c r="P147" s="12">
        <f ca="1">IF(TOTALCO!P674="", "",TOTALCO!P674)</f>
        <v>0</v>
      </c>
      <c r="Q147" s="12"/>
      <c r="R147" s="13"/>
    </row>
    <row r="148" spans="1:18" ht="15" x14ac:dyDescent="0.2">
      <c r="A148" s="321">
        <f>IF(TOTALCO!A675="", "",TOTALCO!A675)</f>
        <v>23</v>
      </c>
      <c r="B148" s="4" t="str">
        <f>IF(TOTALCO!B675="", "",TOTALCO!B675)</f>
        <v xml:space="preserve"> 354-TOWERS AND FIXTURES</v>
      </c>
      <c r="C148" s="4" t="str">
        <f>IF(TOTALCO!C675="", "",TOTALCO!C675)</f>
        <v>DEMTRANNVF</v>
      </c>
      <c r="D148" s="12">
        <f ca="1">IF(TOTALCO!D675="", "",TOTALCO!D675)</f>
        <v>4769322.8699999992</v>
      </c>
      <c r="E148" s="12" t="str">
        <f>IF(TOTALCO!E675="", "",TOTALCO!E675)</f>
        <v/>
      </c>
      <c r="F148" s="12">
        <f ca="1">IF(TOTALCO!F675="", "",TOTALCO!F675)</f>
        <v>4769307.5611871304</v>
      </c>
      <c r="G148" s="12" t="str">
        <f>IF(TOTALCO!G675="", "",TOTALCO!G675)</f>
        <v/>
      </c>
      <c r="H148" s="12">
        <f ca="1">IF(TOTALCO!H675="", "",TOTALCO!H675)</f>
        <v>0</v>
      </c>
      <c r="I148" s="12">
        <f ca="1">IF(TOTALCO!I675="", "",TOTALCO!I675)</f>
        <v>15.308812868932177</v>
      </c>
      <c r="J148" s="12" t="str">
        <f>IF(TOTALCO!J675="", "",TOTALCO!J675)</f>
        <v/>
      </c>
      <c r="K148" s="12" t="str">
        <f>IF(TOTALCO!K675="", "",TOTALCO!K675)</f>
        <v/>
      </c>
      <c r="L148" s="12">
        <f ca="1">IF(TOTALCO!L675="", "",TOTALCO!L675)</f>
        <v>15.308812868932177</v>
      </c>
      <c r="M148" s="12" t="str">
        <f>IF(TOTALCO!M675="", "",TOTALCO!M675)</f>
        <v/>
      </c>
      <c r="N148" s="12">
        <f ca="1">IF(TOTALCO!N675="", "",TOTALCO!N675)</f>
        <v>0</v>
      </c>
      <c r="O148" s="12">
        <f ca="1">IF(TOTALCO!O675="", "",TOTALCO!O675)</f>
        <v>0</v>
      </c>
      <c r="P148" s="12">
        <f ca="1">IF(TOTALCO!P675="", "",TOTALCO!P675)</f>
        <v>0</v>
      </c>
      <c r="Q148" s="12"/>
      <c r="R148" s="13"/>
    </row>
    <row r="149" spans="1:18" ht="15" x14ac:dyDescent="0.2">
      <c r="A149" s="321">
        <f>IF(TOTALCO!A676="", "",TOTALCO!A676)</f>
        <v>24</v>
      </c>
      <c r="B149" s="4" t="str">
        <f>IF(TOTALCO!B676="", "",TOTALCO!B676)</f>
        <v xml:space="preserve"> 355-POLES AND FIXTURES</v>
      </c>
      <c r="C149" s="4" t="str">
        <f>IF(TOTALCO!C676="", "",TOTALCO!C676)</f>
        <v>DEMTRANNVF</v>
      </c>
      <c r="D149" s="12">
        <f ca="1">IF(TOTALCO!D676="", "",TOTALCO!D676)</f>
        <v>51357.98</v>
      </c>
      <c r="E149" s="12" t="str">
        <f>IF(TOTALCO!E676="", "",TOTALCO!E676)</f>
        <v/>
      </c>
      <c r="F149" s="12">
        <f ca="1">IF(TOTALCO!F676="", "",TOTALCO!F676)</f>
        <v>51357.815148567926</v>
      </c>
      <c r="G149" s="12" t="str">
        <f>IF(TOTALCO!G676="", "",TOTALCO!G676)</f>
        <v/>
      </c>
      <c r="H149" s="12">
        <f ca="1">IF(TOTALCO!H676="", "",TOTALCO!H676)</f>
        <v>0</v>
      </c>
      <c r="I149" s="12">
        <f ca="1">IF(TOTALCO!I676="", "",TOTALCO!I676)</f>
        <v>0.164851432074751</v>
      </c>
      <c r="J149" s="12" t="str">
        <f>IF(TOTALCO!J676="", "",TOTALCO!J676)</f>
        <v/>
      </c>
      <c r="K149" s="12" t="str">
        <f>IF(TOTALCO!K676="", "",TOTALCO!K676)</f>
        <v/>
      </c>
      <c r="L149" s="12">
        <f ca="1">IF(TOTALCO!L676="", "",TOTALCO!L676)</f>
        <v>0.164851432074751</v>
      </c>
      <c r="M149" s="12" t="str">
        <f>IF(TOTALCO!M676="", "",TOTALCO!M676)</f>
        <v/>
      </c>
      <c r="N149" s="12">
        <f ca="1">IF(TOTALCO!N676="", "",TOTALCO!N676)</f>
        <v>0</v>
      </c>
      <c r="O149" s="12">
        <f ca="1">IF(TOTALCO!O676="", "",TOTALCO!O676)</f>
        <v>0</v>
      </c>
      <c r="P149" s="12">
        <f ca="1">IF(TOTALCO!P676="", "",TOTALCO!P676)</f>
        <v>0</v>
      </c>
      <c r="Q149" s="12"/>
      <c r="R149" s="13"/>
    </row>
    <row r="150" spans="1:18" ht="15" x14ac:dyDescent="0.2">
      <c r="A150" s="321">
        <f>IF(TOTALCO!A677="", "",TOTALCO!A677)</f>
        <v>25</v>
      </c>
      <c r="B150" s="4" t="str">
        <f>IF(TOTALCO!B677="", "",TOTALCO!B677)</f>
        <v xml:space="preserve"> 356-OH CONDUCTORS AND DEVICES</v>
      </c>
      <c r="C150" s="4" t="str">
        <f>IF(TOTALCO!C677="", "",TOTALCO!C677)</f>
        <v>DEMTRANNVF</v>
      </c>
      <c r="D150" s="12">
        <f ca="1">IF(TOTALCO!D677="", "",TOTALCO!D677)</f>
        <v>3129377.81</v>
      </c>
      <c r="E150" s="12" t="str">
        <f>IF(TOTALCO!E677="", "",TOTALCO!E677)</f>
        <v/>
      </c>
      <c r="F150" s="12">
        <f ca="1">IF(TOTALCO!F677="", "",TOTALCO!F677)</f>
        <v>3129367.7651654198</v>
      </c>
      <c r="G150" s="12" t="str">
        <f>IF(TOTALCO!G677="", "",TOTALCO!G677)</f>
        <v/>
      </c>
      <c r="H150" s="12">
        <f ca="1">IF(TOTALCO!H677="", "",TOTALCO!H677)</f>
        <v>0</v>
      </c>
      <c r="I150" s="12">
        <f ca="1">IF(TOTALCO!I677="", "",TOTALCO!I677)</f>
        <v>10.044834580360209</v>
      </c>
      <c r="J150" s="12" t="str">
        <f>IF(TOTALCO!J677="", "",TOTALCO!J677)</f>
        <v/>
      </c>
      <c r="K150" s="12" t="str">
        <f>IF(TOTALCO!K677="", "",TOTALCO!K677)</f>
        <v/>
      </c>
      <c r="L150" s="12">
        <f ca="1">IF(TOTALCO!L677="", "",TOTALCO!L677)</f>
        <v>10.044834580360209</v>
      </c>
      <c r="M150" s="12" t="str">
        <f>IF(TOTALCO!M677="", "",TOTALCO!M677)</f>
        <v/>
      </c>
      <c r="N150" s="12">
        <f ca="1">IF(TOTALCO!N677="", "",TOTALCO!N677)</f>
        <v>0</v>
      </c>
      <c r="O150" s="12">
        <f ca="1">IF(TOTALCO!O677="", "",TOTALCO!O677)</f>
        <v>0</v>
      </c>
      <c r="P150" s="12">
        <f ca="1">IF(TOTALCO!P677="", "",TOTALCO!P677)</f>
        <v>0</v>
      </c>
      <c r="Q150" s="12"/>
      <c r="R150" s="13"/>
    </row>
    <row r="151" spans="1:18" ht="15" x14ac:dyDescent="0.2">
      <c r="A151" s="321">
        <f>IF(TOTALCO!A678="", "",TOTALCO!A678)</f>
        <v>26</v>
      </c>
      <c r="B151" s="4" t="str">
        <f>IF(TOTALCO!B678="", "",TOTALCO!B678)</f>
        <v xml:space="preserve"> FERC-AFUDC PRE</v>
      </c>
      <c r="C151" s="4" t="str">
        <f>IF(TOTALCO!C678="", "",TOTALCO!C678)</f>
        <v>DEMFERC</v>
      </c>
      <c r="D151" s="12">
        <f ca="1">IF(TOTALCO!D678="", "",TOTALCO!D678)</f>
        <v>0</v>
      </c>
      <c r="E151" s="12" t="str">
        <f>IF(TOTALCO!E678="", "",TOTALCO!E678)</f>
        <v/>
      </c>
      <c r="F151" s="12">
        <f ca="1">IF(TOTALCO!F678="", "",TOTALCO!F678)</f>
        <v>0</v>
      </c>
      <c r="G151" s="12" t="str">
        <f>IF(TOTALCO!G678="", "",TOTALCO!G678)</f>
        <v/>
      </c>
      <c r="H151" s="12">
        <f ca="1">IF(TOTALCO!H678="", "",TOTALCO!H678)</f>
        <v>0</v>
      </c>
      <c r="I151" s="12">
        <f ca="1">IF(TOTALCO!I678="", "",TOTALCO!I678)</f>
        <v>0</v>
      </c>
      <c r="J151" s="12" t="str">
        <f>IF(TOTALCO!J678="", "",TOTALCO!J678)</f>
        <v/>
      </c>
      <c r="K151" s="12" t="str">
        <f>IF(TOTALCO!K678="", "",TOTALCO!K678)</f>
        <v/>
      </c>
      <c r="L151" s="12">
        <f ca="1">IF(TOTALCO!L678="", "",TOTALCO!L678)</f>
        <v>0</v>
      </c>
      <c r="M151" s="12" t="str">
        <f>IF(TOTALCO!M678="", "",TOTALCO!M678)</f>
        <v/>
      </c>
      <c r="N151" s="12">
        <f ca="1">IF(TOTALCO!N678="", "",TOTALCO!N678)</f>
        <v>0</v>
      </c>
      <c r="O151" s="12">
        <f ca="1">IF(TOTALCO!O678="", "",TOTALCO!O678)</f>
        <v>0</v>
      </c>
      <c r="P151" s="12">
        <f ca="1">IF(TOTALCO!P678="", "",TOTALCO!P678)</f>
        <v>0</v>
      </c>
      <c r="Q151" s="12"/>
      <c r="R151" s="13"/>
    </row>
    <row r="152" spans="1:18" ht="15" x14ac:dyDescent="0.2">
      <c r="A152" s="321">
        <f>IF(TOTALCO!A679="", "",TOTALCO!A679)</f>
        <v>27</v>
      </c>
      <c r="B152" s="4" t="str">
        <f>IF(TOTALCO!B679="", "",TOTALCO!B679)</f>
        <v xml:space="preserve"> FERC-AFUDC POST</v>
      </c>
      <c r="C152" s="4" t="str">
        <f>IF(TOTALCO!C679="", "",TOTALCO!C679)</f>
        <v>DEMFERCP</v>
      </c>
      <c r="D152" s="12">
        <f ca="1">IF(TOTALCO!D679="", "",TOTALCO!D679)</f>
        <v>0</v>
      </c>
      <c r="E152" s="12" t="str">
        <f>IF(TOTALCO!E679="", "",TOTALCO!E679)</f>
        <v/>
      </c>
      <c r="F152" s="12">
        <f ca="1">IF(TOTALCO!F679="", "",TOTALCO!F679)</f>
        <v>0</v>
      </c>
      <c r="G152" s="12" t="str">
        <f>IF(TOTALCO!G679="", "",TOTALCO!G679)</f>
        <v/>
      </c>
      <c r="H152" s="12">
        <f ca="1">IF(TOTALCO!H679="", "",TOTALCO!H679)</f>
        <v>0</v>
      </c>
      <c r="I152" s="12">
        <f ca="1">IF(TOTALCO!I679="", "",TOTALCO!I679)</f>
        <v>0</v>
      </c>
      <c r="J152" s="12" t="str">
        <f>IF(TOTALCO!J679="", "",TOTALCO!J679)</f>
        <v/>
      </c>
      <c r="K152" s="12" t="str">
        <f>IF(TOTALCO!K679="", "",TOTALCO!K679)</f>
        <v/>
      </c>
      <c r="L152" s="12">
        <f ca="1">IF(TOTALCO!L679="", "",TOTALCO!L679)</f>
        <v>0</v>
      </c>
      <c r="M152" s="12" t="str">
        <f>IF(TOTALCO!M679="", "",TOTALCO!M679)</f>
        <v/>
      </c>
      <c r="N152" s="12">
        <f ca="1">IF(TOTALCO!N679="", "",TOTALCO!N679)</f>
        <v>0</v>
      </c>
      <c r="O152" s="12">
        <f ca="1">IF(TOTALCO!O679="", "",TOTALCO!O679)</f>
        <v>0</v>
      </c>
      <c r="P152" s="12">
        <f ca="1">IF(TOTALCO!P679="", "",TOTALCO!P679)</f>
        <v>0</v>
      </c>
      <c r="Q152" s="12"/>
      <c r="R152" s="13"/>
    </row>
    <row r="153" spans="1:18" ht="15" x14ac:dyDescent="0.2">
      <c r="A153" s="321">
        <f>IF(TOTALCO!A680="", "",TOTALCO!A680)</f>
        <v>28</v>
      </c>
      <c r="B153" s="4" t="str">
        <f>IF(TOTALCO!B680="", "",TOTALCO!B680)</f>
        <v>TOTAL VIRGINIA PROPERTY-500 KV LINE</v>
      </c>
      <c r="C153" s="4" t="str">
        <f>IF(TOTALCO!C680="", "",TOTALCO!C680)</f>
        <v/>
      </c>
      <c r="D153" s="12">
        <f ca="1">IF(TOTALCO!D680="", "",TOTALCO!D680)</f>
        <v>8230429.4099999983</v>
      </c>
      <c r="E153" s="12" t="str">
        <f>IF(TOTALCO!E680="", "",TOTALCO!E680)</f>
        <v/>
      </c>
      <c r="F153" s="12">
        <f ca="1">IF(TOTALCO!F680="", "",TOTALCO!F680)</f>
        <v>8230402.9915529564</v>
      </c>
      <c r="G153" s="12" t="str">
        <f>IF(TOTALCO!G680="", "",TOTALCO!G680)</f>
        <v/>
      </c>
      <c r="H153" s="12">
        <f ca="1">IF(TOTALCO!H680="", "",TOTALCO!H680)</f>
        <v>0</v>
      </c>
      <c r="I153" s="12">
        <f ca="1">IF(TOTALCO!I680="", "",TOTALCO!I680)</f>
        <v>26.418447042283358</v>
      </c>
      <c r="J153" s="12" t="str">
        <f>IF(TOTALCO!J680="", "",TOTALCO!J680)</f>
        <v/>
      </c>
      <c r="K153" s="12" t="str">
        <f>IF(TOTALCO!K680="", "",TOTALCO!K680)</f>
        <v/>
      </c>
      <c r="L153" s="12">
        <f ca="1">IF(TOTALCO!L680="", "",TOTALCO!L680)</f>
        <v>26.418447042283358</v>
      </c>
      <c r="M153" s="12" t="str">
        <f>IF(TOTALCO!M680="", "",TOTALCO!M680)</f>
        <v/>
      </c>
      <c r="N153" s="12">
        <f ca="1">IF(TOTALCO!N680="", "",TOTALCO!N680)</f>
        <v>0</v>
      </c>
      <c r="O153" s="12">
        <f ca="1">IF(TOTALCO!O680="", "",TOTALCO!O680)</f>
        <v>0</v>
      </c>
      <c r="P153" s="12">
        <f ca="1">IF(TOTALCO!P680="", "",TOTALCO!P680)</f>
        <v>0</v>
      </c>
      <c r="Q153" s="12"/>
      <c r="R153" s="13"/>
    </row>
    <row r="154" spans="1:18" ht="15" x14ac:dyDescent="0.2">
      <c r="A154" s="321" t="str">
        <f>IF(TOTALCO!A681="", "",TOTALCO!A681)</f>
        <v/>
      </c>
      <c r="B154" s="4" t="str">
        <f>IF(TOTALCO!B681="", "",TOTALCO!B681)</f>
        <v/>
      </c>
      <c r="C154" s="4" t="str">
        <f>IF(TOTALCO!C681="", "",TOTALCO!C681)</f>
        <v/>
      </c>
      <c r="D154" s="12" t="str">
        <f>IF(TOTALCO!D681="", "",TOTALCO!D681)</f>
        <v/>
      </c>
      <c r="E154" s="12" t="str">
        <f>IF(TOTALCO!E681="", "",TOTALCO!E681)</f>
        <v/>
      </c>
      <c r="F154" s="12" t="str">
        <f>IF(TOTALCO!F681="", "",TOTALCO!F681)</f>
        <v/>
      </c>
      <c r="G154" s="12" t="str">
        <f>IF(TOTALCO!G681="", "",TOTALCO!G681)</f>
        <v/>
      </c>
      <c r="H154" s="12" t="str">
        <f>IF(TOTALCO!H681="", "",TOTALCO!H681)</f>
        <v/>
      </c>
      <c r="I154" s="12" t="str">
        <f>IF(TOTALCO!I681="", "",TOTALCO!I681)</f>
        <v/>
      </c>
      <c r="J154" s="12" t="str">
        <f>IF(TOTALCO!J681="", "",TOTALCO!J681)</f>
        <v/>
      </c>
      <c r="K154" s="12" t="str">
        <f>IF(TOTALCO!K681="", "",TOTALCO!K681)</f>
        <v/>
      </c>
      <c r="L154" s="12" t="str">
        <f>IF(TOTALCO!L681="", "",TOTALCO!L681)</f>
        <v/>
      </c>
      <c r="M154" s="12" t="str">
        <f>IF(TOTALCO!M681="", "",TOTALCO!M681)</f>
        <v/>
      </c>
      <c r="N154" s="12" t="str">
        <f>IF(TOTALCO!N681="", "",TOTALCO!N681)</f>
        <v/>
      </c>
      <c r="O154" s="12" t="str">
        <f>IF(TOTALCO!O681="", "",TOTALCO!O681)</f>
        <v/>
      </c>
      <c r="P154" s="12" t="str">
        <f>IF(TOTALCO!P681="", "",TOTALCO!P681)</f>
        <v/>
      </c>
      <c r="Q154" s="12"/>
      <c r="R154" s="13"/>
    </row>
    <row r="155" spans="1:18" ht="15" x14ac:dyDescent="0.2">
      <c r="A155" s="321">
        <f>IF(TOTALCO!A682="", "",TOTALCO!A682)</f>
        <v>29</v>
      </c>
      <c r="B155" s="4" t="str">
        <f>IF(TOTALCO!B682="", "",TOTALCO!B682)</f>
        <v>TOTAL TRANSMISSION PLANT</v>
      </c>
      <c r="C155" s="4" t="str">
        <f>IF(TOTALCO!C682="", "",TOTALCO!C682)</f>
        <v/>
      </c>
      <c r="D155" s="12">
        <f ca="1">IF(TOTALCO!D682="", "",TOTALCO!D682)</f>
        <v>1137907254.147691</v>
      </c>
      <c r="E155" s="12" t="str">
        <f>IF(TOTALCO!E682="", "",TOTALCO!E682)</f>
        <v/>
      </c>
      <c r="F155" s="12">
        <f ca="1">IF(TOTALCO!F682="", "",TOTALCO!F682)</f>
        <v>1029901679.3999412</v>
      </c>
      <c r="G155" s="12" t="str">
        <f>IF(TOTALCO!G682="", "",TOTALCO!G682)</f>
        <v/>
      </c>
      <c r="H155" s="12">
        <f ca="1">IF(TOTALCO!H682="", "",TOTALCO!H682)</f>
        <v>107268946.88114238</v>
      </c>
      <c r="I155" s="12">
        <f ca="1">IF(TOTALCO!I682="", "",TOTALCO!I682)</f>
        <v>736627.86660732084</v>
      </c>
      <c r="J155" s="12" t="str">
        <f>IF(TOTALCO!J682="", "",TOTALCO!J682)</f>
        <v/>
      </c>
      <c r="K155" s="12" t="str">
        <f>IF(TOTALCO!K682="", "",TOTALCO!K682)</f>
        <v/>
      </c>
      <c r="L155" s="12">
        <f ca="1">IF(TOTALCO!L682="", "",TOTALCO!L682)</f>
        <v>3297.5522748105245</v>
      </c>
      <c r="M155" s="12" t="str">
        <f>IF(TOTALCO!M682="", "",TOTALCO!M682)</f>
        <v/>
      </c>
      <c r="N155" s="12">
        <f ca="1">IF(TOTALCO!N682="", "",TOTALCO!N682)</f>
        <v>733330.31433251034</v>
      </c>
      <c r="O155" s="12">
        <f ca="1">IF(TOTALCO!O682="", "",TOTALCO!O682)</f>
        <v>371924.64084374672</v>
      </c>
      <c r="P155" s="12">
        <f ca="1">IF(TOTALCO!P682="", "",TOTALCO!P682)</f>
        <v>361405.67348876363</v>
      </c>
      <c r="Q155" s="12"/>
      <c r="R155" s="13"/>
    </row>
    <row r="156" spans="1:18" ht="15" x14ac:dyDescent="0.2">
      <c r="A156" s="321" t="str">
        <f>IF(TOTALCO!A683="", "",TOTALCO!A683)</f>
        <v/>
      </c>
      <c r="B156" s="4" t="str">
        <f>IF(TOTALCO!B683="", "",TOTALCO!B683)</f>
        <v/>
      </c>
      <c r="C156" s="4" t="str">
        <f>IF(TOTALCO!C683="", "",TOTALCO!C683)</f>
        <v/>
      </c>
      <c r="D156" s="12" t="str">
        <f>IF(TOTALCO!D683="", "",TOTALCO!D683)</f>
        <v/>
      </c>
      <c r="E156" s="12" t="str">
        <f>IF(TOTALCO!E683="", "",TOTALCO!E683)</f>
        <v/>
      </c>
      <c r="F156" s="12" t="str">
        <f>IF(TOTALCO!F683="", "",TOTALCO!F683)</f>
        <v/>
      </c>
      <c r="G156" s="12" t="str">
        <f>IF(TOTALCO!G683="", "",TOTALCO!G683)</f>
        <v/>
      </c>
      <c r="H156" s="12" t="str">
        <f>IF(TOTALCO!H683="", "",TOTALCO!H683)</f>
        <v/>
      </c>
      <c r="I156" s="12" t="str">
        <f>IF(TOTALCO!I683="", "",TOTALCO!I683)</f>
        <v/>
      </c>
      <c r="J156" s="12" t="str">
        <f>IF(TOTALCO!J683="", "",TOTALCO!J683)</f>
        <v/>
      </c>
      <c r="K156" s="12" t="str">
        <f>IF(TOTALCO!K683="", "",TOTALCO!K683)</f>
        <v/>
      </c>
      <c r="L156" s="12" t="str">
        <f>IF(TOTALCO!L683="", "",TOTALCO!L683)</f>
        <v/>
      </c>
      <c r="M156" s="12" t="str">
        <f>IF(TOTALCO!M683="", "",TOTALCO!M683)</f>
        <v/>
      </c>
      <c r="N156" s="12" t="str">
        <f>IF(TOTALCO!N683="", "",TOTALCO!N683)</f>
        <v/>
      </c>
      <c r="O156" s="12" t="str">
        <f>IF(TOTALCO!O683="", "",TOTALCO!O683)</f>
        <v/>
      </c>
      <c r="P156" s="12" t="str">
        <f>IF(TOTALCO!P683="", "",TOTALCO!P683)</f>
        <v/>
      </c>
      <c r="Q156" s="12"/>
      <c r="R156" s="13"/>
    </row>
    <row r="157" spans="1:18" ht="15" x14ac:dyDescent="0.2">
      <c r="A157" s="321" t="str">
        <f>IF(TOTALCO!A684="", "",TOTALCO!A684)</f>
        <v/>
      </c>
      <c r="B157" s="4" t="str">
        <f>IF(TOTALCO!B684="", "",TOTALCO!B684)</f>
        <v>ELECTRIC PLANT IN SERVICE CON'T</v>
      </c>
      <c r="C157" s="4" t="str">
        <f>IF(TOTALCO!C684="", "",TOTALCO!C684)</f>
        <v/>
      </c>
      <c r="D157" s="12" t="str">
        <f>IF(TOTALCO!D684="", "",TOTALCO!D684)</f>
        <v/>
      </c>
      <c r="E157" s="12" t="str">
        <f>IF(TOTALCO!E684="", "",TOTALCO!E684)</f>
        <v/>
      </c>
      <c r="F157" s="12" t="str">
        <f>IF(TOTALCO!F684="", "",TOTALCO!F684)</f>
        <v/>
      </c>
      <c r="G157" s="12" t="str">
        <f>IF(TOTALCO!G684="", "",TOTALCO!G684)</f>
        <v/>
      </c>
      <c r="H157" s="12" t="str">
        <f>IF(TOTALCO!H684="", "",TOTALCO!H684)</f>
        <v/>
      </c>
      <c r="I157" s="12" t="str">
        <f>IF(TOTALCO!I684="", "",TOTALCO!I684)</f>
        <v/>
      </c>
      <c r="J157" s="12" t="str">
        <f>IF(TOTALCO!J684="", "",TOTALCO!J684)</f>
        <v/>
      </c>
      <c r="K157" s="12" t="str">
        <f>IF(TOTALCO!K684="", "",TOTALCO!K684)</f>
        <v/>
      </c>
      <c r="L157" s="12" t="str">
        <f>IF(TOTALCO!L684="", "",TOTALCO!L684)</f>
        <v/>
      </c>
      <c r="M157" s="12" t="str">
        <f>IF(TOTALCO!M684="", "",TOTALCO!M684)</f>
        <v/>
      </c>
      <c r="N157" s="12" t="str">
        <f>IF(TOTALCO!N684="", "",TOTALCO!N684)</f>
        <v/>
      </c>
      <c r="O157" s="12" t="str">
        <f>IF(TOTALCO!O684="", "",TOTALCO!O684)</f>
        <v/>
      </c>
      <c r="P157" s="12" t="str">
        <f>IF(TOTALCO!P684="", "",TOTALCO!P684)</f>
        <v/>
      </c>
      <c r="Q157" s="12"/>
      <c r="R157" s="13"/>
    </row>
    <row r="158" spans="1:18" ht="15" x14ac:dyDescent="0.2">
      <c r="A158" s="321" t="str">
        <f>IF(TOTALCO!A685="", "",TOTALCO!A685)</f>
        <v/>
      </c>
      <c r="B158" s="4" t="str">
        <f>IF(TOTALCO!B685="", "",TOTALCO!B685)</f>
        <v/>
      </c>
      <c r="C158" s="4" t="str">
        <f>IF(TOTALCO!C685="", "",TOTALCO!C685)</f>
        <v/>
      </c>
      <c r="D158" s="12" t="str">
        <f>IF(TOTALCO!D685="", "",TOTALCO!D685)</f>
        <v/>
      </c>
      <c r="E158" s="12" t="str">
        <f>IF(TOTALCO!E685="", "",TOTALCO!E685)</f>
        <v/>
      </c>
      <c r="F158" s="12" t="str">
        <f>IF(TOTALCO!F685="", "",TOTALCO!F685)</f>
        <v/>
      </c>
      <c r="G158" s="12" t="str">
        <f>IF(TOTALCO!G685="", "",TOTALCO!G685)</f>
        <v/>
      </c>
      <c r="H158" s="12" t="str">
        <f>IF(TOTALCO!H685="", "",TOTALCO!H685)</f>
        <v/>
      </c>
      <c r="I158" s="12" t="str">
        <f>IF(TOTALCO!I685="", "",TOTALCO!I685)</f>
        <v/>
      </c>
      <c r="J158" s="12" t="str">
        <f>IF(TOTALCO!J685="", "",TOTALCO!J685)</f>
        <v/>
      </c>
      <c r="K158" s="12" t="str">
        <f>IF(TOTALCO!K685="", "",TOTALCO!K685)</f>
        <v/>
      </c>
      <c r="L158" s="12" t="str">
        <f>IF(TOTALCO!L685="", "",TOTALCO!L685)</f>
        <v/>
      </c>
      <c r="M158" s="12" t="str">
        <f>IF(TOTALCO!M685="", "",TOTALCO!M685)</f>
        <v/>
      </c>
      <c r="N158" s="12" t="str">
        <f>IF(TOTALCO!N685="", "",TOTALCO!N685)</f>
        <v/>
      </c>
      <c r="O158" s="12" t="str">
        <f>IF(TOTALCO!O685="", "",TOTALCO!O685)</f>
        <v/>
      </c>
      <c r="P158" s="12" t="str">
        <f>IF(TOTALCO!P685="", "",TOTALCO!P685)</f>
        <v/>
      </c>
      <c r="Q158" s="12"/>
      <c r="R158" s="13"/>
    </row>
    <row r="159" spans="1:18" ht="15" x14ac:dyDescent="0.2">
      <c r="A159" s="321" t="str">
        <f>IF(TOTALCO!A686="", "",TOTALCO!A686)</f>
        <v/>
      </c>
      <c r="B159" s="4" t="str">
        <f>IF(TOTALCO!B686="", "",TOTALCO!B686)</f>
        <v>DISTRIBUTION PLANT</v>
      </c>
      <c r="C159" s="4" t="str">
        <f>IF(TOTALCO!C686="", "",TOTALCO!C686)</f>
        <v/>
      </c>
      <c r="D159" s="12" t="str">
        <f>IF(TOTALCO!D686="", "",TOTALCO!D686)</f>
        <v/>
      </c>
      <c r="E159" s="12" t="str">
        <f>IF(TOTALCO!E686="", "",TOTALCO!E686)</f>
        <v/>
      </c>
      <c r="F159" s="12" t="str">
        <f>IF(TOTALCO!F686="", "",TOTALCO!F686)</f>
        <v/>
      </c>
      <c r="G159" s="12" t="str">
        <f>IF(TOTALCO!G686="", "",TOTALCO!G686)</f>
        <v/>
      </c>
      <c r="H159" s="12" t="str">
        <f>IF(TOTALCO!H686="", "",TOTALCO!H686)</f>
        <v/>
      </c>
      <c r="I159" s="12" t="str">
        <f>IF(TOTALCO!I686="", "",TOTALCO!I686)</f>
        <v/>
      </c>
      <c r="J159" s="12" t="str">
        <f>IF(TOTALCO!J686="", "",TOTALCO!J686)</f>
        <v/>
      </c>
      <c r="K159" s="12" t="str">
        <f>IF(TOTALCO!K686="", "",TOTALCO!K686)</f>
        <v/>
      </c>
      <c r="L159" s="12" t="str">
        <f>IF(TOTALCO!L686="", "",TOTALCO!L686)</f>
        <v/>
      </c>
      <c r="M159" s="12" t="str">
        <f>IF(TOTALCO!M686="", "",TOTALCO!M686)</f>
        <v/>
      </c>
      <c r="N159" s="12" t="str">
        <f>IF(TOTALCO!N686="", "",TOTALCO!N686)</f>
        <v/>
      </c>
      <c r="O159" s="12" t="str">
        <f>IF(TOTALCO!O686="", "",TOTALCO!O686)</f>
        <v/>
      </c>
      <c r="P159" s="12" t="str">
        <f>IF(TOTALCO!P686="", "",TOTALCO!P686)</f>
        <v/>
      </c>
      <c r="Q159" s="12"/>
      <c r="R159" s="13"/>
    </row>
    <row r="160" spans="1:18" ht="15" x14ac:dyDescent="0.2">
      <c r="A160" s="321" t="str">
        <f>IF(TOTALCO!A687="", "",TOTALCO!A687)</f>
        <v/>
      </c>
      <c r="B160" s="4" t="str">
        <f>IF(TOTALCO!B687="", "",TOTALCO!B687)</f>
        <v xml:space="preserve"> KENTUCKY DISTRIBUTION PLANT</v>
      </c>
      <c r="C160" s="4" t="str">
        <f>IF(TOTALCO!C687="", "",TOTALCO!C687)</f>
        <v/>
      </c>
      <c r="D160" s="12" t="str">
        <f>IF(TOTALCO!D687="", "",TOTALCO!D687)</f>
        <v/>
      </c>
      <c r="E160" s="12" t="str">
        <f>IF(TOTALCO!E687="", "",TOTALCO!E687)</f>
        <v/>
      </c>
      <c r="F160" s="12" t="str">
        <f>IF(TOTALCO!F687="", "",TOTALCO!F687)</f>
        <v/>
      </c>
      <c r="G160" s="12" t="str">
        <f>IF(TOTALCO!G687="", "",TOTALCO!G687)</f>
        <v/>
      </c>
      <c r="H160" s="12" t="str">
        <f>IF(TOTALCO!H687="", "",TOTALCO!H687)</f>
        <v/>
      </c>
      <c r="I160" s="12" t="str">
        <f>IF(TOTALCO!I687="", "",TOTALCO!I687)</f>
        <v/>
      </c>
      <c r="J160" s="12" t="str">
        <f>IF(TOTALCO!J687="", "",TOTALCO!J687)</f>
        <v/>
      </c>
      <c r="K160" s="12" t="str">
        <f>IF(TOTALCO!K687="", "",TOTALCO!K687)</f>
        <v/>
      </c>
      <c r="L160" s="12" t="str">
        <f>IF(TOTALCO!L687="", "",TOTALCO!L687)</f>
        <v/>
      </c>
      <c r="M160" s="12" t="str">
        <f>IF(TOTALCO!M687="", "",TOTALCO!M687)</f>
        <v/>
      </c>
      <c r="N160" s="12" t="str">
        <f>IF(TOTALCO!N687="", "",TOTALCO!N687)</f>
        <v/>
      </c>
      <c r="O160" s="12" t="str">
        <f>IF(TOTALCO!O687="", "",TOTALCO!O687)</f>
        <v/>
      </c>
      <c r="P160" s="12" t="str">
        <f>IF(TOTALCO!P687="", "",TOTALCO!P687)</f>
        <v/>
      </c>
      <c r="Q160" s="12"/>
      <c r="R160" s="13"/>
    </row>
    <row r="161" spans="1:18" ht="15" x14ac:dyDescent="0.2">
      <c r="A161" s="321">
        <f>IF(TOTALCO!A688="", "",TOTALCO!A688)</f>
        <v>1</v>
      </c>
      <c r="B161" s="4" t="str">
        <f>IF(TOTALCO!B688="", "",TOTALCO!B688)</f>
        <v xml:space="preserve"> 360-LAND &amp; LAND RIGHTS</v>
      </c>
      <c r="C161" s="4" t="str">
        <f>IF(TOTALCO!C688="", "",TOTALCO!C688)</f>
        <v>DEM360K</v>
      </c>
      <c r="D161" s="12">
        <f ca="1">IF(TOTALCO!D688="", "",TOTALCO!D688)</f>
        <v>9234551.6115384512</v>
      </c>
      <c r="E161" s="12" t="str">
        <f>IF(TOTALCO!E688="", "",TOTALCO!E688)</f>
        <v/>
      </c>
      <c r="F161" s="12">
        <f ca="1">IF(TOTALCO!F688="", "",TOTALCO!F688)</f>
        <v>9225394.6115384512</v>
      </c>
      <c r="G161" s="12" t="str">
        <f>IF(TOTALCO!G688="", "",TOTALCO!G688)</f>
        <v/>
      </c>
      <c r="H161" s="12">
        <f ca="1">IF(TOTALCO!H688="", "",TOTALCO!H688)</f>
        <v>0</v>
      </c>
      <c r="I161" s="12">
        <f ca="1">IF(TOTALCO!I688="", "",TOTALCO!I688)</f>
        <v>9157</v>
      </c>
      <c r="J161" s="12" t="str">
        <f>IF(TOTALCO!J688="", "",TOTALCO!J688)</f>
        <v/>
      </c>
      <c r="K161" s="12" t="str">
        <f>IF(TOTALCO!K688="", "",TOTALCO!K688)</f>
        <v/>
      </c>
      <c r="L161" s="12">
        <f ca="1">IF(TOTALCO!L688="", "",TOTALCO!L688)</f>
        <v>0</v>
      </c>
      <c r="M161" s="12" t="str">
        <f>IF(TOTALCO!M688="", "",TOTALCO!M688)</f>
        <v/>
      </c>
      <c r="N161" s="12">
        <f ca="1">IF(TOTALCO!N688="", "",TOTALCO!N688)</f>
        <v>9157</v>
      </c>
      <c r="O161" s="12">
        <f ca="1">IF(TOTALCO!O688="", "",TOTALCO!O688)</f>
        <v>9157</v>
      </c>
      <c r="P161" s="12">
        <f ca="1">IF(TOTALCO!P688="", "",TOTALCO!P688)</f>
        <v>0</v>
      </c>
      <c r="Q161" s="12"/>
      <c r="R161" s="13"/>
    </row>
    <row r="162" spans="1:18" ht="15" x14ac:dyDescent="0.2">
      <c r="A162" s="321">
        <f>IF(TOTALCO!A689="", "",TOTALCO!A689)</f>
        <v>2</v>
      </c>
      <c r="B162" s="4" t="str">
        <f>IF(TOTALCO!B689="", "",TOTALCO!B689)</f>
        <v xml:space="preserve"> 361-STRUCTURES AND IMPROVEMENTS</v>
      </c>
      <c r="C162" s="4" t="str">
        <f>IF(TOTALCO!C689="", "",TOTALCO!C689)</f>
        <v>DEM361K</v>
      </c>
      <c r="D162" s="12">
        <f ca="1">IF(TOTALCO!D689="", "",TOTALCO!D689)</f>
        <v>27775081.824615382</v>
      </c>
      <c r="E162" s="12" t="str">
        <f>IF(TOTALCO!E689="", "",TOTALCO!E689)</f>
        <v/>
      </c>
      <c r="F162" s="12">
        <f ca="1">IF(TOTALCO!F689="", "",TOTALCO!F689)</f>
        <v>27419669.824615382</v>
      </c>
      <c r="G162" s="12" t="str">
        <f>IF(TOTALCO!G689="", "",TOTALCO!G689)</f>
        <v/>
      </c>
      <c r="H162" s="12">
        <f ca="1">IF(TOTALCO!H689="", "",TOTALCO!H689)</f>
        <v>0</v>
      </c>
      <c r="I162" s="12">
        <f ca="1">IF(TOTALCO!I689="", "",TOTALCO!I689)</f>
        <v>355412</v>
      </c>
      <c r="J162" s="12" t="str">
        <f>IF(TOTALCO!J689="", "",TOTALCO!J689)</f>
        <v/>
      </c>
      <c r="K162" s="12" t="str">
        <f>IF(TOTALCO!K689="", "",TOTALCO!K689)</f>
        <v/>
      </c>
      <c r="L162" s="12">
        <f ca="1">IF(TOTALCO!L689="", "",TOTALCO!L689)</f>
        <v>0</v>
      </c>
      <c r="M162" s="12" t="str">
        <f>IF(TOTALCO!M689="", "",TOTALCO!M689)</f>
        <v/>
      </c>
      <c r="N162" s="12">
        <f ca="1">IF(TOTALCO!N689="", "",TOTALCO!N689)</f>
        <v>355412</v>
      </c>
      <c r="O162" s="12">
        <f ca="1">IF(TOTALCO!O689="", "",TOTALCO!O689)</f>
        <v>355412</v>
      </c>
      <c r="P162" s="12">
        <f ca="1">IF(TOTALCO!P689="", "",TOTALCO!P689)</f>
        <v>0</v>
      </c>
      <c r="Q162" s="12"/>
      <c r="R162" s="13"/>
    </row>
    <row r="163" spans="1:18" ht="15" x14ac:dyDescent="0.2">
      <c r="A163" s="321">
        <f>IF(TOTALCO!A690="", "",TOTALCO!A690)</f>
        <v>3</v>
      </c>
      <c r="B163" s="4" t="str">
        <f>IF(TOTALCO!B690="", "",TOTALCO!B690)</f>
        <v xml:space="preserve"> 362-STATION EQUIPMENT</v>
      </c>
      <c r="C163" s="4" t="str">
        <f>IF(TOTALCO!C690="", "",TOTALCO!C690)</f>
        <v>DEM362K</v>
      </c>
      <c r="D163" s="12">
        <f ca="1">IF(TOTALCO!D690="", "",TOTALCO!D690)</f>
        <v>245177243.63692296</v>
      </c>
      <c r="E163" s="12" t="str">
        <f>IF(TOTALCO!E690="", "",TOTALCO!E690)</f>
        <v/>
      </c>
      <c r="F163" s="12">
        <f ca="1">IF(TOTALCO!F690="", "",TOTALCO!F690)</f>
        <v>241924160.63692296</v>
      </c>
      <c r="G163" s="12" t="str">
        <f>IF(TOTALCO!G690="", "",TOTALCO!G690)</f>
        <v/>
      </c>
      <c r="H163" s="12">
        <f ca="1">IF(TOTALCO!H690="", "",TOTALCO!H690)</f>
        <v>0</v>
      </c>
      <c r="I163" s="12">
        <f ca="1">IF(TOTALCO!I690="", "",TOTALCO!I690)</f>
        <v>3253083</v>
      </c>
      <c r="J163" s="12" t="str">
        <f>IF(TOTALCO!J690="", "",TOTALCO!J690)</f>
        <v/>
      </c>
      <c r="K163" s="12" t="str">
        <f>IF(TOTALCO!K690="", "",TOTALCO!K690)</f>
        <v/>
      </c>
      <c r="L163" s="12">
        <f ca="1">IF(TOTALCO!L690="", "",TOTALCO!L690)</f>
        <v>0</v>
      </c>
      <c r="M163" s="12" t="str">
        <f>IF(TOTALCO!M690="", "",TOTALCO!M690)</f>
        <v/>
      </c>
      <c r="N163" s="12">
        <f ca="1">IF(TOTALCO!N690="", "",TOTALCO!N690)</f>
        <v>3253083</v>
      </c>
      <c r="O163" s="12">
        <f ca="1">IF(TOTALCO!O690="", "",TOTALCO!O690)</f>
        <v>3253083</v>
      </c>
      <c r="P163" s="12">
        <f ca="1">IF(TOTALCO!P690="", "",TOTALCO!P690)</f>
        <v>0</v>
      </c>
      <c r="Q163" s="12"/>
      <c r="R163" s="13"/>
    </row>
    <row r="164" spans="1:18" ht="15" x14ac:dyDescent="0.2">
      <c r="A164" s="321">
        <f>IF(TOTALCO!A691="", "",TOTALCO!A691)</f>
        <v>4</v>
      </c>
      <c r="B164" s="4" t="str">
        <f>IF(TOTALCO!B691="", "",TOTALCO!B691)</f>
        <v xml:space="preserve"> 364-POLES, TOWERS, AND FIXTURES</v>
      </c>
      <c r="C164" s="4" t="str">
        <f>IF(TOTALCO!C691="", "",TOTALCO!C691)</f>
        <v>DEM364K</v>
      </c>
      <c r="D164" s="12">
        <f ca="1">IF(TOTALCO!D691="", "",TOTALCO!D691)</f>
        <v>397421920.64384615</v>
      </c>
      <c r="E164" s="12" t="str">
        <f>IF(TOTALCO!E691="", "",TOTALCO!E691)</f>
        <v/>
      </c>
      <c r="F164" s="12">
        <f ca="1">IF(TOTALCO!F691="", "",TOTALCO!F691)</f>
        <v>397421920.64384615</v>
      </c>
      <c r="G164" s="12" t="str">
        <f>IF(TOTALCO!G691="", "",TOTALCO!G691)</f>
        <v/>
      </c>
      <c r="H164" s="12">
        <f ca="1">IF(TOTALCO!H691="", "",TOTALCO!H691)</f>
        <v>0</v>
      </c>
      <c r="I164" s="12">
        <f ca="1">IF(TOTALCO!I691="", "",TOTALCO!I691)</f>
        <v>0</v>
      </c>
      <c r="J164" s="12" t="str">
        <f>IF(TOTALCO!J691="", "",TOTALCO!J691)</f>
        <v/>
      </c>
      <c r="K164" s="12" t="str">
        <f>IF(TOTALCO!K691="", "",TOTALCO!K691)</f>
        <v/>
      </c>
      <c r="L164" s="12">
        <f ca="1">IF(TOTALCO!L691="", "",TOTALCO!L691)</f>
        <v>0</v>
      </c>
      <c r="M164" s="12" t="str">
        <f>IF(TOTALCO!M691="", "",TOTALCO!M691)</f>
        <v/>
      </c>
      <c r="N164" s="12">
        <f ca="1">IF(TOTALCO!N691="", "",TOTALCO!N691)</f>
        <v>0</v>
      </c>
      <c r="O164" s="12">
        <f ca="1">IF(TOTALCO!O691="", "",TOTALCO!O691)</f>
        <v>0</v>
      </c>
      <c r="P164" s="12">
        <f ca="1">IF(TOTALCO!P691="", "",TOTALCO!P691)</f>
        <v>0</v>
      </c>
      <c r="Q164" s="12"/>
      <c r="R164" s="13"/>
    </row>
    <row r="165" spans="1:18" ht="15" x14ac:dyDescent="0.2">
      <c r="A165" s="321">
        <f>IF(TOTALCO!A692="", "",TOTALCO!A692)</f>
        <v>5</v>
      </c>
      <c r="B165" s="4" t="str">
        <f>IF(TOTALCO!B692="", "",TOTALCO!B692)</f>
        <v xml:space="preserve"> 365-OH CONDUCTORS AND DEVICES</v>
      </c>
      <c r="C165" s="4" t="str">
        <f>IF(TOTALCO!C692="", "",TOTALCO!C692)</f>
        <v>DEM365K</v>
      </c>
      <c r="D165" s="12">
        <f ca="1">IF(TOTALCO!D692="", "",TOTALCO!D692)</f>
        <v>398758262.67615396</v>
      </c>
      <c r="E165" s="12" t="str">
        <f>IF(TOTALCO!E692="", "",TOTALCO!E692)</f>
        <v/>
      </c>
      <c r="F165" s="12">
        <f ca="1">IF(TOTALCO!F692="", "",TOTALCO!F692)</f>
        <v>398758262.67615396</v>
      </c>
      <c r="G165" s="12" t="str">
        <f>IF(TOTALCO!G692="", "",TOTALCO!G692)</f>
        <v/>
      </c>
      <c r="H165" s="12">
        <f ca="1">IF(TOTALCO!H692="", "",TOTALCO!H692)</f>
        <v>0</v>
      </c>
      <c r="I165" s="12">
        <f ca="1">IF(TOTALCO!I692="", "",TOTALCO!I692)</f>
        <v>0</v>
      </c>
      <c r="J165" s="12" t="str">
        <f>IF(TOTALCO!J692="", "",TOTALCO!J692)</f>
        <v/>
      </c>
      <c r="K165" s="12" t="str">
        <f>IF(TOTALCO!K692="", "",TOTALCO!K692)</f>
        <v/>
      </c>
      <c r="L165" s="12">
        <f ca="1">IF(TOTALCO!L692="", "",TOTALCO!L692)</f>
        <v>0</v>
      </c>
      <c r="M165" s="12" t="str">
        <f>IF(TOTALCO!M692="", "",TOTALCO!M692)</f>
        <v/>
      </c>
      <c r="N165" s="12">
        <f ca="1">IF(TOTALCO!N692="", "",TOTALCO!N692)</f>
        <v>0</v>
      </c>
      <c r="O165" s="12">
        <f ca="1">IF(TOTALCO!O692="", "",TOTALCO!O692)</f>
        <v>0</v>
      </c>
      <c r="P165" s="12">
        <f ca="1">IF(TOTALCO!P692="", "",TOTALCO!P692)</f>
        <v>0</v>
      </c>
      <c r="Q165" s="12"/>
      <c r="R165" s="13"/>
    </row>
    <row r="166" spans="1:18" ht="15" x14ac:dyDescent="0.2">
      <c r="A166" s="321">
        <f>IF(TOTALCO!A693="", "",TOTALCO!A693)</f>
        <v>6</v>
      </c>
      <c r="B166" s="4" t="str">
        <f>IF(TOTALCO!B693="", "",TOTALCO!B693)</f>
        <v xml:space="preserve"> 366-UNDERGROUND CONDUIT</v>
      </c>
      <c r="C166" s="4" t="str">
        <f>IF(TOTALCO!C693="", "",TOTALCO!C693)</f>
        <v>DEM366K</v>
      </c>
      <c r="D166" s="12">
        <f ca="1">IF(TOTALCO!D693="", "",TOTALCO!D693)</f>
        <v>2390106.04</v>
      </c>
      <c r="E166" s="12" t="str">
        <f>IF(TOTALCO!E693="", "",TOTALCO!E693)</f>
        <v/>
      </c>
      <c r="F166" s="12">
        <f ca="1">IF(TOTALCO!F693="", "",TOTALCO!F693)</f>
        <v>2390106.04</v>
      </c>
      <c r="G166" s="12" t="str">
        <f>IF(TOTALCO!G693="", "",TOTALCO!G693)</f>
        <v/>
      </c>
      <c r="H166" s="12">
        <f ca="1">IF(TOTALCO!H693="", "",TOTALCO!H693)</f>
        <v>0</v>
      </c>
      <c r="I166" s="12">
        <f ca="1">IF(TOTALCO!I693="", "",TOTALCO!I693)</f>
        <v>0</v>
      </c>
      <c r="J166" s="12" t="str">
        <f>IF(TOTALCO!J693="", "",TOTALCO!J693)</f>
        <v/>
      </c>
      <c r="K166" s="12" t="str">
        <f>IF(TOTALCO!K693="", "",TOTALCO!K693)</f>
        <v/>
      </c>
      <c r="L166" s="12">
        <f ca="1">IF(TOTALCO!L693="", "",TOTALCO!L693)</f>
        <v>0</v>
      </c>
      <c r="M166" s="12" t="str">
        <f>IF(TOTALCO!M693="", "",TOTALCO!M693)</f>
        <v/>
      </c>
      <c r="N166" s="12">
        <f ca="1">IF(TOTALCO!N693="", "",TOTALCO!N693)</f>
        <v>0</v>
      </c>
      <c r="O166" s="12">
        <f ca="1">IF(TOTALCO!O693="", "",TOTALCO!O693)</f>
        <v>0</v>
      </c>
      <c r="P166" s="12">
        <f ca="1">IF(TOTALCO!P693="", "",TOTALCO!P693)</f>
        <v>0</v>
      </c>
      <c r="Q166" s="12"/>
      <c r="R166" s="13"/>
    </row>
    <row r="167" spans="1:18" ht="15" x14ac:dyDescent="0.2">
      <c r="A167" s="321">
        <f>IF(TOTALCO!A694="", "",TOTALCO!A694)</f>
        <v>7</v>
      </c>
      <c r="B167" s="4" t="str">
        <f>IF(TOTALCO!B694="", "",TOTALCO!B694)</f>
        <v xml:space="preserve"> 367-UG CONDUCTORS AND DEVICES</v>
      </c>
      <c r="C167" s="4" t="str">
        <f>IF(TOTALCO!C694="", "",TOTALCO!C694)</f>
        <v>DEM367K</v>
      </c>
      <c r="D167" s="12">
        <f ca="1">IF(TOTALCO!D694="", "",TOTALCO!D694)</f>
        <v>216528926.2153846</v>
      </c>
      <c r="E167" s="12" t="str">
        <f>IF(TOTALCO!E694="", "",TOTALCO!E694)</f>
        <v/>
      </c>
      <c r="F167" s="12">
        <f ca="1">IF(TOTALCO!F694="", "",TOTALCO!F694)</f>
        <v>216528926.2153846</v>
      </c>
      <c r="G167" s="12" t="str">
        <f>IF(TOTALCO!G694="", "",TOTALCO!G694)</f>
        <v/>
      </c>
      <c r="H167" s="12">
        <f ca="1">IF(TOTALCO!H694="", "",TOTALCO!H694)</f>
        <v>0</v>
      </c>
      <c r="I167" s="12">
        <f ca="1">IF(TOTALCO!I694="", "",TOTALCO!I694)</f>
        <v>0</v>
      </c>
      <c r="J167" s="12" t="str">
        <f>IF(TOTALCO!J694="", "",TOTALCO!J694)</f>
        <v/>
      </c>
      <c r="K167" s="12" t="str">
        <f>IF(TOTALCO!K694="", "",TOTALCO!K694)</f>
        <v/>
      </c>
      <c r="L167" s="12">
        <f ca="1">IF(TOTALCO!L694="", "",TOTALCO!L694)</f>
        <v>0</v>
      </c>
      <c r="M167" s="12" t="str">
        <f>IF(TOTALCO!M694="", "",TOTALCO!M694)</f>
        <v/>
      </c>
      <c r="N167" s="12">
        <f ca="1">IF(TOTALCO!N694="", "",TOTALCO!N694)</f>
        <v>0</v>
      </c>
      <c r="O167" s="12">
        <f ca="1">IF(TOTALCO!O694="", "",TOTALCO!O694)</f>
        <v>0</v>
      </c>
      <c r="P167" s="12">
        <f ca="1">IF(TOTALCO!P694="", "",TOTALCO!P694)</f>
        <v>0</v>
      </c>
      <c r="Q167" s="12"/>
      <c r="R167" s="13"/>
    </row>
    <row r="168" spans="1:18" ht="15" x14ac:dyDescent="0.2">
      <c r="A168" s="321" t="str">
        <f>IF(TOTALCO!A695="", "",TOTALCO!A695)</f>
        <v/>
      </c>
      <c r="B168" s="4" t="str">
        <f>IF(TOTALCO!B695="", "",TOTALCO!B695)</f>
        <v xml:space="preserve"> 368-LINE TRANSFORMERS</v>
      </c>
      <c r="C168" s="4" t="str">
        <f>IF(TOTALCO!C695="", "",TOTALCO!C695)</f>
        <v/>
      </c>
      <c r="D168" s="12" t="str">
        <f>IF(TOTALCO!D695="", "",TOTALCO!D695)</f>
        <v/>
      </c>
      <c r="E168" s="12" t="str">
        <f>IF(TOTALCO!E695="", "",TOTALCO!E695)</f>
        <v/>
      </c>
      <c r="F168" s="12" t="str">
        <f>IF(TOTALCO!F695="", "",TOTALCO!F695)</f>
        <v/>
      </c>
      <c r="G168" s="12" t="str">
        <f>IF(TOTALCO!G695="", "",TOTALCO!G695)</f>
        <v/>
      </c>
      <c r="H168" s="12" t="str">
        <f>IF(TOTALCO!H695="", "",TOTALCO!H695)</f>
        <v/>
      </c>
      <c r="I168" s="12" t="str">
        <f>IF(TOTALCO!I695="", "",TOTALCO!I695)</f>
        <v/>
      </c>
      <c r="J168" s="12" t="str">
        <f>IF(TOTALCO!J695="", "",TOTALCO!J695)</f>
        <v/>
      </c>
      <c r="K168" s="12" t="str">
        <f>IF(TOTALCO!K695="", "",TOTALCO!K695)</f>
        <v/>
      </c>
      <c r="L168" s="12" t="str">
        <f>IF(TOTALCO!L695="", "",TOTALCO!L695)</f>
        <v/>
      </c>
      <c r="M168" s="12" t="str">
        <f>IF(TOTALCO!M695="", "",TOTALCO!M695)</f>
        <v/>
      </c>
      <c r="N168" s="12" t="str">
        <f>IF(TOTALCO!N695="", "",TOTALCO!N695)</f>
        <v/>
      </c>
      <c r="O168" s="12" t="str">
        <f>IF(TOTALCO!O695="", "",TOTALCO!O695)</f>
        <v/>
      </c>
      <c r="P168" s="12" t="str">
        <f>IF(TOTALCO!P695="", "",TOTALCO!P695)</f>
        <v/>
      </c>
      <c r="Q168" s="12"/>
      <c r="R168" s="13"/>
    </row>
    <row r="169" spans="1:18" ht="15" x14ac:dyDescent="0.2">
      <c r="A169" s="321">
        <f>IF(TOTALCO!A696="", "",TOTALCO!A696)</f>
        <v>8</v>
      </c>
      <c r="B169" s="4" t="str">
        <f>IF(TOTALCO!B696="", "",TOTALCO!B696)</f>
        <v xml:space="preserve">    POWER POOL</v>
      </c>
      <c r="C169" s="4" t="str">
        <f>IF(TOTALCO!C696="", "",TOTALCO!C696)</f>
        <v>DEM368K</v>
      </c>
      <c r="D169" s="12">
        <f ca="1">IF(TOTALCO!D696="", "",TOTALCO!D696)</f>
        <v>5932112.0200000023</v>
      </c>
      <c r="E169" s="12" t="str">
        <f>IF(TOTALCO!E696="", "",TOTALCO!E696)</f>
        <v/>
      </c>
      <c r="F169" s="12">
        <f ca="1">IF(TOTALCO!F696="", "",TOTALCO!F696)</f>
        <v>5932112.0200000023</v>
      </c>
      <c r="G169" s="12" t="str">
        <f>IF(TOTALCO!G696="", "",TOTALCO!G696)</f>
        <v/>
      </c>
      <c r="H169" s="12">
        <f ca="1">IF(TOTALCO!H696="", "",TOTALCO!H696)</f>
        <v>0</v>
      </c>
      <c r="I169" s="12">
        <f ca="1">IF(TOTALCO!I696="", "",TOTALCO!I696)</f>
        <v>0</v>
      </c>
      <c r="J169" s="12" t="str">
        <f>IF(TOTALCO!J696="", "",TOTALCO!J696)</f>
        <v/>
      </c>
      <c r="K169" s="12" t="str">
        <f>IF(TOTALCO!K696="", "",TOTALCO!K696)</f>
        <v/>
      </c>
      <c r="L169" s="12">
        <f ca="1">IF(TOTALCO!L696="", "",TOTALCO!L696)</f>
        <v>0</v>
      </c>
      <c r="M169" s="12" t="str">
        <f>IF(TOTALCO!M696="", "",TOTALCO!M696)</f>
        <v/>
      </c>
      <c r="N169" s="12">
        <f ca="1">IF(TOTALCO!N696="", "",TOTALCO!N696)</f>
        <v>0</v>
      </c>
      <c r="O169" s="12">
        <f ca="1">IF(TOTALCO!O696="", "",TOTALCO!O696)</f>
        <v>0</v>
      </c>
      <c r="P169" s="12">
        <f ca="1">IF(TOTALCO!P696="", "",TOTALCO!P696)</f>
        <v>0</v>
      </c>
      <c r="Q169" s="12"/>
      <c r="R169" s="13"/>
    </row>
    <row r="170" spans="1:18" ht="15" x14ac:dyDescent="0.2">
      <c r="A170" s="321">
        <f>IF(TOTALCO!A697="", "",TOTALCO!A697)</f>
        <v>9</v>
      </c>
      <c r="B170" s="4" t="str">
        <f>IF(TOTALCO!B697="", "",TOTALCO!B697)</f>
        <v xml:space="preserve">    ALL OTHER</v>
      </c>
      <c r="C170" s="4" t="str">
        <f>IF(TOTALCO!C697="", "",TOTALCO!C697)</f>
        <v>DEM368K</v>
      </c>
      <c r="D170" s="12">
        <f ca="1">IF(TOTALCO!D697="", "",TOTALCO!D697)</f>
        <v>309505030.81230778</v>
      </c>
      <c r="E170" s="12" t="str">
        <f>IF(TOTALCO!E697="", "",TOTALCO!E697)</f>
        <v/>
      </c>
      <c r="F170" s="12">
        <f ca="1">IF(TOTALCO!F697="", "",TOTALCO!F697)</f>
        <v>309505030.81230778</v>
      </c>
      <c r="G170" s="12" t="str">
        <f>IF(TOTALCO!G697="", "",TOTALCO!G697)</f>
        <v/>
      </c>
      <c r="H170" s="12">
        <f ca="1">IF(TOTALCO!H697="", "",TOTALCO!H697)</f>
        <v>0</v>
      </c>
      <c r="I170" s="12">
        <f ca="1">IF(TOTALCO!I697="", "",TOTALCO!I697)</f>
        <v>0</v>
      </c>
      <c r="J170" s="12" t="str">
        <f>IF(TOTALCO!J697="", "",TOTALCO!J697)</f>
        <v/>
      </c>
      <c r="K170" s="12" t="str">
        <f>IF(TOTALCO!K697="", "",TOTALCO!K697)</f>
        <v/>
      </c>
      <c r="L170" s="12">
        <f ca="1">IF(TOTALCO!L697="", "",TOTALCO!L697)</f>
        <v>0</v>
      </c>
      <c r="M170" s="12" t="str">
        <f>IF(TOTALCO!M697="", "",TOTALCO!M697)</f>
        <v/>
      </c>
      <c r="N170" s="12">
        <f ca="1">IF(TOTALCO!N697="", "",TOTALCO!N697)</f>
        <v>0</v>
      </c>
      <c r="O170" s="12">
        <f ca="1">IF(TOTALCO!O697="", "",TOTALCO!O697)</f>
        <v>0</v>
      </c>
      <c r="P170" s="12">
        <f ca="1">IF(TOTALCO!P697="", "",TOTALCO!P697)</f>
        <v>0</v>
      </c>
      <c r="Q170" s="12"/>
      <c r="R170" s="13"/>
    </row>
    <row r="171" spans="1:18" ht="15" x14ac:dyDescent="0.2">
      <c r="A171" s="321">
        <f>IF(TOTALCO!A698="", "",TOTALCO!A698)</f>
        <v>10</v>
      </c>
      <c r="B171" s="4" t="str">
        <f>IF(TOTALCO!B698="", "",TOTALCO!B698)</f>
        <v xml:space="preserve"> TOTAL 368-LINE TRANSFORMERS</v>
      </c>
      <c r="C171" s="4" t="str">
        <f>IF(TOTALCO!C698="", "",TOTALCO!C698)</f>
        <v/>
      </c>
      <c r="D171" s="12">
        <f ca="1">IF(TOTALCO!D698="", "",TOTALCO!D698)</f>
        <v>315437142.83230776</v>
      </c>
      <c r="E171" s="12" t="str">
        <f>IF(TOTALCO!E698="", "",TOTALCO!E698)</f>
        <v/>
      </c>
      <c r="F171" s="12">
        <f ca="1">IF(TOTALCO!F698="", "",TOTALCO!F698)</f>
        <v>315437142.83230776</v>
      </c>
      <c r="G171" s="12" t="str">
        <f>IF(TOTALCO!G698="", "",TOTALCO!G698)</f>
        <v/>
      </c>
      <c r="H171" s="12">
        <f ca="1">IF(TOTALCO!H698="", "",TOTALCO!H698)</f>
        <v>0</v>
      </c>
      <c r="I171" s="12">
        <f ca="1">IF(TOTALCO!I698="", "",TOTALCO!I698)</f>
        <v>0</v>
      </c>
      <c r="J171" s="12" t="str">
        <f>IF(TOTALCO!J698="", "",TOTALCO!J698)</f>
        <v/>
      </c>
      <c r="K171" s="12" t="str">
        <f>IF(TOTALCO!K698="", "",TOTALCO!K698)</f>
        <v/>
      </c>
      <c r="L171" s="12">
        <f ca="1">IF(TOTALCO!L698="", "",TOTALCO!L698)</f>
        <v>0</v>
      </c>
      <c r="M171" s="12" t="str">
        <f>IF(TOTALCO!M698="", "",TOTALCO!M698)</f>
        <v/>
      </c>
      <c r="N171" s="12">
        <f ca="1">IF(TOTALCO!N698="", "",TOTALCO!N698)</f>
        <v>0</v>
      </c>
      <c r="O171" s="12">
        <f ca="1">IF(TOTALCO!O698="", "",TOTALCO!O698)</f>
        <v>0</v>
      </c>
      <c r="P171" s="12">
        <f ca="1">IF(TOTALCO!P698="", "",TOTALCO!P698)</f>
        <v>0</v>
      </c>
      <c r="Q171" s="12"/>
      <c r="R171" s="13"/>
    </row>
    <row r="172" spans="1:18" ht="15" x14ac:dyDescent="0.2">
      <c r="A172" s="321">
        <f>IF(TOTALCO!A699="", "",TOTALCO!A699)</f>
        <v>11</v>
      </c>
      <c r="B172" s="4" t="str">
        <f>IF(TOTALCO!B699="", "",TOTALCO!B699)</f>
        <v xml:space="preserve"> 369-SERVICES</v>
      </c>
      <c r="C172" s="4" t="str">
        <f>IF(TOTALCO!C699="", "",TOTALCO!C699)</f>
        <v>CUST369K</v>
      </c>
      <c r="D172" s="12">
        <f ca="1">IF(TOTALCO!D699="", "",TOTALCO!D699)</f>
        <v>108671232.43846154</v>
      </c>
      <c r="E172" s="12" t="str">
        <f>IF(TOTALCO!E699="", "",TOTALCO!E699)</f>
        <v/>
      </c>
      <c r="F172" s="12">
        <f ca="1">IF(TOTALCO!F699="", "",TOTALCO!F699)</f>
        <v>108671232.43846154</v>
      </c>
      <c r="G172" s="12" t="str">
        <f>IF(TOTALCO!G699="", "",TOTALCO!G699)</f>
        <v/>
      </c>
      <c r="H172" s="12">
        <f ca="1">IF(TOTALCO!H699="", "",TOTALCO!H699)</f>
        <v>0</v>
      </c>
      <c r="I172" s="12">
        <f ca="1">IF(TOTALCO!I699="", "",TOTALCO!I699)</f>
        <v>0</v>
      </c>
      <c r="J172" s="12" t="str">
        <f>IF(TOTALCO!J699="", "",TOTALCO!J699)</f>
        <v/>
      </c>
      <c r="K172" s="12" t="str">
        <f>IF(TOTALCO!K699="", "",TOTALCO!K699)</f>
        <v/>
      </c>
      <c r="L172" s="12">
        <f ca="1">IF(TOTALCO!L699="", "",TOTALCO!L699)</f>
        <v>0</v>
      </c>
      <c r="M172" s="12" t="str">
        <f>IF(TOTALCO!M699="", "",TOTALCO!M699)</f>
        <v/>
      </c>
      <c r="N172" s="12">
        <f ca="1">IF(TOTALCO!N699="", "",TOTALCO!N699)</f>
        <v>0</v>
      </c>
      <c r="O172" s="12">
        <f ca="1">IF(TOTALCO!O699="", "",TOTALCO!O699)</f>
        <v>0</v>
      </c>
      <c r="P172" s="12">
        <f ca="1">IF(TOTALCO!P699="", "",TOTALCO!P699)</f>
        <v>0</v>
      </c>
      <c r="Q172" s="12"/>
      <c r="R172" s="13"/>
    </row>
    <row r="173" spans="1:18" ht="15" x14ac:dyDescent="0.2">
      <c r="A173" s="321">
        <f>IF(TOTALCO!A700="", "",TOTALCO!A700)</f>
        <v>12</v>
      </c>
      <c r="B173" s="4" t="str">
        <f>IF(TOTALCO!B700="", "",TOTALCO!B700)</f>
        <v xml:space="preserve"> 370-METERS</v>
      </c>
      <c r="C173" s="4" t="str">
        <f>IF(TOTALCO!C700="", "",TOTALCO!C700)</f>
        <v>CUST370K</v>
      </c>
      <c r="D173" s="12">
        <f ca="1">IF(TOTALCO!D700="", "",TOTALCO!D700)</f>
        <v>78790854.271538451</v>
      </c>
      <c r="E173" s="12" t="str">
        <f>IF(TOTALCO!E700="", "",TOTALCO!E700)</f>
        <v/>
      </c>
      <c r="F173" s="12">
        <f ca="1">IF(TOTALCO!F700="", "",TOTALCO!F700)</f>
        <v>78743546.271538451</v>
      </c>
      <c r="G173" s="12" t="str">
        <f>IF(TOTALCO!G700="", "",TOTALCO!G700)</f>
        <v/>
      </c>
      <c r="H173" s="12">
        <f ca="1">IF(TOTALCO!H700="", "",TOTALCO!H700)</f>
        <v>0</v>
      </c>
      <c r="I173" s="12">
        <f ca="1">IF(TOTALCO!I700="", "",TOTALCO!I700)</f>
        <v>47308</v>
      </c>
      <c r="J173" s="12" t="str">
        <f>IF(TOTALCO!J700="", "",TOTALCO!J700)</f>
        <v/>
      </c>
      <c r="K173" s="12" t="str">
        <f>IF(TOTALCO!K700="", "",TOTALCO!K700)</f>
        <v/>
      </c>
      <c r="L173" s="12">
        <f ca="1">IF(TOTALCO!L700="", "",TOTALCO!L700)</f>
        <v>0</v>
      </c>
      <c r="M173" s="12" t="str">
        <f>IF(TOTALCO!M700="", "",TOTALCO!M700)</f>
        <v/>
      </c>
      <c r="N173" s="12">
        <f ca="1">IF(TOTALCO!N700="", "",TOTALCO!N700)</f>
        <v>47308</v>
      </c>
      <c r="O173" s="12">
        <f ca="1">IF(TOTALCO!O700="", "",TOTALCO!O700)</f>
        <v>20456</v>
      </c>
      <c r="P173" s="12">
        <f ca="1">IF(TOTALCO!P700="", "",TOTALCO!P700)</f>
        <v>26852</v>
      </c>
      <c r="Q173" s="12"/>
      <c r="R173" s="13"/>
    </row>
    <row r="174" spans="1:18" ht="15" x14ac:dyDescent="0.2">
      <c r="A174" s="321">
        <f>IF(TOTALCO!A701="", "",TOTALCO!A701)</f>
        <v>13</v>
      </c>
      <c r="B174" s="4" t="str">
        <f>IF(TOTALCO!B701="", "",TOTALCO!B701)</f>
        <v xml:space="preserve"> 371-INSTALL ON CUSTOMER PREMISES</v>
      </c>
      <c r="C174" s="4" t="str">
        <f>IF(TOTALCO!C701="", "",TOTALCO!C701)</f>
        <v>CUST371K</v>
      </c>
      <c r="D174" s="12">
        <f ca="1">IF(TOTALCO!D701="", "",TOTALCO!D701)</f>
        <v>145659.96</v>
      </c>
      <c r="E174" s="12" t="str">
        <f>IF(TOTALCO!E701="", "",TOTALCO!E701)</f>
        <v/>
      </c>
      <c r="F174" s="12">
        <f ca="1">IF(TOTALCO!F701="", "",TOTALCO!F701)</f>
        <v>145659.96</v>
      </c>
      <c r="G174" s="12" t="str">
        <f>IF(TOTALCO!G701="", "",TOTALCO!G701)</f>
        <v/>
      </c>
      <c r="H174" s="12">
        <f ca="1">IF(TOTALCO!H701="", "",TOTALCO!H701)</f>
        <v>0</v>
      </c>
      <c r="I174" s="12">
        <f ca="1">IF(TOTALCO!I701="", "",TOTALCO!I701)</f>
        <v>0</v>
      </c>
      <c r="J174" s="12" t="str">
        <f>IF(TOTALCO!J701="", "",TOTALCO!J701)</f>
        <v/>
      </c>
      <c r="K174" s="12" t="str">
        <f>IF(TOTALCO!K701="", "",TOTALCO!K701)</f>
        <v/>
      </c>
      <c r="L174" s="12">
        <f ca="1">IF(TOTALCO!L701="", "",TOTALCO!L701)</f>
        <v>0</v>
      </c>
      <c r="M174" s="12" t="str">
        <f>IF(TOTALCO!M701="", "",TOTALCO!M701)</f>
        <v/>
      </c>
      <c r="N174" s="12">
        <f ca="1">IF(TOTALCO!N701="", "",TOTALCO!N701)</f>
        <v>0</v>
      </c>
      <c r="O174" s="12">
        <f ca="1">IF(TOTALCO!O701="", "",TOTALCO!O701)</f>
        <v>0</v>
      </c>
      <c r="P174" s="12">
        <f ca="1">IF(TOTALCO!P701="", "",TOTALCO!P701)</f>
        <v>0</v>
      </c>
      <c r="Q174" s="12"/>
      <c r="R174" s="13"/>
    </row>
    <row r="175" spans="1:18" ht="15" x14ac:dyDescent="0.2">
      <c r="A175" s="321">
        <f>IF(TOTALCO!A702="", "",TOTALCO!A702)</f>
        <v>14</v>
      </c>
      <c r="B175" s="4" t="str">
        <f>IF(TOTALCO!B702="", "",TOTALCO!B702)</f>
        <v xml:space="preserve"> 373-STREET LIGHTING</v>
      </c>
      <c r="C175" s="4" t="str">
        <f>IF(TOTALCO!C702="", "",TOTALCO!C702)</f>
        <v>CUST373K</v>
      </c>
      <c r="D175" s="12">
        <f ca="1">IF(TOTALCO!D702="", "",TOTALCO!D702)</f>
        <v>126856868.76999998</v>
      </c>
      <c r="E175" s="12" t="str">
        <f>IF(TOTALCO!E702="", "",TOTALCO!E702)</f>
        <v/>
      </c>
      <c r="F175" s="12">
        <f ca="1">IF(TOTALCO!F702="", "",TOTALCO!F702)</f>
        <v>126856868.76999998</v>
      </c>
      <c r="G175" s="12" t="str">
        <f>IF(TOTALCO!G702="", "",TOTALCO!G702)</f>
        <v/>
      </c>
      <c r="H175" s="12">
        <f ca="1">IF(TOTALCO!H702="", "",TOTALCO!H702)</f>
        <v>0</v>
      </c>
      <c r="I175" s="12">
        <f ca="1">IF(TOTALCO!I702="", "",TOTALCO!I702)</f>
        <v>0</v>
      </c>
      <c r="J175" s="12" t="str">
        <f>IF(TOTALCO!J702="", "",TOTALCO!J702)</f>
        <v/>
      </c>
      <c r="K175" s="12" t="str">
        <f>IF(TOTALCO!K702="", "",TOTALCO!K702)</f>
        <v/>
      </c>
      <c r="L175" s="12">
        <f ca="1">IF(TOTALCO!L702="", "",TOTALCO!L702)</f>
        <v>0</v>
      </c>
      <c r="M175" s="12" t="str">
        <f>IF(TOTALCO!M702="", "",TOTALCO!M702)</f>
        <v/>
      </c>
      <c r="N175" s="12">
        <f ca="1">IF(TOTALCO!N702="", "",TOTALCO!N702)</f>
        <v>0</v>
      </c>
      <c r="O175" s="12">
        <f ca="1">IF(TOTALCO!O702="", "",TOTALCO!O702)</f>
        <v>0</v>
      </c>
      <c r="P175" s="12">
        <f ca="1">IF(TOTALCO!P702="", "",TOTALCO!P702)</f>
        <v>0</v>
      </c>
      <c r="Q175" s="12"/>
      <c r="R175" s="13"/>
    </row>
    <row r="176" spans="1:18" ht="15" x14ac:dyDescent="0.2">
      <c r="A176" s="321">
        <f>IF(TOTALCO!A703="", "",TOTALCO!A703)</f>
        <v>15</v>
      </c>
      <c r="B176" s="4" t="str">
        <f>IF(TOTALCO!B703="", "",TOTALCO!B703)</f>
        <v xml:space="preserve"> 374-ARO COST KY ELEC DISTRIB</v>
      </c>
      <c r="C176" s="4" t="str">
        <f>IF(TOTALCO!C703="", "",TOTALCO!C703)</f>
        <v>DEM374K</v>
      </c>
      <c r="D176" s="12">
        <f ca="1">IF(TOTALCO!D703="", "",TOTALCO!D703)</f>
        <v>658287.18999999994</v>
      </c>
      <c r="E176" s="12" t="str">
        <f>IF(TOTALCO!E703="", "",TOTALCO!E703)</f>
        <v/>
      </c>
      <c r="F176" s="12">
        <f ca="1">IF(TOTALCO!F703="", "",TOTALCO!F703)</f>
        <v>658287.18999999994</v>
      </c>
      <c r="G176" s="12" t="str">
        <f>IF(TOTALCO!G703="", "",TOTALCO!G703)</f>
        <v/>
      </c>
      <c r="H176" s="12">
        <f ca="1">IF(TOTALCO!H703="", "",TOTALCO!H703)</f>
        <v>0</v>
      </c>
      <c r="I176" s="12">
        <f ca="1">IF(TOTALCO!I703="", "",TOTALCO!I703)</f>
        <v>0</v>
      </c>
      <c r="J176" s="12" t="str">
        <f>IF(TOTALCO!J703="", "",TOTALCO!J703)</f>
        <v/>
      </c>
      <c r="K176" s="12" t="str">
        <f>IF(TOTALCO!K703="", "",TOTALCO!K703)</f>
        <v/>
      </c>
      <c r="L176" s="12">
        <f ca="1">IF(TOTALCO!L703="", "",TOTALCO!L703)</f>
        <v>0</v>
      </c>
      <c r="M176" s="12" t="str">
        <f>IF(TOTALCO!M703="", "",TOTALCO!M703)</f>
        <v/>
      </c>
      <c r="N176" s="12">
        <f ca="1">IF(TOTALCO!N703="", "",TOTALCO!N703)</f>
        <v>0</v>
      </c>
      <c r="O176" s="12">
        <f ca="1">IF(TOTALCO!O703="", "",TOTALCO!O703)</f>
        <v>0</v>
      </c>
      <c r="P176" s="12">
        <f ca="1">IF(TOTALCO!P703="", "",TOTALCO!P703)</f>
        <v>0</v>
      </c>
      <c r="Q176" s="12"/>
      <c r="R176" s="13"/>
    </row>
    <row r="177" spans="1:18" ht="15" x14ac:dyDescent="0.2">
      <c r="A177" s="321">
        <f>IF(TOTALCO!A704="", "",TOTALCO!A704)</f>
        <v>16</v>
      </c>
      <c r="B177" s="4" t="str">
        <f>IF(TOTALCO!B704="", "",TOTALCO!B704)</f>
        <v xml:space="preserve"> TOTAL KENTUCKY DISTRIB PLANT</v>
      </c>
      <c r="C177" s="4" t="str">
        <f>IF(TOTALCO!C704="", "",TOTALCO!C704)</f>
        <v/>
      </c>
      <c r="D177" s="12">
        <f ca="1">IF(TOTALCO!D704="", "",TOTALCO!D704)</f>
        <v>1927846138.110769</v>
      </c>
      <c r="E177" s="12" t="str">
        <f>IF(TOTALCO!E704="", "",TOTALCO!E704)</f>
        <v/>
      </c>
      <c r="F177" s="12">
        <f ca="1">IF(TOTALCO!F704="", "",TOTALCO!F704)</f>
        <v>1924181178.110769</v>
      </c>
      <c r="G177" s="12" t="str">
        <f>IF(TOTALCO!G704="", "",TOTALCO!G704)</f>
        <v/>
      </c>
      <c r="H177" s="12">
        <f ca="1">IF(TOTALCO!H704="", "",TOTALCO!H704)</f>
        <v>0</v>
      </c>
      <c r="I177" s="12">
        <f ca="1">IF(TOTALCO!I704="", "",TOTALCO!I704)</f>
        <v>3664960</v>
      </c>
      <c r="J177" s="12" t="str">
        <f>IF(TOTALCO!J704="", "",TOTALCO!J704)</f>
        <v/>
      </c>
      <c r="K177" s="12" t="str">
        <f>IF(TOTALCO!K704="", "",TOTALCO!K704)</f>
        <v/>
      </c>
      <c r="L177" s="12">
        <f ca="1">IF(TOTALCO!L704="", "",TOTALCO!L704)</f>
        <v>0</v>
      </c>
      <c r="M177" s="12" t="str">
        <f>IF(TOTALCO!M704="", "",TOTALCO!M704)</f>
        <v/>
      </c>
      <c r="N177" s="12">
        <f ca="1">IF(TOTALCO!N704="", "",TOTALCO!N704)</f>
        <v>3664960</v>
      </c>
      <c r="O177" s="12">
        <f ca="1">IF(TOTALCO!O704="", "",TOTALCO!O704)</f>
        <v>3638108</v>
      </c>
      <c r="P177" s="12">
        <f ca="1">IF(TOTALCO!P704="", "",TOTALCO!P704)</f>
        <v>26852</v>
      </c>
      <c r="Q177" s="12"/>
      <c r="R177" s="13"/>
    </row>
    <row r="178" spans="1:18" ht="15" x14ac:dyDescent="0.2">
      <c r="A178" s="321" t="str">
        <f>IF(TOTALCO!A705="", "",TOTALCO!A705)</f>
        <v/>
      </c>
      <c r="B178" s="4" t="str">
        <f>IF(TOTALCO!B705="", "",TOTALCO!B705)</f>
        <v/>
      </c>
      <c r="C178" s="4" t="str">
        <f>IF(TOTALCO!C705="", "",TOTALCO!C705)</f>
        <v/>
      </c>
      <c r="D178" s="12"/>
      <c r="E178" s="12" t="str">
        <f>IF(TOTALCO!E705="", "",TOTALCO!E705)</f>
        <v/>
      </c>
      <c r="F178" s="12" t="str">
        <f>IF(TOTALCO!F705="", "",TOTALCO!F705)</f>
        <v/>
      </c>
      <c r="G178" s="12" t="str">
        <f>IF(TOTALCO!G705="", "",TOTALCO!G705)</f>
        <v/>
      </c>
      <c r="H178" s="12" t="str">
        <f>IF(TOTALCO!H705="", "",TOTALCO!H705)</f>
        <v/>
      </c>
      <c r="I178" s="12" t="str">
        <f>IF(TOTALCO!I705="", "",TOTALCO!I705)</f>
        <v/>
      </c>
      <c r="J178" s="12" t="str">
        <f>IF(TOTALCO!J705="", "",TOTALCO!J705)</f>
        <v/>
      </c>
      <c r="K178" s="12" t="str">
        <f>IF(TOTALCO!K705="", "",TOTALCO!K705)</f>
        <v/>
      </c>
      <c r="L178" s="12" t="str">
        <f>IF(TOTALCO!L705="", "",TOTALCO!L705)</f>
        <v/>
      </c>
      <c r="M178" s="12" t="str">
        <f>IF(TOTALCO!M705="", "",TOTALCO!M705)</f>
        <v/>
      </c>
      <c r="N178" s="12" t="str">
        <f>IF(TOTALCO!N705="", "",TOTALCO!N705)</f>
        <v/>
      </c>
      <c r="O178" s="12" t="str">
        <f>IF(TOTALCO!O705="", "",TOTALCO!O705)</f>
        <v/>
      </c>
      <c r="P178" s="12" t="str">
        <f>IF(TOTALCO!P705="", "",TOTALCO!P705)</f>
        <v/>
      </c>
      <c r="Q178" s="12"/>
      <c r="R178" s="13"/>
    </row>
    <row r="179" spans="1:18" ht="15" x14ac:dyDescent="0.2">
      <c r="A179" s="321" t="str">
        <f>IF(TOTALCO!A706="", "",TOTALCO!A706)</f>
        <v/>
      </c>
      <c r="B179" s="4" t="str">
        <f>IF(TOTALCO!B706="", "",TOTALCO!B706)</f>
        <v xml:space="preserve"> VIRGINIA DISTRIBUTION PLANT</v>
      </c>
      <c r="C179" s="4" t="str">
        <f>IF(TOTALCO!C706="", "",TOTALCO!C706)</f>
        <v/>
      </c>
      <c r="D179" s="12" t="str">
        <f>IF(TOTALCO!D706="", "",TOTALCO!D706)</f>
        <v/>
      </c>
      <c r="E179" s="12" t="str">
        <f>IF(TOTALCO!E706="", "",TOTALCO!E706)</f>
        <v/>
      </c>
      <c r="F179" s="12" t="str">
        <f>IF(TOTALCO!F706="", "",TOTALCO!F706)</f>
        <v/>
      </c>
      <c r="G179" s="12" t="str">
        <f>IF(TOTALCO!G706="", "",TOTALCO!G706)</f>
        <v/>
      </c>
      <c r="H179" s="12" t="str">
        <f>IF(TOTALCO!H706="", "",TOTALCO!H706)</f>
        <v/>
      </c>
      <c r="I179" s="12" t="str">
        <f>IF(TOTALCO!I706="", "",TOTALCO!I706)</f>
        <v/>
      </c>
      <c r="J179" s="12" t="str">
        <f>IF(TOTALCO!J706="", "",TOTALCO!J706)</f>
        <v/>
      </c>
      <c r="K179" s="12" t="str">
        <f>IF(TOTALCO!K706="", "",TOTALCO!K706)</f>
        <v/>
      </c>
      <c r="L179" s="12" t="str">
        <f>IF(TOTALCO!L706="", "",TOTALCO!L706)</f>
        <v/>
      </c>
      <c r="M179" s="12" t="str">
        <f>IF(TOTALCO!M706="", "",TOTALCO!M706)</f>
        <v/>
      </c>
      <c r="N179" s="12" t="str">
        <f>IF(TOTALCO!N706="", "",TOTALCO!N706)</f>
        <v/>
      </c>
      <c r="O179" s="12" t="str">
        <f>IF(TOTALCO!O706="", "",TOTALCO!O706)</f>
        <v/>
      </c>
      <c r="P179" s="12" t="str">
        <f>IF(TOTALCO!P706="", "",TOTALCO!P706)</f>
        <v/>
      </c>
      <c r="Q179" s="12"/>
      <c r="R179" s="13"/>
    </row>
    <row r="180" spans="1:18" ht="15" x14ac:dyDescent="0.2">
      <c r="A180" s="321">
        <f>IF(TOTALCO!A707="", "",TOTALCO!A707)</f>
        <v>17</v>
      </c>
      <c r="B180" s="4" t="str">
        <f>IF(TOTALCO!B707="", "",TOTALCO!B707)</f>
        <v xml:space="preserve"> 360-LAND &amp; LAND RIGHTS</v>
      </c>
      <c r="C180" s="4" t="str">
        <f>IF(TOTALCO!C707="", "",TOTALCO!C707)</f>
        <v>DEM360V</v>
      </c>
      <c r="D180" s="12">
        <f ca="1">IF(TOTALCO!D707="", "",TOTALCO!D707)</f>
        <v>313284.18999999901</v>
      </c>
      <c r="E180" s="12" t="str">
        <f>IF(TOTALCO!E707="", "",TOTALCO!E707)</f>
        <v/>
      </c>
      <c r="F180" s="12">
        <f ca="1">IF(TOTALCO!F707="", "",TOTALCO!F707)</f>
        <v>0</v>
      </c>
      <c r="G180" s="12" t="str">
        <f>IF(TOTALCO!G707="", "",TOTALCO!G707)</f>
        <v/>
      </c>
      <c r="H180" s="12">
        <f ca="1">IF(TOTALCO!H707="", "",TOTALCO!H707)</f>
        <v>313284.18999999901</v>
      </c>
      <c r="I180" s="12">
        <f ca="1">IF(TOTALCO!I707="", "",TOTALCO!I707)</f>
        <v>0</v>
      </c>
      <c r="J180" s="12" t="str">
        <f>IF(TOTALCO!J707="", "",TOTALCO!J707)</f>
        <v/>
      </c>
      <c r="K180" s="12" t="str">
        <f>IF(TOTALCO!K707="", "",TOTALCO!K707)</f>
        <v/>
      </c>
      <c r="L180" s="12">
        <f ca="1">IF(TOTALCO!L707="", "",TOTALCO!L707)</f>
        <v>0</v>
      </c>
      <c r="M180" s="12" t="str">
        <f>IF(TOTALCO!M707="", "",TOTALCO!M707)</f>
        <v/>
      </c>
      <c r="N180" s="12">
        <f ca="1">IF(TOTALCO!N707="", "",TOTALCO!N707)</f>
        <v>0</v>
      </c>
      <c r="O180" s="12">
        <f ca="1">IF(TOTALCO!O707="", "",TOTALCO!O707)</f>
        <v>0</v>
      </c>
      <c r="P180" s="12">
        <f ca="1">IF(TOTALCO!P707="", "",TOTALCO!P707)</f>
        <v>0</v>
      </c>
      <c r="Q180" s="12"/>
      <c r="R180" s="13"/>
    </row>
    <row r="181" spans="1:18" ht="15" x14ac:dyDescent="0.2">
      <c r="A181" s="321">
        <f>IF(TOTALCO!A708="", "",TOTALCO!A708)</f>
        <v>18</v>
      </c>
      <c r="B181" s="4" t="str">
        <f>IF(TOTALCO!B708="", "",TOTALCO!B708)</f>
        <v xml:space="preserve"> 361-STRUCTURES AND IMPROVEMENTS</v>
      </c>
      <c r="C181" s="4" t="str">
        <f>IF(TOTALCO!C708="", "",TOTALCO!C708)</f>
        <v>DEM361V</v>
      </c>
      <c r="D181" s="12">
        <f ca="1">IF(TOTALCO!D708="", "",TOTALCO!D708)</f>
        <v>767594.02000000025</v>
      </c>
      <c r="E181" s="12" t="str">
        <f>IF(TOTALCO!E708="", "",TOTALCO!E708)</f>
        <v/>
      </c>
      <c r="F181" s="12">
        <f ca="1">IF(TOTALCO!F708="", "",TOTALCO!F708)</f>
        <v>0</v>
      </c>
      <c r="G181" s="12" t="str">
        <f>IF(TOTALCO!G708="", "",TOTALCO!G708)</f>
        <v/>
      </c>
      <c r="H181" s="12">
        <f ca="1">IF(TOTALCO!H708="", "",TOTALCO!H708)</f>
        <v>767594.02000000025</v>
      </c>
      <c r="I181" s="12">
        <f ca="1">IF(TOTALCO!I708="", "",TOTALCO!I708)</f>
        <v>0</v>
      </c>
      <c r="J181" s="12" t="str">
        <f>IF(TOTALCO!J708="", "",TOTALCO!J708)</f>
        <v/>
      </c>
      <c r="K181" s="12" t="str">
        <f>IF(TOTALCO!K708="", "",TOTALCO!K708)</f>
        <v/>
      </c>
      <c r="L181" s="12">
        <f ca="1">IF(TOTALCO!L708="", "",TOTALCO!L708)</f>
        <v>0</v>
      </c>
      <c r="M181" s="12" t="str">
        <f>IF(TOTALCO!M708="", "",TOTALCO!M708)</f>
        <v/>
      </c>
      <c r="N181" s="12">
        <f ca="1">IF(TOTALCO!N708="", "",TOTALCO!N708)</f>
        <v>0</v>
      </c>
      <c r="O181" s="12">
        <f ca="1">IF(TOTALCO!O708="", "",TOTALCO!O708)</f>
        <v>0</v>
      </c>
      <c r="P181" s="12">
        <f ca="1">IF(TOTALCO!P708="", "",TOTALCO!P708)</f>
        <v>0</v>
      </c>
      <c r="Q181" s="12"/>
      <c r="R181" s="13"/>
    </row>
    <row r="182" spans="1:18" ht="15" x14ac:dyDescent="0.2">
      <c r="A182" s="321">
        <f>IF(TOTALCO!A709="", "",TOTALCO!A709)</f>
        <v>19</v>
      </c>
      <c r="B182" s="4" t="str">
        <f>IF(TOTALCO!B709="", "",TOTALCO!B709)</f>
        <v xml:space="preserve"> 362-STATION EQUIPMENT</v>
      </c>
      <c r="C182" s="4" t="str">
        <f>IF(TOTALCO!C709="", "",TOTALCO!C709)</f>
        <v>DEM362V</v>
      </c>
      <c r="D182" s="12">
        <f ca="1">IF(TOTALCO!D709="", "",TOTALCO!D709)</f>
        <v>8513231.9299999978</v>
      </c>
      <c r="E182" s="12" t="str">
        <f>IF(TOTALCO!E709="", "",TOTALCO!E709)</f>
        <v/>
      </c>
      <c r="F182" s="12">
        <f ca="1">IF(TOTALCO!F709="", "",TOTALCO!F709)</f>
        <v>0</v>
      </c>
      <c r="G182" s="12" t="str">
        <f>IF(TOTALCO!G709="", "",TOTALCO!G709)</f>
        <v/>
      </c>
      <c r="H182" s="12">
        <f ca="1">IF(TOTALCO!H709="", "",TOTALCO!H709)</f>
        <v>8513231.9299999978</v>
      </c>
      <c r="I182" s="12">
        <f ca="1">IF(TOTALCO!I709="", "",TOTALCO!I709)</f>
        <v>0</v>
      </c>
      <c r="J182" s="12" t="str">
        <f>IF(TOTALCO!J709="", "",TOTALCO!J709)</f>
        <v/>
      </c>
      <c r="K182" s="12" t="str">
        <f>IF(TOTALCO!K709="", "",TOTALCO!K709)</f>
        <v/>
      </c>
      <c r="L182" s="12">
        <f ca="1">IF(TOTALCO!L709="", "",TOTALCO!L709)</f>
        <v>0</v>
      </c>
      <c r="M182" s="12" t="str">
        <f>IF(TOTALCO!M709="", "",TOTALCO!M709)</f>
        <v/>
      </c>
      <c r="N182" s="12">
        <f ca="1">IF(TOTALCO!N709="", "",TOTALCO!N709)</f>
        <v>0</v>
      </c>
      <c r="O182" s="12">
        <f ca="1">IF(TOTALCO!O709="", "",TOTALCO!O709)</f>
        <v>0</v>
      </c>
      <c r="P182" s="12">
        <f ca="1">IF(TOTALCO!P709="", "",TOTALCO!P709)</f>
        <v>0</v>
      </c>
      <c r="Q182" s="12"/>
      <c r="R182" s="13"/>
    </row>
    <row r="183" spans="1:18" ht="15" x14ac:dyDescent="0.2">
      <c r="A183" s="321">
        <f>IF(TOTALCO!A710="", "",TOTALCO!A710)</f>
        <v>20</v>
      </c>
      <c r="B183" s="4" t="str">
        <f>IF(TOTALCO!B710="", "",TOTALCO!B710)</f>
        <v xml:space="preserve"> 364-POLES, TOWERS, AND FIXTURES</v>
      </c>
      <c r="C183" s="4" t="str">
        <f>IF(TOTALCO!C710="", "",TOTALCO!C710)</f>
        <v>DEM364V</v>
      </c>
      <c r="D183" s="12">
        <f ca="1">IF(TOTALCO!D710="", "",TOTALCO!D710)</f>
        <v>30706197.12153846</v>
      </c>
      <c r="E183" s="12" t="str">
        <f>IF(TOTALCO!E710="", "",TOTALCO!E710)</f>
        <v/>
      </c>
      <c r="F183" s="12">
        <f ca="1">IF(TOTALCO!F710="", "",TOTALCO!F710)</f>
        <v>0</v>
      </c>
      <c r="G183" s="12" t="str">
        <f>IF(TOTALCO!G710="", "",TOTALCO!G710)</f>
        <v/>
      </c>
      <c r="H183" s="12">
        <f ca="1">IF(TOTALCO!H710="", "",TOTALCO!H710)</f>
        <v>30706197.12153846</v>
      </c>
      <c r="I183" s="12">
        <f ca="1">IF(TOTALCO!I710="", "",TOTALCO!I710)</f>
        <v>0</v>
      </c>
      <c r="J183" s="12" t="str">
        <f>IF(TOTALCO!J710="", "",TOTALCO!J710)</f>
        <v/>
      </c>
      <c r="K183" s="12" t="str">
        <f>IF(TOTALCO!K710="", "",TOTALCO!K710)</f>
        <v/>
      </c>
      <c r="L183" s="12">
        <f ca="1">IF(TOTALCO!L710="", "",TOTALCO!L710)</f>
        <v>0</v>
      </c>
      <c r="M183" s="12" t="str">
        <f>IF(TOTALCO!M710="", "",TOTALCO!M710)</f>
        <v/>
      </c>
      <c r="N183" s="12">
        <f ca="1">IF(TOTALCO!N710="", "",TOTALCO!N710)</f>
        <v>0</v>
      </c>
      <c r="O183" s="12">
        <f ca="1">IF(TOTALCO!O710="", "",TOTALCO!O710)</f>
        <v>0</v>
      </c>
      <c r="P183" s="12">
        <f ca="1">IF(TOTALCO!P710="", "",TOTALCO!P710)</f>
        <v>0</v>
      </c>
      <c r="Q183" s="12"/>
      <c r="R183" s="13"/>
    </row>
    <row r="184" spans="1:18" ht="15" x14ac:dyDescent="0.2">
      <c r="A184" s="321">
        <f>IF(TOTALCO!A711="", "",TOTALCO!A711)</f>
        <v>21</v>
      </c>
      <c r="B184" s="4" t="str">
        <f>IF(TOTALCO!B711="", "",TOTALCO!B711)</f>
        <v xml:space="preserve"> 365-OH CONDUCTORS AND DEVICES</v>
      </c>
      <c r="C184" s="4" t="str">
        <f>IF(TOTALCO!C711="", "",TOTALCO!C711)</f>
        <v>DEM365V</v>
      </c>
      <c r="D184" s="12">
        <f ca="1">IF(TOTALCO!D711="", "",TOTALCO!D711)</f>
        <v>29286126.640769172</v>
      </c>
      <c r="E184" s="12" t="str">
        <f>IF(TOTALCO!E711="", "",TOTALCO!E711)</f>
        <v/>
      </c>
      <c r="F184" s="12">
        <f ca="1">IF(TOTALCO!F711="", "",TOTALCO!F711)</f>
        <v>0</v>
      </c>
      <c r="G184" s="12" t="str">
        <f>IF(TOTALCO!G711="", "",TOTALCO!G711)</f>
        <v/>
      </c>
      <c r="H184" s="12">
        <f ca="1">IF(TOTALCO!H711="", "",TOTALCO!H711)</f>
        <v>29286126.640769172</v>
      </c>
      <c r="I184" s="12">
        <f ca="1">IF(TOTALCO!I711="", "",TOTALCO!I711)</f>
        <v>0</v>
      </c>
      <c r="J184" s="12" t="str">
        <f>IF(TOTALCO!J711="", "",TOTALCO!J711)</f>
        <v/>
      </c>
      <c r="K184" s="12" t="str">
        <f>IF(TOTALCO!K711="", "",TOTALCO!K711)</f>
        <v/>
      </c>
      <c r="L184" s="12">
        <f ca="1">IF(TOTALCO!L711="", "",TOTALCO!L711)</f>
        <v>0</v>
      </c>
      <c r="M184" s="12" t="str">
        <f>IF(TOTALCO!M711="", "",TOTALCO!M711)</f>
        <v/>
      </c>
      <c r="N184" s="12">
        <f ca="1">IF(TOTALCO!N711="", "",TOTALCO!N711)</f>
        <v>0</v>
      </c>
      <c r="O184" s="12">
        <f ca="1">IF(TOTALCO!O711="", "",TOTALCO!O711)</f>
        <v>0</v>
      </c>
      <c r="P184" s="12">
        <f ca="1">IF(TOTALCO!P711="", "",TOTALCO!P711)</f>
        <v>0</v>
      </c>
      <c r="Q184" s="12"/>
      <c r="R184" s="13"/>
    </row>
    <row r="185" spans="1:18" ht="15" x14ac:dyDescent="0.2">
      <c r="A185" s="321">
        <f>IF(TOTALCO!A712="", "",TOTALCO!A712)</f>
        <v>22</v>
      </c>
      <c r="B185" s="4" t="str">
        <f>IF(TOTALCO!B712="", "",TOTALCO!B712)</f>
        <v xml:space="preserve"> 367-UG CONDUCTORS AND DEVICES</v>
      </c>
      <c r="C185" s="4" t="str">
        <f>IF(TOTALCO!C712="", "",TOTALCO!C712)</f>
        <v>DEM367V</v>
      </c>
      <c r="D185" s="12">
        <f ca="1">IF(TOTALCO!D712="", "",TOTALCO!D712)</f>
        <v>5120978.2023076899</v>
      </c>
      <c r="E185" s="12" t="str">
        <f>IF(TOTALCO!E712="", "",TOTALCO!E712)</f>
        <v/>
      </c>
      <c r="F185" s="12">
        <f ca="1">IF(TOTALCO!F712="", "",TOTALCO!F712)</f>
        <v>0</v>
      </c>
      <c r="G185" s="12" t="str">
        <f>IF(TOTALCO!G712="", "",TOTALCO!G712)</f>
        <v/>
      </c>
      <c r="H185" s="12">
        <f ca="1">IF(TOTALCO!H712="", "",TOTALCO!H712)</f>
        <v>5120978.2023076899</v>
      </c>
      <c r="I185" s="12">
        <f ca="1">IF(TOTALCO!I712="", "",TOTALCO!I712)</f>
        <v>0</v>
      </c>
      <c r="J185" s="12" t="str">
        <f>IF(TOTALCO!J712="", "",TOTALCO!J712)</f>
        <v/>
      </c>
      <c r="K185" s="12" t="str">
        <f>IF(TOTALCO!K712="", "",TOTALCO!K712)</f>
        <v/>
      </c>
      <c r="L185" s="12">
        <f ca="1">IF(TOTALCO!L712="", "",TOTALCO!L712)</f>
        <v>0</v>
      </c>
      <c r="M185" s="12" t="str">
        <f>IF(TOTALCO!M712="", "",TOTALCO!M712)</f>
        <v/>
      </c>
      <c r="N185" s="12">
        <f ca="1">IF(TOTALCO!N712="", "",TOTALCO!N712)</f>
        <v>0</v>
      </c>
      <c r="O185" s="12">
        <f ca="1">IF(TOTALCO!O712="", "",TOTALCO!O712)</f>
        <v>0</v>
      </c>
      <c r="P185" s="12">
        <f ca="1">IF(TOTALCO!P712="", "",TOTALCO!P712)</f>
        <v>0</v>
      </c>
      <c r="Q185" s="12"/>
      <c r="R185" s="13"/>
    </row>
    <row r="186" spans="1:18" ht="15" x14ac:dyDescent="0.2">
      <c r="A186" s="321" t="str">
        <f>IF(TOTALCO!A713="", "",TOTALCO!A713)</f>
        <v/>
      </c>
      <c r="B186" s="4" t="str">
        <f>IF(TOTALCO!B713="", "",TOTALCO!B713)</f>
        <v xml:space="preserve"> 368-LINE TRANSFORMERS</v>
      </c>
      <c r="C186" s="4" t="str">
        <f>IF(TOTALCO!C713="", "",TOTALCO!C713)</f>
        <v/>
      </c>
      <c r="D186" s="12" t="str">
        <f>IF(TOTALCO!D713="", "",TOTALCO!D713)</f>
        <v/>
      </c>
      <c r="E186" s="12" t="str">
        <f>IF(TOTALCO!E713="", "",TOTALCO!E713)</f>
        <v/>
      </c>
      <c r="F186" s="12" t="str">
        <f>IF(TOTALCO!F713="", "",TOTALCO!F713)</f>
        <v/>
      </c>
      <c r="G186" s="12" t="str">
        <f>IF(TOTALCO!G713="", "",TOTALCO!G713)</f>
        <v/>
      </c>
      <c r="H186" s="12" t="str">
        <f>IF(TOTALCO!H713="", "",TOTALCO!H713)</f>
        <v/>
      </c>
      <c r="I186" s="12" t="str">
        <f>IF(TOTALCO!I713="", "",TOTALCO!I713)</f>
        <v/>
      </c>
      <c r="J186" s="12" t="str">
        <f>IF(TOTALCO!J713="", "",TOTALCO!J713)</f>
        <v/>
      </c>
      <c r="K186" s="12" t="str">
        <f>IF(TOTALCO!K713="", "",TOTALCO!K713)</f>
        <v/>
      </c>
      <c r="L186" s="12" t="str">
        <f>IF(TOTALCO!L713="", "",TOTALCO!L713)</f>
        <v/>
      </c>
      <c r="M186" s="12" t="str">
        <f>IF(TOTALCO!M713="", "",TOTALCO!M713)</f>
        <v/>
      </c>
      <c r="N186" s="12" t="str">
        <f>IF(TOTALCO!N713="", "",TOTALCO!N713)</f>
        <v/>
      </c>
      <c r="O186" s="12" t="str">
        <f>IF(TOTALCO!O713="", "",TOTALCO!O713)</f>
        <v/>
      </c>
      <c r="P186" s="12" t="str">
        <f>IF(TOTALCO!P713="", "",TOTALCO!P713)</f>
        <v/>
      </c>
      <c r="Q186" s="12"/>
      <c r="R186" s="13"/>
    </row>
    <row r="187" spans="1:18" ht="15" x14ac:dyDescent="0.2">
      <c r="A187" s="321">
        <f>IF(TOTALCO!A714="", "",TOTALCO!A714)</f>
        <v>23</v>
      </c>
      <c r="B187" s="4" t="str">
        <f>IF(TOTALCO!B714="", "",TOTALCO!B714)</f>
        <v xml:space="preserve">    POWER POOL</v>
      </c>
      <c r="C187" s="4" t="str">
        <f>IF(TOTALCO!C714="", "",TOTALCO!C714)</f>
        <v>DEM368V</v>
      </c>
      <c r="D187" s="12">
        <f ca="1">IF(TOTALCO!D714="", "",TOTALCO!D714)</f>
        <v>128027.56</v>
      </c>
      <c r="E187" s="12" t="str">
        <f>IF(TOTALCO!E714="", "",TOTALCO!E714)</f>
        <v/>
      </c>
      <c r="F187" s="12">
        <f ca="1">IF(TOTALCO!F714="", "",TOTALCO!F714)</f>
        <v>0</v>
      </c>
      <c r="G187" s="12" t="str">
        <f>IF(TOTALCO!G714="", "",TOTALCO!G714)</f>
        <v/>
      </c>
      <c r="H187" s="12">
        <f ca="1">IF(TOTALCO!H714="", "",TOTALCO!H714)</f>
        <v>128027.56</v>
      </c>
      <c r="I187" s="12">
        <f ca="1">IF(TOTALCO!I714="", "",TOTALCO!I714)</f>
        <v>0</v>
      </c>
      <c r="J187" s="12" t="str">
        <f>IF(TOTALCO!J714="", "",TOTALCO!J714)</f>
        <v/>
      </c>
      <c r="K187" s="12" t="str">
        <f>IF(TOTALCO!K714="", "",TOTALCO!K714)</f>
        <v/>
      </c>
      <c r="L187" s="12">
        <f ca="1">IF(TOTALCO!L714="", "",TOTALCO!L714)</f>
        <v>0</v>
      </c>
      <c r="M187" s="12" t="str">
        <f>IF(TOTALCO!M714="", "",TOTALCO!M714)</f>
        <v/>
      </c>
      <c r="N187" s="12">
        <f ca="1">IF(TOTALCO!N714="", "",TOTALCO!N714)</f>
        <v>0</v>
      </c>
      <c r="O187" s="12">
        <f ca="1">IF(TOTALCO!O714="", "",TOTALCO!O714)</f>
        <v>0</v>
      </c>
      <c r="P187" s="12">
        <f ca="1">IF(TOTALCO!P714="", "",TOTALCO!P714)</f>
        <v>0</v>
      </c>
      <c r="Q187" s="12"/>
      <c r="R187" s="13"/>
    </row>
    <row r="188" spans="1:18" ht="15" x14ac:dyDescent="0.2">
      <c r="A188" s="321">
        <f>IF(TOTALCO!A715="", "",TOTALCO!A715)</f>
        <v>24</v>
      </c>
      <c r="B188" s="4" t="str">
        <f>IF(TOTALCO!B715="", "",TOTALCO!B715)</f>
        <v xml:space="preserve">    ALL OTHER</v>
      </c>
      <c r="C188" s="4" t="str">
        <f>IF(TOTALCO!C715="", "",TOTALCO!C715)</f>
        <v>DEM368V</v>
      </c>
      <c r="D188" s="12">
        <f ca="1">IF(TOTALCO!D715="", "",TOTALCO!D715)</f>
        <v>11046496.479230767</v>
      </c>
      <c r="E188" s="12" t="str">
        <f>IF(TOTALCO!E715="", "",TOTALCO!E715)</f>
        <v/>
      </c>
      <c r="F188" s="12">
        <f ca="1">IF(TOTALCO!F715="", "",TOTALCO!F715)</f>
        <v>0</v>
      </c>
      <c r="G188" s="12" t="str">
        <f>IF(TOTALCO!G715="", "",TOTALCO!G715)</f>
        <v/>
      </c>
      <c r="H188" s="12">
        <f ca="1">IF(TOTALCO!H715="", "",TOTALCO!H715)</f>
        <v>11046496.479230767</v>
      </c>
      <c r="I188" s="12">
        <f ca="1">IF(TOTALCO!I715="", "",TOTALCO!I715)</f>
        <v>0</v>
      </c>
      <c r="J188" s="12" t="str">
        <f>IF(TOTALCO!J715="", "",TOTALCO!J715)</f>
        <v/>
      </c>
      <c r="K188" s="12" t="str">
        <f>IF(TOTALCO!K715="", "",TOTALCO!K715)</f>
        <v/>
      </c>
      <c r="L188" s="12">
        <f ca="1">IF(TOTALCO!L715="", "",TOTALCO!L715)</f>
        <v>0</v>
      </c>
      <c r="M188" s="12" t="str">
        <f>IF(TOTALCO!M715="", "",TOTALCO!M715)</f>
        <v/>
      </c>
      <c r="N188" s="12">
        <f ca="1">IF(TOTALCO!N715="", "",TOTALCO!N715)</f>
        <v>0</v>
      </c>
      <c r="O188" s="12">
        <f ca="1">IF(TOTALCO!O715="", "",TOTALCO!O715)</f>
        <v>0</v>
      </c>
      <c r="P188" s="12">
        <f ca="1">IF(TOTALCO!P715="", "",TOTALCO!P715)</f>
        <v>0</v>
      </c>
      <c r="Q188" s="12"/>
      <c r="R188" s="13"/>
    </row>
    <row r="189" spans="1:18" ht="15" x14ac:dyDescent="0.2">
      <c r="A189" s="321">
        <f>IF(TOTALCO!A716="", "",TOTALCO!A716)</f>
        <v>25</v>
      </c>
      <c r="B189" s="4" t="str">
        <f>IF(TOTALCO!B716="", "",TOTALCO!B716)</f>
        <v xml:space="preserve"> TOTAL 368-LINE TRANSFORMERS</v>
      </c>
      <c r="C189" s="4" t="str">
        <f>IF(TOTALCO!C716="", "",TOTALCO!C716)</f>
        <v/>
      </c>
      <c r="D189" s="12">
        <f ca="1">IF(TOTALCO!D716="", "",TOTALCO!D716)</f>
        <v>11174524.039230768</v>
      </c>
      <c r="E189" s="12" t="str">
        <f>IF(TOTALCO!E716="", "",TOTALCO!E716)</f>
        <v/>
      </c>
      <c r="F189" s="12">
        <f ca="1">IF(TOTALCO!F716="", "",TOTALCO!F716)</f>
        <v>0</v>
      </c>
      <c r="G189" s="12" t="str">
        <f>IF(TOTALCO!G716="", "",TOTALCO!G716)</f>
        <v/>
      </c>
      <c r="H189" s="12">
        <f ca="1">IF(TOTALCO!H716="", "",TOTALCO!H716)</f>
        <v>11174524.039230768</v>
      </c>
      <c r="I189" s="12">
        <f ca="1">IF(TOTALCO!I716="", "",TOTALCO!I716)</f>
        <v>0</v>
      </c>
      <c r="J189" s="12" t="str">
        <f>IF(TOTALCO!J716="", "",TOTALCO!J716)</f>
        <v/>
      </c>
      <c r="K189" s="12" t="str">
        <f>IF(TOTALCO!K716="", "",TOTALCO!K716)</f>
        <v/>
      </c>
      <c r="L189" s="12">
        <f ca="1">IF(TOTALCO!L716="", "",TOTALCO!L716)</f>
        <v>0</v>
      </c>
      <c r="M189" s="12" t="str">
        <f>IF(TOTALCO!M716="", "",TOTALCO!M716)</f>
        <v/>
      </c>
      <c r="N189" s="12">
        <f ca="1">IF(TOTALCO!N716="", "",TOTALCO!N716)</f>
        <v>0</v>
      </c>
      <c r="O189" s="12">
        <f ca="1">IF(TOTALCO!O716="", "",TOTALCO!O716)</f>
        <v>0</v>
      </c>
      <c r="P189" s="12">
        <f ca="1">IF(TOTALCO!P716="", "",TOTALCO!P716)</f>
        <v>0</v>
      </c>
      <c r="Q189" s="12"/>
      <c r="R189" s="13"/>
    </row>
    <row r="190" spans="1:18" ht="15" x14ac:dyDescent="0.2">
      <c r="A190" s="321">
        <f>IF(TOTALCO!A717="", "",TOTALCO!A717)</f>
        <v>26</v>
      </c>
      <c r="B190" s="4" t="str">
        <f>IF(TOTALCO!B717="", "",TOTALCO!B717)</f>
        <v xml:space="preserve"> 369-SERVICES</v>
      </c>
      <c r="C190" s="4" t="str">
        <f>IF(TOTALCO!C717="", "",TOTALCO!C717)</f>
        <v>CUST369V</v>
      </c>
      <c r="D190" s="12">
        <f ca="1">IF(TOTALCO!D717="", "",TOTALCO!D717)</f>
        <v>5852947.5299999993</v>
      </c>
      <c r="E190" s="12" t="str">
        <f>IF(TOTALCO!E717="", "",TOTALCO!E717)</f>
        <v/>
      </c>
      <c r="F190" s="12">
        <f ca="1">IF(TOTALCO!F717="", "",TOTALCO!F717)</f>
        <v>0</v>
      </c>
      <c r="G190" s="12" t="str">
        <f>IF(TOTALCO!G717="", "",TOTALCO!G717)</f>
        <v/>
      </c>
      <c r="H190" s="12">
        <f ca="1">IF(TOTALCO!H717="", "",TOTALCO!H717)</f>
        <v>5852947.5299999993</v>
      </c>
      <c r="I190" s="12">
        <f ca="1">IF(TOTALCO!I717="", "",TOTALCO!I717)</f>
        <v>0</v>
      </c>
      <c r="J190" s="12" t="str">
        <f>IF(TOTALCO!J717="", "",TOTALCO!J717)</f>
        <v/>
      </c>
      <c r="K190" s="12" t="str">
        <f>IF(TOTALCO!K717="", "",TOTALCO!K717)</f>
        <v/>
      </c>
      <c r="L190" s="12">
        <f ca="1">IF(TOTALCO!L717="", "",TOTALCO!L717)</f>
        <v>0</v>
      </c>
      <c r="M190" s="12" t="str">
        <f>IF(TOTALCO!M717="", "",TOTALCO!M717)</f>
        <v/>
      </c>
      <c r="N190" s="12">
        <f ca="1">IF(TOTALCO!N717="", "",TOTALCO!N717)</f>
        <v>0</v>
      </c>
      <c r="O190" s="12">
        <f ca="1">IF(TOTALCO!O717="", "",TOTALCO!O717)</f>
        <v>0</v>
      </c>
      <c r="P190" s="12">
        <f ca="1">IF(TOTALCO!P717="", "",TOTALCO!P717)</f>
        <v>0</v>
      </c>
      <c r="Q190" s="12"/>
      <c r="R190" s="13"/>
    </row>
    <row r="191" spans="1:18" ht="15" x14ac:dyDescent="0.2">
      <c r="A191" s="321">
        <f>IF(TOTALCO!A718="", "",TOTALCO!A718)</f>
        <v>27</v>
      </c>
      <c r="B191" s="4" t="str">
        <f>IF(TOTALCO!B718="", "",TOTALCO!B718)</f>
        <v xml:space="preserve"> 370-METERS</v>
      </c>
      <c r="C191" s="4" t="str">
        <f>IF(TOTALCO!C718="", "",TOTALCO!C718)</f>
        <v>CUST370V</v>
      </c>
      <c r="D191" s="12">
        <f ca="1">IF(TOTALCO!D718="", "",TOTALCO!D718)</f>
        <v>3783545.2</v>
      </c>
      <c r="E191" s="12" t="str">
        <f>IF(TOTALCO!E718="", "",TOTALCO!E718)</f>
        <v/>
      </c>
      <c r="F191" s="12">
        <f ca="1">IF(TOTALCO!F718="", "",TOTALCO!F718)</f>
        <v>0</v>
      </c>
      <c r="G191" s="12" t="str">
        <f>IF(TOTALCO!G718="", "",TOTALCO!G718)</f>
        <v/>
      </c>
      <c r="H191" s="12">
        <f ca="1">IF(TOTALCO!H718="", "",TOTALCO!H718)</f>
        <v>3783545.2</v>
      </c>
      <c r="I191" s="12">
        <f ca="1">IF(TOTALCO!I718="", "",TOTALCO!I718)</f>
        <v>0</v>
      </c>
      <c r="J191" s="12" t="str">
        <f>IF(TOTALCO!J718="", "",TOTALCO!J718)</f>
        <v/>
      </c>
      <c r="K191" s="12" t="str">
        <f>IF(TOTALCO!K718="", "",TOTALCO!K718)</f>
        <v/>
      </c>
      <c r="L191" s="12">
        <f ca="1">IF(TOTALCO!L718="", "",TOTALCO!L718)</f>
        <v>0</v>
      </c>
      <c r="M191" s="12" t="str">
        <f>IF(TOTALCO!M718="", "",TOTALCO!M718)</f>
        <v/>
      </c>
      <c r="N191" s="12">
        <f ca="1">IF(TOTALCO!N718="", "",TOTALCO!N718)</f>
        <v>0</v>
      </c>
      <c r="O191" s="12">
        <f ca="1">IF(TOTALCO!O718="", "",TOTALCO!O718)</f>
        <v>0</v>
      </c>
      <c r="P191" s="12">
        <f ca="1">IF(TOTALCO!P718="", "",TOTALCO!P718)</f>
        <v>0</v>
      </c>
      <c r="Q191" s="12"/>
      <c r="R191" s="13"/>
    </row>
    <row r="192" spans="1:18" ht="15" x14ac:dyDescent="0.2">
      <c r="A192" s="321">
        <f>IF(TOTALCO!A719="", "",TOTALCO!A719)</f>
        <v>28</v>
      </c>
      <c r="B192" s="4" t="str">
        <f>IF(TOTALCO!B719="", "",TOTALCO!B719)</f>
        <v xml:space="preserve"> 371-INSTALL ON CUSTOMER PREMISES</v>
      </c>
      <c r="C192" s="4" t="str">
        <f>IF(TOTALCO!C719="", "",TOTALCO!C719)</f>
        <v>CUST371V</v>
      </c>
      <c r="D192" s="12">
        <f ca="1">IF(TOTALCO!D719="", "",TOTALCO!D719)</f>
        <v>0</v>
      </c>
      <c r="E192" s="12" t="str">
        <f>IF(TOTALCO!E719="", "",TOTALCO!E719)</f>
        <v/>
      </c>
      <c r="F192" s="12">
        <f ca="1">IF(TOTALCO!F719="", "",TOTALCO!F719)</f>
        <v>0</v>
      </c>
      <c r="G192" s="12" t="str">
        <f>IF(TOTALCO!G719="", "",TOTALCO!G719)</f>
        <v/>
      </c>
      <c r="H192" s="12">
        <f ca="1">IF(TOTALCO!H719="", "",TOTALCO!H719)</f>
        <v>0</v>
      </c>
      <c r="I192" s="12">
        <f ca="1">IF(TOTALCO!I719="", "",TOTALCO!I719)</f>
        <v>0</v>
      </c>
      <c r="J192" s="12" t="str">
        <f>IF(TOTALCO!J719="", "",TOTALCO!J719)</f>
        <v/>
      </c>
      <c r="K192" s="12" t="str">
        <f>IF(TOTALCO!K719="", "",TOTALCO!K719)</f>
        <v/>
      </c>
      <c r="L192" s="12">
        <f ca="1">IF(TOTALCO!L719="", "",TOTALCO!L719)</f>
        <v>0</v>
      </c>
      <c r="M192" s="12" t="str">
        <f>IF(TOTALCO!M719="", "",TOTALCO!M719)</f>
        <v/>
      </c>
      <c r="N192" s="12">
        <f ca="1">IF(TOTALCO!N719="", "",TOTALCO!N719)</f>
        <v>0</v>
      </c>
      <c r="O192" s="12">
        <f ca="1">IF(TOTALCO!O719="", "",TOTALCO!O719)</f>
        <v>0</v>
      </c>
      <c r="P192" s="12">
        <f ca="1">IF(TOTALCO!P719="", "",TOTALCO!P719)</f>
        <v>0</v>
      </c>
      <c r="Q192" s="12"/>
      <c r="R192" s="13"/>
    </row>
    <row r="193" spans="1:18" ht="15" x14ac:dyDescent="0.2">
      <c r="A193" s="321">
        <f>IF(TOTALCO!A720="", "",TOTALCO!A720)</f>
        <v>29</v>
      </c>
      <c r="B193" s="4" t="str">
        <f>IF(TOTALCO!B720="", "",TOTALCO!B720)</f>
        <v xml:space="preserve"> 373-STREET LIGHTING</v>
      </c>
      <c r="C193" s="4" t="str">
        <f>IF(TOTALCO!C720="", "",TOTALCO!C720)</f>
        <v>CUST373V</v>
      </c>
      <c r="D193" s="12">
        <f ca="1">IF(TOTALCO!D720="", "",TOTALCO!D720)</f>
        <v>3991840.8323076926</v>
      </c>
      <c r="E193" s="12" t="str">
        <f>IF(TOTALCO!E720="", "",TOTALCO!E720)</f>
        <v/>
      </c>
      <c r="F193" s="12">
        <f ca="1">IF(TOTALCO!F720="", "",TOTALCO!F720)</f>
        <v>0</v>
      </c>
      <c r="G193" s="12" t="str">
        <f>IF(TOTALCO!G720="", "",TOTALCO!G720)</f>
        <v/>
      </c>
      <c r="H193" s="12">
        <f ca="1">IF(TOTALCO!H720="", "",TOTALCO!H720)</f>
        <v>3991840.8323076926</v>
      </c>
      <c r="I193" s="12">
        <f ca="1">IF(TOTALCO!I720="", "",TOTALCO!I720)</f>
        <v>0</v>
      </c>
      <c r="J193" s="12" t="str">
        <f>IF(TOTALCO!J720="", "",TOTALCO!J720)</f>
        <v/>
      </c>
      <c r="K193" s="12" t="str">
        <f>IF(TOTALCO!K720="", "",TOTALCO!K720)</f>
        <v/>
      </c>
      <c r="L193" s="12">
        <f ca="1">IF(TOTALCO!L720="", "",TOTALCO!L720)</f>
        <v>0</v>
      </c>
      <c r="M193" s="12" t="str">
        <f>IF(TOTALCO!M720="", "",TOTALCO!M720)</f>
        <v/>
      </c>
      <c r="N193" s="12">
        <f ca="1">IF(TOTALCO!N720="", "",TOTALCO!N720)</f>
        <v>0</v>
      </c>
      <c r="O193" s="12">
        <f ca="1">IF(TOTALCO!O720="", "",TOTALCO!O720)</f>
        <v>0</v>
      </c>
      <c r="P193" s="12">
        <f ca="1">IF(TOTALCO!P720="", "",TOTALCO!P720)</f>
        <v>0</v>
      </c>
      <c r="Q193" s="12"/>
      <c r="R193" s="13"/>
    </row>
    <row r="194" spans="1:18" ht="15" x14ac:dyDescent="0.2">
      <c r="A194" s="321">
        <f>IF(TOTALCO!A721="", "",TOTALCO!A721)</f>
        <v>30</v>
      </c>
      <c r="B194" s="4" t="str">
        <f>IF(TOTALCO!B721="", "",TOTALCO!B721)</f>
        <v xml:space="preserve"> TOTAL VIRGINIA DISTRIB PLANT</v>
      </c>
      <c r="C194" s="4" t="str">
        <f>IF(TOTALCO!C721="", "",TOTALCO!C721)</f>
        <v/>
      </c>
      <c r="D194" s="12">
        <f ca="1">IF(TOTALCO!D721="", "",TOTALCO!D721)</f>
        <v>99510269.70615378</v>
      </c>
      <c r="E194" s="12" t="str">
        <f>IF(TOTALCO!E721="", "",TOTALCO!E721)</f>
        <v/>
      </c>
      <c r="F194" s="12">
        <f ca="1">IF(TOTALCO!F721="", "",TOTALCO!F721)</f>
        <v>0</v>
      </c>
      <c r="G194" s="12" t="str">
        <f>IF(TOTALCO!G721="", "",TOTALCO!G721)</f>
        <v/>
      </c>
      <c r="H194" s="12">
        <f ca="1">IF(TOTALCO!H721="", "",TOTALCO!H721)</f>
        <v>99510269.70615378</v>
      </c>
      <c r="I194" s="12">
        <f ca="1">IF(TOTALCO!I721="", "",TOTALCO!I721)</f>
        <v>0</v>
      </c>
      <c r="J194" s="12" t="str">
        <f>IF(TOTALCO!J721="", "",TOTALCO!J721)</f>
        <v/>
      </c>
      <c r="K194" s="12" t="str">
        <f>IF(TOTALCO!K721="", "",TOTALCO!K721)</f>
        <v/>
      </c>
      <c r="L194" s="12">
        <f ca="1">IF(TOTALCO!L721="", "",TOTALCO!L721)</f>
        <v>0</v>
      </c>
      <c r="M194" s="12" t="str">
        <f>IF(TOTALCO!M721="", "",TOTALCO!M721)</f>
        <v/>
      </c>
      <c r="N194" s="12">
        <f ca="1">IF(TOTALCO!N721="", "",TOTALCO!N721)</f>
        <v>0</v>
      </c>
      <c r="O194" s="12">
        <f ca="1">IF(TOTALCO!O721="", "",TOTALCO!O721)</f>
        <v>0</v>
      </c>
      <c r="P194" s="12">
        <f ca="1">IF(TOTALCO!P721="", "",TOTALCO!P721)</f>
        <v>0</v>
      </c>
      <c r="Q194" s="12"/>
      <c r="R194" s="13"/>
    </row>
    <row r="195" spans="1:18" ht="15" x14ac:dyDescent="0.2">
      <c r="A195" s="321" t="str">
        <f>IF(TOTALCO!A722="", "",TOTALCO!A722)</f>
        <v/>
      </c>
      <c r="B195" s="4" t="str">
        <f>IF(TOTALCO!B722="", "",TOTALCO!B722)</f>
        <v/>
      </c>
      <c r="C195" s="4" t="str">
        <f>IF(TOTALCO!C722="", "",TOTALCO!C722)</f>
        <v/>
      </c>
      <c r="D195" s="12" t="str">
        <f>IF(TOTALCO!D722="", "",TOTALCO!D722)</f>
        <v/>
      </c>
      <c r="E195" s="12" t="str">
        <f>IF(TOTALCO!E722="", "",TOTALCO!E722)</f>
        <v/>
      </c>
      <c r="F195" s="12" t="str">
        <f>IF(TOTALCO!F722="", "",TOTALCO!F722)</f>
        <v/>
      </c>
      <c r="G195" s="12" t="str">
        <f>IF(TOTALCO!G722="", "",TOTALCO!G722)</f>
        <v/>
      </c>
      <c r="H195" s="12" t="str">
        <f>IF(TOTALCO!H722="", "",TOTALCO!H722)</f>
        <v/>
      </c>
      <c r="I195" s="12" t="str">
        <f>IF(TOTALCO!I722="", "",TOTALCO!I722)</f>
        <v/>
      </c>
      <c r="J195" s="12" t="str">
        <f>IF(TOTALCO!J722="", "",TOTALCO!J722)</f>
        <v/>
      </c>
      <c r="K195" s="12" t="str">
        <f>IF(TOTALCO!K722="", "",TOTALCO!K722)</f>
        <v/>
      </c>
      <c r="L195" s="12" t="str">
        <f>IF(TOTALCO!L722="", "",TOTALCO!L722)</f>
        <v/>
      </c>
      <c r="M195" s="12" t="str">
        <f>IF(TOTALCO!M722="", "",TOTALCO!M722)</f>
        <v/>
      </c>
      <c r="N195" s="12" t="str">
        <f>IF(TOTALCO!N722="", "",TOTALCO!N722)</f>
        <v/>
      </c>
      <c r="O195" s="12" t="str">
        <f>IF(TOTALCO!O722="", "",TOTALCO!O722)</f>
        <v/>
      </c>
      <c r="P195" s="12" t="str">
        <f>IF(TOTALCO!P722="", "",TOTALCO!P722)</f>
        <v/>
      </c>
      <c r="Q195" s="12"/>
      <c r="R195" s="13"/>
    </row>
    <row r="196" spans="1:18" ht="15" x14ac:dyDescent="0.2">
      <c r="A196" s="321" t="str">
        <f>IF(TOTALCO!A723="", "",TOTALCO!A723)</f>
        <v/>
      </c>
      <c r="B196" s="4" t="str">
        <f>IF(TOTALCO!B723="", "",TOTALCO!B723)</f>
        <v xml:space="preserve"> TENNESSEE DISTRIBUTION PLANT</v>
      </c>
      <c r="C196" s="4" t="str">
        <f>IF(TOTALCO!C723="", "",TOTALCO!C723)</f>
        <v/>
      </c>
      <c r="D196" s="12" t="str">
        <f>IF(TOTALCO!D723="", "",TOTALCO!D723)</f>
        <v/>
      </c>
      <c r="E196" s="12" t="str">
        <f>IF(TOTALCO!E723="", "",TOTALCO!E723)</f>
        <v/>
      </c>
      <c r="F196" s="12" t="str">
        <f>IF(TOTALCO!F723="", "",TOTALCO!F723)</f>
        <v/>
      </c>
      <c r="G196" s="12" t="str">
        <f>IF(TOTALCO!G723="", "",TOTALCO!G723)</f>
        <v/>
      </c>
      <c r="H196" s="12" t="str">
        <f>IF(TOTALCO!H723="", "",TOTALCO!H723)</f>
        <v/>
      </c>
      <c r="I196" s="12" t="str">
        <f>IF(TOTALCO!I723="", "",TOTALCO!I723)</f>
        <v/>
      </c>
      <c r="J196" s="12" t="str">
        <f>IF(TOTALCO!J723="", "",TOTALCO!J723)</f>
        <v/>
      </c>
      <c r="K196" s="12" t="str">
        <f>IF(TOTALCO!K723="", "",TOTALCO!K723)</f>
        <v/>
      </c>
      <c r="L196" s="12" t="str">
        <f>IF(TOTALCO!L723="", "",TOTALCO!L723)</f>
        <v/>
      </c>
      <c r="M196" s="12" t="str">
        <f>IF(TOTALCO!M723="", "",TOTALCO!M723)</f>
        <v/>
      </c>
      <c r="N196" s="12" t="str">
        <f>IF(TOTALCO!N723="", "",TOTALCO!N723)</f>
        <v/>
      </c>
      <c r="O196" s="12" t="str">
        <f>IF(TOTALCO!O723="", "",TOTALCO!O723)</f>
        <v/>
      </c>
      <c r="P196" s="12" t="str">
        <f>IF(TOTALCO!P723="", "",TOTALCO!P723)</f>
        <v/>
      </c>
      <c r="Q196" s="12"/>
      <c r="R196" s="13"/>
    </row>
    <row r="197" spans="1:18" ht="15" x14ac:dyDescent="0.2">
      <c r="A197" s="321">
        <f>IF(TOTALCO!A724="", "",TOTALCO!A724)</f>
        <v>31</v>
      </c>
      <c r="B197" s="4" t="str">
        <f>IF(TOTALCO!B724="", "",TOTALCO!B724)</f>
        <v xml:space="preserve"> 360-LAND &amp; LAND RIGHTS</v>
      </c>
      <c r="C197" s="4" t="str">
        <f>IF(TOTALCO!C724="", "",TOTALCO!C724)</f>
        <v>DEM360T</v>
      </c>
      <c r="D197" s="12">
        <f ca="1">IF(TOTALCO!D724="", "",TOTALCO!D724)</f>
        <v>475572.53000000009</v>
      </c>
      <c r="E197" s="12" t="str">
        <f>IF(TOTALCO!E724="", "",TOTALCO!E724)</f>
        <v/>
      </c>
      <c r="F197" s="12">
        <f ca="1">IF(TOTALCO!F724="", "",TOTALCO!F724)</f>
        <v>0</v>
      </c>
      <c r="G197" s="12" t="str">
        <f>IF(TOTALCO!G724="", "",TOTALCO!G724)</f>
        <v/>
      </c>
      <c r="H197" s="12">
        <f ca="1">IF(TOTALCO!H724="", "",TOTALCO!H724)</f>
        <v>0</v>
      </c>
      <c r="I197" s="12">
        <f ca="1">IF(TOTALCO!I724="", "",TOTALCO!I724)</f>
        <v>475572.53000000009</v>
      </c>
      <c r="J197" s="12" t="str">
        <f>IF(TOTALCO!J724="", "",TOTALCO!J724)</f>
        <v/>
      </c>
      <c r="K197" s="12" t="str">
        <f>IF(TOTALCO!K724="", "",TOTALCO!K724)</f>
        <v/>
      </c>
      <c r="L197" s="12">
        <f ca="1">IF(TOTALCO!L724="", "",TOTALCO!L724)</f>
        <v>475572.53000000009</v>
      </c>
      <c r="M197" s="12" t="str">
        <f>IF(TOTALCO!M724="", "",TOTALCO!M724)</f>
        <v/>
      </c>
      <c r="N197" s="12">
        <f ca="1">IF(TOTALCO!N724="", "",TOTALCO!N724)</f>
        <v>0</v>
      </c>
      <c r="O197" s="12">
        <f ca="1">IF(TOTALCO!O724="", "",TOTALCO!O724)</f>
        <v>0</v>
      </c>
      <c r="P197" s="12">
        <f ca="1">IF(TOTALCO!P724="", "",TOTALCO!P724)</f>
        <v>0</v>
      </c>
      <c r="Q197" s="12"/>
      <c r="R197" s="13"/>
    </row>
    <row r="198" spans="1:18" ht="15" x14ac:dyDescent="0.2">
      <c r="A198" s="321">
        <f>IF(TOTALCO!A725="", "",TOTALCO!A725)</f>
        <v>32</v>
      </c>
      <c r="B198" s="4" t="str">
        <f>IF(TOTALCO!B725="", "",TOTALCO!B725)</f>
        <v xml:space="preserve"> 361-STRUCTURES AND IMPROVEMENTS</v>
      </c>
      <c r="C198" s="4" t="str">
        <f>IF(TOTALCO!C725="", "",TOTALCO!C725)</f>
        <v>DEM361T</v>
      </c>
      <c r="D198" s="12">
        <f ca="1">IF(TOTALCO!D725="", "",TOTALCO!D725)</f>
        <v>2545.13</v>
      </c>
      <c r="E198" s="12" t="str">
        <f>IF(TOTALCO!E725="", "",TOTALCO!E725)</f>
        <v/>
      </c>
      <c r="F198" s="12">
        <f ca="1">IF(TOTALCO!F725="", "",TOTALCO!F725)</f>
        <v>0</v>
      </c>
      <c r="G198" s="12" t="str">
        <f>IF(TOTALCO!G725="", "",TOTALCO!G725)</f>
        <v/>
      </c>
      <c r="H198" s="12">
        <f ca="1">IF(TOTALCO!H725="", "",TOTALCO!H725)</f>
        <v>0</v>
      </c>
      <c r="I198" s="12">
        <f ca="1">IF(TOTALCO!I725="", "",TOTALCO!I725)</f>
        <v>2545.13</v>
      </c>
      <c r="J198" s="12" t="str">
        <f>IF(TOTALCO!J725="", "",TOTALCO!J725)</f>
        <v/>
      </c>
      <c r="K198" s="12" t="str">
        <f>IF(TOTALCO!K725="", "",TOTALCO!K725)</f>
        <v/>
      </c>
      <c r="L198" s="12">
        <f ca="1">IF(TOTALCO!L725="", "",TOTALCO!L725)</f>
        <v>2545.13</v>
      </c>
      <c r="M198" s="12" t="str">
        <f>IF(TOTALCO!M725="", "",TOTALCO!M725)</f>
        <v/>
      </c>
      <c r="N198" s="12">
        <f ca="1">IF(TOTALCO!N725="", "",TOTALCO!N725)</f>
        <v>0</v>
      </c>
      <c r="O198" s="12">
        <f ca="1">IF(TOTALCO!O725="", "",TOTALCO!O725)</f>
        <v>0</v>
      </c>
      <c r="P198" s="12">
        <f ca="1">IF(TOTALCO!P725="", "",TOTALCO!P725)</f>
        <v>0</v>
      </c>
      <c r="Q198" s="12"/>
      <c r="R198" s="13"/>
    </row>
    <row r="199" spans="1:18" ht="15" x14ac:dyDescent="0.2">
      <c r="A199" s="321">
        <f>IF(TOTALCO!A726="", "",TOTALCO!A726)</f>
        <v>33</v>
      </c>
      <c r="B199" s="4" t="str">
        <f>IF(TOTALCO!B726="", "",TOTALCO!B726)</f>
        <v xml:space="preserve"> 362-STATION EQUIPMENT</v>
      </c>
      <c r="C199" s="4" t="str">
        <f>IF(TOTALCO!C726="", "",TOTALCO!C726)</f>
        <v>DEM362T</v>
      </c>
      <c r="D199" s="12">
        <f ca="1">IF(TOTALCO!D726="", "",TOTALCO!D726)</f>
        <v>66880.14999999998</v>
      </c>
      <c r="E199" s="12" t="str">
        <f>IF(TOTALCO!E726="", "",TOTALCO!E726)</f>
        <v/>
      </c>
      <c r="F199" s="12">
        <f ca="1">IF(TOTALCO!F726="", "",TOTALCO!F726)</f>
        <v>0</v>
      </c>
      <c r="G199" s="12" t="str">
        <f>IF(TOTALCO!G726="", "",TOTALCO!G726)</f>
        <v/>
      </c>
      <c r="H199" s="12">
        <f ca="1">IF(TOTALCO!H726="", "",TOTALCO!H726)</f>
        <v>0</v>
      </c>
      <c r="I199" s="12">
        <f ca="1">IF(TOTALCO!I726="", "",TOTALCO!I726)</f>
        <v>66880.14999999998</v>
      </c>
      <c r="J199" s="12" t="str">
        <f>IF(TOTALCO!J726="", "",TOTALCO!J726)</f>
        <v/>
      </c>
      <c r="K199" s="12" t="str">
        <f>IF(TOTALCO!K726="", "",TOTALCO!K726)</f>
        <v/>
      </c>
      <c r="L199" s="12">
        <f ca="1">IF(TOTALCO!L726="", "",TOTALCO!L726)</f>
        <v>66880.14999999998</v>
      </c>
      <c r="M199" s="12" t="str">
        <f>IF(TOTALCO!M726="", "",TOTALCO!M726)</f>
        <v/>
      </c>
      <c r="N199" s="12">
        <f ca="1">IF(TOTALCO!N726="", "",TOTALCO!N726)</f>
        <v>0</v>
      </c>
      <c r="O199" s="12">
        <f ca="1">IF(TOTALCO!O726="", "",TOTALCO!O726)</f>
        <v>0</v>
      </c>
      <c r="P199" s="12">
        <f ca="1">IF(TOTALCO!P726="", "",TOTALCO!P726)</f>
        <v>0</v>
      </c>
      <c r="Q199" s="12"/>
      <c r="R199" s="13"/>
    </row>
    <row r="200" spans="1:18" ht="15" x14ac:dyDescent="0.2">
      <c r="A200" s="321">
        <f>IF(TOTALCO!A727="", "",TOTALCO!A727)</f>
        <v>34</v>
      </c>
      <c r="B200" s="4" t="str">
        <f>IF(TOTALCO!B727="", "",TOTALCO!B727)</f>
        <v xml:space="preserve"> 364-POLES, TOWERS, AND FIXTURES</v>
      </c>
      <c r="C200" s="4" t="str">
        <f>IF(TOTALCO!C727="", "",TOTALCO!C727)</f>
        <v>DEM364T</v>
      </c>
      <c r="D200" s="12">
        <f ca="1">IF(TOTALCO!D727="", "",TOTALCO!D727)</f>
        <v>47785.56</v>
      </c>
      <c r="E200" s="12" t="str">
        <f>IF(TOTALCO!E727="", "",TOTALCO!E727)</f>
        <v/>
      </c>
      <c r="F200" s="12">
        <f ca="1">IF(TOTALCO!F727="", "",TOTALCO!F727)</f>
        <v>0</v>
      </c>
      <c r="G200" s="12" t="str">
        <f>IF(TOTALCO!G727="", "",TOTALCO!G727)</f>
        <v/>
      </c>
      <c r="H200" s="12">
        <f ca="1">IF(TOTALCO!H727="", "",TOTALCO!H727)</f>
        <v>0</v>
      </c>
      <c r="I200" s="12">
        <f ca="1">IF(TOTALCO!I727="", "",TOTALCO!I727)</f>
        <v>47785.56</v>
      </c>
      <c r="J200" s="12" t="str">
        <f>IF(TOTALCO!J727="", "",TOTALCO!J727)</f>
        <v/>
      </c>
      <c r="K200" s="12" t="str">
        <f>IF(TOTALCO!K727="", "",TOTALCO!K727)</f>
        <v/>
      </c>
      <c r="L200" s="12">
        <f ca="1">IF(TOTALCO!L727="", "",TOTALCO!L727)</f>
        <v>47785.56</v>
      </c>
      <c r="M200" s="12" t="str">
        <f>IF(TOTALCO!M727="", "",TOTALCO!M727)</f>
        <v/>
      </c>
      <c r="N200" s="12">
        <f ca="1">IF(TOTALCO!N727="", "",TOTALCO!N727)</f>
        <v>0</v>
      </c>
      <c r="O200" s="12">
        <f ca="1">IF(TOTALCO!O727="", "",TOTALCO!O727)</f>
        <v>0</v>
      </c>
      <c r="P200" s="12">
        <f ca="1">IF(TOTALCO!P727="", "",TOTALCO!P727)</f>
        <v>0</v>
      </c>
      <c r="Q200" s="12"/>
      <c r="R200" s="13"/>
    </row>
    <row r="201" spans="1:18" ht="15" x14ac:dyDescent="0.2">
      <c r="A201" s="321">
        <f>IF(TOTALCO!A728="", "",TOTALCO!A728)</f>
        <v>35</v>
      </c>
      <c r="B201" s="4" t="str">
        <f>IF(TOTALCO!B728="", "",TOTALCO!B728)</f>
        <v xml:space="preserve"> 365-OH CONDUCTORS AND DEVICES</v>
      </c>
      <c r="C201" s="4" t="str">
        <f>IF(TOTALCO!C728="", "",TOTALCO!C728)</f>
        <v>DEM365T</v>
      </c>
      <c r="D201" s="12">
        <f ca="1">IF(TOTALCO!D728="", "",TOTALCO!D728)</f>
        <v>46763.22</v>
      </c>
      <c r="E201" s="12" t="str">
        <f>IF(TOTALCO!E728="", "",TOTALCO!E728)</f>
        <v/>
      </c>
      <c r="F201" s="12">
        <f ca="1">IF(TOTALCO!F728="", "",TOTALCO!F728)</f>
        <v>0</v>
      </c>
      <c r="G201" s="12" t="str">
        <f>IF(TOTALCO!G728="", "",TOTALCO!G728)</f>
        <v/>
      </c>
      <c r="H201" s="12">
        <f ca="1">IF(TOTALCO!H728="", "",TOTALCO!H728)</f>
        <v>0</v>
      </c>
      <c r="I201" s="12">
        <f ca="1">IF(TOTALCO!I728="", "",TOTALCO!I728)</f>
        <v>46763.22</v>
      </c>
      <c r="J201" s="12" t="str">
        <f>IF(TOTALCO!J728="", "",TOTALCO!J728)</f>
        <v/>
      </c>
      <c r="K201" s="12" t="str">
        <f>IF(TOTALCO!K728="", "",TOTALCO!K728)</f>
        <v/>
      </c>
      <c r="L201" s="12">
        <f ca="1">IF(TOTALCO!L728="", "",TOTALCO!L728)</f>
        <v>46763.22</v>
      </c>
      <c r="M201" s="12" t="str">
        <f>IF(TOTALCO!M728="", "",TOTALCO!M728)</f>
        <v/>
      </c>
      <c r="N201" s="12">
        <f ca="1">IF(TOTALCO!N728="", "",TOTALCO!N728)</f>
        <v>0</v>
      </c>
      <c r="O201" s="12">
        <f ca="1">IF(TOTALCO!O728="", "",TOTALCO!O728)</f>
        <v>0</v>
      </c>
      <c r="P201" s="12">
        <f ca="1">IF(TOTALCO!P728="", "",TOTALCO!P728)</f>
        <v>0</v>
      </c>
      <c r="Q201" s="12"/>
      <c r="R201" s="13"/>
    </row>
    <row r="202" spans="1:18" ht="15" x14ac:dyDescent="0.2">
      <c r="A202" s="321">
        <f>IF(TOTALCO!A729="", "",TOTALCO!A729)</f>
        <v>36</v>
      </c>
      <c r="B202" s="4" t="str">
        <f>IF(TOTALCO!B729="", "",TOTALCO!B729)</f>
        <v xml:space="preserve"> 368-LINE TRANSFORMERS</v>
      </c>
      <c r="C202" s="4" t="str">
        <f>IF(TOTALCO!C729="", "",TOTALCO!C729)</f>
        <v>DEM368T</v>
      </c>
      <c r="D202" s="12">
        <f ca="1">IF(TOTALCO!D729="", "",TOTALCO!D729)</f>
        <v>3118.2799999999988</v>
      </c>
      <c r="E202" s="12" t="str">
        <f>IF(TOTALCO!E729="", "",TOTALCO!E729)</f>
        <v/>
      </c>
      <c r="F202" s="12">
        <f ca="1">IF(TOTALCO!F729="", "",TOTALCO!F729)</f>
        <v>0</v>
      </c>
      <c r="G202" s="12" t="str">
        <f>IF(TOTALCO!G729="", "",TOTALCO!G729)</f>
        <v/>
      </c>
      <c r="H202" s="12">
        <f ca="1">IF(TOTALCO!H729="", "",TOTALCO!H729)</f>
        <v>0</v>
      </c>
      <c r="I202" s="12">
        <f ca="1">IF(TOTALCO!I729="", "",TOTALCO!I729)</f>
        <v>3118.2799999999988</v>
      </c>
      <c r="J202" s="12" t="str">
        <f>IF(TOTALCO!J729="", "",TOTALCO!J729)</f>
        <v/>
      </c>
      <c r="K202" s="12" t="str">
        <f>IF(TOTALCO!K729="", "",TOTALCO!K729)</f>
        <v/>
      </c>
      <c r="L202" s="12">
        <f ca="1">IF(TOTALCO!L729="", "",TOTALCO!L729)</f>
        <v>3118.2799999999988</v>
      </c>
      <c r="M202" s="12" t="str">
        <f>IF(TOTALCO!M729="", "",TOTALCO!M729)</f>
        <v/>
      </c>
      <c r="N202" s="12">
        <f ca="1">IF(TOTALCO!N729="", "",TOTALCO!N729)</f>
        <v>0</v>
      </c>
      <c r="O202" s="12">
        <f ca="1">IF(TOTALCO!O729="", "",TOTALCO!O729)</f>
        <v>0</v>
      </c>
      <c r="P202" s="12">
        <f ca="1">IF(TOTALCO!P729="", "",TOTALCO!P729)</f>
        <v>0</v>
      </c>
      <c r="Q202" s="12"/>
      <c r="R202" s="13"/>
    </row>
    <row r="203" spans="1:18" ht="15" x14ac:dyDescent="0.2">
      <c r="A203" s="321">
        <f>IF(TOTALCO!A730="", "",TOTALCO!A730)</f>
        <v>37</v>
      </c>
      <c r="B203" s="4" t="str">
        <f>IF(TOTALCO!B730="", "",TOTALCO!B730)</f>
        <v xml:space="preserve"> 369-SERVICES</v>
      </c>
      <c r="C203" s="4" t="str">
        <f>IF(TOTALCO!C730="", "",TOTALCO!C730)</f>
        <v>CUST369T</v>
      </c>
      <c r="D203" s="12">
        <f ca="1">IF(TOTALCO!D730="", "",TOTALCO!D730)</f>
        <v>254.62</v>
      </c>
      <c r="E203" s="12" t="str">
        <f>IF(TOTALCO!E730="", "",TOTALCO!E730)</f>
        <v/>
      </c>
      <c r="F203" s="12">
        <f ca="1">IF(TOTALCO!F730="", "",TOTALCO!F730)</f>
        <v>0</v>
      </c>
      <c r="G203" s="12" t="str">
        <f>IF(TOTALCO!G730="", "",TOTALCO!G730)</f>
        <v/>
      </c>
      <c r="H203" s="12">
        <f ca="1">IF(TOTALCO!H730="", "",TOTALCO!H730)</f>
        <v>0</v>
      </c>
      <c r="I203" s="12">
        <f ca="1">IF(TOTALCO!I730="", "",TOTALCO!I730)</f>
        <v>254.62</v>
      </c>
      <c r="J203" s="12" t="str">
        <f>IF(TOTALCO!J730="", "",TOTALCO!J730)</f>
        <v/>
      </c>
      <c r="K203" s="12" t="str">
        <f>IF(TOTALCO!K730="", "",TOTALCO!K730)</f>
        <v/>
      </c>
      <c r="L203" s="12">
        <f ca="1">IF(TOTALCO!L730="", "",TOTALCO!L730)</f>
        <v>254.62</v>
      </c>
      <c r="M203" s="12" t="str">
        <f>IF(TOTALCO!M730="", "",TOTALCO!M730)</f>
        <v/>
      </c>
      <c r="N203" s="12">
        <f ca="1">IF(TOTALCO!N730="", "",TOTALCO!N730)</f>
        <v>0</v>
      </c>
      <c r="O203" s="12">
        <f ca="1">IF(TOTALCO!O730="", "",TOTALCO!O730)</f>
        <v>0</v>
      </c>
      <c r="P203" s="12">
        <f ca="1">IF(TOTALCO!P730="", "",TOTALCO!P730)</f>
        <v>0</v>
      </c>
      <c r="Q203" s="12"/>
      <c r="R203" s="13"/>
    </row>
    <row r="204" spans="1:18" ht="15" x14ac:dyDescent="0.2">
      <c r="A204" s="321">
        <f>IF(TOTALCO!A731="", "",TOTALCO!A731)</f>
        <v>38</v>
      </c>
      <c r="B204" s="4" t="str">
        <f>IF(TOTALCO!B731="", "",TOTALCO!B731)</f>
        <v xml:space="preserve"> 370-METERS</v>
      </c>
      <c r="C204" s="4" t="str">
        <f>IF(TOTALCO!C731="", "",TOTALCO!C731)</f>
        <v>CUST370T</v>
      </c>
      <c r="D204" s="12">
        <f ca="1">IF(TOTALCO!D731="", "",TOTALCO!D731)</f>
        <v>4199.21</v>
      </c>
      <c r="E204" s="12" t="str">
        <f>IF(TOTALCO!E731="", "",TOTALCO!E731)</f>
        <v/>
      </c>
      <c r="F204" s="12">
        <f ca="1">IF(TOTALCO!F731="", "",TOTALCO!F731)</f>
        <v>0</v>
      </c>
      <c r="G204" s="12" t="str">
        <f>IF(TOTALCO!G731="", "",TOTALCO!G731)</f>
        <v/>
      </c>
      <c r="H204" s="12">
        <f ca="1">IF(TOTALCO!H731="", "",TOTALCO!H731)</f>
        <v>0</v>
      </c>
      <c r="I204" s="12">
        <f ca="1">IF(TOTALCO!I731="", "",TOTALCO!I731)</f>
        <v>4199.21</v>
      </c>
      <c r="J204" s="12" t="str">
        <f>IF(TOTALCO!J731="", "",TOTALCO!J731)</f>
        <v/>
      </c>
      <c r="K204" s="12" t="str">
        <f>IF(TOTALCO!K731="", "",TOTALCO!K731)</f>
        <v/>
      </c>
      <c r="L204" s="12">
        <f ca="1">IF(TOTALCO!L731="", "",TOTALCO!L731)</f>
        <v>4199.21</v>
      </c>
      <c r="M204" s="12" t="str">
        <f>IF(TOTALCO!M731="", "",TOTALCO!M731)</f>
        <v/>
      </c>
      <c r="N204" s="12">
        <f ca="1">IF(TOTALCO!N731="", "",TOTALCO!N731)</f>
        <v>0</v>
      </c>
      <c r="O204" s="12">
        <f ca="1">IF(TOTALCO!O731="", "",TOTALCO!O731)</f>
        <v>0</v>
      </c>
      <c r="P204" s="12">
        <f ca="1">IF(TOTALCO!P731="", "",TOTALCO!P731)</f>
        <v>0</v>
      </c>
      <c r="Q204" s="12"/>
      <c r="R204" s="13"/>
    </row>
    <row r="205" spans="1:18" ht="15" x14ac:dyDescent="0.2">
      <c r="A205" s="321">
        <f>IF(TOTALCO!A732="", "",TOTALCO!A732)</f>
        <v>39</v>
      </c>
      <c r="B205" s="4" t="str">
        <f>IF(TOTALCO!B732="", "",TOTALCO!B732)</f>
        <v xml:space="preserve"> 371-INSTALL ON CUSTOMER PREMISES</v>
      </c>
      <c r="C205" s="4" t="str">
        <f>IF(TOTALCO!C732="", "",TOTALCO!C732)</f>
        <v>CUST371T</v>
      </c>
      <c r="D205" s="12">
        <f ca="1">IF(TOTALCO!D732="", "",TOTALCO!D732)</f>
        <v>0</v>
      </c>
      <c r="E205" s="12" t="str">
        <f>IF(TOTALCO!E732="", "",TOTALCO!E732)</f>
        <v/>
      </c>
      <c r="F205" s="12">
        <f ca="1">IF(TOTALCO!F732="", "",TOTALCO!F732)</f>
        <v>0</v>
      </c>
      <c r="G205" s="12" t="str">
        <f>IF(TOTALCO!G732="", "",TOTALCO!G732)</f>
        <v/>
      </c>
      <c r="H205" s="12">
        <f ca="1">IF(TOTALCO!H732="", "",TOTALCO!H732)</f>
        <v>0</v>
      </c>
      <c r="I205" s="12">
        <f ca="1">IF(TOTALCO!I732="", "",TOTALCO!I732)</f>
        <v>0</v>
      </c>
      <c r="J205" s="12" t="str">
        <f>IF(TOTALCO!J732="", "",TOTALCO!J732)</f>
        <v/>
      </c>
      <c r="K205" s="12" t="str">
        <f>IF(TOTALCO!K732="", "",TOTALCO!K732)</f>
        <v/>
      </c>
      <c r="L205" s="12">
        <f ca="1">IF(TOTALCO!L732="", "",TOTALCO!L732)</f>
        <v>0</v>
      </c>
      <c r="M205" s="12" t="str">
        <f>IF(TOTALCO!M732="", "",TOTALCO!M732)</f>
        <v/>
      </c>
      <c r="N205" s="12">
        <f ca="1">IF(TOTALCO!N732="", "",TOTALCO!N732)</f>
        <v>0</v>
      </c>
      <c r="O205" s="12">
        <f ca="1">IF(TOTALCO!O732="", "",TOTALCO!O732)</f>
        <v>0</v>
      </c>
      <c r="P205" s="12">
        <f ca="1">IF(TOTALCO!P732="", "",TOTALCO!P732)</f>
        <v>0</v>
      </c>
      <c r="Q205" s="12"/>
      <c r="R205" s="13"/>
    </row>
    <row r="206" spans="1:18" ht="15" x14ac:dyDescent="0.2">
      <c r="A206" s="321">
        <f>IF(TOTALCO!A733="", "",TOTALCO!A733)</f>
        <v>40</v>
      </c>
      <c r="B206" s="4" t="str">
        <f>IF(TOTALCO!B733="", "",TOTALCO!B733)</f>
        <v xml:space="preserve"> TOTAL TENNESSEE DISTRIB PLANT</v>
      </c>
      <c r="C206" s="4" t="str">
        <f>IF(TOTALCO!C733="", "",TOTALCO!C733)</f>
        <v/>
      </c>
      <c r="D206" s="12">
        <f ca="1">IF(TOTALCO!D733="", "",TOTALCO!D733)</f>
        <v>647118.70000000007</v>
      </c>
      <c r="E206" s="12" t="str">
        <f>IF(TOTALCO!E733="", "",TOTALCO!E733)</f>
        <v/>
      </c>
      <c r="F206" s="12">
        <f ca="1">IF(TOTALCO!F733="", "",TOTALCO!F733)</f>
        <v>0</v>
      </c>
      <c r="G206" s="12" t="str">
        <f>IF(TOTALCO!G733="", "",TOTALCO!G733)</f>
        <v/>
      </c>
      <c r="H206" s="12">
        <f ca="1">IF(TOTALCO!H733="", "",TOTALCO!H733)</f>
        <v>0</v>
      </c>
      <c r="I206" s="12">
        <f ca="1">IF(TOTALCO!I733="", "",TOTALCO!I733)</f>
        <v>647118.70000000007</v>
      </c>
      <c r="J206" s="12" t="str">
        <f>IF(TOTALCO!J733="", "",TOTALCO!J733)</f>
        <v/>
      </c>
      <c r="K206" s="12" t="str">
        <f>IF(TOTALCO!K733="", "",TOTALCO!K733)</f>
        <v/>
      </c>
      <c r="L206" s="12">
        <f ca="1">IF(TOTALCO!L733="", "",TOTALCO!L733)</f>
        <v>647118.70000000007</v>
      </c>
      <c r="M206" s="12" t="str">
        <f>IF(TOTALCO!M733="", "",TOTALCO!M733)</f>
        <v/>
      </c>
      <c r="N206" s="12">
        <f ca="1">IF(TOTALCO!N733="", "",TOTALCO!N733)</f>
        <v>0</v>
      </c>
      <c r="O206" s="12">
        <f ca="1">IF(TOTALCO!O733="", "",TOTALCO!O733)</f>
        <v>0</v>
      </c>
      <c r="P206" s="12">
        <f ca="1">IF(TOTALCO!P733="", "",TOTALCO!P733)</f>
        <v>0</v>
      </c>
      <c r="Q206" s="12"/>
      <c r="R206" s="13"/>
    </row>
    <row r="207" spans="1:18" ht="15" x14ac:dyDescent="0.2">
      <c r="A207" s="321" t="str">
        <f>IF(TOTALCO!A734="", "",TOTALCO!A734)</f>
        <v/>
      </c>
      <c r="B207" s="4" t="str">
        <f>IF(TOTALCO!B734="", "",TOTALCO!B734)</f>
        <v/>
      </c>
      <c r="C207" s="4" t="str">
        <f>IF(TOTALCO!C734="", "",TOTALCO!C734)</f>
        <v/>
      </c>
      <c r="D207" s="12" t="str">
        <f>IF(TOTALCO!D734="", "",TOTALCO!D734)</f>
        <v/>
      </c>
      <c r="E207" s="12" t="str">
        <f>IF(TOTALCO!E734="", "",TOTALCO!E734)</f>
        <v/>
      </c>
      <c r="F207" s="12" t="str">
        <f>IF(TOTALCO!F734="", "",TOTALCO!F734)</f>
        <v/>
      </c>
      <c r="G207" s="12" t="str">
        <f>IF(TOTALCO!G734="", "",TOTALCO!G734)</f>
        <v/>
      </c>
      <c r="H207" s="12" t="str">
        <f>IF(TOTALCO!H734="", "",TOTALCO!H734)</f>
        <v/>
      </c>
      <c r="I207" s="12" t="str">
        <f>IF(TOTALCO!I734="", "",TOTALCO!I734)</f>
        <v/>
      </c>
      <c r="J207" s="12" t="str">
        <f>IF(TOTALCO!J734="", "",TOTALCO!J734)</f>
        <v/>
      </c>
      <c r="K207" s="12" t="str">
        <f>IF(TOTALCO!K734="", "",TOTALCO!K734)</f>
        <v/>
      </c>
      <c r="L207" s="12" t="str">
        <f>IF(TOTALCO!L734="", "",TOTALCO!L734)</f>
        <v/>
      </c>
      <c r="M207" s="12" t="str">
        <f>IF(TOTALCO!M734="", "",TOTALCO!M734)</f>
        <v/>
      </c>
      <c r="N207" s="12" t="str">
        <f>IF(TOTALCO!N734="", "",TOTALCO!N734)</f>
        <v/>
      </c>
      <c r="O207" s="12" t="str">
        <f>IF(TOTALCO!O734="", "",TOTALCO!O734)</f>
        <v/>
      </c>
      <c r="P207" s="12" t="str">
        <f>IF(TOTALCO!P734="", "",TOTALCO!P734)</f>
        <v/>
      </c>
      <c r="Q207" s="12"/>
      <c r="R207" s="13"/>
    </row>
    <row r="208" spans="1:18" ht="15" x14ac:dyDescent="0.2">
      <c r="A208" s="321">
        <f>IF(TOTALCO!A735="", "",TOTALCO!A735)</f>
        <v>41</v>
      </c>
      <c r="B208" s="4" t="str">
        <f>IF(TOTALCO!B735="", "",TOTALCO!B735)</f>
        <v>TOTAL DISTRIBUTION PLANT</v>
      </c>
      <c r="C208" s="4" t="str">
        <f>IF(TOTALCO!C735="", "",TOTALCO!C735)</f>
        <v/>
      </c>
      <c r="D208" s="12">
        <f ca="1">IF(TOTALCO!D735="", "",TOTALCO!D735)</f>
        <v>2028003526.516923</v>
      </c>
      <c r="E208" s="12" t="str">
        <f>IF(TOTALCO!E735="", "",TOTALCO!E735)</f>
        <v/>
      </c>
      <c r="F208" s="12">
        <f ca="1">IF(TOTALCO!F735="", "",TOTALCO!F735)</f>
        <v>1924181178.110769</v>
      </c>
      <c r="G208" s="12" t="str">
        <f>IF(TOTALCO!G735="", "",TOTALCO!G735)</f>
        <v/>
      </c>
      <c r="H208" s="12">
        <f ca="1">IF(TOTALCO!H735="", "",TOTALCO!H735)</f>
        <v>99510269.70615378</v>
      </c>
      <c r="I208" s="12">
        <f ca="1">IF(TOTALCO!I735="", "",TOTALCO!I735)</f>
        <v>4312078.7</v>
      </c>
      <c r="J208" s="12" t="str">
        <f>IF(TOTALCO!J735="", "",TOTALCO!J735)</f>
        <v/>
      </c>
      <c r="K208" s="12" t="str">
        <f>IF(TOTALCO!K735="", "",TOTALCO!K735)</f>
        <v/>
      </c>
      <c r="L208" s="12">
        <f ca="1">IF(TOTALCO!L735="", "",TOTALCO!L735)</f>
        <v>647118.70000000007</v>
      </c>
      <c r="M208" s="12" t="str">
        <f>IF(TOTALCO!M735="", "",TOTALCO!M735)</f>
        <v/>
      </c>
      <c r="N208" s="12">
        <f ca="1">IF(TOTALCO!N735="", "",TOTALCO!N735)</f>
        <v>3664960</v>
      </c>
      <c r="O208" s="12">
        <f ca="1">IF(TOTALCO!O735="", "",TOTALCO!O735)</f>
        <v>3638108</v>
      </c>
      <c r="P208" s="12">
        <f ca="1">IF(TOTALCO!P735="", "",TOTALCO!P735)</f>
        <v>26852</v>
      </c>
      <c r="Q208" s="12"/>
      <c r="R208" s="13"/>
    </row>
    <row r="209" spans="1:18" ht="15" x14ac:dyDescent="0.2">
      <c r="A209" s="321" t="str">
        <f>IF(TOTALCO!A736="", "",TOTALCO!A736)</f>
        <v/>
      </c>
      <c r="B209" s="4" t="str">
        <f>IF(TOTALCO!B736="", "",TOTALCO!B736)</f>
        <v/>
      </c>
      <c r="C209" s="4" t="str">
        <f>IF(TOTALCO!C736="", "",TOTALCO!C736)</f>
        <v/>
      </c>
      <c r="D209" s="12" t="str">
        <f>IF(TOTALCO!D736="", "",TOTALCO!D736)</f>
        <v/>
      </c>
      <c r="E209" s="12" t="str">
        <f>IF(TOTALCO!E736="", "",TOTALCO!E736)</f>
        <v/>
      </c>
      <c r="F209" s="12" t="str">
        <f>IF(TOTALCO!F736="", "",TOTALCO!F736)</f>
        <v/>
      </c>
      <c r="G209" s="12" t="str">
        <f>IF(TOTALCO!G736="", "",TOTALCO!G736)</f>
        <v/>
      </c>
      <c r="H209" s="12" t="str">
        <f>IF(TOTALCO!H736="", "",TOTALCO!H736)</f>
        <v/>
      </c>
      <c r="I209" s="12" t="str">
        <f>IF(TOTALCO!I736="", "",TOTALCO!I736)</f>
        <v/>
      </c>
      <c r="J209" s="12" t="str">
        <f>IF(TOTALCO!J736="", "",TOTALCO!J736)</f>
        <v/>
      </c>
      <c r="K209" s="12" t="str">
        <f>IF(TOTALCO!K736="", "",TOTALCO!K736)</f>
        <v/>
      </c>
      <c r="L209" s="12" t="str">
        <f>IF(TOTALCO!L736="", "",TOTALCO!L736)</f>
        <v/>
      </c>
      <c r="M209" s="12" t="str">
        <f>IF(TOTALCO!M736="", "",TOTALCO!M736)</f>
        <v/>
      </c>
      <c r="N209" s="12" t="str">
        <f>IF(TOTALCO!N736="", "",TOTALCO!N736)</f>
        <v/>
      </c>
      <c r="O209" s="12" t="str">
        <f>IF(TOTALCO!O736="", "",TOTALCO!O736)</f>
        <v/>
      </c>
      <c r="P209" s="12" t="str">
        <f>IF(TOTALCO!P736="", "",TOTALCO!P736)</f>
        <v/>
      </c>
      <c r="Q209" s="12"/>
      <c r="R209" s="13"/>
    </row>
    <row r="210" spans="1:18" ht="15" x14ac:dyDescent="0.2">
      <c r="A210" s="321" t="str">
        <f>IF(TOTALCO!A737="", "",TOTALCO!A737)</f>
        <v/>
      </c>
      <c r="B210" s="4" t="str">
        <f>IF(TOTALCO!B737="", "",TOTALCO!B737)</f>
        <v>ELECTRIC PLANT IN SERVICE CON'T</v>
      </c>
      <c r="C210" s="4" t="str">
        <f>IF(TOTALCO!C737="", "",TOTALCO!C737)</f>
        <v/>
      </c>
      <c r="D210" s="12" t="str">
        <f>IF(TOTALCO!D737="", "",TOTALCO!D737)</f>
        <v/>
      </c>
      <c r="E210" s="12" t="str">
        <f>IF(TOTALCO!E737="", "",TOTALCO!E737)</f>
        <v/>
      </c>
      <c r="F210" s="12" t="str">
        <f>IF(TOTALCO!F737="", "",TOTALCO!F737)</f>
        <v/>
      </c>
      <c r="G210" s="12" t="str">
        <f>IF(TOTALCO!G737="", "",TOTALCO!G737)</f>
        <v/>
      </c>
      <c r="H210" s="12" t="str">
        <f>IF(TOTALCO!H737="", "",TOTALCO!H737)</f>
        <v/>
      </c>
      <c r="I210" s="12" t="str">
        <f>IF(TOTALCO!I737="", "",TOTALCO!I737)</f>
        <v/>
      </c>
      <c r="J210" s="12" t="str">
        <f>IF(TOTALCO!J737="", "",TOTALCO!J737)</f>
        <v/>
      </c>
      <c r="K210" s="12" t="str">
        <f>IF(TOTALCO!K737="", "",TOTALCO!K737)</f>
        <v/>
      </c>
      <c r="L210" s="12" t="str">
        <f>IF(TOTALCO!L737="", "",TOTALCO!L737)</f>
        <v/>
      </c>
      <c r="M210" s="12" t="str">
        <f>IF(TOTALCO!M737="", "",TOTALCO!M737)</f>
        <v/>
      </c>
      <c r="N210" s="12" t="str">
        <f>IF(TOTALCO!N737="", "",TOTALCO!N737)</f>
        <v/>
      </c>
      <c r="O210" s="12" t="str">
        <f>IF(TOTALCO!O737="", "",TOTALCO!O737)</f>
        <v/>
      </c>
      <c r="P210" s="12" t="str">
        <f>IF(TOTALCO!P737="", "",TOTALCO!P737)</f>
        <v/>
      </c>
      <c r="Q210" s="12"/>
      <c r="R210" s="13"/>
    </row>
    <row r="211" spans="1:18" ht="15" x14ac:dyDescent="0.2">
      <c r="A211" s="321" t="str">
        <f>IF(TOTALCO!A738="", "",TOTALCO!A738)</f>
        <v/>
      </c>
      <c r="B211" s="4" t="str">
        <f>IF(TOTALCO!B738="", "",TOTALCO!B738)</f>
        <v/>
      </c>
      <c r="C211" s="4" t="str">
        <f>IF(TOTALCO!C738="", "",TOTALCO!C738)</f>
        <v/>
      </c>
      <c r="D211" s="12" t="str">
        <f>IF(TOTALCO!D738="", "",TOTALCO!D738)</f>
        <v/>
      </c>
      <c r="E211" s="12" t="str">
        <f>IF(TOTALCO!E738="", "",TOTALCO!E738)</f>
        <v/>
      </c>
      <c r="F211" s="12" t="str">
        <f>IF(TOTALCO!F738="", "",TOTALCO!F738)</f>
        <v/>
      </c>
      <c r="G211" s="12" t="str">
        <f>IF(TOTALCO!G738="", "",TOTALCO!G738)</f>
        <v/>
      </c>
      <c r="H211" s="12" t="str">
        <f>IF(TOTALCO!H738="", "",TOTALCO!H738)</f>
        <v/>
      </c>
      <c r="I211" s="12" t="str">
        <f>IF(TOTALCO!I738="", "",TOTALCO!I738)</f>
        <v/>
      </c>
      <c r="J211" s="12" t="str">
        <f>IF(TOTALCO!J738="", "",TOTALCO!J738)</f>
        <v/>
      </c>
      <c r="K211" s="12" t="str">
        <f>IF(TOTALCO!K738="", "",TOTALCO!K738)</f>
        <v/>
      </c>
      <c r="L211" s="12" t="str">
        <f>IF(TOTALCO!L738="", "",TOTALCO!L738)</f>
        <v/>
      </c>
      <c r="M211" s="12" t="str">
        <f>IF(TOTALCO!M738="", "",TOTALCO!M738)</f>
        <v/>
      </c>
      <c r="N211" s="12" t="str">
        <f>IF(TOTALCO!N738="", "",TOTALCO!N738)</f>
        <v/>
      </c>
      <c r="O211" s="12" t="str">
        <f>IF(TOTALCO!O738="", "",TOTALCO!O738)</f>
        <v/>
      </c>
      <c r="P211" s="12" t="str">
        <f>IF(TOTALCO!P738="", "",TOTALCO!P738)</f>
        <v/>
      </c>
      <c r="Q211" s="12"/>
      <c r="R211" s="13"/>
    </row>
    <row r="212" spans="1:18" ht="15" x14ac:dyDescent="0.2">
      <c r="A212" s="321" t="str">
        <f>IF(TOTALCO!A739="", "",TOTALCO!A739)</f>
        <v/>
      </c>
      <c r="B212" s="4" t="str">
        <f>IF(TOTALCO!B739="", "",TOTALCO!B739)</f>
        <v xml:space="preserve"> GENERAL PLANT</v>
      </c>
      <c r="C212" s="4" t="str">
        <f>IF(TOTALCO!C739="", "",TOTALCO!C739)</f>
        <v/>
      </c>
      <c r="D212" s="12" t="str">
        <f>IF(TOTALCO!D739="", "",TOTALCO!D739)</f>
        <v/>
      </c>
      <c r="E212" s="12" t="str">
        <f>IF(TOTALCO!E739="", "",TOTALCO!E739)</f>
        <v/>
      </c>
      <c r="F212" s="12" t="str">
        <f>IF(TOTALCO!F739="", "",TOTALCO!F739)</f>
        <v/>
      </c>
      <c r="G212" s="12" t="str">
        <f>IF(TOTALCO!G739="", "",TOTALCO!G739)</f>
        <v/>
      </c>
      <c r="H212" s="12" t="str">
        <f>IF(TOTALCO!H739="", "",TOTALCO!H739)</f>
        <v/>
      </c>
      <c r="I212" s="12" t="str">
        <f>IF(TOTALCO!I739="", "",TOTALCO!I739)</f>
        <v/>
      </c>
      <c r="J212" s="12" t="str">
        <f>IF(TOTALCO!J739="", "",TOTALCO!J739)</f>
        <v/>
      </c>
      <c r="K212" s="12" t="str">
        <f>IF(TOTALCO!K739="", "",TOTALCO!K739)</f>
        <v/>
      </c>
      <c r="L212" s="12" t="str">
        <f>IF(TOTALCO!L739="", "",TOTALCO!L739)</f>
        <v/>
      </c>
      <c r="M212" s="12" t="str">
        <f>IF(TOTALCO!M739="", "",TOTALCO!M739)</f>
        <v/>
      </c>
      <c r="N212" s="12" t="str">
        <f>IF(TOTALCO!N739="", "",TOTALCO!N739)</f>
        <v/>
      </c>
      <c r="O212" s="12" t="str">
        <f>IF(TOTALCO!O739="", "",TOTALCO!O739)</f>
        <v/>
      </c>
      <c r="P212" s="12" t="str">
        <f>IF(TOTALCO!P739="", "",TOTALCO!P739)</f>
        <v/>
      </c>
      <c r="Q212" s="12"/>
      <c r="R212" s="13"/>
    </row>
    <row r="213" spans="1:18" ht="15" x14ac:dyDescent="0.2">
      <c r="A213" s="321">
        <f>IF(TOTALCO!A740="", "",TOTALCO!A740)</f>
        <v>1</v>
      </c>
      <c r="B213" s="4" t="str">
        <f>IF(TOTALCO!B740="", "",TOTALCO!B740)</f>
        <v xml:space="preserve"> 389-LAND &amp; LAND RIGHTS</v>
      </c>
      <c r="C213" s="4" t="str">
        <f>IF(TOTALCO!C740="", "",TOTALCO!C740)</f>
        <v>LABOR</v>
      </c>
      <c r="D213" s="12">
        <f ca="1">IF(TOTALCO!D740="", "",TOTALCO!D740)</f>
        <v>4407139.5876923064</v>
      </c>
      <c r="E213" s="12" t="str">
        <f>IF(TOTALCO!E740="", "",TOTALCO!E740)</f>
        <v/>
      </c>
      <c r="F213" s="12">
        <f ca="1">IF(TOTALCO!F740="", "",TOTALCO!F740)</f>
        <v>4145688.9076379142</v>
      </c>
      <c r="G213" s="12" t="str">
        <f>IF(TOTALCO!G740="", "",TOTALCO!G740)</f>
        <v/>
      </c>
      <c r="H213" s="12">
        <f ca="1">IF(TOTALCO!H740="", "",TOTALCO!H740)</f>
        <v>208668.34381388917</v>
      </c>
      <c r="I213" s="12">
        <f ca="1">IF(TOTALCO!I740="", "",TOTALCO!I740)</f>
        <v>52782.336240502576</v>
      </c>
      <c r="J213" s="12" t="str">
        <f>IF(TOTALCO!J740="", "",TOTALCO!J740)</f>
        <v/>
      </c>
      <c r="K213" s="12" t="str">
        <f>IF(TOTALCO!K740="", "",TOTALCO!K740)</f>
        <v/>
      </c>
      <c r="L213" s="12">
        <f ca="1">IF(TOTALCO!L740="", "",TOTALCO!L740)</f>
        <v>296.96122697894339</v>
      </c>
      <c r="M213" s="12" t="str">
        <f>IF(TOTALCO!M740="", "",TOTALCO!M740)</f>
        <v/>
      </c>
      <c r="N213" s="12">
        <f ca="1">IF(TOTALCO!N740="", "",TOTALCO!N740)</f>
        <v>52485.375013523633</v>
      </c>
      <c r="O213" s="12">
        <f ca="1">IF(TOTALCO!O740="", "",TOTALCO!O740)</f>
        <v>27359.561163029142</v>
      </c>
      <c r="P213" s="12">
        <f ca="1">IF(TOTALCO!P740="", "",TOTALCO!P740)</f>
        <v>25125.813850494491</v>
      </c>
      <c r="Q213" s="12"/>
      <c r="R213" s="13"/>
    </row>
    <row r="214" spans="1:18" ht="15" x14ac:dyDescent="0.2">
      <c r="A214" s="321">
        <f>IF(TOTALCO!A741="", "",TOTALCO!A741)</f>
        <v>2</v>
      </c>
      <c r="B214" s="4" t="str">
        <f>IF(TOTALCO!B741="", "",TOTALCO!B741)</f>
        <v xml:space="preserve"> 390-STRUCTURES AND IMPROVEMENTS</v>
      </c>
      <c r="C214" s="4" t="str">
        <f>IF(TOTALCO!C741="", "",TOTALCO!C741)</f>
        <v>LABOR</v>
      </c>
      <c r="D214" s="12">
        <f ca="1">IF(TOTALCO!D741="", "",TOTALCO!D741)</f>
        <v>82444608.495384604</v>
      </c>
      <c r="E214" s="12" t="str">
        <f>IF(TOTALCO!E741="", "",TOTALCO!E741)</f>
        <v/>
      </c>
      <c r="F214" s="12">
        <f ca="1">IF(TOTALCO!F741="", "",TOTALCO!F741)</f>
        <v>77553635.897617787</v>
      </c>
      <c r="G214" s="12" t="str">
        <f>IF(TOTALCO!G741="", "",TOTALCO!G741)</f>
        <v/>
      </c>
      <c r="H214" s="12">
        <f ca="1">IF(TOTALCO!H741="", "",TOTALCO!H741)</f>
        <v>3903570.460795104</v>
      </c>
      <c r="I214" s="12">
        <f ca="1">IF(TOTALCO!I741="", "",TOTALCO!I741)</f>
        <v>987402.13697170583</v>
      </c>
      <c r="J214" s="12" t="str">
        <f>IF(TOTALCO!J741="", "",TOTALCO!J741)</f>
        <v/>
      </c>
      <c r="K214" s="12" t="str">
        <f>IF(TOTALCO!K741="", "",TOTALCO!K741)</f>
        <v/>
      </c>
      <c r="L214" s="12">
        <f ca="1">IF(TOTALCO!L741="", "",TOTALCO!L741)</f>
        <v>5555.270399186039</v>
      </c>
      <c r="M214" s="12" t="str">
        <f>IF(TOTALCO!M741="", "",TOTALCO!M741)</f>
        <v/>
      </c>
      <c r="N214" s="12">
        <f ca="1">IF(TOTALCO!N741="", "",TOTALCO!N741)</f>
        <v>981846.86657251976</v>
      </c>
      <c r="O214" s="12">
        <f ca="1">IF(TOTALCO!O741="", "",TOTALCO!O741)</f>
        <v>511816.85168102052</v>
      </c>
      <c r="P214" s="12">
        <f ca="1">IF(TOTALCO!P741="", "",TOTALCO!P741)</f>
        <v>470030.01489149919</v>
      </c>
      <c r="Q214" s="12"/>
      <c r="R214" s="13"/>
    </row>
    <row r="215" spans="1:18" ht="15" x14ac:dyDescent="0.2">
      <c r="A215" s="321">
        <f>IF(TOTALCO!A742="", "",TOTALCO!A742)</f>
        <v>3</v>
      </c>
      <c r="B215" s="4" t="str">
        <f>IF(TOTALCO!B742="", "",TOTALCO!B742)</f>
        <v xml:space="preserve"> 391-OFFICE EQUIPMENT</v>
      </c>
      <c r="C215" s="4" t="str">
        <f>IF(TOTALCO!C742="", "",TOTALCO!C742)</f>
        <v>LABOR</v>
      </c>
      <c r="D215" s="12">
        <f ca="1">IF(TOTALCO!D742="", "",TOTALCO!D742)</f>
        <v>43470434.537692279</v>
      </c>
      <c r="E215" s="12" t="str">
        <f>IF(TOTALCO!E742="", "",TOTALCO!E742)</f>
        <v/>
      </c>
      <c r="F215" s="12">
        <f ca="1">IF(TOTALCO!F742="", "",TOTALCO!F742)</f>
        <v>40891579.376426384</v>
      </c>
      <c r="G215" s="12" t="str">
        <f>IF(TOTALCO!G742="", "",TOTALCO!G742)</f>
        <v/>
      </c>
      <c r="H215" s="12">
        <f ca="1">IF(TOTALCO!H742="", "",TOTALCO!H742)</f>
        <v>2058229.2435625119</v>
      </c>
      <c r="I215" s="12">
        <f ca="1">IF(TOTALCO!I742="", "",TOTALCO!I742)</f>
        <v>520625.91770338628</v>
      </c>
      <c r="J215" s="12" t="str">
        <f>IF(TOTALCO!J742="", "",TOTALCO!J742)</f>
        <v/>
      </c>
      <c r="K215" s="12" t="str">
        <f>IF(TOTALCO!K742="", "",TOTALCO!K742)</f>
        <v/>
      </c>
      <c r="L215" s="12">
        <f ca="1">IF(TOTALCO!L742="", "",TOTALCO!L742)</f>
        <v>2929.1183818347008</v>
      </c>
      <c r="M215" s="12" t="str">
        <f>IF(TOTALCO!M742="", "",TOTALCO!M742)</f>
        <v/>
      </c>
      <c r="N215" s="12">
        <f ca="1">IF(TOTALCO!N742="", "",TOTALCO!N742)</f>
        <v>517696.79932155157</v>
      </c>
      <c r="O215" s="12">
        <f ca="1">IF(TOTALCO!O742="", "",TOTALCO!O742)</f>
        <v>269864.83837245824</v>
      </c>
      <c r="P215" s="12">
        <f ca="1">IF(TOTALCO!P742="", "",TOTALCO!P742)</f>
        <v>247831.96094909334</v>
      </c>
      <c r="Q215" s="12"/>
      <c r="R215" s="13"/>
    </row>
    <row r="216" spans="1:18" ht="15" x14ac:dyDescent="0.2">
      <c r="A216" s="321">
        <f>IF(TOTALCO!A743="", "",TOTALCO!A743)</f>
        <v>4</v>
      </c>
      <c r="B216" s="4" t="str">
        <f>IF(TOTALCO!B743="", "",TOTALCO!B743)</f>
        <v xml:space="preserve"> 392-TRANSPORTATION EQUIPMENT</v>
      </c>
      <c r="C216" s="4" t="str">
        <f>IF(TOTALCO!C743="", "",TOTALCO!C743)</f>
        <v>LABOR</v>
      </c>
      <c r="D216" s="12">
        <f ca="1">IF(TOTALCO!D743="", "",TOTALCO!D743)</f>
        <v>7538271.7000000011</v>
      </c>
      <c r="E216" s="12" t="str">
        <f>IF(TOTALCO!E743="", "",TOTALCO!E743)</f>
        <v/>
      </c>
      <c r="F216" s="12">
        <f ca="1">IF(TOTALCO!F743="", "",TOTALCO!F743)</f>
        <v>7091068.6506788917</v>
      </c>
      <c r="G216" s="12" t="str">
        <f>IF(TOTALCO!G743="", "",TOTALCO!G743)</f>
        <v/>
      </c>
      <c r="H216" s="12">
        <f ca="1">IF(TOTALCO!H743="", "",TOTALCO!H743)</f>
        <v>356920.54666273331</v>
      </c>
      <c r="I216" s="12">
        <f ca="1">IF(TOTALCO!I743="", "",TOTALCO!I743)</f>
        <v>90282.502658376063</v>
      </c>
      <c r="J216" s="12" t="str">
        <f>IF(TOTALCO!J743="", "",TOTALCO!J743)</f>
        <v/>
      </c>
      <c r="K216" s="12" t="str">
        <f>IF(TOTALCO!K743="", "",TOTALCO!K743)</f>
        <v/>
      </c>
      <c r="L216" s="12">
        <f ca="1">IF(TOTALCO!L743="", "",TOTALCO!L743)</f>
        <v>507.94270723447232</v>
      </c>
      <c r="M216" s="12" t="str">
        <f>IF(TOTALCO!M743="", "",TOTALCO!M743)</f>
        <v/>
      </c>
      <c r="N216" s="12">
        <f ca="1">IF(TOTALCO!N743="", "",TOTALCO!N743)</f>
        <v>89774.559951141593</v>
      </c>
      <c r="O216" s="12">
        <f ca="1">IF(TOTALCO!O743="", "",TOTALCO!O743)</f>
        <v>46797.656742176478</v>
      </c>
      <c r="P216" s="12">
        <f ca="1">IF(TOTALCO!P743="", "",TOTALCO!P743)</f>
        <v>42976.903208965123</v>
      </c>
      <c r="Q216" s="12"/>
      <c r="R216" s="13"/>
    </row>
    <row r="217" spans="1:18" ht="15" x14ac:dyDescent="0.2">
      <c r="A217" s="321">
        <f>IF(TOTALCO!A744="", "",TOTALCO!A744)</f>
        <v>5</v>
      </c>
      <c r="B217" s="4" t="str">
        <f>IF(TOTALCO!B744="", "",TOTALCO!B744)</f>
        <v xml:space="preserve"> 393-STORES EQUIPMENT</v>
      </c>
      <c r="C217" s="4" t="str">
        <f>IF(TOTALCO!C744="", "",TOTALCO!C744)</f>
        <v>LABOR</v>
      </c>
      <c r="D217" s="12">
        <f ca="1">IF(TOTALCO!D744="", "",TOTALCO!D744)</f>
        <v>908062.33307692292</v>
      </c>
      <c r="E217" s="12" t="str">
        <f>IF(TOTALCO!E744="", "",TOTALCO!E744)</f>
        <v/>
      </c>
      <c r="F217" s="12">
        <f ca="1">IF(TOTALCO!F744="", "",TOTALCO!F744)</f>
        <v>854192.12774515699</v>
      </c>
      <c r="G217" s="12" t="str">
        <f>IF(TOTALCO!G744="", "",TOTALCO!G744)</f>
        <v/>
      </c>
      <c r="H217" s="12">
        <f ca="1">IF(TOTALCO!H744="", "",TOTALCO!H744)</f>
        <v>42994.749622204821</v>
      </c>
      <c r="I217" s="12">
        <f ca="1">IF(TOTALCO!I744="", "",TOTALCO!I744)</f>
        <v>10875.455709561178</v>
      </c>
      <c r="J217" s="12" t="str">
        <f>IF(TOTALCO!J744="", "",TOTALCO!J744)</f>
        <v/>
      </c>
      <c r="K217" s="12" t="str">
        <f>IF(TOTALCO!K744="", "",TOTALCO!K744)</f>
        <v/>
      </c>
      <c r="L217" s="12">
        <f ca="1">IF(TOTALCO!L744="", "",TOTALCO!L744)</f>
        <v>61.186921638914029</v>
      </c>
      <c r="M217" s="12" t="str">
        <f>IF(TOTALCO!M744="", "",TOTALCO!M744)</f>
        <v/>
      </c>
      <c r="N217" s="12">
        <f ca="1">IF(TOTALCO!N744="", "",TOTALCO!N744)</f>
        <v>10814.268787922265</v>
      </c>
      <c r="O217" s="12">
        <f ca="1">IF(TOTALCO!O744="", "",TOTALCO!O744)</f>
        <v>5637.2589175624644</v>
      </c>
      <c r="P217" s="12">
        <f ca="1">IF(TOTALCO!P744="", "",TOTALCO!P744)</f>
        <v>5177.0098703598014</v>
      </c>
      <c r="Q217" s="12"/>
      <c r="R217" s="13"/>
    </row>
    <row r="218" spans="1:18" ht="15" x14ac:dyDescent="0.2">
      <c r="A218" s="321">
        <f>IF(TOTALCO!A745="", "",TOTALCO!A745)</f>
        <v>6</v>
      </c>
      <c r="B218" s="4" t="str">
        <f>IF(TOTALCO!B745="", "",TOTALCO!B745)</f>
        <v xml:space="preserve"> 394-TOOLS, SHOP, AND GARAGE EQUIP</v>
      </c>
      <c r="C218" s="4" t="str">
        <f>IF(TOTALCO!C745="", "",TOTALCO!C745)</f>
        <v>LABOR</v>
      </c>
      <c r="D218" s="12">
        <f ca="1">IF(TOTALCO!D745="", "",TOTALCO!D745)</f>
        <v>16911378.212307632</v>
      </c>
      <c r="E218" s="12" t="str">
        <f>IF(TOTALCO!E745="", "",TOTALCO!E745)</f>
        <v/>
      </c>
      <c r="F218" s="12">
        <f ca="1">IF(TOTALCO!F745="", "",TOTALCO!F745)</f>
        <v>15908121.735791065</v>
      </c>
      <c r="G218" s="12" t="str">
        <f>IF(TOTALCO!G745="", "",TOTALCO!G745)</f>
        <v/>
      </c>
      <c r="H218" s="12">
        <f ca="1">IF(TOTALCO!H745="", "",TOTALCO!H745)</f>
        <v>800716.47674321372</v>
      </c>
      <c r="I218" s="12">
        <f ca="1">IF(TOTALCO!I745="", "",TOTALCO!I745)</f>
        <v>202539.99977335209</v>
      </c>
      <c r="J218" s="12" t="str">
        <f>IF(TOTALCO!J745="", "",TOTALCO!J745)</f>
        <v/>
      </c>
      <c r="K218" s="12" t="str">
        <f>IF(TOTALCO!K745="", "",TOTALCO!K745)</f>
        <v/>
      </c>
      <c r="L218" s="12">
        <f ca="1">IF(TOTALCO!L745="", "",TOTALCO!L745)</f>
        <v>1139.5199820438427</v>
      </c>
      <c r="M218" s="12" t="str">
        <f>IF(TOTALCO!M745="", "",TOTALCO!M745)</f>
        <v/>
      </c>
      <c r="N218" s="12">
        <f ca="1">IF(TOTALCO!N745="", "",TOTALCO!N745)</f>
        <v>201400.47979130826</v>
      </c>
      <c r="O218" s="12">
        <f ca="1">IF(TOTALCO!O745="", "",TOTALCO!O745)</f>
        <v>104985.98407068485</v>
      </c>
      <c r="P218" s="12">
        <f ca="1">IF(TOTALCO!P745="", "",TOTALCO!P745)</f>
        <v>96414.49572062341</v>
      </c>
      <c r="Q218" s="12"/>
      <c r="R218" s="13"/>
    </row>
    <row r="219" spans="1:18" ht="15" x14ac:dyDescent="0.2">
      <c r="A219" s="321">
        <f>IF(TOTALCO!A746="", "",TOTALCO!A746)</f>
        <v>7</v>
      </c>
      <c r="B219" s="4" t="str">
        <f>IF(TOTALCO!B746="", "",TOTALCO!B746)</f>
        <v xml:space="preserve"> 395-LABORATORY EQUIPMENT</v>
      </c>
      <c r="C219" s="4" t="str">
        <f>IF(TOTALCO!C746="", "",TOTALCO!C746)</f>
        <v>LABOR</v>
      </c>
      <c r="D219" s="12">
        <f ca="1">IF(TOTALCO!D746="", "",TOTALCO!D746)</f>
        <v>0</v>
      </c>
      <c r="E219" s="12" t="str">
        <f>IF(TOTALCO!E746="", "",TOTALCO!E746)</f>
        <v/>
      </c>
      <c r="F219" s="12">
        <f ca="1">IF(TOTALCO!F746="", "",TOTALCO!F746)</f>
        <v>0</v>
      </c>
      <c r="G219" s="12" t="str">
        <f>IF(TOTALCO!G746="", "",TOTALCO!G746)</f>
        <v/>
      </c>
      <c r="H219" s="12">
        <f ca="1">IF(TOTALCO!H746="", "",TOTALCO!H746)</f>
        <v>0</v>
      </c>
      <c r="I219" s="12">
        <f ca="1">IF(TOTALCO!I746="", "",TOTALCO!I746)</f>
        <v>0</v>
      </c>
      <c r="J219" s="12" t="str">
        <f>IF(TOTALCO!J746="", "",TOTALCO!J746)</f>
        <v/>
      </c>
      <c r="K219" s="12" t="str">
        <f>IF(TOTALCO!K746="", "",TOTALCO!K746)</f>
        <v/>
      </c>
      <c r="L219" s="12">
        <f ca="1">IF(TOTALCO!L746="", "",TOTALCO!L746)</f>
        <v>0</v>
      </c>
      <c r="M219" s="12" t="str">
        <f>IF(TOTALCO!M746="", "",TOTALCO!M746)</f>
        <v/>
      </c>
      <c r="N219" s="12">
        <f ca="1">IF(TOTALCO!N746="", "",TOTALCO!N746)</f>
        <v>0</v>
      </c>
      <c r="O219" s="12">
        <f ca="1">IF(TOTALCO!O746="", "",TOTALCO!O746)</f>
        <v>0</v>
      </c>
      <c r="P219" s="12">
        <f ca="1">IF(TOTALCO!P746="", "",TOTALCO!P746)</f>
        <v>0</v>
      </c>
      <c r="Q219" s="12"/>
      <c r="R219" s="13"/>
    </row>
    <row r="220" spans="1:18" ht="15" x14ac:dyDescent="0.2">
      <c r="A220" s="321">
        <f>IF(TOTALCO!A747="", "",TOTALCO!A747)</f>
        <v>8</v>
      </c>
      <c r="B220" s="4" t="str">
        <f>IF(TOTALCO!B747="", "",TOTALCO!B747)</f>
        <v xml:space="preserve"> 396-POWER OPERATED EQUIPMENT</v>
      </c>
      <c r="C220" s="4" t="str">
        <f>IF(TOTALCO!C747="", "",TOTALCO!C747)</f>
        <v>LABOR</v>
      </c>
      <c r="D220" s="12">
        <f ca="1">IF(TOTALCO!D747="", "",TOTALCO!D747)</f>
        <v>4137907.3999999994</v>
      </c>
      <c r="E220" s="12" t="str">
        <f>IF(TOTALCO!E747="", "",TOTALCO!E747)</f>
        <v/>
      </c>
      <c r="F220" s="12">
        <f ca="1">IF(TOTALCO!F747="", "",TOTALCO!F747)</f>
        <v>3892428.7437864826</v>
      </c>
      <c r="G220" s="12" t="str">
        <f>IF(TOTALCO!G747="", "",TOTALCO!G747)</f>
        <v/>
      </c>
      <c r="H220" s="12">
        <f ca="1">IF(TOTALCO!H747="", "",TOTALCO!H747)</f>
        <v>195920.79325659873</v>
      </c>
      <c r="I220" s="12">
        <f ca="1">IF(TOTALCO!I747="", "",TOTALCO!I747)</f>
        <v>49557.862956918092</v>
      </c>
      <c r="J220" s="12" t="str">
        <f>IF(TOTALCO!J747="", "",TOTALCO!J747)</f>
        <v/>
      </c>
      <c r="K220" s="12" t="str">
        <f>IF(TOTALCO!K747="", "",TOTALCO!K747)</f>
        <v/>
      </c>
      <c r="L220" s="12">
        <f ca="1">IF(TOTALCO!L747="", "",TOTALCO!L747)</f>
        <v>278.8198635824649</v>
      </c>
      <c r="M220" s="12" t="str">
        <f>IF(TOTALCO!M747="", "",TOTALCO!M747)</f>
        <v/>
      </c>
      <c r="N220" s="12">
        <f ca="1">IF(TOTALCO!N747="", "",TOTALCO!N747)</f>
        <v>49279.043093335626</v>
      </c>
      <c r="O220" s="12">
        <f ca="1">IF(TOTALCO!O747="", "",TOTALCO!O747)</f>
        <v>25688.165383600048</v>
      </c>
      <c r="P220" s="12">
        <f ca="1">IF(TOTALCO!P747="", "",TOTALCO!P747)</f>
        <v>23590.877709735574</v>
      </c>
      <c r="Q220" s="12"/>
      <c r="R220" s="13"/>
    </row>
    <row r="221" spans="1:18" ht="15" x14ac:dyDescent="0.2">
      <c r="A221" s="321" t="str">
        <f>IF(TOTALCO!A748="", "",TOTALCO!A748)</f>
        <v/>
      </c>
      <c r="B221" s="4" t="str">
        <f>IF(TOTALCO!B748="", "",TOTALCO!B748)</f>
        <v xml:space="preserve"> 397-COMMUNICATION EQUIPMENT</v>
      </c>
      <c r="C221" s="4" t="str">
        <f>IF(TOTALCO!C748="", "",TOTALCO!C748)</f>
        <v/>
      </c>
      <c r="D221" s="12" t="str">
        <f>IF(TOTALCO!D748="", "",TOTALCO!D748)</f>
        <v/>
      </c>
      <c r="E221" s="12" t="str">
        <f>IF(TOTALCO!E748="", "",TOTALCO!E748)</f>
        <v/>
      </c>
      <c r="F221" s="12" t="str">
        <f>IF(TOTALCO!F748="", "",TOTALCO!F748)</f>
        <v/>
      </c>
      <c r="G221" s="12" t="str">
        <f>IF(TOTALCO!G748="", "",TOTALCO!G748)</f>
        <v/>
      </c>
      <c r="H221" s="12" t="str">
        <f>IF(TOTALCO!H748="", "",TOTALCO!H748)</f>
        <v/>
      </c>
      <c r="I221" s="12" t="str">
        <f>IF(TOTALCO!I748="", "",TOTALCO!I748)</f>
        <v/>
      </c>
      <c r="J221" s="12" t="str">
        <f>IF(TOTALCO!J748="", "",TOTALCO!J748)</f>
        <v/>
      </c>
      <c r="K221" s="12" t="str">
        <f>IF(TOTALCO!K748="", "",TOTALCO!K748)</f>
        <v/>
      </c>
      <c r="L221" s="12" t="str">
        <f>IF(TOTALCO!L748="", "",TOTALCO!L748)</f>
        <v/>
      </c>
      <c r="M221" s="12" t="str">
        <f>IF(TOTALCO!M748="", "",TOTALCO!M748)</f>
        <v/>
      </c>
      <c r="N221" s="12" t="str">
        <f>IF(TOTALCO!N748="", "",TOTALCO!N748)</f>
        <v/>
      </c>
      <c r="O221" s="12" t="str">
        <f>IF(TOTALCO!O748="", "",TOTALCO!O748)</f>
        <v/>
      </c>
      <c r="P221" s="12" t="str">
        <f>IF(TOTALCO!P748="", "",TOTALCO!P748)</f>
        <v/>
      </c>
      <c r="Q221" s="12"/>
      <c r="R221" s="13"/>
    </row>
    <row r="222" spans="1:18" ht="15" x14ac:dyDescent="0.2">
      <c r="A222" s="321">
        <f>IF(TOTALCO!A749="", "",TOTALCO!A749)</f>
        <v>9</v>
      </c>
      <c r="B222" s="4" t="str">
        <f>IF(TOTALCO!B749="", "",TOTALCO!B749)</f>
        <v xml:space="preserve">    DEMAND SIDE MANAGEMENT</v>
      </c>
      <c r="C222" s="4" t="str">
        <f>IF(TOTALCO!C749="", "",TOTALCO!C749)</f>
        <v>LABPTDKY</v>
      </c>
      <c r="D222" s="12">
        <f ca="1">IF(TOTALCO!D749="", "",TOTALCO!D749)</f>
        <v>7971453.149230768</v>
      </c>
      <c r="E222" s="12" t="str">
        <f>IF(TOTALCO!E749="", "",TOTALCO!E749)</f>
        <v/>
      </c>
      <c r="F222" s="12">
        <f ca="1">IF(TOTALCO!F749="", "",TOTALCO!F749)</f>
        <v>7971453.149230768</v>
      </c>
      <c r="G222" s="12" t="str">
        <f>IF(TOTALCO!G749="", "",TOTALCO!G749)</f>
        <v/>
      </c>
      <c r="H222" s="12">
        <f ca="1">IF(TOTALCO!H749="", "",TOTALCO!H749)</f>
        <v>0</v>
      </c>
      <c r="I222" s="12">
        <f ca="1">IF(TOTALCO!I749="", "",TOTALCO!I749)</f>
        <v>0</v>
      </c>
      <c r="J222" s="12" t="str">
        <f>IF(TOTALCO!J749="", "",TOTALCO!J749)</f>
        <v/>
      </c>
      <c r="K222" s="12" t="str">
        <f>IF(TOTALCO!K749="", "",TOTALCO!K749)</f>
        <v/>
      </c>
      <c r="L222" s="12">
        <f ca="1">IF(TOTALCO!L749="", "",TOTALCO!L749)</f>
        <v>0</v>
      </c>
      <c r="M222" s="12" t="str">
        <f>IF(TOTALCO!M749="", "",TOTALCO!M749)</f>
        <v/>
      </c>
      <c r="N222" s="12">
        <f ca="1">IF(TOTALCO!N749="", "",TOTALCO!N749)</f>
        <v>0</v>
      </c>
      <c r="O222" s="12">
        <f ca="1">IF(TOTALCO!O749="", "",TOTALCO!O749)</f>
        <v>0</v>
      </c>
      <c r="P222" s="12">
        <f ca="1">IF(TOTALCO!P749="", "",TOTALCO!P749)</f>
        <v>0</v>
      </c>
      <c r="Q222" s="12"/>
      <c r="R222" s="13"/>
    </row>
    <row r="223" spans="1:18" ht="15" x14ac:dyDescent="0.2">
      <c r="A223" s="321">
        <f>IF(TOTALCO!A750="", "",TOTALCO!A750)</f>
        <v>10</v>
      </c>
      <c r="B223" s="4" t="str">
        <f>IF(TOTALCO!B750="", "",TOTALCO!B750)</f>
        <v xml:space="preserve">    ALL OTHER</v>
      </c>
      <c r="C223" s="4" t="str">
        <f>IF(TOTALCO!C750="", "",TOTALCO!C750)</f>
        <v>LABOR</v>
      </c>
      <c r="D223" s="12">
        <f ca="1">IF(TOTALCO!D750="", "",TOTALCO!D750)</f>
        <v>59463070.029230684</v>
      </c>
      <c r="E223" s="12" t="str">
        <f>IF(TOTALCO!E750="", "",TOTALCO!E750)</f>
        <v/>
      </c>
      <c r="F223" s="12">
        <f ca="1">IF(TOTALCO!F750="", "",TOTALCO!F750)</f>
        <v>55935462.203810088</v>
      </c>
      <c r="G223" s="12" t="str">
        <f>IF(TOTALCO!G750="", "",TOTALCO!G750)</f>
        <v/>
      </c>
      <c r="H223" s="12">
        <f ca="1">IF(TOTALCO!H750="", "",TOTALCO!H750)</f>
        <v>2815445.2778715054</v>
      </c>
      <c r="I223" s="12">
        <f ca="1">IF(TOTALCO!I750="", "",TOTALCO!I750)</f>
        <v>712162.54754909151</v>
      </c>
      <c r="J223" s="12" t="str">
        <f>IF(TOTALCO!J750="", "",TOTALCO!J750)</f>
        <v/>
      </c>
      <c r="K223" s="12" t="str">
        <f>IF(TOTALCO!K750="", "",TOTALCO!K750)</f>
        <v/>
      </c>
      <c r="L223" s="12">
        <f ca="1">IF(TOTALCO!L750="", "",TOTALCO!L750)</f>
        <v>4006.7317779379646</v>
      </c>
      <c r="M223" s="12" t="str">
        <f>IF(TOTALCO!M750="", "",TOTALCO!M750)</f>
        <v/>
      </c>
      <c r="N223" s="12">
        <f ca="1">IF(TOTALCO!N750="", "",TOTALCO!N750)</f>
        <v>708155.81577115355</v>
      </c>
      <c r="O223" s="12">
        <f ca="1">IF(TOTALCO!O750="", "",TOTALCO!O750)</f>
        <v>369147.25958523608</v>
      </c>
      <c r="P223" s="12">
        <f ca="1">IF(TOTALCO!P750="", "",TOTALCO!P750)</f>
        <v>339008.55618591746</v>
      </c>
      <c r="Q223" s="12"/>
      <c r="R223" s="13"/>
    </row>
    <row r="224" spans="1:18" ht="15" x14ac:dyDescent="0.2">
      <c r="A224" s="321">
        <f>IF(TOTALCO!A751="", "",TOTALCO!A751)</f>
        <v>11</v>
      </c>
      <c r="B224" s="4" t="str">
        <f>IF(TOTALCO!B751="", "",TOTALCO!B751)</f>
        <v xml:space="preserve"> TOTAL 397-COMMUNICATION EQUIPMENT</v>
      </c>
      <c r="C224" s="4" t="str">
        <f>IF(TOTALCO!C751="", "",TOTALCO!C751)</f>
        <v/>
      </c>
      <c r="D224" s="12">
        <f ca="1">IF(TOTALCO!D751="", "",TOTALCO!D751)</f>
        <v>67434523.178461462</v>
      </c>
      <c r="E224" s="12" t="str">
        <f>IF(TOTALCO!E751="", "",TOTALCO!E751)</f>
        <v/>
      </c>
      <c r="F224" s="12">
        <f ca="1">IF(TOTALCO!F751="", "",TOTALCO!F751)</f>
        <v>63906915.353040859</v>
      </c>
      <c r="G224" s="12" t="str">
        <f>IF(TOTALCO!G751="", "",TOTALCO!G751)</f>
        <v/>
      </c>
      <c r="H224" s="12">
        <f ca="1">IF(TOTALCO!H751="", "",TOTALCO!H751)</f>
        <v>2815445.2778715054</v>
      </c>
      <c r="I224" s="12">
        <f ca="1">IF(TOTALCO!I751="", "",TOTALCO!I751)</f>
        <v>712162.54754909151</v>
      </c>
      <c r="J224" s="12" t="str">
        <f>IF(TOTALCO!J751="", "",TOTALCO!J751)</f>
        <v/>
      </c>
      <c r="K224" s="12" t="str">
        <f>IF(TOTALCO!K751="", "",TOTALCO!K751)</f>
        <v/>
      </c>
      <c r="L224" s="12">
        <f ca="1">IF(TOTALCO!L751="", "",TOTALCO!L751)</f>
        <v>4006.7317779379646</v>
      </c>
      <c r="M224" s="12" t="str">
        <f>IF(TOTALCO!M751="", "",TOTALCO!M751)</f>
        <v/>
      </c>
      <c r="N224" s="12">
        <f ca="1">IF(TOTALCO!N751="", "",TOTALCO!N751)</f>
        <v>708155.81577115355</v>
      </c>
      <c r="O224" s="12">
        <f ca="1">IF(TOTALCO!O751="", "",TOTALCO!O751)</f>
        <v>369147.25958523608</v>
      </c>
      <c r="P224" s="12">
        <f ca="1">IF(TOTALCO!P751="", "",TOTALCO!P751)</f>
        <v>339008.55618591746</v>
      </c>
      <c r="Q224" s="12"/>
      <c r="R224" s="13"/>
    </row>
    <row r="225" spans="1:18" ht="15" x14ac:dyDescent="0.2">
      <c r="A225" s="321">
        <f>IF(TOTALCO!A752="", "",TOTALCO!A752)</f>
        <v>12</v>
      </c>
      <c r="B225" s="4" t="str">
        <f>IF(TOTALCO!B752="", "",TOTALCO!B752)</f>
        <v xml:space="preserve"> 398-MISC EQUIPMENT</v>
      </c>
      <c r="C225" s="4" t="str">
        <f>IF(TOTALCO!C752="", "",TOTALCO!C752)</f>
        <v>LABOR</v>
      </c>
      <c r="D225" s="12">
        <f ca="1">IF(TOTALCO!D752="", "",TOTALCO!D752)</f>
        <v>0</v>
      </c>
      <c r="E225" s="12" t="str">
        <f>IF(TOTALCO!E752="", "",TOTALCO!E752)</f>
        <v/>
      </c>
      <c r="F225" s="12">
        <f ca="1">IF(TOTALCO!F752="", "",TOTALCO!F752)</f>
        <v>0</v>
      </c>
      <c r="G225" s="12" t="str">
        <f>IF(TOTALCO!G752="", "",TOTALCO!G752)</f>
        <v/>
      </c>
      <c r="H225" s="12">
        <f ca="1">IF(TOTALCO!H752="", "",TOTALCO!H752)</f>
        <v>0</v>
      </c>
      <c r="I225" s="12">
        <f ca="1">IF(TOTALCO!I752="", "",TOTALCO!I752)</f>
        <v>0</v>
      </c>
      <c r="J225" s="12" t="str">
        <f>IF(TOTALCO!J752="", "",TOTALCO!J752)</f>
        <v/>
      </c>
      <c r="K225" s="12" t="str">
        <f>IF(TOTALCO!K752="", "",TOTALCO!K752)</f>
        <v/>
      </c>
      <c r="L225" s="12">
        <f ca="1">IF(TOTALCO!L752="", "",TOTALCO!L752)</f>
        <v>0</v>
      </c>
      <c r="M225" s="12" t="str">
        <f>IF(TOTALCO!M752="", "",TOTALCO!M752)</f>
        <v/>
      </c>
      <c r="N225" s="12">
        <f ca="1">IF(TOTALCO!N752="", "",TOTALCO!N752)</f>
        <v>0</v>
      </c>
      <c r="O225" s="12">
        <f ca="1">IF(TOTALCO!O752="", "",TOTALCO!O752)</f>
        <v>0</v>
      </c>
      <c r="P225" s="12">
        <f ca="1">IF(TOTALCO!P752="", "",TOTALCO!P752)</f>
        <v>0</v>
      </c>
      <c r="Q225" s="12"/>
      <c r="R225" s="13"/>
    </row>
    <row r="226" spans="1:18" ht="15" x14ac:dyDescent="0.2">
      <c r="A226" s="321">
        <f>IF(TOTALCO!A753="", "",TOTALCO!A753)</f>
        <v>13</v>
      </c>
      <c r="B226" s="4" t="str">
        <f>IF(TOTALCO!B753="", "",TOTALCO!B753)</f>
        <v xml:space="preserve"> TOTAL GENERAL PLANT</v>
      </c>
      <c r="C226" s="4" t="str">
        <f>IF(TOTALCO!C753="", "",TOTALCO!C753)</f>
        <v/>
      </c>
      <c r="D226" s="12">
        <f ca="1">IF(TOTALCO!D753="", "",TOTALCO!D753)</f>
        <v>227252325.44461519</v>
      </c>
      <c r="E226" s="12" t="str">
        <f>IF(TOTALCO!E753="", "",TOTALCO!E753)</f>
        <v/>
      </c>
      <c r="F226" s="12">
        <f ca="1">IF(TOTALCO!F753="", "",TOTALCO!F753)</f>
        <v>214243630.79272455</v>
      </c>
      <c r="G226" s="12" t="str">
        <f>IF(TOTALCO!G753="", "",TOTALCO!G753)</f>
        <v/>
      </c>
      <c r="H226" s="12">
        <f ca="1">IF(TOTALCO!H753="", "",TOTALCO!H753)</f>
        <v>10382465.892327761</v>
      </c>
      <c r="I226" s="12">
        <f ca="1">IF(TOTALCO!I753="", "",TOTALCO!I753)</f>
        <v>2626228.7595628933</v>
      </c>
      <c r="J226" s="12" t="str">
        <f>IF(TOTALCO!J753="", "",TOTALCO!J753)</f>
        <v/>
      </c>
      <c r="K226" s="12" t="str">
        <f>IF(TOTALCO!K753="", "",TOTALCO!K753)</f>
        <v/>
      </c>
      <c r="L226" s="12">
        <f ca="1">IF(TOTALCO!L753="", "",TOTALCO!L753)</f>
        <v>14775.55126043734</v>
      </c>
      <c r="M226" s="12" t="str">
        <f>IF(TOTALCO!M753="", "",TOTALCO!M753)</f>
        <v/>
      </c>
      <c r="N226" s="12">
        <f ca="1">IF(TOTALCO!N753="", "",TOTALCO!N753)</f>
        <v>2611453.208302456</v>
      </c>
      <c r="O226" s="12">
        <f ca="1">IF(TOTALCO!O753="", "",TOTALCO!O753)</f>
        <v>1361297.5759157678</v>
      </c>
      <c r="P226" s="12">
        <f ca="1">IF(TOTALCO!P753="", "",TOTALCO!P753)</f>
        <v>1250155.6323866884</v>
      </c>
      <c r="Q226" s="12"/>
      <c r="R226" s="13"/>
    </row>
    <row r="227" spans="1:18" ht="15" x14ac:dyDescent="0.2">
      <c r="A227" s="321" t="str">
        <f>IF(TOTALCO!A754="", "",TOTALCO!A754)</f>
        <v/>
      </c>
      <c r="B227" s="4" t="str">
        <f>IF(TOTALCO!B754="", "",TOTALCO!B754)</f>
        <v/>
      </c>
      <c r="C227" s="4" t="str">
        <f>IF(TOTALCO!C754="", "",TOTALCO!C754)</f>
        <v/>
      </c>
      <c r="D227" s="12" t="str">
        <f>IF(TOTALCO!D754="", "",TOTALCO!D754)</f>
        <v/>
      </c>
      <c r="E227" s="12" t="str">
        <f>IF(TOTALCO!E754="", "",TOTALCO!E754)</f>
        <v/>
      </c>
      <c r="F227" s="12" t="str">
        <f>IF(TOTALCO!F754="", "",TOTALCO!F754)</f>
        <v/>
      </c>
      <c r="G227" s="12" t="str">
        <f>IF(TOTALCO!G754="", "",TOTALCO!G754)</f>
        <v/>
      </c>
      <c r="H227" s="12" t="str">
        <f>IF(TOTALCO!H754="", "",TOTALCO!H754)</f>
        <v/>
      </c>
      <c r="I227" s="12" t="str">
        <f>IF(TOTALCO!I754="", "",TOTALCO!I754)</f>
        <v/>
      </c>
      <c r="J227" s="12" t="str">
        <f>IF(TOTALCO!J754="", "",TOTALCO!J754)</f>
        <v/>
      </c>
      <c r="K227" s="12" t="str">
        <f>IF(TOTALCO!K754="", "",TOTALCO!K754)</f>
        <v/>
      </c>
      <c r="L227" s="12" t="str">
        <f>IF(TOTALCO!L754="", "",TOTALCO!L754)</f>
        <v/>
      </c>
      <c r="M227" s="12" t="str">
        <f>IF(TOTALCO!M754="", "",TOTALCO!M754)</f>
        <v/>
      </c>
      <c r="N227" s="12" t="str">
        <f>IF(TOTALCO!N754="", "",TOTALCO!N754)</f>
        <v/>
      </c>
      <c r="O227" s="12" t="str">
        <f>IF(TOTALCO!O754="", "",TOTALCO!O754)</f>
        <v/>
      </c>
      <c r="P227" s="12" t="str">
        <f>IF(TOTALCO!P754="", "",TOTALCO!P754)</f>
        <v/>
      </c>
      <c r="Q227" s="12"/>
      <c r="R227" s="13"/>
    </row>
    <row r="228" spans="1:18" ht="15" x14ac:dyDescent="0.2">
      <c r="A228" s="321" t="str">
        <f>IF(TOTALCO!A755="", "",TOTALCO!A755)</f>
        <v/>
      </c>
      <c r="B228" s="4" t="str">
        <f>IF(TOTALCO!B755="", "",TOTALCO!B755)</f>
        <v xml:space="preserve"> PLANT HELD FOR FUTURE USE</v>
      </c>
      <c r="C228" s="4" t="str">
        <f>IF(TOTALCO!C755="", "",TOTALCO!C755)</f>
        <v/>
      </c>
      <c r="D228" s="12" t="str">
        <f>IF(TOTALCO!D755="", "",TOTALCO!D755)</f>
        <v/>
      </c>
      <c r="E228" s="12" t="str">
        <f>IF(TOTALCO!E755="", "",TOTALCO!E755)</f>
        <v/>
      </c>
      <c r="F228" s="12" t="str">
        <f>IF(TOTALCO!F755="", "",TOTALCO!F755)</f>
        <v/>
      </c>
      <c r="G228" s="12" t="str">
        <f>IF(TOTALCO!G755="", "",TOTALCO!G755)</f>
        <v/>
      </c>
      <c r="H228" s="12" t="str">
        <f>IF(TOTALCO!H755="", "",TOTALCO!H755)</f>
        <v/>
      </c>
      <c r="I228" s="12" t="str">
        <f>IF(TOTALCO!I755="", "",TOTALCO!I755)</f>
        <v/>
      </c>
      <c r="J228" s="12" t="str">
        <f>IF(TOTALCO!J755="", "",TOTALCO!J755)</f>
        <v/>
      </c>
      <c r="K228" s="12" t="str">
        <f>IF(TOTALCO!K755="", "",TOTALCO!K755)</f>
        <v/>
      </c>
      <c r="L228" s="12" t="str">
        <f>IF(TOTALCO!L755="", "",TOTALCO!L755)</f>
        <v/>
      </c>
      <c r="M228" s="12" t="str">
        <f>IF(TOTALCO!M755="", "",TOTALCO!M755)</f>
        <v/>
      </c>
      <c r="N228" s="12" t="str">
        <f>IF(TOTALCO!N755="", "",TOTALCO!N755)</f>
        <v/>
      </c>
      <c r="O228" s="12" t="str">
        <f>IF(TOTALCO!O755="", "",TOTALCO!O755)</f>
        <v/>
      </c>
      <c r="P228" s="12" t="str">
        <f>IF(TOTALCO!P755="", "",TOTALCO!P755)</f>
        <v/>
      </c>
      <c r="Q228" s="12"/>
      <c r="R228" s="13"/>
    </row>
    <row r="229" spans="1:18" ht="15" x14ac:dyDescent="0.2">
      <c r="A229" s="321">
        <f>IF(TOTALCO!A756="", "",TOTALCO!A756)</f>
        <v>14</v>
      </c>
      <c r="B229" s="4" t="str">
        <f>IF(TOTALCO!B756="", "",TOTALCO!B756)</f>
        <v xml:space="preserve"> PRODUCTION</v>
      </c>
      <c r="C229" s="4" t="str">
        <f>IF(TOTALCO!C756="", "",TOTALCO!C756)</f>
        <v>DEMPROD</v>
      </c>
      <c r="D229" s="12">
        <f ca="1">IF(TOTALCO!D756="", "",TOTALCO!D756)</f>
        <v>309540.85000000003</v>
      </c>
      <c r="E229" s="12" t="str">
        <f>IF(TOTALCO!E756="", "",TOTALCO!E756)</f>
        <v/>
      </c>
      <c r="F229" s="12">
        <f ca="1">IF(TOTALCO!F756="", "",TOTALCO!F756)</f>
        <v>290168.5549759267</v>
      </c>
      <c r="G229" s="12" t="str">
        <f>IF(TOTALCO!G756="", "",TOTALCO!G756)</f>
        <v/>
      </c>
      <c r="H229" s="12">
        <f ca="1">IF(TOTALCO!H756="", "",TOTALCO!H756)</f>
        <v>13287.175231352554</v>
      </c>
      <c r="I229" s="12">
        <f ca="1">IF(TOTALCO!I756="", "",TOTALCO!I756)</f>
        <v>6085.1197927207468</v>
      </c>
      <c r="J229" s="12" t="str">
        <f>IF(TOTALCO!J756="", "",TOTALCO!J756)</f>
        <v/>
      </c>
      <c r="K229" s="12" t="str">
        <f>IF(TOTALCO!K756="", "",TOTALCO!K756)</f>
        <v/>
      </c>
      <c r="L229" s="12">
        <f ca="1">IF(TOTALCO!L756="", "",TOTALCO!L756)</f>
        <v>0.93140063868500578</v>
      </c>
      <c r="M229" s="12" t="str">
        <f>IF(TOTALCO!M756="", "",TOTALCO!M756)</f>
        <v/>
      </c>
      <c r="N229" s="12">
        <f ca="1">IF(TOTALCO!N756="", "",TOTALCO!N756)</f>
        <v>6084.1883920820619</v>
      </c>
      <c r="O229" s="12">
        <f ca="1">IF(TOTALCO!O756="", "",TOTALCO!O756)</f>
        <v>3085.7303159634239</v>
      </c>
      <c r="P229" s="12">
        <f ca="1">IF(TOTALCO!P756="", "",TOTALCO!P756)</f>
        <v>2998.4580761186385</v>
      </c>
      <c r="Q229" s="12"/>
      <c r="R229" s="13"/>
    </row>
    <row r="230" spans="1:18" ht="15" x14ac:dyDescent="0.2">
      <c r="A230" s="321">
        <f>IF(TOTALCO!A757="", "",TOTALCO!A757)</f>
        <v>15</v>
      </c>
      <c r="B230" s="4" t="str">
        <f>IF(TOTALCO!B757="", "",TOTALCO!B757)</f>
        <v xml:space="preserve"> TRANSMISSION</v>
      </c>
      <c r="C230" s="4" t="str">
        <f>IF(TOTALCO!C757="", "",TOTALCO!C757)</f>
        <v>DEMTRANNF</v>
      </c>
      <c r="D230" s="12">
        <f ca="1">IF(TOTALCO!D757="", "",TOTALCO!D757)</f>
        <v>0</v>
      </c>
      <c r="E230" s="12" t="str">
        <f>IF(TOTALCO!E757="", "",TOTALCO!E757)</f>
        <v/>
      </c>
      <c r="F230" s="12">
        <f ca="1">IF(TOTALCO!F757="", "",TOTALCO!F757)</f>
        <v>0</v>
      </c>
      <c r="G230" s="12" t="str">
        <f>IF(TOTALCO!G757="", "",TOTALCO!G757)</f>
        <v/>
      </c>
      <c r="H230" s="12">
        <f ca="1">IF(TOTALCO!H757="", "",TOTALCO!H757)</f>
        <v>0</v>
      </c>
      <c r="I230" s="12">
        <f ca="1">IF(TOTALCO!I757="", "",TOTALCO!I757)</f>
        <v>0</v>
      </c>
      <c r="J230" s="12" t="str">
        <f>IF(TOTALCO!J757="", "",TOTALCO!J757)</f>
        <v/>
      </c>
      <c r="K230" s="12" t="str">
        <f>IF(TOTALCO!K757="", "",TOTALCO!K757)</f>
        <v/>
      </c>
      <c r="L230" s="12">
        <f ca="1">IF(TOTALCO!L757="", "",TOTALCO!L757)</f>
        <v>0</v>
      </c>
      <c r="M230" s="12" t="str">
        <f>IF(TOTALCO!M757="", "",TOTALCO!M757)</f>
        <v/>
      </c>
      <c r="N230" s="12">
        <f ca="1">IF(TOTALCO!N757="", "",TOTALCO!N757)</f>
        <v>0</v>
      </c>
      <c r="O230" s="12">
        <f ca="1">IF(TOTALCO!O757="", "",TOTALCO!O757)</f>
        <v>0</v>
      </c>
      <c r="P230" s="12">
        <f ca="1">IF(TOTALCO!P757="", "",TOTALCO!P757)</f>
        <v>0</v>
      </c>
      <c r="Q230" s="12"/>
      <c r="R230" s="13"/>
    </row>
    <row r="231" spans="1:18" ht="15" x14ac:dyDescent="0.2">
      <c r="A231" s="321">
        <f>IF(TOTALCO!A758="", "",TOTALCO!A758)</f>
        <v>16</v>
      </c>
      <c r="B231" s="4" t="str">
        <f>IF(TOTALCO!B758="", "",TOTALCO!B758)</f>
        <v xml:space="preserve"> DISTRIBUTION</v>
      </c>
      <c r="C231" s="4" t="str">
        <f>IF(TOTALCO!C758="", "",TOTALCO!C758)</f>
        <v>DIR360FU</v>
      </c>
      <c r="D231" s="12">
        <f ca="1">IF(TOTALCO!D758="", "",TOTALCO!D758)</f>
        <v>1471422.5899999999</v>
      </c>
      <c r="E231" s="12" t="str">
        <f>IF(TOTALCO!E758="", "",TOTALCO!E758)</f>
        <v/>
      </c>
      <c r="F231" s="12">
        <f ca="1">IF(TOTALCO!F758="", "",TOTALCO!F758)</f>
        <v>1147334.75</v>
      </c>
      <c r="G231" s="12" t="str">
        <f>IF(TOTALCO!G758="", "",TOTALCO!G758)</f>
        <v/>
      </c>
      <c r="H231" s="12">
        <f ca="1">IF(TOTALCO!H758="", "",TOTALCO!H758)</f>
        <v>324087.83999999997</v>
      </c>
      <c r="I231" s="12">
        <f ca="1">IF(TOTALCO!I758="", "",TOTALCO!I758)</f>
        <v>0</v>
      </c>
      <c r="J231" s="12" t="str">
        <f>IF(TOTALCO!J758="", "",TOTALCO!J758)</f>
        <v/>
      </c>
      <c r="K231" s="12" t="str">
        <f>IF(TOTALCO!K758="", "",TOTALCO!K758)</f>
        <v/>
      </c>
      <c r="L231" s="12">
        <f ca="1">IF(TOTALCO!L758="", "",TOTALCO!L758)</f>
        <v>0</v>
      </c>
      <c r="M231" s="12" t="str">
        <f>IF(TOTALCO!M758="", "",TOTALCO!M758)</f>
        <v/>
      </c>
      <c r="N231" s="12">
        <f ca="1">IF(TOTALCO!N758="", "",TOTALCO!N758)</f>
        <v>0</v>
      </c>
      <c r="O231" s="12">
        <f ca="1">IF(TOTALCO!O758="", "",TOTALCO!O758)</f>
        <v>0</v>
      </c>
      <c r="P231" s="12">
        <f ca="1">IF(TOTALCO!P758="", "",TOTALCO!P758)</f>
        <v>0</v>
      </c>
      <c r="Q231" s="12"/>
      <c r="R231" s="13"/>
    </row>
    <row r="232" spans="1:18" ht="15" x14ac:dyDescent="0.2">
      <c r="A232" s="321">
        <f>IF(TOTALCO!A759="", "",TOTALCO!A759)</f>
        <v>17</v>
      </c>
      <c r="B232" s="4" t="str">
        <f>IF(TOTALCO!B759="", "",TOTALCO!B759)</f>
        <v xml:space="preserve"> GENERAL</v>
      </c>
      <c r="C232" s="4" t="str">
        <f>IF(TOTALCO!C759="", "",TOTALCO!C759)</f>
        <v>LABOR</v>
      </c>
      <c r="D232" s="12">
        <f ca="1">IF(TOTALCO!D759="", "",TOTALCO!D759)</f>
        <v>131956.31</v>
      </c>
      <c r="E232" s="12" t="str">
        <f>IF(TOTALCO!E759="", "",TOTALCO!E759)</f>
        <v/>
      </c>
      <c r="F232" s="12">
        <f ca="1">IF(TOTALCO!F759="", "",TOTALCO!F759)</f>
        <v>124128.08802052934</v>
      </c>
      <c r="G232" s="12" t="str">
        <f>IF(TOTALCO!G759="", "",TOTALCO!G759)</f>
        <v/>
      </c>
      <c r="H232" s="12">
        <f ca="1">IF(TOTALCO!H759="", "",TOTALCO!H759)</f>
        <v>6247.8403770982532</v>
      </c>
      <c r="I232" s="12">
        <f ca="1">IF(TOTALCO!I759="", "",TOTALCO!I759)</f>
        <v>1580.3816023723973</v>
      </c>
      <c r="J232" s="12" t="str">
        <f>IF(TOTALCO!J759="", "",TOTALCO!J759)</f>
        <v/>
      </c>
      <c r="K232" s="12" t="str">
        <f>IF(TOTALCO!K759="", "",TOTALCO!K759)</f>
        <v/>
      </c>
      <c r="L232" s="12">
        <f ca="1">IF(TOTALCO!L759="", "",TOTALCO!L759)</f>
        <v>8.8914605370447521</v>
      </c>
      <c r="M232" s="12" t="str">
        <f>IF(TOTALCO!M759="", "",TOTALCO!M759)</f>
        <v/>
      </c>
      <c r="N232" s="12">
        <f ca="1">IF(TOTALCO!N759="", "",TOTALCO!N759)</f>
        <v>1571.4901418353525</v>
      </c>
      <c r="O232" s="12">
        <f ca="1">IF(TOTALCO!O759="", "",TOTALCO!O759)</f>
        <v>819.18592830027967</v>
      </c>
      <c r="P232" s="12">
        <f ca="1">IF(TOTALCO!P759="", "",TOTALCO!P759)</f>
        <v>752.30421353507268</v>
      </c>
      <c r="Q232" s="12"/>
      <c r="R232" s="13"/>
    </row>
    <row r="233" spans="1:18" ht="15" x14ac:dyDescent="0.2">
      <c r="A233" s="321">
        <f>IF(TOTALCO!A760="", "",TOTALCO!A760)</f>
        <v>18</v>
      </c>
      <c r="B233" s="4" t="str">
        <f>IF(TOTALCO!B760="", "",TOTALCO!B760)</f>
        <v xml:space="preserve"> TOTAL PLANT HELD FOR FUTURE USE</v>
      </c>
      <c r="C233" s="4" t="str">
        <f>IF(TOTALCO!C760="", "",TOTALCO!C760)</f>
        <v/>
      </c>
      <c r="D233" s="12">
        <f ca="1">IF(TOTALCO!D760="", "",TOTALCO!D760)</f>
        <v>1912919.7499999998</v>
      </c>
      <c r="E233" s="12" t="str">
        <f>IF(TOTALCO!E760="", "",TOTALCO!E760)</f>
        <v/>
      </c>
      <c r="F233" s="12">
        <f ca="1">IF(TOTALCO!F760="", "",TOTALCO!F760)</f>
        <v>1561631.392996456</v>
      </c>
      <c r="G233" s="12" t="str">
        <f>IF(TOTALCO!G760="", "",TOTALCO!G760)</f>
        <v/>
      </c>
      <c r="H233" s="12">
        <f ca="1">IF(TOTALCO!H760="", "",TOTALCO!H760)</f>
        <v>343622.85560845077</v>
      </c>
      <c r="I233" s="12">
        <f ca="1">IF(TOTALCO!I760="", "",TOTALCO!I760)</f>
        <v>7665.5013950931443</v>
      </c>
      <c r="J233" s="12" t="str">
        <f>IF(TOTALCO!J760="", "",TOTALCO!J760)</f>
        <v/>
      </c>
      <c r="K233" s="12" t="str">
        <f>IF(TOTALCO!K760="", "",TOTALCO!K760)</f>
        <v/>
      </c>
      <c r="L233" s="12">
        <f ca="1">IF(TOTALCO!L760="", "",TOTALCO!L760)</f>
        <v>9.8228611757297575</v>
      </c>
      <c r="M233" s="12" t="str">
        <f>IF(TOTALCO!M760="", "",TOTALCO!M760)</f>
        <v/>
      </c>
      <c r="N233" s="12">
        <f ca="1">IF(TOTALCO!N760="", "",TOTALCO!N760)</f>
        <v>7655.6785339174148</v>
      </c>
      <c r="O233" s="12">
        <f ca="1">IF(TOTALCO!O760="", "",TOTALCO!O760)</f>
        <v>3904.9162442637034</v>
      </c>
      <c r="P233" s="12">
        <f ca="1">IF(TOTALCO!P760="", "",TOTALCO!P760)</f>
        <v>3750.7622896537114</v>
      </c>
      <c r="Q233" s="12"/>
      <c r="R233" s="13"/>
    </row>
    <row r="234" spans="1:18" ht="15" x14ac:dyDescent="0.2">
      <c r="A234" s="321" t="str">
        <f>IF(TOTALCO!A761="", "",TOTALCO!A761)</f>
        <v/>
      </c>
      <c r="B234" s="4" t="str">
        <f>IF(TOTALCO!B761="", "",TOTALCO!B761)</f>
        <v/>
      </c>
      <c r="C234" s="4" t="str">
        <f>IF(TOTALCO!C761="", "",TOTALCO!C761)</f>
        <v/>
      </c>
      <c r="D234" s="12" t="str">
        <f>IF(TOTALCO!D761="", "",TOTALCO!D761)</f>
        <v/>
      </c>
      <c r="E234" s="12" t="str">
        <f>IF(TOTALCO!E761="", "",TOTALCO!E761)</f>
        <v/>
      </c>
      <c r="F234" s="12" t="str">
        <f>IF(TOTALCO!F761="", "",TOTALCO!F761)</f>
        <v/>
      </c>
      <c r="G234" s="12" t="str">
        <f>IF(TOTALCO!G761="", "",TOTALCO!G761)</f>
        <v/>
      </c>
      <c r="H234" s="12" t="str">
        <f>IF(TOTALCO!H761="", "",TOTALCO!H761)</f>
        <v/>
      </c>
      <c r="I234" s="12" t="str">
        <f>IF(TOTALCO!I761="", "",TOTALCO!I761)</f>
        <v/>
      </c>
      <c r="J234" s="12" t="str">
        <f>IF(TOTALCO!J761="", "",TOTALCO!J761)</f>
        <v/>
      </c>
      <c r="K234" s="12" t="str">
        <f>IF(TOTALCO!K761="", "",TOTALCO!K761)</f>
        <v/>
      </c>
      <c r="L234" s="12" t="str">
        <f>IF(TOTALCO!L761="", "",TOTALCO!L761)</f>
        <v/>
      </c>
      <c r="M234" s="12" t="str">
        <f>IF(TOTALCO!M761="", "",TOTALCO!M761)</f>
        <v/>
      </c>
      <c r="N234" s="12" t="str">
        <f>IF(TOTALCO!N761="", "",TOTALCO!N761)</f>
        <v/>
      </c>
      <c r="O234" s="12" t="str">
        <f>IF(TOTALCO!O761="", "",TOTALCO!O761)</f>
        <v/>
      </c>
      <c r="P234" s="12" t="str">
        <f>IF(TOTALCO!P761="", "",TOTALCO!P761)</f>
        <v/>
      </c>
      <c r="Q234" s="12"/>
      <c r="R234" s="13"/>
    </row>
    <row r="235" spans="1:18" ht="15" x14ac:dyDescent="0.2">
      <c r="A235" s="321">
        <f>IF(TOTALCO!A762="", "",TOTALCO!A762)</f>
        <v>19</v>
      </c>
      <c r="B235" s="4" t="str">
        <f>IF(TOTALCO!B762="", "",TOTALCO!B762)</f>
        <v>TOTAL ELECTRIC PLANT</v>
      </c>
      <c r="C235" s="4" t="str">
        <f>IF(TOTALCO!C762="", "",TOTALCO!C762)</f>
        <v/>
      </c>
      <c r="D235" s="12">
        <f ca="1">IF(TOTALCO!D762="", "",TOTALCO!D762)</f>
        <v>10062394693.696922</v>
      </c>
      <c r="E235" s="12" t="str">
        <f>IF(TOTALCO!E762="", "",TOTALCO!E762)</f>
        <v/>
      </c>
      <c r="F235" s="12">
        <f ca="1">IF(TOTALCO!F762="", "",TOTALCO!F762)</f>
        <v>9408080312.420742</v>
      </c>
      <c r="G235" s="12" t="str">
        <f>IF(TOTALCO!G762="", "",TOTALCO!G762)</f>
        <v/>
      </c>
      <c r="H235" s="12">
        <f ca="1">IF(TOTALCO!H762="", "",TOTALCO!H762)</f>
        <v>507908229.56304741</v>
      </c>
      <c r="I235" s="12">
        <f ca="1">IF(TOTALCO!I762="", "",TOTALCO!I762)</f>
        <v>146406151.71313202</v>
      </c>
      <c r="J235" s="12" t="str">
        <f>IF(TOTALCO!J762="", "",TOTALCO!J762)</f>
        <v/>
      </c>
      <c r="K235" s="12" t="str">
        <f>IF(TOTALCO!K762="", "",TOTALCO!K762)</f>
        <v/>
      </c>
      <c r="L235" s="12">
        <f ca="1">IF(TOTALCO!L762="", "",TOTALCO!L762)</f>
        <v>691517.97762954782</v>
      </c>
      <c r="M235" s="12" t="str">
        <f>IF(TOTALCO!M762="", "",TOTALCO!M762)</f>
        <v/>
      </c>
      <c r="N235" s="12">
        <f ca="1">IF(TOTALCO!N762="", "",TOTALCO!N762)</f>
        <v>145714633.73550248</v>
      </c>
      <c r="O235" s="12">
        <f ca="1">IF(TOTALCO!O762="", "",TOTALCO!O762)</f>
        <v>75736331.338313594</v>
      </c>
      <c r="P235" s="12">
        <f ca="1">IF(TOTALCO!P762="", "",TOTALCO!P762)</f>
        <v>69978302.397188902</v>
      </c>
      <c r="Q235" s="12"/>
      <c r="R235" s="13"/>
    </row>
    <row r="236" spans="1:18" ht="15" x14ac:dyDescent="0.2">
      <c r="A236" s="321" t="str">
        <f>IF(TOTALCO!A763="", "",TOTALCO!A763)</f>
        <v/>
      </c>
      <c r="B236" s="4" t="str">
        <f>IF(TOTALCO!B763="", "",TOTALCO!B763)</f>
        <v/>
      </c>
      <c r="C236" s="4" t="str">
        <f>IF(TOTALCO!C763="", "",TOTALCO!C763)</f>
        <v/>
      </c>
      <c r="D236" s="12" t="str">
        <f>IF(TOTALCO!D763="", "",TOTALCO!D763)</f>
        <v/>
      </c>
      <c r="E236" s="12" t="str">
        <f>IF(TOTALCO!E763="", "",TOTALCO!E763)</f>
        <v/>
      </c>
      <c r="F236" s="12" t="str">
        <f>IF(TOTALCO!F763="", "",TOTALCO!F763)</f>
        <v/>
      </c>
      <c r="G236" s="12" t="str">
        <f>IF(TOTALCO!G763="", "",TOTALCO!G763)</f>
        <v/>
      </c>
      <c r="H236" s="12" t="str">
        <f>IF(TOTALCO!H763="", "",TOTALCO!H763)</f>
        <v/>
      </c>
      <c r="I236" s="12" t="str">
        <f>IF(TOTALCO!I763="", "",TOTALCO!I763)</f>
        <v/>
      </c>
      <c r="J236" s="12" t="str">
        <f>IF(TOTALCO!J763="", "",TOTALCO!J763)</f>
        <v/>
      </c>
      <c r="K236" s="12" t="str">
        <f>IF(TOTALCO!K763="", "",TOTALCO!K763)</f>
        <v/>
      </c>
      <c r="L236" s="12" t="str">
        <f>IF(TOTALCO!L763="", "",TOTALCO!L763)</f>
        <v/>
      </c>
      <c r="M236" s="12" t="str">
        <f>IF(TOTALCO!M763="", "",TOTALCO!M763)</f>
        <v/>
      </c>
      <c r="N236" s="12" t="str">
        <f>IF(TOTALCO!N763="", "",TOTALCO!N763)</f>
        <v/>
      </c>
      <c r="O236" s="12" t="str">
        <f>IF(TOTALCO!O763="", "",TOTALCO!O763)</f>
        <v/>
      </c>
      <c r="P236" s="12" t="str">
        <f>IF(TOTALCO!P763="", "",TOTALCO!P763)</f>
        <v/>
      </c>
      <c r="Q236" s="12"/>
      <c r="R236" s="13"/>
    </row>
    <row r="237" spans="1:18" ht="15" x14ac:dyDescent="0.2">
      <c r="A237" s="321" t="str">
        <f>IF(TOTALCO!A764="", "",TOTALCO!A764)</f>
        <v/>
      </c>
      <c r="B237" s="4" t="str">
        <f>IF(TOTALCO!B764="", "",TOTALCO!B764)</f>
        <v>ELECTRIC PLANT IN SERVICE CON'T</v>
      </c>
      <c r="C237" s="4" t="str">
        <f>IF(TOTALCO!C764="", "",TOTALCO!C764)</f>
        <v/>
      </c>
      <c r="D237" s="12" t="str">
        <f>IF(TOTALCO!D764="", "",TOTALCO!D764)</f>
        <v/>
      </c>
      <c r="E237" s="12" t="str">
        <f>IF(TOTALCO!E764="", "",TOTALCO!E764)</f>
        <v/>
      </c>
      <c r="F237" s="12" t="str">
        <f>IF(TOTALCO!F764="", "",TOTALCO!F764)</f>
        <v/>
      </c>
      <c r="G237" s="12" t="str">
        <f>IF(TOTALCO!G764="", "",TOTALCO!G764)</f>
        <v/>
      </c>
      <c r="H237" s="12" t="str">
        <f>IF(TOTALCO!H764="", "",TOTALCO!H764)</f>
        <v/>
      </c>
      <c r="I237" s="12" t="str">
        <f>IF(TOTALCO!I764="", "",TOTALCO!I764)</f>
        <v/>
      </c>
      <c r="J237" s="12" t="str">
        <f>IF(TOTALCO!J764="", "",TOTALCO!J764)</f>
        <v/>
      </c>
      <c r="K237" s="12" t="str">
        <f>IF(TOTALCO!K764="", "",TOTALCO!K764)</f>
        <v/>
      </c>
      <c r="L237" s="12" t="str">
        <f>IF(TOTALCO!L764="", "",TOTALCO!L764)</f>
        <v/>
      </c>
      <c r="M237" s="12" t="str">
        <f>IF(TOTALCO!M764="", "",TOTALCO!M764)</f>
        <v/>
      </c>
      <c r="N237" s="12" t="str">
        <f>IF(TOTALCO!N764="", "",TOTALCO!N764)</f>
        <v/>
      </c>
      <c r="O237" s="12" t="str">
        <f>IF(TOTALCO!O764="", "",TOTALCO!O764)</f>
        <v/>
      </c>
      <c r="P237" s="12" t="str">
        <f>IF(TOTALCO!P764="", "",TOTALCO!P764)</f>
        <v/>
      </c>
      <c r="Q237" s="12"/>
      <c r="R237" s="13"/>
    </row>
    <row r="238" spans="1:18" ht="15" x14ac:dyDescent="0.2">
      <c r="A238" s="321" t="str">
        <f>IF(TOTALCO!A765="", "",TOTALCO!A765)</f>
        <v/>
      </c>
      <c r="B238" s="4" t="str">
        <f>IF(TOTALCO!B765="", "",TOTALCO!B765)</f>
        <v/>
      </c>
      <c r="C238" s="4" t="str">
        <f>IF(TOTALCO!C765="", "",TOTALCO!C765)</f>
        <v/>
      </c>
      <c r="D238" s="12" t="str">
        <f>IF(TOTALCO!D765="", "",TOTALCO!D765)</f>
        <v/>
      </c>
      <c r="E238" s="12" t="str">
        <f>IF(TOTALCO!E765="", "",TOTALCO!E765)</f>
        <v/>
      </c>
      <c r="F238" s="12" t="str">
        <f>IF(TOTALCO!F765="", "",TOTALCO!F765)</f>
        <v/>
      </c>
      <c r="G238" s="12" t="str">
        <f>IF(TOTALCO!G765="", "",TOTALCO!G765)</f>
        <v/>
      </c>
      <c r="H238" s="12" t="str">
        <f>IF(TOTALCO!H765="", "",TOTALCO!H765)</f>
        <v/>
      </c>
      <c r="I238" s="12" t="str">
        <f>IF(TOTALCO!I765="", "",TOTALCO!I765)</f>
        <v/>
      </c>
      <c r="J238" s="12" t="str">
        <f>IF(TOTALCO!J765="", "",TOTALCO!J765)</f>
        <v/>
      </c>
      <c r="K238" s="12" t="str">
        <f>IF(TOTALCO!K765="", "",TOTALCO!K765)</f>
        <v/>
      </c>
      <c r="L238" s="12" t="str">
        <f>IF(TOTALCO!L765="", "",TOTALCO!L765)</f>
        <v/>
      </c>
      <c r="M238" s="12" t="str">
        <f>IF(TOTALCO!M765="", "",TOTALCO!M765)</f>
        <v/>
      </c>
      <c r="N238" s="12" t="str">
        <f>IF(TOTALCO!N765="", "",TOTALCO!N765)</f>
        <v/>
      </c>
      <c r="O238" s="12" t="str">
        <f>IF(TOTALCO!O765="", "",TOTALCO!O765)</f>
        <v/>
      </c>
      <c r="P238" s="12" t="str">
        <f>IF(TOTALCO!P765="", "",TOTALCO!P765)</f>
        <v/>
      </c>
      <c r="Q238" s="12"/>
      <c r="R238" s="13"/>
    </row>
    <row r="239" spans="1:18" ht="15" x14ac:dyDescent="0.2">
      <c r="A239" s="321" t="str">
        <f>IF(TOTALCO!A766="", "",TOTALCO!A766)</f>
        <v/>
      </c>
      <c r="B239" s="4" t="str">
        <f>IF(TOTALCO!B766="", "",TOTALCO!B766)</f>
        <v>ACCUMULATED PROVISION FOR DEP</v>
      </c>
      <c r="C239" s="4" t="str">
        <f>IF(TOTALCO!C766="", "",TOTALCO!C766)</f>
        <v/>
      </c>
      <c r="D239" s="12" t="str">
        <f>IF(TOTALCO!D766="", "",TOTALCO!D766)</f>
        <v/>
      </c>
      <c r="E239" s="12" t="str">
        <f>IF(TOTALCO!E766="", "",TOTALCO!E766)</f>
        <v/>
      </c>
      <c r="F239" s="12" t="str">
        <f>IF(TOTALCO!F766="", "",TOTALCO!F766)</f>
        <v/>
      </c>
      <c r="G239" s="12" t="str">
        <f>IF(TOTALCO!G766="", "",TOTALCO!G766)</f>
        <v/>
      </c>
      <c r="H239" s="12" t="str">
        <f>IF(TOTALCO!H766="", "",TOTALCO!H766)</f>
        <v/>
      </c>
      <c r="I239" s="12" t="str">
        <f>IF(TOTALCO!I766="", "",TOTALCO!I766)</f>
        <v/>
      </c>
      <c r="J239" s="12" t="str">
        <f>IF(TOTALCO!J766="", "",TOTALCO!J766)</f>
        <v/>
      </c>
      <c r="K239" s="12" t="str">
        <f>IF(TOTALCO!K766="", "",TOTALCO!K766)</f>
        <v/>
      </c>
      <c r="L239" s="12" t="str">
        <f>IF(TOTALCO!L766="", "",TOTALCO!L766)</f>
        <v/>
      </c>
      <c r="M239" s="12" t="str">
        <f>IF(TOTALCO!M766="", "",TOTALCO!M766)</f>
        <v/>
      </c>
      <c r="N239" s="12" t="str">
        <f>IF(TOTALCO!N766="", "",TOTALCO!N766)</f>
        <v/>
      </c>
      <c r="O239" s="12" t="str">
        <f>IF(TOTALCO!O766="", "",TOTALCO!O766)</f>
        <v/>
      </c>
      <c r="P239" s="12" t="str">
        <f>IF(TOTALCO!P766="", "",TOTALCO!P766)</f>
        <v/>
      </c>
      <c r="Q239" s="12"/>
      <c r="R239" s="13"/>
    </row>
    <row r="240" spans="1:18" ht="15" x14ac:dyDescent="0.2">
      <c r="A240" s="321" t="str">
        <f>IF(TOTALCO!A767="", "",TOTALCO!A767)</f>
        <v/>
      </c>
      <c r="B240" s="4" t="str">
        <f>IF(TOTALCO!B767="", "",TOTALCO!B767)</f>
        <v/>
      </c>
      <c r="C240" s="4" t="str">
        <f>IF(TOTALCO!C767="", "",TOTALCO!C767)</f>
        <v/>
      </c>
      <c r="D240" s="12" t="str">
        <f>IF(TOTALCO!D767="", "",TOTALCO!D767)</f>
        <v/>
      </c>
      <c r="E240" s="12" t="str">
        <f>IF(TOTALCO!E767="", "",TOTALCO!E767)</f>
        <v/>
      </c>
      <c r="F240" s="12" t="str">
        <f>IF(TOTALCO!F767="", "",TOTALCO!F767)</f>
        <v/>
      </c>
      <c r="G240" s="12" t="str">
        <f>IF(TOTALCO!G767="", "",TOTALCO!G767)</f>
        <v/>
      </c>
      <c r="H240" s="12" t="str">
        <f>IF(TOTALCO!H767="", "",TOTALCO!H767)</f>
        <v/>
      </c>
      <c r="I240" s="12" t="str">
        <f>IF(TOTALCO!I767="", "",TOTALCO!I767)</f>
        <v/>
      </c>
      <c r="J240" s="12" t="str">
        <f>IF(TOTALCO!J767="", "",TOTALCO!J767)</f>
        <v/>
      </c>
      <c r="K240" s="12" t="str">
        <f>IF(TOTALCO!K767="", "",TOTALCO!K767)</f>
        <v/>
      </c>
      <c r="L240" s="12" t="str">
        <f>IF(TOTALCO!L767="", "",TOTALCO!L767)</f>
        <v/>
      </c>
      <c r="M240" s="12" t="str">
        <f>IF(TOTALCO!M767="", "",TOTALCO!M767)</f>
        <v/>
      </c>
      <c r="N240" s="12" t="str">
        <f>IF(TOTALCO!N767="", "",TOTALCO!N767)</f>
        <v/>
      </c>
      <c r="O240" s="12" t="str">
        <f>IF(TOTALCO!O767="", "",TOTALCO!O767)</f>
        <v/>
      </c>
      <c r="P240" s="12" t="str">
        <f>IF(TOTALCO!P767="", "",TOTALCO!P767)</f>
        <v/>
      </c>
      <c r="Q240" s="12"/>
      <c r="R240" s="13"/>
    </row>
    <row r="241" spans="1:18" ht="15" x14ac:dyDescent="0.2">
      <c r="A241" s="321" t="str">
        <f>IF(TOTALCO!A768="", "",TOTALCO!A768)</f>
        <v/>
      </c>
      <c r="B241" s="4" t="str">
        <f>IF(TOTALCO!B768="", "",TOTALCO!B768)</f>
        <v xml:space="preserve"> PRODUCTION PLANT</v>
      </c>
      <c r="C241" s="4" t="str">
        <f>IF(TOTALCO!C768="", "",TOTALCO!C768)</f>
        <v/>
      </c>
      <c r="D241" s="12" t="str">
        <f>IF(TOTALCO!D768="", "",TOTALCO!D768)</f>
        <v/>
      </c>
      <c r="E241" s="12" t="str">
        <f>IF(TOTALCO!E768="", "",TOTALCO!E768)</f>
        <v/>
      </c>
      <c r="F241" s="12" t="str">
        <f>IF(TOTALCO!F768="", "",TOTALCO!F768)</f>
        <v/>
      </c>
      <c r="G241" s="12" t="str">
        <f>IF(TOTALCO!G768="", "",TOTALCO!G768)</f>
        <v/>
      </c>
      <c r="H241" s="12" t="str">
        <f>IF(TOTALCO!H768="", "",TOTALCO!H768)</f>
        <v/>
      </c>
      <c r="I241" s="12" t="str">
        <f>IF(TOTALCO!I768="", "",TOTALCO!I768)</f>
        <v/>
      </c>
      <c r="J241" s="12" t="str">
        <f>IF(TOTALCO!J768="", "",TOTALCO!J768)</f>
        <v/>
      </c>
      <c r="K241" s="12" t="str">
        <f>IF(TOTALCO!K768="", "",TOTALCO!K768)</f>
        <v/>
      </c>
      <c r="L241" s="12" t="str">
        <f>IF(TOTALCO!L768="", "",TOTALCO!L768)</f>
        <v/>
      </c>
      <c r="M241" s="12" t="str">
        <f>IF(TOTALCO!M768="", "",TOTALCO!M768)</f>
        <v/>
      </c>
      <c r="N241" s="12" t="str">
        <f>IF(TOTALCO!N768="", "",TOTALCO!N768)</f>
        <v/>
      </c>
      <c r="O241" s="12" t="str">
        <f>IF(TOTALCO!O768="", "",TOTALCO!O768)</f>
        <v/>
      </c>
      <c r="P241" s="12" t="str">
        <f>IF(TOTALCO!P768="", "",TOTALCO!P768)</f>
        <v/>
      </c>
      <c r="Q241" s="12"/>
      <c r="R241" s="13"/>
    </row>
    <row r="242" spans="1:18" ht="15" x14ac:dyDescent="0.2">
      <c r="A242" s="321" t="str">
        <f>IF(TOTALCO!A769="", "",TOTALCO!A769)</f>
        <v/>
      </c>
      <c r="B242" s="4" t="str">
        <f>IF(TOTALCO!B769="", "",TOTALCO!B769)</f>
        <v xml:space="preserve">  STEAM PRODUCTION PLANT</v>
      </c>
      <c r="C242" s="4" t="str">
        <f>IF(TOTALCO!C769="", "",TOTALCO!C769)</f>
        <v/>
      </c>
      <c r="D242" s="12" t="str">
        <f>IF(TOTALCO!D769="", "",TOTALCO!D769)</f>
        <v/>
      </c>
      <c r="E242" s="12" t="str">
        <f>IF(TOTALCO!E769="", "",TOTALCO!E769)</f>
        <v/>
      </c>
      <c r="F242" s="12" t="str">
        <f>IF(TOTALCO!F769="", "",TOTALCO!F769)</f>
        <v/>
      </c>
      <c r="G242" s="12" t="str">
        <f>IF(TOTALCO!G769="", "",TOTALCO!G769)</f>
        <v/>
      </c>
      <c r="H242" s="12" t="str">
        <f>IF(TOTALCO!H769="", "",TOTALCO!H769)</f>
        <v/>
      </c>
      <c r="I242" s="12" t="str">
        <f>IF(TOTALCO!I769="", "",TOTALCO!I769)</f>
        <v/>
      </c>
      <c r="J242" s="12" t="str">
        <f>IF(TOTALCO!J769="", "",TOTALCO!J769)</f>
        <v/>
      </c>
      <c r="K242" s="12" t="str">
        <f>IF(TOTALCO!K769="", "",TOTALCO!K769)</f>
        <v/>
      </c>
      <c r="L242" s="12" t="str">
        <f>IF(TOTALCO!L769="", "",TOTALCO!L769)</f>
        <v/>
      </c>
      <c r="M242" s="12" t="str">
        <f>IF(TOTALCO!M769="", "",TOTALCO!M769)</f>
        <v/>
      </c>
      <c r="N242" s="12" t="str">
        <f>IF(TOTALCO!N769="", "",TOTALCO!N769)</f>
        <v/>
      </c>
      <c r="O242" s="12" t="str">
        <f>IF(TOTALCO!O769="", "",TOTALCO!O769)</f>
        <v/>
      </c>
      <c r="P242" s="12" t="str">
        <f>IF(TOTALCO!P769="", "",TOTALCO!P769)</f>
        <v/>
      </c>
      <c r="Q242" s="12"/>
      <c r="R242" s="13"/>
    </row>
    <row r="243" spans="1:18" ht="15" x14ac:dyDescent="0.2">
      <c r="A243" s="321">
        <f>IF(TOTALCO!A770="", "",TOTALCO!A770)</f>
        <v>1</v>
      </c>
      <c r="B243" s="4" t="str">
        <f>IF(TOTALCO!B770="", "",TOTALCO!B770)</f>
        <v xml:space="preserve">    SYSTEM</v>
      </c>
      <c r="C243" s="4" t="str">
        <f>IF(TOTALCO!C770="", "",TOTALCO!C770)</f>
        <v>STMSYS</v>
      </c>
      <c r="D243" s="12">
        <f ca="1">IF(TOTALCO!D770="", "",TOTALCO!D770)</f>
        <v>1867065978.9509361</v>
      </c>
      <c r="E243" s="12" t="str">
        <f>IF(TOTALCO!E770="", "",TOTALCO!E770)</f>
        <v/>
      </c>
      <c r="F243" s="12">
        <f ca="1">IF(TOTALCO!F770="", "",TOTALCO!F770)</f>
        <v>1750217579.2206655</v>
      </c>
      <c r="G243" s="12" t="str">
        <f>IF(TOTALCO!G770="", "",TOTALCO!G770)</f>
        <v/>
      </c>
      <c r="H243" s="12">
        <f ca="1">IF(TOTALCO!H770="", "",TOTALCO!H770)</f>
        <v>80144616.876311734</v>
      </c>
      <c r="I243" s="12">
        <f ca="1">IF(TOTALCO!I770="", "",TOTALCO!I770)</f>
        <v>36703782.853958949</v>
      </c>
      <c r="J243" s="12" t="str">
        <f>IF(TOTALCO!J770="", "",TOTALCO!J770)</f>
        <v/>
      </c>
      <c r="K243" s="12" t="str">
        <f>IF(TOTALCO!K770="", "",TOTALCO!K770)</f>
        <v/>
      </c>
      <c r="L243" s="12">
        <f ca="1">IF(TOTALCO!L770="", "",TOTALCO!L770)</f>
        <v>5617.9546100682564</v>
      </c>
      <c r="M243" s="12" t="str">
        <f>IF(TOTALCO!M770="", "",TOTALCO!M770)</f>
        <v/>
      </c>
      <c r="N243" s="12">
        <f ca="1">IF(TOTALCO!N770="", "",TOTALCO!N770)</f>
        <v>36698164.899348885</v>
      </c>
      <c r="O243" s="12">
        <f ca="1">IF(TOTALCO!O770="", "",TOTALCO!O770)</f>
        <v>18612283.623156141</v>
      </c>
      <c r="P243" s="12">
        <f ca="1">IF(TOTALCO!P770="", "",TOTALCO!P770)</f>
        <v>18085881.27619274</v>
      </c>
      <c r="Q243" s="12"/>
      <c r="R243" s="13"/>
    </row>
    <row r="244" spans="1:18" ht="15" x14ac:dyDescent="0.2">
      <c r="A244" s="321">
        <f>IF(TOTALCO!A771="", "",TOTALCO!A771)</f>
        <v>2</v>
      </c>
      <c r="B244" s="4" t="str">
        <f>IF(TOTALCO!B771="", "",TOTALCO!B771)</f>
        <v xml:space="preserve">    FERC-AFUDC PRE</v>
      </c>
      <c r="C244" s="4" t="str">
        <f>IF(TOTALCO!C771="", "",TOTALCO!C771)</f>
        <v>DEMFERC</v>
      </c>
      <c r="D244" s="12">
        <f ca="1">IF(TOTALCO!D771="", "",TOTALCO!D771)</f>
        <v>18008590.653333403</v>
      </c>
      <c r="E244" s="12" t="str">
        <f>IF(TOTALCO!E771="", "",TOTALCO!E771)</f>
        <v/>
      </c>
      <c r="F244" s="12">
        <f ca="1">IF(TOTALCO!F771="", "",TOTALCO!F771)</f>
        <v>9457347.0627604946</v>
      </c>
      <c r="G244" s="12" t="str">
        <f>IF(TOTALCO!G771="", "",TOTALCO!G771)</f>
        <v/>
      </c>
      <c r="H244" s="12">
        <f ca="1">IF(TOTALCO!H771="", "",TOTALCO!H771)</f>
        <v>5865455.5374959754</v>
      </c>
      <c r="I244" s="12">
        <f ca="1">IF(TOTALCO!I771="", "",TOTALCO!I771)</f>
        <v>2685788.0530769359</v>
      </c>
      <c r="J244" s="12" t="str">
        <f>IF(TOTALCO!J771="", "",TOTALCO!J771)</f>
        <v/>
      </c>
      <c r="K244" s="12" t="str">
        <f>IF(TOTALCO!K771="", "",TOTALCO!K771)</f>
        <v/>
      </c>
      <c r="L244" s="12">
        <f ca="1">IF(TOTALCO!L771="", "",TOTALCO!L771)</f>
        <v>0</v>
      </c>
      <c r="M244" s="12" t="str">
        <f>IF(TOTALCO!M771="", "",TOTALCO!M771)</f>
        <v/>
      </c>
      <c r="N244" s="12">
        <f ca="1">IF(TOTALCO!N771="", "",TOTALCO!N771)</f>
        <v>2685788.0530769359</v>
      </c>
      <c r="O244" s="12">
        <f ca="1">IF(TOTALCO!O771="", "",TOTALCO!O771)</f>
        <v>1362156.6400569309</v>
      </c>
      <c r="P244" s="12">
        <f ca="1">IF(TOTALCO!P771="", "",TOTALCO!P771)</f>
        <v>1323631.4130200052</v>
      </c>
      <c r="Q244" s="12"/>
      <c r="R244" s="13"/>
    </row>
    <row r="245" spans="1:18" ht="15" x14ac:dyDescent="0.2">
      <c r="A245" s="321">
        <f>IF(TOTALCO!A772="", "",TOTALCO!A772)</f>
        <v>3</v>
      </c>
      <c r="B245" s="4" t="str">
        <f>IF(TOTALCO!B772="", "",TOTALCO!B772)</f>
        <v xml:space="preserve">    FERC-AFUDC POST</v>
      </c>
      <c r="C245" s="4" t="str">
        <f>IF(TOTALCO!C772="", "",TOTALCO!C772)</f>
        <v>DEMFERCP</v>
      </c>
      <c r="D245" s="12">
        <f ca="1">IF(TOTALCO!D772="", "",TOTALCO!D772)</f>
        <v>7410604.1733333375</v>
      </c>
      <c r="E245" s="12" t="str">
        <f>IF(TOTALCO!E772="", "",TOTALCO!E772)</f>
        <v/>
      </c>
      <c r="F245" s="12">
        <f ca="1">IF(TOTALCO!F772="", "",TOTALCO!F772)</f>
        <v>5771545.3993876958</v>
      </c>
      <c r="G245" s="12" t="str">
        <f>IF(TOTALCO!G772="", "",TOTALCO!G772)</f>
        <v/>
      </c>
      <c r="H245" s="12">
        <f ca="1">IF(TOTALCO!H772="", "",TOTALCO!H772)</f>
        <v>0</v>
      </c>
      <c r="I245" s="12">
        <f ca="1">IF(TOTALCO!I772="", "",TOTALCO!I772)</f>
        <v>1639058.7739456415</v>
      </c>
      <c r="J245" s="12" t="str">
        <f>IF(TOTALCO!J772="", "",TOTALCO!J772)</f>
        <v/>
      </c>
      <c r="K245" s="12" t="str">
        <f>IF(TOTALCO!K772="", "",TOTALCO!K772)</f>
        <v/>
      </c>
      <c r="L245" s="12">
        <f ca="1">IF(TOTALCO!L772="", "",TOTALCO!L772)</f>
        <v>0</v>
      </c>
      <c r="M245" s="12" t="str">
        <f>IF(TOTALCO!M772="", "",TOTALCO!M772)</f>
        <v/>
      </c>
      <c r="N245" s="12">
        <f ca="1">IF(TOTALCO!N772="", "",TOTALCO!N772)</f>
        <v>1639058.7739456415</v>
      </c>
      <c r="O245" s="12">
        <f ca="1">IF(TOTALCO!O772="", "",TOTALCO!O772)</f>
        <v>831284.80291503912</v>
      </c>
      <c r="P245" s="12">
        <f ca="1">IF(TOTALCO!P772="", "",TOTALCO!P772)</f>
        <v>807773.97103060235</v>
      </c>
      <c r="Q245" s="12"/>
      <c r="R245" s="13"/>
    </row>
    <row r="246" spans="1:18" ht="15" x14ac:dyDescent="0.2">
      <c r="A246" s="321">
        <f>IF(TOTALCO!A773="", "",TOTALCO!A773)</f>
        <v>4</v>
      </c>
      <c r="B246" s="4" t="str">
        <f>IF(TOTALCO!B773="", "",TOTALCO!B773)</f>
        <v xml:space="preserve">     TOTAL STEAM PROD PLT</v>
      </c>
      <c r="C246" s="4" t="str">
        <f>IF(TOTALCO!C773="", "",TOTALCO!C773)</f>
        <v/>
      </c>
      <c r="D246" s="12">
        <f ca="1">IF(TOTALCO!D773="", "",TOTALCO!D773)</f>
        <v>1892485173.7776029</v>
      </c>
      <c r="E246" s="12" t="str">
        <f>IF(TOTALCO!E773="", "",TOTALCO!E773)</f>
        <v/>
      </c>
      <c r="F246" s="12">
        <f ca="1">IF(TOTALCO!F773="", "",TOTALCO!F773)</f>
        <v>1765446471.6828136</v>
      </c>
      <c r="G246" s="12" t="str">
        <f>IF(TOTALCO!G773="", "",TOTALCO!G773)</f>
        <v/>
      </c>
      <c r="H246" s="12">
        <f ca="1">IF(TOTALCO!H773="", "",TOTALCO!H773)</f>
        <v>86010072.413807705</v>
      </c>
      <c r="I246" s="12">
        <f ca="1">IF(TOTALCO!I773="", "",TOTALCO!I773)</f>
        <v>41028629.680981524</v>
      </c>
      <c r="J246" s="12" t="str">
        <f>IF(TOTALCO!J773="", "",TOTALCO!J773)</f>
        <v/>
      </c>
      <c r="K246" s="12" t="str">
        <f>IF(TOTALCO!K773="", "",TOTALCO!K773)</f>
        <v/>
      </c>
      <c r="L246" s="12">
        <f ca="1">IF(TOTALCO!L773="", "",TOTALCO!L773)</f>
        <v>5617.9546100682564</v>
      </c>
      <c r="M246" s="12" t="str">
        <f>IF(TOTALCO!M773="", "",TOTALCO!M773)</f>
        <v/>
      </c>
      <c r="N246" s="12">
        <f ca="1">IF(TOTALCO!N773="", "",TOTALCO!N773)</f>
        <v>41023011.72637146</v>
      </c>
      <c r="O246" s="12">
        <f ca="1">IF(TOTALCO!O773="", "",TOTALCO!O773)</f>
        <v>20805725.066128112</v>
      </c>
      <c r="P246" s="12">
        <f ca="1">IF(TOTALCO!P773="", "",TOTALCO!P773)</f>
        <v>20217286.660243347</v>
      </c>
      <c r="Q246" s="12"/>
      <c r="R246" s="13"/>
    </row>
    <row r="247" spans="1:18" ht="15" x14ac:dyDescent="0.2">
      <c r="A247" s="321" t="str">
        <f>IF(TOTALCO!A774="", "",TOTALCO!A774)</f>
        <v/>
      </c>
      <c r="B247" s="4" t="str">
        <f>IF(TOTALCO!B774="", "",TOTALCO!B774)</f>
        <v/>
      </c>
      <c r="C247" s="4" t="str">
        <f>IF(TOTALCO!C774="", "",TOTALCO!C774)</f>
        <v/>
      </c>
      <c r="D247" s="12" t="str">
        <f>IF(TOTALCO!D774="", "",TOTALCO!D774)</f>
        <v/>
      </c>
      <c r="E247" s="12" t="str">
        <f>IF(TOTALCO!E774="", "",TOTALCO!E774)</f>
        <v/>
      </c>
      <c r="F247" s="12" t="str">
        <f>IF(TOTALCO!F774="", "",TOTALCO!F774)</f>
        <v/>
      </c>
      <c r="G247" s="12" t="str">
        <f>IF(TOTALCO!G774="", "",TOTALCO!G774)</f>
        <v/>
      </c>
      <c r="H247" s="12" t="str">
        <f>IF(TOTALCO!H774="", "",TOTALCO!H774)</f>
        <v/>
      </c>
      <c r="I247" s="12" t="str">
        <f>IF(TOTALCO!I774="", "",TOTALCO!I774)</f>
        <v/>
      </c>
      <c r="J247" s="12" t="str">
        <f>IF(TOTALCO!J774="", "",TOTALCO!J774)</f>
        <v/>
      </c>
      <c r="K247" s="12" t="str">
        <f>IF(TOTALCO!K774="", "",TOTALCO!K774)</f>
        <v/>
      </c>
      <c r="L247" s="12" t="str">
        <f>IF(TOTALCO!L774="", "",TOTALCO!L774)</f>
        <v/>
      </c>
      <c r="M247" s="12" t="str">
        <f>IF(TOTALCO!M774="", "",TOTALCO!M774)</f>
        <v/>
      </c>
      <c r="N247" s="12" t="str">
        <f>IF(TOTALCO!N774="", "",TOTALCO!N774)</f>
        <v/>
      </c>
      <c r="O247" s="12" t="str">
        <f>IF(TOTALCO!O774="", "",TOTALCO!O774)</f>
        <v/>
      </c>
      <c r="P247" s="12" t="str">
        <f>IF(TOTALCO!P774="", "",TOTALCO!P774)</f>
        <v/>
      </c>
      <c r="Q247" s="12"/>
      <c r="R247" s="13"/>
    </row>
    <row r="248" spans="1:18" ht="15" x14ac:dyDescent="0.2">
      <c r="A248" s="321" t="str">
        <f>IF(TOTALCO!A775="", "",TOTALCO!A775)</f>
        <v/>
      </c>
      <c r="B248" s="4" t="str">
        <f>IF(TOTALCO!B775="", "",TOTALCO!B775)</f>
        <v xml:space="preserve">  HYDRAULIC PRODUCTION PLANT</v>
      </c>
      <c r="C248" s="4" t="str">
        <f>IF(TOTALCO!C775="", "",TOTALCO!C775)</f>
        <v/>
      </c>
      <c r="D248" s="12" t="str">
        <f>IF(TOTALCO!D775="", "",TOTALCO!D775)</f>
        <v/>
      </c>
      <c r="E248" s="12" t="str">
        <f>IF(TOTALCO!E775="", "",TOTALCO!E775)</f>
        <v/>
      </c>
      <c r="F248" s="12" t="str">
        <f>IF(TOTALCO!F775="", "",TOTALCO!F775)</f>
        <v/>
      </c>
      <c r="G248" s="12" t="str">
        <f>IF(TOTALCO!G775="", "",TOTALCO!G775)</f>
        <v/>
      </c>
      <c r="H248" s="12" t="str">
        <f>IF(TOTALCO!H775="", "",TOTALCO!H775)</f>
        <v/>
      </c>
      <c r="I248" s="12" t="str">
        <f>IF(TOTALCO!I775="", "",TOTALCO!I775)</f>
        <v/>
      </c>
      <c r="J248" s="12" t="str">
        <f>IF(TOTALCO!J775="", "",TOTALCO!J775)</f>
        <v/>
      </c>
      <c r="K248" s="12" t="str">
        <f>IF(TOTALCO!K775="", "",TOTALCO!K775)</f>
        <v/>
      </c>
      <c r="L248" s="12" t="str">
        <f>IF(TOTALCO!L775="", "",TOTALCO!L775)</f>
        <v/>
      </c>
      <c r="M248" s="12" t="str">
        <f>IF(TOTALCO!M775="", "",TOTALCO!M775)</f>
        <v/>
      </c>
      <c r="N248" s="12" t="str">
        <f>IF(TOTALCO!N775="", "",TOTALCO!N775)</f>
        <v/>
      </c>
      <c r="O248" s="12" t="str">
        <f>IF(TOTALCO!O775="", "",TOTALCO!O775)</f>
        <v/>
      </c>
      <c r="P248" s="12" t="str">
        <f>IF(TOTALCO!P775="", "",TOTALCO!P775)</f>
        <v/>
      </c>
      <c r="Q248" s="12"/>
      <c r="R248" s="13"/>
    </row>
    <row r="249" spans="1:18" ht="15" x14ac:dyDescent="0.2">
      <c r="A249" s="321">
        <f>IF(TOTALCO!A776="", "",TOTALCO!A776)</f>
        <v>5</v>
      </c>
      <c r="B249" s="4" t="str">
        <f>IF(TOTALCO!B776="", "",TOTALCO!B776)</f>
        <v xml:space="preserve">    SYSTEM</v>
      </c>
      <c r="C249" s="4" t="str">
        <f>IF(TOTALCO!C776="", "",TOTALCO!C776)</f>
        <v>HYDSYS</v>
      </c>
      <c r="D249" s="12">
        <f ca="1">IF(TOTALCO!D776="", "",TOTALCO!D776)</f>
        <v>15260000.475758707</v>
      </c>
      <c r="E249" s="12" t="str">
        <f>IF(TOTALCO!E776="", "",TOTALCO!E776)</f>
        <v/>
      </c>
      <c r="F249" s="12">
        <f ca="1">IF(TOTALCO!F776="", "",TOTALCO!F776)</f>
        <v>14304969.075916339</v>
      </c>
      <c r="G249" s="12" t="str">
        <f>IF(TOTALCO!G776="", "",TOTALCO!G776)</f>
        <v/>
      </c>
      <c r="H249" s="12">
        <f ca="1">IF(TOTALCO!H776="", "",TOTALCO!H776)</f>
        <v>655042.13854788244</v>
      </c>
      <c r="I249" s="12">
        <f ca="1">IF(TOTALCO!I776="", "",TOTALCO!I776)</f>
        <v>299989.26129448618</v>
      </c>
      <c r="J249" s="12" t="str">
        <f>IF(TOTALCO!J776="", "",TOTALCO!J776)</f>
        <v/>
      </c>
      <c r="K249" s="12" t="str">
        <f>IF(TOTALCO!K776="", "",TOTALCO!K776)</f>
        <v/>
      </c>
      <c r="L249" s="12">
        <f ca="1">IF(TOTALCO!L776="", "",TOTALCO!L776)</f>
        <v>45.916957937716958</v>
      </c>
      <c r="M249" s="12" t="str">
        <f>IF(TOTALCO!M776="", "",TOTALCO!M776)</f>
        <v/>
      </c>
      <c r="N249" s="12">
        <f ca="1">IF(TOTALCO!N776="", "",TOTALCO!N776)</f>
        <v>299943.34433654847</v>
      </c>
      <c r="O249" s="12">
        <f ca="1">IF(TOTALCO!O776="", "",TOTALCO!O776)</f>
        <v>152122.88164765626</v>
      </c>
      <c r="P249" s="12">
        <f ca="1">IF(TOTALCO!P776="", "",TOTALCO!P776)</f>
        <v>147820.46268889218</v>
      </c>
      <c r="Q249" s="12"/>
      <c r="R249" s="13"/>
    </row>
    <row r="250" spans="1:18" ht="15" x14ac:dyDescent="0.2">
      <c r="A250" s="321">
        <f>IF(TOTALCO!A777="", "",TOTALCO!A777)</f>
        <v>6</v>
      </c>
      <c r="B250" s="4" t="str">
        <f>IF(TOTALCO!B777="", "",TOTALCO!B777)</f>
        <v xml:space="preserve">    FERC-AFUDC PRE</v>
      </c>
      <c r="C250" s="4" t="str">
        <f>IF(TOTALCO!C777="", "",TOTALCO!C777)</f>
        <v>DEMFERC</v>
      </c>
      <c r="D250" s="12">
        <f ca="1">IF(TOTALCO!D777="", "",TOTALCO!D777)</f>
        <v>3414.3333333333408</v>
      </c>
      <c r="E250" s="12" t="str">
        <f>IF(TOTALCO!E777="", "",TOTALCO!E777)</f>
        <v/>
      </c>
      <c r="F250" s="12">
        <f ca="1">IF(TOTALCO!F777="", "",TOTALCO!F777)</f>
        <v>1793.0628744292276</v>
      </c>
      <c r="G250" s="12" t="str">
        <f>IF(TOTALCO!G777="", "",TOTALCO!G777)</f>
        <v/>
      </c>
      <c r="H250" s="12">
        <f ca="1">IF(TOTALCO!H777="", "",TOTALCO!H777)</f>
        <v>1112.0592800608854</v>
      </c>
      <c r="I250" s="12">
        <f ca="1">IF(TOTALCO!I777="", "",TOTALCO!I777)</f>
        <v>509.21117884322786</v>
      </c>
      <c r="J250" s="12" t="str">
        <f>IF(TOTALCO!J777="", "",TOTALCO!J777)</f>
        <v/>
      </c>
      <c r="K250" s="12" t="str">
        <f>IF(TOTALCO!K777="", "",TOTALCO!K777)</f>
        <v/>
      </c>
      <c r="L250" s="12">
        <f ca="1">IF(TOTALCO!L777="", "",TOTALCO!L777)</f>
        <v>0</v>
      </c>
      <c r="M250" s="12" t="str">
        <f>IF(TOTALCO!M777="", "",TOTALCO!M777)</f>
        <v/>
      </c>
      <c r="N250" s="12">
        <f ca="1">IF(TOTALCO!N777="", "",TOTALCO!N777)</f>
        <v>509.21117884322786</v>
      </c>
      <c r="O250" s="12">
        <f ca="1">IF(TOTALCO!O777="", "",TOTALCO!O777)</f>
        <v>258.25767884322732</v>
      </c>
      <c r="P250" s="12">
        <f ca="1">IF(TOTALCO!P777="", "",TOTALCO!P777)</f>
        <v>250.95350000000053</v>
      </c>
      <c r="Q250" s="12"/>
      <c r="R250" s="13"/>
    </row>
    <row r="251" spans="1:18" ht="15" x14ac:dyDescent="0.2">
      <c r="A251" s="321">
        <f>IF(TOTALCO!A778="", "",TOTALCO!A778)</f>
        <v>7</v>
      </c>
      <c r="B251" s="4" t="str">
        <f>IF(TOTALCO!B778="", "",TOTALCO!B778)</f>
        <v xml:space="preserve">    FERC-AFUDC POST</v>
      </c>
      <c r="C251" s="4" t="str">
        <f>IF(TOTALCO!C778="", "",TOTALCO!C778)</f>
        <v>DEMFERCP</v>
      </c>
      <c r="D251" s="12">
        <f ca="1">IF(TOTALCO!D778="", "",TOTALCO!D778)</f>
        <v>21448.5</v>
      </c>
      <c r="E251" s="12" t="str">
        <f>IF(TOTALCO!E778="", "",TOTALCO!E778)</f>
        <v/>
      </c>
      <c r="F251" s="12">
        <f ca="1">IF(TOTALCO!F778="", "",TOTALCO!F778)</f>
        <v>16704.574769250565</v>
      </c>
      <c r="G251" s="12" t="str">
        <f>IF(TOTALCO!G778="", "",TOTALCO!G778)</f>
        <v/>
      </c>
      <c r="H251" s="12">
        <f ca="1">IF(TOTALCO!H778="", "",TOTALCO!H778)</f>
        <v>0</v>
      </c>
      <c r="I251" s="12">
        <f ca="1">IF(TOTALCO!I778="", "",TOTALCO!I778)</f>
        <v>4743.9252307494371</v>
      </c>
      <c r="J251" s="12" t="str">
        <f>IF(TOTALCO!J778="", "",TOTALCO!J778)</f>
        <v/>
      </c>
      <c r="K251" s="12" t="str">
        <f>IF(TOTALCO!K778="", "",TOTALCO!K778)</f>
        <v/>
      </c>
      <c r="L251" s="12">
        <f ca="1">IF(TOTALCO!L778="", "",TOTALCO!L778)</f>
        <v>0</v>
      </c>
      <c r="M251" s="12" t="str">
        <f>IF(TOTALCO!M778="", "",TOTALCO!M778)</f>
        <v/>
      </c>
      <c r="N251" s="12">
        <f ca="1">IF(TOTALCO!N778="", "",TOTALCO!N778)</f>
        <v>4743.9252307494371</v>
      </c>
      <c r="O251" s="12">
        <f ca="1">IF(TOTALCO!O778="", "",TOTALCO!O778)</f>
        <v>2405.9862972418418</v>
      </c>
      <c r="P251" s="12">
        <f ca="1">IF(TOTALCO!P778="", "",TOTALCO!P778)</f>
        <v>2337.9389335075948</v>
      </c>
      <c r="Q251" s="12"/>
      <c r="R251" s="13"/>
    </row>
    <row r="252" spans="1:18" ht="15" x14ac:dyDescent="0.2">
      <c r="A252" s="321">
        <f>IF(TOTALCO!A779="", "",TOTALCO!A779)</f>
        <v>8</v>
      </c>
      <c r="B252" s="4" t="str">
        <f>IF(TOTALCO!B779="", "",TOTALCO!B779)</f>
        <v xml:space="preserve">     TOTAL HYDRO PROD PLT</v>
      </c>
      <c r="C252" s="4" t="str">
        <f>IF(TOTALCO!C779="", "",TOTALCO!C779)</f>
        <v/>
      </c>
      <c r="D252" s="12">
        <f ca="1">IF(TOTALCO!D779="", "",TOTALCO!D779)</f>
        <v>15284863.309092041</v>
      </c>
      <c r="E252" s="12" t="str">
        <f>IF(TOTALCO!E779="", "",TOTALCO!E779)</f>
        <v/>
      </c>
      <c r="F252" s="12">
        <f ca="1">IF(TOTALCO!F779="", "",TOTALCO!F779)</f>
        <v>14323466.713560019</v>
      </c>
      <c r="G252" s="12" t="str">
        <f>IF(TOTALCO!G779="", "",TOTALCO!G779)</f>
        <v/>
      </c>
      <c r="H252" s="12">
        <f ca="1">IF(TOTALCO!H779="", "",TOTALCO!H779)</f>
        <v>656154.19782794337</v>
      </c>
      <c r="I252" s="12">
        <f ca="1">IF(TOTALCO!I779="", "",TOTALCO!I779)</f>
        <v>305242.39770407882</v>
      </c>
      <c r="J252" s="12" t="str">
        <f>IF(TOTALCO!J779="", "",TOTALCO!J779)</f>
        <v/>
      </c>
      <c r="K252" s="12" t="str">
        <f>IF(TOTALCO!K779="", "",TOTALCO!K779)</f>
        <v/>
      </c>
      <c r="L252" s="12">
        <f ca="1">IF(TOTALCO!L779="", "",TOTALCO!L779)</f>
        <v>45.916957937716958</v>
      </c>
      <c r="M252" s="12" t="str">
        <f>IF(TOTALCO!M779="", "",TOTALCO!M779)</f>
        <v/>
      </c>
      <c r="N252" s="12">
        <f ca="1">IF(TOTALCO!N779="", "",TOTALCO!N779)</f>
        <v>305196.48074614111</v>
      </c>
      <c r="O252" s="12">
        <f ca="1">IF(TOTALCO!O779="", "",TOTALCO!O779)</f>
        <v>154787.12562374133</v>
      </c>
      <c r="P252" s="12">
        <f ca="1">IF(TOTALCO!P779="", "",TOTALCO!P779)</f>
        <v>150409.35512239978</v>
      </c>
      <c r="Q252" s="12"/>
      <c r="R252" s="13"/>
    </row>
    <row r="253" spans="1:18" ht="15" x14ac:dyDescent="0.2">
      <c r="A253" s="321" t="str">
        <f>IF(TOTALCO!A780="", "",TOTALCO!A780)</f>
        <v/>
      </c>
      <c r="B253" s="4" t="str">
        <f>IF(TOTALCO!B780="", "",TOTALCO!B780)</f>
        <v/>
      </c>
      <c r="C253" s="4" t="str">
        <f>IF(TOTALCO!C780="", "",TOTALCO!C780)</f>
        <v/>
      </c>
      <c r="D253" s="12" t="str">
        <f>IF(TOTALCO!D780="", "",TOTALCO!D780)</f>
        <v/>
      </c>
      <c r="E253" s="12" t="str">
        <f>IF(TOTALCO!E780="", "",TOTALCO!E780)</f>
        <v/>
      </c>
      <c r="F253" s="12" t="str">
        <f>IF(TOTALCO!F780="", "",TOTALCO!F780)</f>
        <v/>
      </c>
      <c r="G253" s="12" t="str">
        <f>IF(TOTALCO!G780="", "",TOTALCO!G780)</f>
        <v/>
      </c>
      <c r="H253" s="12" t="str">
        <f>IF(TOTALCO!H780="", "",TOTALCO!H780)</f>
        <v/>
      </c>
      <c r="I253" s="12" t="str">
        <f>IF(TOTALCO!I780="", "",TOTALCO!I780)</f>
        <v/>
      </c>
      <c r="J253" s="12" t="str">
        <f>IF(TOTALCO!J780="", "",TOTALCO!J780)</f>
        <v/>
      </c>
      <c r="K253" s="12" t="str">
        <f>IF(TOTALCO!K780="", "",TOTALCO!K780)</f>
        <v/>
      </c>
      <c r="L253" s="12" t="str">
        <f>IF(TOTALCO!L780="", "",TOTALCO!L780)</f>
        <v/>
      </c>
      <c r="M253" s="12" t="str">
        <f>IF(TOTALCO!M780="", "",TOTALCO!M780)</f>
        <v/>
      </c>
      <c r="N253" s="12" t="str">
        <f>IF(TOTALCO!N780="", "",TOTALCO!N780)</f>
        <v/>
      </c>
      <c r="O253" s="12" t="str">
        <f>IF(TOTALCO!O780="", "",TOTALCO!O780)</f>
        <v/>
      </c>
      <c r="P253" s="12" t="str">
        <f>IF(TOTALCO!P780="", "",TOTALCO!P780)</f>
        <v/>
      </c>
      <c r="Q253" s="12"/>
      <c r="R253" s="13"/>
    </row>
    <row r="254" spans="1:18" ht="15" x14ac:dyDescent="0.2">
      <c r="A254" s="321" t="str">
        <f>IF(TOTALCO!A781="", "",TOTALCO!A781)</f>
        <v/>
      </c>
      <c r="B254" s="4" t="str">
        <f>IF(TOTALCO!B781="", "",TOTALCO!B781)</f>
        <v xml:space="preserve">  OTHER PRODUCTION PLANT</v>
      </c>
      <c r="C254" s="4" t="str">
        <f>IF(TOTALCO!C781="", "",TOTALCO!C781)</f>
        <v/>
      </c>
      <c r="D254" s="12" t="str">
        <f>IF(TOTALCO!D781="", "",TOTALCO!D781)</f>
        <v/>
      </c>
      <c r="E254" s="12" t="str">
        <f>IF(TOTALCO!E781="", "",TOTALCO!E781)</f>
        <v/>
      </c>
      <c r="F254" s="12" t="str">
        <f>IF(TOTALCO!F781="", "",TOTALCO!F781)</f>
        <v/>
      </c>
      <c r="G254" s="12" t="str">
        <f>IF(TOTALCO!G781="", "",TOTALCO!G781)</f>
        <v/>
      </c>
      <c r="H254" s="12" t="str">
        <f>IF(TOTALCO!H781="", "",TOTALCO!H781)</f>
        <v/>
      </c>
      <c r="I254" s="12" t="str">
        <f>IF(TOTALCO!I781="", "",TOTALCO!I781)</f>
        <v/>
      </c>
      <c r="J254" s="12" t="str">
        <f>IF(TOTALCO!J781="", "",TOTALCO!J781)</f>
        <v/>
      </c>
      <c r="K254" s="12" t="str">
        <f>IF(TOTALCO!K781="", "",TOTALCO!K781)</f>
        <v/>
      </c>
      <c r="L254" s="12" t="str">
        <f>IF(TOTALCO!L781="", "",TOTALCO!L781)</f>
        <v/>
      </c>
      <c r="M254" s="12" t="str">
        <f>IF(TOTALCO!M781="", "",TOTALCO!M781)</f>
        <v/>
      </c>
      <c r="N254" s="12" t="str">
        <f>IF(TOTALCO!N781="", "",TOTALCO!N781)</f>
        <v/>
      </c>
      <c r="O254" s="12" t="str">
        <f>IF(TOTALCO!O781="", "",TOTALCO!O781)</f>
        <v/>
      </c>
      <c r="P254" s="12" t="str">
        <f>IF(TOTALCO!P781="", "",TOTALCO!P781)</f>
        <v/>
      </c>
      <c r="Q254" s="12"/>
      <c r="R254" s="13"/>
    </row>
    <row r="255" spans="1:18" ht="15" x14ac:dyDescent="0.2">
      <c r="A255" s="321">
        <f>IF(TOTALCO!A782="", "",TOTALCO!A782)</f>
        <v>9</v>
      </c>
      <c r="B255" s="4" t="str">
        <f>IF(TOTALCO!B782="", "",TOTALCO!B782)</f>
        <v xml:space="preserve">    SYSTEM</v>
      </c>
      <c r="C255" s="4" t="str">
        <f>IF(TOTALCO!C782="", "",TOTALCO!C782)</f>
        <v>OTHSYS</v>
      </c>
      <c r="D255" s="12">
        <f ca="1">IF(TOTALCO!D782="", "",TOTALCO!D782)</f>
        <v>380214296.52636313</v>
      </c>
      <c r="E255" s="12" t="str">
        <f>IF(TOTALCO!E782="", "",TOTALCO!E782)</f>
        <v/>
      </c>
      <c r="F255" s="12">
        <f ca="1">IF(TOTALCO!F782="", "",TOTALCO!F782)</f>
        <v>356418976.70127636</v>
      </c>
      <c r="G255" s="12" t="str">
        <f>IF(TOTALCO!G782="", "",TOTALCO!G782)</f>
        <v/>
      </c>
      <c r="H255" s="12">
        <f ca="1">IF(TOTALCO!H782="", "",TOTALCO!H782)</f>
        <v>16320863.573939359</v>
      </c>
      <c r="I255" s="12">
        <f ca="1">IF(TOTALCO!I782="", "",TOTALCO!I782)</f>
        <v>7474456.2511473615</v>
      </c>
      <c r="J255" s="12" t="str">
        <f>IF(TOTALCO!J782="", "",TOTALCO!J782)</f>
        <v/>
      </c>
      <c r="K255" s="12" t="str">
        <f>IF(TOTALCO!K782="", "",TOTALCO!K782)</f>
        <v/>
      </c>
      <c r="L255" s="12">
        <f ca="1">IF(TOTALCO!L782="", "",TOTALCO!L782)</f>
        <v>1144.0552632126737</v>
      </c>
      <c r="M255" s="12" t="str">
        <f>IF(TOTALCO!M782="", "",TOTALCO!M782)</f>
        <v/>
      </c>
      <c r="N255" s="12">
        <f ca="1">IF(TOTALCO!N782="", "",TOTALCO!N782)</f>
        <v>7473312.1958841486</v>
      </c>
      <c r="O255" s="12">
        <f ca="1">IF(TOTALCO!O782="", "",TOTALCO!O782)</f>
        <v>3790255.0870235879</v>
      </c>
      <c r="P255" s="12">
        <f ca="1">IF(TOTALCO!P782="", "",TOTALCO!P782)</f>
        <v>3683057.1088605607</v>
      </c>
      <c r="Q255" s="12"/>
      <c r="R255" s="13"/>
    </row>
    <row r="256" spans="1:18" ht="15" x14ac:dyDescent="0.2">
      <c r="A256" s="321">
        <f>IF(TOTALCO!A783="", "",TOTALCO!A783)</f>
        <v>10</v>
      </c>
      <c r="B256" s="4" t="str">
        <f>IF(TOTALCO!B783="", "",TOTALCO!B783)</f>
        <v xml:space="preserve">    FERC-AFUDC PRE</v>
      </c>
      <c r="C256" s="4" t="str">
        <f>IF(TOTALCO!C783="", "",TOTALCO!C783)</f>
        <v>DEMFERC</v>
      </c>
      <c r="D256" s="12">
        <f ca="1">IF(TOTALCO!D783="", "",TOTALCO!D783)</f>
        <v>1842.1566666666668</v>
      </c>
      <c r="E256" s="12" t="str">
        <f>IF(TOTALCO!E783="", "",TOTALCO!E783)</f>
        <v/>
      </c>
      <c r="F256" s="12">
        <f ca="1">IF(TOTALCO!F783="", "",TOTALCO!F783)</f>
        <v>967.42245276255721</v>
      </c>
      <c r="G256" s="12" t="str">
        <f>IF(TOTALCO!G783="", "",TOTALCO!G783)</f>
        <v/>
      </c>
      <c r="H256" s="12">
        <f ca="1">IF(TOTALCO!H783="", "",TOTALCO!H783)</f>
        <v>599.9963145053274</v>
      </c>
      <c r="I256" s="12">
        <f ca="1">IF(TOTALCO!I783="", "",TOTALCO!I783)</f>
        <v>274.73789939878236</v>
      </c>
      <c r="J256" s="12" t="str">
        <f>IF(TOTALCO!J783="", "",TOTALCO!J783)</f>
        <v/>
      </c>
      <c r="K256" s="12" t="str">
        <f>IF(TOTALCO!K783="", "",TOTALCO!K783)</f>
        <v/>
      </c>
      <c r="L256" s="12">
        <f ca="1">IF(TOTALCO!L783="", "",TOTALCO!L783)</f>
        <v>0</v>
      </c>
      <c r="M256" s="12" t="str">
        <f>IF(TOTALCO!M783="", "",TOTALCO!M783)</f>
        <v/>
      </c>
      <c r="N256" s="12">
        <f ca="1">IF(TOTALCO!N783="", "",TOTALCO!N783)</f>
        <v>274.73789939878236</v>
      </c>
      <c r="O256" s="12">
        <f ca="1">IF(TOTALCO!O783="", "",TOTALCO!O783)</f>
        <v>139.33938439878236</v>
      </c>
      <c r="P256" s="12">
        <f ca="1">IF(TOTALCO!P783="", "",TOTALCO!P783)</f>
        <v>135.398515</v>
      </c>
      <c r="Q256" s="12"/>
      <c r="R256" s="13"/>
    </row>
    <row r="257" spans="1:18" ht="15" x14ac:dyDescent="0.2">
      <c r="A257" s="321">
        <f>IF(TOTALCO!A784="", "",TOTALCO!A784)</f>
        <v>11</v>
      </c>
      <c r="B257" s="4" t="str">
        <f>IF(TOTALCO!B784="", "",TOTALCO!B784)</f>
        <v xml:space="preserve">    FERC-AFUDC POST</v>
      </c>
      <c r="C257" s="4" t="str">
        <f>IF(TOTALCO!C784="", "",TOTALCO!C784)</f>
        <v>DEMFERCP</v>
      </c>
      <c r="D257" s="12">
        <f ca="1">IF(TOTALCO!D784="", "",TOTALCO!D784)</f>
        <v>1868599.35</v>
      </c>
      <c r="E257" s="12" t="str">
        <f>IF(TOTALCO!E784="", "",TOTALCO!E784)</f>
        <v/>
      </c>
      <c r="F257" s="12">
        <f ca="1">IF(TOTALCO!F784="", "",TOTALCO!F784)</f>
        <v>1455307.2501968904</v>
      </c>
      <c r="G257" s="12" t="str">
        <f>IF(TOTALCO!G784="", "",TOTALCO!G784)</f>
        <v/>
      </c>
      <c r="H257" s="12">
        <f ca="1">IF(TOTALCO!H784="", "",TOTALCO!H784)</f>
        <v>0</v>
      </c>
      <c r="I257" s="12">
        <f ca="1">IF(TOTALCO!I784="", "",TOTALCO!I784)</f>
        <v>413292.09980310965</v>
      </c>
      <c r="J257" s="12" t="str">
        <f>IF(TOTALCO!J784="", "",TOTALCO!J784)</f>
        <v/>
      </c>
      <c r="K257" s="12" t="str">
        <f>IF(TOTALCO!K784="", "",TOTALCO!K784)</f>
        <v/>
      </c>
      <c r="L257" s="12">
        <f ca="1">IF(TOTALCO!L784="", "",TOTALCO!L784)</f>
        <v>0</v>
      </c>
      <c r="M257" s="12" t="str">
        <f>IF(TOTALCO!M784="", "",TOTALCO!M784)</f>
        <v/>
      </c>
      <c r="N257" s="12">
        <f ca="1">IF(TOTALCO!N784="", "",TOTALCO!N784)</f>
        <v>413292.09980310965</v>
      </c>
      <c r="O257" s="12">
        <f ca="1">IF(TOTALCO!O784="", "",TOTALCO!O784)</f>
        <v>209610.20263118693</v>
      </c>
      <c r="P257" s="12">
        <f ca="1">IF(TOTALCO!P784="", "",TOTALCO!P784)</f>
        <v>203681.89717192273</v>
      </c>
      <c r="Q257" s="12"/>
      <c r="R257" s="13"/>
    </row>
    <row r="258" spans="1:18" ht="15" x14ac:dyDescent="0.2">
      <c r="A258" s="321">
        <f>IF(TOTALCO!A785="", "",TOTALCO!A785)</f>
        <v>12</v>
      </c>
      <c r="B258" s="4" t="str">
        <f>IF(TOTALCO!B785="", "",TOTALCO!B785)</f>
        <v xml:space="preserve">     TOTAL OTHER PROD PLT</v>
      </c>
      <c r="C258" s="4" t="str">
        <f>IF(TOTALCO!C785="", "",TOTALCO!C785)</f>
        <v/>
      </c>
      <c r="D258" s="12">
        <f ca="1">IF(TOTALCO!D785="", "",TOTALCO!D785)</f>
        <v>382084738.03302968</v>
      </c>
      <c r="E258" s="12" t="str">
        <f>IF(TOTALCO!E785="", "",TOTALCO!E785)</f>
        <v/>
      </c>
      <c r="F258" s="12">
        <f ca="1">IF(TOTALCO!F785="", "",TOTALCO!F785)</f>
        <v>357875251.37392598</v>
      </c>
      <c r="G258" s="12" t="str">
        <f>IF(TOTALCO!G785="", "",TOTALCO!G785)</f>
        <v/>
      </c>
      <c r="H258" s="12">
        <f ca="1">IF(TOTALCO!H785="", "",TOTALCO!H785)</f>
        <v>16321463.570253864</v>
      </c>
      <c r="I258" s="12">
        <f ca="1">IF(TOTALCO!I785="", "",TOTALCO!I785)</f>
        <v>7888023.0888498705</v>
      </c>
      <c r="J258" s="12" t="str">
        <f>IF(TOTALCO!J785="", "",TOTALCO!J785)</f>
        <v/>
      </c>
      <c r="K258" s="12" t="str">
        <f>IF(TOTALCO!K785="", "",TOTALCO!K785)</f>
        <v/>
      </c>
      <c r="L258" s="12">
        <f ca="1">IF(TOTALCO!L785="", "",TOTALCO!L785)</f>
        <v>1144.0552632126737</v>
      </c>
      <c r="M258" s="12" t="str">
        <f>IF(TOTALCO!M785="", "",TOTALCO!M785)</f>
        <v/>
      </c>
      <c r="N258" s="12">
        <f ca="1">IF(TOTALCO!N785="", "",TOTALCO!N785)</f>
        <v>7886879.0335866576</v>
      </c>
      <c r="O258" s="12">
        <f ca="1">IF(TOTALCO!O785="", "",TOTALCO!O785)</f>
        <v>4000004.6290391739</v>
      </c>
      <c r="P258" s="12">
        <f ca="1">IF(TOTALCO!P785="", "",TOTALCO!P785)</f>
        <v>3886874.4045474837</v>
      </c>
      <c r="Q258" s="12"/>
      <c r="R258" s="13"/>
    </row>
    <row r="259" spans="1:18" ht="15" x14ac:dyDescent="0.2">
      <c r="A259" s="321" t="str">
        <f>IF(TOTALCO!A786="", "",TOTALCO!A786)</f>
        <v/>
      </c>
      <c r="B259" s="4" t="str">
        <f>IF(TOTALCO!B786="", "",TOTALCO!B786)</f>
        <v/>
      </c>
      <c r="C259" s="4" t="str">
        <f>IF(TOTALCO!C786="", "",TOTALCO!C786)</f>
        <v/>
      </c>
      <c r="D259" s="12" t="str">
        <f>IF(TOTALCO!D786="", "",TOTALCO!D786)</f>
        <v/>
      </c>
      <c r="E259" s="12" t="str">
        <f>IF(TOTALCO!E786="", "",TOTALCO!E786)</f>
        <v/>
      </c>
      <c r="F259" s="12" t="str">
        <f>IF(TOTALCO!F786="", "",TOTALCO!F786)</f>
        <v/>
      </c>
      <c r="G259" s="12" t="str">
        <f>IF(TOTALCO!G786="", "",TOTALCO!G786)</f>
        <v/>
      </c>
      <c r="H259" s="12" t="str">
        <f>IF(TOTALCO!H786="", "",TOTALCO!H786)</f>
        <v/>
      </c>
      <c r="I259" s="12" t="str">
        <f>IF(TOTALCO!I786="", "",TOTALCO!I786)</f>
        <v/>
      </c>
      <c r="J259" s="12" t="str">
        <f>IF(TOTALCO!J786="", "",TOTALCO!J786)</f>
        <v/>
      </c>
      <c r="K259" s="12" t="str">
        <f>IF(TOTALCO!K786="", "",TOTALCO!K786)</f>
        <v/>
      </c>
      <c r="L259" s="12" t="str">
        <f>IF(TOTALCO!L786="", "",TOTALCO!L786)</f>
        <v/>
      </c>
      <c r="M259" s="12" t="str">
        <f>IF(TOTALCO!M786="", "",TOTALCO!M786)</f>
        <v/>
      </c>
      <c r="N259" s="12" t="str">
        <f>IF(TOTALCO!N786="", "",TOTALCO!N786)</f>
        <v/>
      </c>
      <c r="O259" s="12" t="str">
        <f>IF(TOTALCO!O786="", "",TOTALCO!O786)</f>
        <v/>
      </c>
      <c r="P259" s="12" t="str">
        <f>IF(TOTALCO!P786="", "",TOTALCO!P786)</f>
        <v/>
      </c>
      <c r="Q259" s="12"/>
      <c r="R259" s="13"/>
    </row>
    <row r="260" spans="1:18" ht="15" x14ac:dyDescent="0.2">
      <c r="A260" s="321">
        <f>IF(TOTALCO!A787="", "",TOTALCO!A787)</f>
        <v>13</v>
      </c>
      <c r="B260" s="4" t="str">
        <f>IF(TOTALCO!B787="", "",TOTALCO!B787)</f>
        <v xml:space="preserve"> TOTAL PRODUCTION PLANT</v>
      </c>
      <c r="C260" s="4" t="str">
        <f>IF(TOTALCO!C787="", "",TOTALCO!C787)</f>
        <v/>
      </c>
      <c r="D260" s="12">
        <f ca="1">IF(TOTALCO!D787="", "",TOTALCO!D787)</f>
        <v>2289854775.1197243</v>
      </c>
      <c r="E260" s="12" t="str">
        <f>IF(TOTALCO!E787="", "",TOTALCO!E787)</f>
        <v/>
      </c>
      <c r="F260" s="12">
        <f ca="1">IF(TOTALCO!F787="", "",TOTALCO!F787)</f>
        <v>2137645189.7702997</v>
      </c>
      <c r="G260" s="12" t="str">
        <f>IF(TOTALCO!G787="", "",TOTALCO!G787)</f>
        <v/>
      </c>
      <c r="H260" s="12">
        <f ca="1">IF(TOTALCO!H787="", "",TOTALCO!H787)</f>
        <v>102987690.18188952</v>
      </c>
      <c r="I260" s="12">
        <f ca="1">IF(TOTALCO!I787="", "",TOTALCO!I787)</f>
        <v>49221895.167535469</v>
      </c>
      <c r="J260" s="12" t="str">
        <f>IF(TOTALCO!J787="", "",TOTALCO!J787)</f>
        <v/>
      </c>
      <c r="K260" s="12" t="str">
        <f>IF(TOTALCO!K787="", "",TOTALCO!K787)</f>
        <v/>
      </c>
      <c r="L260" s="12">
        <f ca="1">IF(TOTALCO!L787="", "",TOTALCO!L787)</f>
        <v>6807.9268312186468</v>
      </c>
      <c r="M260" s="12" t="str">
        <f>IF(TOTALCO!M787="", "",TOTALCO!M787)</f>
        <v/>
      </c>
      <c r="N260" s="12">
        <f ca="1">IF(TOTALCO!N787="", "",TOTALCO!N787)</f>
        <v>49215087.240704253</v>
      </c>
      <c r="O260" s="12">
        <f ca="1">IF(TOTALCO!O787="", "",TOTALCO!O787)</f>
        <v>24960516.820791028</v>
      </c>
      <c r="P260" s="12">
        <f ca="1">IF(TOTALCO!P787="", "",TOTALCO!P787)</f>
        <v>24254570.419913229</v>
      </c>
      <c r="Q260" s="12"/>
      <c r="R260" s="13"/>
    </row>
    <row r="261" spans="1:18" ht="15" x14ac:dyDescent="0.2">
      <c r="A261" s="321" t="str">
        <f>IF(TOTALCO!A788="", "",TOTALCO!A788)</f>
        <v/>
      </c>
      <c r="B261" s="4" t="str">
        <f>IF(TOTALCO!B788="", "",TOTALCO!B788)</f>
        <v/>
      </c>
      <c r="C261" s="4" t="str">
        <f>IF(TOTALCO!C788="", "",TOTALCO!C788)</f>
        <v/>
      </c>
      <c r="D261" s="12" t="str">
        <f>IF(TOTALCO!D788="", "",TOTALCO!D788)</f>
        <v/>
      </c>
      <c r="E261" s="12" t="str">
        <f>IF(TOTALCO!E788="", "",TOTALCO!E788)</f>
        <v/>
      </c>
      <c r="F261" s="12" t="str">
        <f>IF(TOTALCO!F788="", "",TOTALCO!F788)</f>
        <v/>
      </c>
      <c r="G261" s="12" t="str">
        <f>IF(TOTALCO!G788="", "",TOTALCO!G788)</f>
        <v/>
      </c>
      <c r="H261" s="12" t="str">
        <f>IF(TOTALCO!H788="", "",TOTALCO!H788)</f>
        <v/>
      </c>
      <c r="I261" s="12" t="str">
        <f>IF(TOTALCO!I788="", "",TOTALCO!I788)</f>
        <v/>
      </c>
      <c r="J261" s="12" t="str">
        <f>IF(TOTALCO!J788="", "",TOTALCO!J788)</f>
        <v/>
      </c>
      <c r="K261" s="12" t="str">
        <f>IF(TOTALCO!K788="", "",TOTALCO!K788)</f>
        <v/>
      </c>
      <c r="L261" s="12" t="str">
        <f>IF(TOTALCO!L788="", "",TOTALCO!L788)</f>
        <v/>
      </c>
      <c r="M261" s="12" t="str">
        <f>IF(TOTALCO!M788="", "",TOTALCO!M788)</f>
        <v/>
      </c>
      <c r="N261" s="12" t="str">
        <f>IF(TOTALCO!N788="", "",TOTALCO!N788)</f>
        <v/>
      </c>
      <c r="O261" s="12" t="str">
        <f>IF(TOTALCO!O788="", "",TOTALCO!O788)</f>
        <v/>
      </c>
      <c r="P261" s="12" t="str">
        <f>IF(TOTALCO!P788="", "",TOTALCO!P788)</f>
        <v/>
      </c>
      <c r="Q261" s="12"/>
      <c r="R261" s="13"/>
    </row>
    <row r="262" spans="1:18" ht="15" x14ac:dyDescent="0.2">
      <c r="A262" s="321" t="str">
        <f>IF(TOTALCO!A789="", "",TOTALCO!A789)</f>
        <v/>
      </c>
      <c r="B262" s="4" t="str">
        <f>IF(TOTALCO!B789="", "",TOTALCO!B789)</f>
        <v xml:space="preserve"> TRANSMISSION PLANT</v>
      </c>
      <c r="C262" s="4" t="str">
        <f>IF(TOTALCO!C789="", "",TOTALCO!C789)</f>
        <v/>
      </c>
      <c r="D262" s="12" t="str">
        <f>IF(TOTALCO!D789="", "",TOTALCO!D789)</f>
        <v/>
      </c>
      <c r="E262" s="12" t="str">
        <f>IF(TOTALCO!E789="", "",TOTALCO!E789)</f>
        <v/>
      </c>
      <c r="F262" s="12" t="str">
        <f>IF(TOTALCO!F789="", "",TOTALCO!F789)</f>
        <v/>
      </c>
      <c r="G262" s="12" t="str">
        <f>IF(TOTALCO!G789="", "",TOTALCO!G789)</f>
        <v/>
      </c>
      <c r="H262" s="12" t="str">
        <f>IF(TOTALCO!H789="", "",TOTALCO!H789)</f>
        <v/>
      </c>
      <c r="I262" s="12" t="str">
        <f>IF(TOTALCO!I789="", "",TOTALCO!I789)</f>
        <v/>
      </c>
      <c r="J262" s="12" t="str">
        <f>IF(TOTALCO!J789="", "",TOTALCO!J789)</f>
        <v/>
      </c>
      <c r="K262" s="12" t="str">
        <f>IF(TOTALCO!K789="", "",TOTALCO!K789)</f>
        <v/>
      </c>
      <c r="L262" s="12" t="str">
        <f>IF(TOTALCO!L789="", "",TOTALCO!L789)</f>
        <v/>
      </c>
      <c r="M262" s="12" t="str">
        <f>IF(TOTALCO!M789="", "",TOTALCO!M789)</f>
        <v/>
      </c>
      <c r="N262" s="12" t="str">
        <f>IF(TOTALCO!N789="", "",TOTALCO!N789)</f>
        <v/>
      </c>
      <c r="O262" s="12" t="str">
        <f>IF(TOTALCO!O789="", "",TOTALCO!O789)</f>
        <v/>
      </c>
      <c r="P262" s="12" t="str">
        <f>IF(TOTALCO!P789="", "",TOTALCO!P789)</f>
        <v/>
      </c>
      <c r="Q262" s="12"/>
      <c r="R262" s="13"/>
    </row>
    <row r="263" spans="1:18" ht="15" x14ac:dyDescent="0.2">
      <c r="A263" s="321">
        <f>IF(TOTALCO!A790="", "",TOTALCO!A790)</f>
        <v>14</v>
      </c>
      <c r="B263" s="4" t="str">
        <f>IF(TOTALCO!B790="", "",TOTALCO!B790)</f>
        <v xml:space="preserve">  KENTUCKY SYSTEM PROPERTY</v>
      </c>
      <c r="C263" s="4" t="str">
        <f>IF(TOTALCO!C790="", "",TOTALCO!C790)</f>
        <v>KYTRPLTXF</v>
      </c>
      <c r="D263" s="12">
        <f ca="1">IF(TOTALCO!D790="", "",TOTALCO!D790)</f>
        <v>329107718.52566779</v>
      </c>
      <c r="E263" s="12" t="str">
        <f>IF(TOTALCO!E790="", "",TOTALCO!E790)</f>
        <v/>
      </c>
      <c r="F263" s="12">
        <f ca="1">IF(TOTALCO!F790="", "",TOTALCO!F790)</f>
        <v>314461733.02908176</v>
      </c>
      <c r="G263" s="12" t="str">
        <f>IF(TOTALCO!G790="", "",TOTALCO!G790)</f>
        <v/>
      </c>
      <c r="H263" s="12">
        <f ca="1">IF(TOTALCO!H790="", "",TOTALCO!H790)</f>
        <v>14644978.669403752</v>
      </c>
      <c r="I263" s="12">
        <f ca="1">IF(TOTALCO!I790="", "",TOTALCO!I790)</f>
        <v>1006.8271822872298</v>
      </c>
      <c r="J263" s="12" t="str">
        <f>IF(TOTALCO!J790="", "",TOTALCO!J790)</f>
        <v/>
      </c>
      <c r="K263" s="12" t="str">
        <f>IF(TOTALCO!K790="", "",TOTALCO!K790)</f>
        <v/>
      </c>
      <c r="L263" s="12">
        <f ca="1">IF(TOTALCO!L790="", "",TOTALCO!L790)</f>
        <v>1006.8271822872298</v>
      </c>
      <c r="M263" s="12" t="str">
        <f>IF(TOTALCO!M790="", "",TOTALCO!M790)</f>
        <v/>
      </c>
      <c r="N263" s="12">
        <f ca="1">IF(TOTALCO!N790="", "",TOTALCO!N790)</f>
        <v>0</v>
      </c>
      <c r="O263" s="12">
        <f ca="1">IF(TOTALCO!O790="", "",TOTALCO!O790)</f>
        <v>0</v>
      </c>
      <c r="P263" s="12">
        <f ca="1">IF(TOTALCO!P790="", "",TOTALCO!P790)</f>
        <v>0</v>
      </c>
      <c r="Q263" s="12"/>
      <c r="R263" s="13"/>
    </row>
    <row r="264" spans="1:18" ht="15" x14ac:dyDescent="0.2">
      <c r="A264" s="321">
        <f>IF(TOTALCO!A791="", "",TOTALCO!A791)</f>
        <v>15</v>
      </c>
      <c r="B264" s="4" t="str">
        <f>IF(TOTALCO!B791="", "",TOTALCO!B791)</f>
        <v xml:space="preserve">  VIRGINIA PROPERTY</v>
      </c>
      <c r="C264" s="4" t="str">
        <f>IF(TOTALCO!C791="", "",TOTALCO!C791)</f>
        <v>TRPLTVA</v>
      </c>
      <c r="D264" s="12">
        <f ca="1">IF(TOTALCO!D791="", "",TOTALCO!D791)</f>
        <v>32678753.999470506</v>
      </c>
      <c r="E264" s="12" t="str">
        <f>IF(TOTALCO!E791="", "",TOTALCO!E791)</f>
        <v/>
      </c>
      <c r="F264" s="12">
        <f ca="1">IF(TOTALCO!F791="", "",TOTALCO!F791)</f>
        <v>3960028.2556748395</v>
      </c>
      <c r="G264" s="12" t="str">
        <f>IF(TOTALCO!G791="", "",TOTALCO!G791)</f>
        <v/>
      </c>
      <c r="H264" s="12">
        <f ca="1">IF(TOTALCO!H791="", "",TOTALCO!H791)</f>
        <v>28718713.032656629</v>
      </c>
      <c r="I264" s="12">
        <f ca="1">IF(TOTALCO!I791="", "",TOTALCO!I791)</f>
        <v>12.711139037282019</v>
      </c>
      <c r="J264" s="12" t="str">
        <f>IF(TOTALCO!J791="", "",TOTALCO!J791)</f>
        <v/>
      </c>
      <c r="K264" s="12" t="str">
        <f>IF(TOTALCO!K791="", "",TOTALCO!K791)</f>
        <v/>
      </c>
      <c r="L264" s="12">
        <f ca="1">IF(TOTALCO!L791="", "",TOTALCO!L791)</f>
        <v>12.711139037282019</v>
      </c>
      <c r="M264" s="12" t="str">
        <f>IF(TOTALCO!M791="", "",TOTALCO!M791)</f>
        <v/>
      </c>
      <c r="N264" s="12">
        <f ca="1">IF(TOTALCO!N791="", "",TOTALCO!N791)</f>
        <v>0</v>
      </c>
      <c r="O264" s="12">
        <f ca="1">IF(TOTALCO!O791="", "",TOTALCO!O791)</f>
        <v>0</v>
      </c>
      <c r="P264" s="12">
        <f ca="1">IF(TOTALCO!P791="", "",TOTALCO!P791)</f>
        <v>0</v>
      </c>
      <c r="Q264" s="12"/>
      <c r="R264" s="13"/>
    </row>
    <row r="265" spans="1:18" ht="15" x14ac:dyDescent="0.2">
      <c r="A265" s="321">
        <f>IF(TOTALCO!A792="", "",TOTALCO!A792)</f>
        <v>16</v>
      </c>
      <c r="B265" s="4" t="str">
        <f>IF(TOTALCO!B792="", "",TOTALCO!B792)</f>
        <v xml:space="preserve">  FERC-AFUDC PRE</v>
      </c>
      <c r="C265" s="4" t="str">
        <f>IF(TOTALCO!C792="", "",TOTALCO!C792)</f>
        <v>DEMFERC</v>
      </c>
      <c r="D265" s="12">
        <f ca="1">IF(TOTALCO!D792="", "",TOTALCO!D792)</f>
        <v>2703657.0133333327</v>
      </c>
      <c r="E265" s="12" t="str">
        <f>IF(TOTALCO!E792="", "",TOTALCO!E792)</f>
        <v/>
      </c>
      <c r="F265" s="12">
        <f ca="1">IF(TOTALCO!F792="", "",TOTALCO!F792)</f>
        <v>1419845.8505705935</v>
      </c>
      <c r="G265" s="12" t="str">
        <f>IF(TOTALCO!G792="", "",TOTALCO!G792)</f>
        <v/>
      </c>
      <c r="H265" s="12">
        <f ca="1">IF(TOTALCO!H792="", "",TOTALCO!H792)</f>
        <v>880589.73106873664</v>
      </c>
      <c r="I265" s="12">
        <f ca="1">IF(TOTALCO!I792="", "",TOTALCO!I792)</f>
        <v>403221.431694003</v>
      </c>
      <c r="J265" s="12" t="str">
        <f>IF(TOTALCO!J792="", "",TOTALCO!J792)</f>
        <v/>
      </c>
      <c r="K265" s="12" t="str">
        <f>IF(TOTALCO!K792="", "",TOTALCO!K792)</f>
        <v/>
      </c>
      <c r="L265" s="12">
        <f ca="1">IF(TOTALCO!L792="", "",TOTALCO!L792)</f>
        <v>0</v>
      </c>
      <c r="M265" s="12" t="str">
        <f>IF(TOTALCO!M792="", "",TOTALCO!M792)</f>
        <v/>
      </c>
      <c r="N265" s="12">
        <f ca="1">IF(TOTALCO!N792="", "",TOTALCO!N792)</f>
        <v>403221.431694003</v>
      </c>
      <c r="O265" s="12">
        <f ca="1">IF(TOTALCO!O792="", "",TOTALCO!O792)</f>
        <v>204502.64121400303</v>
      </c>
      <c r="P265" s="12">
        <f ca="1">IF(TOTALCO!P792="", "",TOTALCO!P792)</f>
        <v>198718.79047999997</v>
      </c>
      <c r="Q265" s="12"/>
      <c r="R265" s="13"/>
    </row>
    <row r="266" spans="1:18" ht="15" x14ac:dyDescent="0.2">
      <c r="A266" s="321">
        <f>IF(TOTALCO!A793="", "",TOTALCO!A793)</f>
        <v>17</v>
      </c>
      <c r="B266" s="4" t="str">
        <f>IF(TOTALCO!B793="", "",TOTALCO!B793)</f>
        <v xml:space="preserve">  FERC-AFUDC POST</v>
      </c>
      <c r="C266" s="4" t="str">
        <f>IF(TOTALCO!C793="", "",TOTALCO!C793)</f>
        <v>DEMFERCP</v>
      </c>
      <c r="D266" s="12">
        <f ca="1">IF(TOTALCO!D793="", "",TOTALCO!D793)</f>
        <v>355111.563333333</v>
      </c>
      <c r="E266" s="12" t="str">
        <f>IF(TOTALCO!E793="", "",TOTALCO!E793)</f>
        <v/>
      </c>
      <c r="F266" s="12">
        <f ca="1">IF(TOTALCO!F793="", "",TOTALCO!F793)</f>
        <v>276568.88179253176</v>
      </c>
      <c r="G266" s="12" t="str">
        <f>IF(TOTALCO!G793="", "",TOTALCO!G793)</f>
        <v/>
      </c>
      <c r="H266" s="12">
        <f ca="1">IF(TOTALCO!H793="", "",TOTALCO!H793)</f>
        <v>0</v>
      </c>
      <c r="I266" s="12">
        <f ca="1">IF(TOTALCO!I793="", "",TOTALCO!I793)</f>
        <v>78542.681540801219</v>
      </c>
      <c r="J266" s="12" t="str">
        <f>IF(TOTALCO!J793="", "",TOTALCO!J793)</f>
        <v/>
      </c>
      <c r="K266" s="12" t="str">
        <f>IF(TOTALCO!K793="", "",TOTALCO!K793)</f>
        <v/>
      </c>
      <c r="L266" s="12">
        <f ca="1">IF(TOTALCO!L793="", "",TOTALCO!L793)</f>
        <v>0</v>
      </c>
      <c r="M266" s="12" t="str">
        <f>IF(TOTALCO!M793="", "",TOTALCO!M793)</f>
        <v/>
      </c>
      <c r="N266" s="12">
        <f ca="1">IF(TOTALCO!N793="", "",TOTALCO!N793)</f>
        <v>78542.681540801219</v>
      </c>
      <c r="O266" s="12">
        <f ca="1">IF(TOTALCO!O793="", "",TOTALCO!O793)</f>
        <v>39834.653023387538</v>
      </c>
      <c r="P266" s="12">
        <f ca="1">IF(TOTALCO!P793="", "",TOTALCO!P793)</f>
        <v>38708.028517413673</v>
      </c>
      <c r="Q266" s="12"/>
      <c r="R266" s="13"/>
    </row>
    <row r="267" spans="1:18" ht="15" x14ac:dyDescent="0.2">
      <c r="A267" s="321">
        <f>IF(TOTALCO!A794="", "",TOTALCO!A794)</f>
        <v>18</v>
      </c>
      <c r="B267" s="4" t="str">
        <f>IF(TOTALCO!B794="", "",TOTALCO!B794)</f>
        <v xml:space="preserve"> TOTAL TRANSMISSION PLANT</v>
      </c>
      <c r="C267" s="4" t="str">
        <f>IF(TOTALCO!C794="", "",TOTALCO!C794)</f>
        <v/>
      </c>
      <c r="D267" s="12">
        <f ca="1">IF(TOTALCO!D794="", "",TOTALCO!D794)</f>
        <v>364845241.10180503</v>
      </c>
      <c r="E267" s="12" t="str">
        <f>IF(TOTALCO!E794="", "",TOTALCO!E794)</f>
        <v/>
      </c>
      <c r="F267" s="12">
        <f ca="1">IF(TOTALCO!F794="", "",TOTALCO!F794)</f>
        <v>320118176.01711977</v>
      </c>
      <c r="G267" s="12" t="str">
        <f>IF(TOTALCO!G794="", "",TOTALCO!G794)</f>
        <v/>
      </c>
      <c r="H267" s="12">
        <f ca="1">IF(TOTALCO!H794="", "",TOTALCO!H794)</f>
        <v>44244281.433129117</v>
      </c>
      <c r="I267" s="12">
        <f ca="1">IF(TOTALCO!I794="", "",TOTALCO!I794)</f>
        <v>482783.65155612875</v>
      </c>
      <c r="J267" s="12" t="str">
        <f>IF(TOTALCO!J794="", "",TOTALCO!J794)</f>
        <v/>
      </c>
      <c r="K267" s="12" t="str">
        <f>IF(TOTALCO!K794="", "",TOTALCO!K794)</f>
        <v/>
      </c>
      <c r="L267" s="12">
        <f ca="1">IF(TOTALCO!L794="", "",TOTALCO!L794)</f>
        <v>1019.5383213245118</v>
      </c>
      <c r="M267" s="12" t="str">
        <f>IF(TOTALCO!M794="", "",TOTALCO!M794)</f>
        <v/>
      </c>
      <c r="N267" s="12">
        <f ca="1">IF(TOTALCO!N794="", "",TOTALCO!N794)</f>
        <v>481764.11323480424</v>
      </c>
      <c r="O267" s="12">
        <f ca="1">IF(TOTALCO!O794="", "",TOTALCO!O794)</f>
        <v>244337.29423739057</v>
      </c>
      <c r="P267" s="12">
        <f ca="1">IF(TOTALCO!P794="", "",TOTALCO!P794)</f>
        <v>237426.81899741365</v>
      </c>
      <c r="Q267" s="12"/>
      <c r="R267" s="13"/>
    </row>
    <row r="268" spans="1:18" ht="15" x14ac:dyDescent="0.2">
      <c r="A268" s="321" t="str">
        <f>IF(TOTALCO!A795="", "",TOTALCO!A795)</f>
        <v/>
      </c>
      <c r="B268" s="4" t="str">
        <f>IF(TOTALCO!B795="", "",TOTALCO!B795)</f>
        <v/>
      </c>
      <c r="C268" s="4" t="str">
        <f>IF(TOTALCO!C795="", "",TOTALCO!C795)</f>
        <v/>
      </c>
      <c r="D268" s="12" t="str">
        <f>IF(TOTALCO!D795="", "",TOTALCO!D795)</f>
        <v/>
      </c>
      <c r="E268" s="12" t="str">
        <f>IF(TOTALCO!E795="", "",TOTALCO!E795)</f>
        <v/>
      </c>
      <c r="F268" s="12" t="str">
        <f>IF(TOTALCO!F795="", "",TOTALCO!F795)</f>
        <v/>
      </c>
      <c r="G268" s="12" t="str">
        <f>IF(TOTALCO!G795="", "",TOTALCO!G795)</f>
        <v/>
      </c>
      <c r="H268" s="12" t="str">
        <f>IF(TOTALCO!H795="", "",TOTALCO!H795)</f>
        <v/>
      </c>
      <c r="I268" s="12" t="str">
        <f>IF(TOTALCO!I795="", "",TOTALCO!I795)</f>
        <v/>
      </c>
      <c r="J268" s="12" t="str">
        <f>IF(TOTALCO!J795="", "",TOTALCO!J795)</f>
        <v/>
      </c>
      <c r="K268" s="12" t="str">
        <f>IF(TOTALCO!K795="", "",TOTALCO!K795)</f>
        <v/>
      </c>
      <c r="L268" s="12" t="str">
        <f>IF(TOTALCO!L795="", "",TOTALCO!L795)</f>
        <v/>
      </c>
      <c r="M268" s="12" t="str">
        <f>IF(TOTALCO!M795="", "",TOTALCO!M795)</f>
        <v/>
      </c>
      <c r="N268" s="12" t="str">
        <f>IF(TOTALCO!N795="", "",TOTALCO!N795)</f>
        <v/>
      </c>
      <c r="O268" s="12" t="str">
        <f>IF(TOTALCO!O795="", "",TOTALCO!O795)</f>
        <v/>
      </c>
      <c r="P268" s="12" t="str">
        <f>IF(TOTALCO!P795="", "",TOTALCO!P795)</f>
        <v/>
      </c>
      <c r="Q268" s="12"/>
      <c r="R268" s="13"/>
    </row>
    <row r="269" spans="1:18" ht="15" x14ac:dyDescent="0.2">
      <c r="A269" s="321">
        <f>IF(TOTALCO!A796="", "",TOTALCO!A796)</f>
        <v>19</v>
      </c>
      <c r="B269" s="4" t="str">
        <f>IF(TOTALCO!B796="", "",TOTALCO!B796)</f>
        <v xml:space="preserve"> DISTRIBUTION PLANT-VA &amp; TN </v>
      </c>
      <c r="C269" s="4" t="str">
        <f>IF(TOTALCO!C796="", "",TOTALCO!C796)</f>
        <v>DIRACDEP</v>
      </c>
      <c r="D269" s="12">
        <f ca="1">IF(TOTALCO!D796="", "",TOTALCO!D796)</f>
        <v>42397904.754276715</v>
      </c>
      <c r="E269" s="12" t="str">
        <f>IF(TOTALCO!E796="", "",TOTALCO!E796)</f>
        <v/>
      </c>
      <c r="F269" s="12">
        <f ca="1">IF(TOTALCO!F796="", "",TOTALCO!F796)</f>
        <v>0</v>
      </c>
      <c r="G269" s="12" t="str">
        <f>IF(TOTALCO!G796="", "",TOTALCO!G796)</f>
        <v/>
      </c>
      <c r="H269" s="12">
        <f ca="1">IF(TOTALCO!H796="", "",TOTALCO!H796)</f>
        <v>42243614.96949438</v>
      </c>
      <c r="I269" s="12">
        <f ca="1">IF(TOTALCO!I796="", "",TOTALCO!I796)</f>
        <v>154289.7847823358</v>
      </c>
      <c r="J269" s="12" t="str">
        <f>IF(TOTALCO!J796="", "",TOTALCO!J796)</f>
        <v/>
      </c>
      <c r="K269" s="12" t="str">
        <f>IF(TOTALCO!K796="", "",TOTALCO!K796)</f>
        <v/>
      </c>
      <c r="L269" s="12">
        <f ca="1">IF(TOTALCO!L796="", "",TOTALCO!L796)</f>
        <v>154289.7847823358</v>
      </c>
      <c r="M269" s="12" t="str">
        <f>IF(TOTALCO!M796="", "",TOTALCO!M796)</f>
        <v/>
      </c>
      <c r="N269" s="12">
        <f ca="1">IF(TOTALCO!N796="", "",TOTALCO!N796)</f>
        <v>0</v>
      </c>
      <c r="O269" s="12">
        <f ca="1">IF(TOTALCO!O796="", "",TOTALCO!O796)</f>
        <v>0</v>
      </c>
      <c r="P269" s="12">
        <f ca="1">IF(TOTALCO!P796="", "",TOTALCO!P796)</f>
        <v>0</v>
      </c>
      <c r="Q269" s="12"/>
      <c r="R269" s="13"/>
    </row>
    <row r="270" spans="1:18" ht="15" x14ac:dyDescent="0.2">
      <c r="A270" s="321">
        <f>IF(TOTALCO!A797="", "",TOTALCO!A797)</f>
        <v>20</v>
      </c>
      <c r="B270" s="4" t="str">
        <f>IF(TOTALCO!B797="", "",TOTALCO!B797)</f>
        <v xml:space="preserve"> DISTRIBUTION PLANT-KY &amp; FERC</v>
      </c>
      <c r="C270" s="4" t="str">
        <f>IF(TOTALCO!C797="", "",TOTALCO!C797)</f>
        <v>DISTPLTKF</v>
      </c>
      <c r="D270" s="12">
        <f ca="1">IF(TOTALCO!D797="", "",TOTALCO!D797)</f>
        <v>680156847.46387565</v>
      </c>
      <c r="E270" s="12" t="str">
        <f>IF(TOTALCO!E797="", "",TOTALCO!E797)</f>
        <v/>
      </c>
      <c r="F270" s="12">
        <f ca="1">IF(TOTALCO!F797="", "",TOTALCO!F797)</f>
        <v>678863825.37544072</v>
      </c>
      <c r="G270" s="12" t="str">
        <f>IF(TOTALCO!G797="", "",TOTALCO!G797)</f>
        <v/>
      </c>
      <c r="H270" s="12">
        <f ca="1">IF(TOTALCO!H797="", "",TOTALCO!H797)</f>
        <v>0</v>
      </c>
      <c r="I270" s="12">
        <f ca="1">IF(TOTALCO!I797="", "",TOTALCO!I797)</f>
        <v>1293022.0884349325</v>
      </c>
      <c r="J270" s="12" t="str">
        <f>IF(TOTALCO!J797="", "",TOTALCO!J797)</f>
        <v/>
      </c>
      <c r="K270" s="12" t="str">
        <f>IF(TOTALCO!K797="", "",TOTALCO!K797)</f>
        <v/>
      </c>
      <c r="L270" s="12">
        <f ca="1">IF(TOTALCO!L797="", "",TOTALCO!L797)</f>
        <v>0</v>
      </c>
      <c r="M270" s="12" t="str">
        <f>IF(TOTALCO!M797="", "",TOTALCO!M797)</f>
        <v/>
      </c>
      <c r="N270" s="12">
        <f ca="1">IF(TOTALCO!N797="", "",TOTALCO!N797)</f>
        <v>1293022.0884349325</v>
      </c>
      <c r="O270" s="12">
        <f ca="1">IF(TOTALCO!O797="", "",TOTALCO!O797)</f>
        <v>1283548.5255260181</v>
      </c>
      <c r="P270" s="12">
        <f ca="1">IF(TOTALCO!P797="", "",TOTALCO!P797)</f>
        <v>9473.5629089143695</v>
      </c>
      <c r="Q270" s="12"/>
      <c r="R270" s="13"/>
    </row>
    <row r="271" spans="1:18" ht="15" x14ac:dyDescent="0.2">
      <c r="A271" s="321">
        <f>IF(TOTALCO!A798="", "",TOTALCO!A798)</f>
        <v>21</v>
      </c>
      <c r="B271" s="4" t="str">
        <f>IF(TOTALCO!B798="", "",TOTALCO!B798)</f>
        <v xml:space="preserve"> TOTAL DISTRIBUTION PLANT</v>
      </c>
      <c r="C271" s="4" t="str">
        <f>IF(TOTALCO!C798="", "",TOTALCO!C798)</f>
        <v/>
      </c>
      <c r="D271" s="12">
        <f ca="1">IF(TOTALCO!D798="", "",TOTALCO!D798)</f>
        <v>722554752.21815228</v>
      </c>
      <c r="E271" s="12" t="str">
        <f>IF(TOTALCO!E798="", "",TOTALCO!E798)</f>
        <v/>
      </c>
      <c r="F271" s="12">
        <f ca="1">IF(TOTALCO!F798="", "",TOTALCO!F798)</f>
        <v>678863825.37544072</v>
      </c>
      <c r="G271" s="12" t="str">
        <f>IF(TOTALCO!G798="", "",TOTALCO!G798)</f>
        <v/>
      </c>
      <c r="H271" s="12">
        <f ca="1">IF(TOTALCO!H798="", "",TOTALCO!H798)</f>
        <v>42243614.96949438</v>
      </c>
      <c r="I271" s="12">
        <f ca="1">IF(TOTALCO!I798="", "",TOTALCO!I798)</f>
        <v>1447311.8732172684</v>
      </c>
      <c r="J271" s="12" t="str">
        <f>IF(TOTALCO!J798="", "",TOTALCO!J798)</f>
        <v/>
      </c>
      <c r="K271" s="12" t="str">
        <f>IF(TOTALCO!K798="", "",TOTALCO!K798)</f>
        <v/>
      </c>
      <c r="L271" s="12">
        <f ca="1">IF(TOTALCO!L798="", "",TOTALCO!L798)</f>
        <v>154289.7847823358</v>
      </c>
      <c r="M271" s="12" t="str">
        <f>IF(TOTALCO!M798="", "",TOTALCO!M798)</f>
        <v/>
      </c>
      <c r="N271" s="12">
        <f ca="1">IF(TOTALCO!N798="", "",TOTALCO!N798)</f>
        <v>1293022.0884349325</v>
      </c>
      <c r="O271" s="12">
        <f ca="1">IF(TOTALCO!O798="", "",TOTALCO!O798)</f>
        <v>1283548.5255260181</v>
      </c>
      <c r="P271" s="12">
        <f ca="1">IF(TOTALCO!P798="", "",TOTALCO!P798)</f>
        <v>9473.5629089143695</v>
      </c>
      <c r="Q271" s="12"/>
      <c r="R271" s="13"/>
    </row>
    <row r="272" spans="1:18" ht="15" x14ac:dyDescent="0.2">
      <c r="A272" s="321" t="str">
        <f>IF(TOTALCO!A799="", "",TOTALCO!A799)</f>
        <v/>
      </c>
      <c r="B272" s="4" t="str">
        <f>IF(TOTALCO!B799="", "",TOTALCO!B799)</f>
        <v/>
      </c>
      <c r="C272" s="4" t="str">
        <f>IF(TOTALCO!C799="", "",TOTALCO!C799)</f>
        <v/>
      </c>
      <c r="D272" s="12" t="str">
        <f>IF(TOTALCO!D799="", "",TOTALCO!D799)</f>
        <v/>
      </c>
      <c r="E272" s="12" t="str">
        <f>IF(TOTALCO!E799="", "",TOTALCO!E799)</f>
        <v/>
      </c>
      <c r="F272" s="12" t="str">
        <f>IF(TOTALCO!F799="", "",TOTALCO!F799)</f>
        <v/>
      </c>
      <c r="G272" s="12" t="str">
        <f>IF(TOTALCO!G799="", "",TOTALCO!G799)</f>
        <v/>
      </c>
      <c r="H272" s="12" t="str">
        <f>IF(TOTALCO!H799="", "",TOTALCO!H799)</f>
        <v/>
      </c>
      <c r="I272" s="12" t="str">
        <f>IF(TOTALCO!I799="", "",TOTALCO!I799)</f>
        <v/>
      </c>
      <c r="J272" s="12" t="str">
        <f>IF(TOTALCO!J799="", "",TOTALCO!J799)</f>
        <v/>
      </c>
      <c r="K272" s="12" t="str">
        <f>IF(TOTALCO!K799="", "",TOTALCO!K799)</f>
        <v/>
      </c>
      <c r="L272" s="12" t="str">
        <f>IF(TOTALCO!L799="", "",TOTALCO!L799)</f>
        <v/>
      </c>
      <c r="M272" s="12" t="str">
        <f>IF(TOTALCO!M799="", "",TOTALCO!M799)</f>
        <v/>
      </c>
      <c r="N272" s="12" t="str">
        <f>IF(TOTALCO!N799="", "",TOTALCO!N799)</f>
        <v/>
      </c>
      <c r="O272" s="12" t="str">
        <f>IF(TOTALCO!O799="", "",TOTALCO!O799)</f>
        <v/>
      </c>
      <c r="P272" s="12" t="str">
        <f>IF(TOTALCO!P799="", "",TOTALCO!P799)</f>
        <v/>
      </c>
      <c r="Q272" s="12"/>
      <c r="R272" s="13"/>
    </row>
    <row r="273" spans="1:18" ht="15" x14ac:dyDescent="0.2">
      <c r="A273" s="321">
        <f>IF(TOTALCO!A800="", "",TOTALCO!A800)</f>
        <v>22</v>
      </c>
      <c r="B273" s="4" t="str">
        <f>IF(TOTALCO!B800="", "",TOTALCO!B800)</f>
        <v xml:space="preserve"> GENERAL PLANT</v>
      </c>
      <c r="C273" s="4" t="str">
        <f>IF(TOTALCO!C800="", "",TOTALCO!C800)</f>
        <v>GENPLT</v>
      </c>
      <c r="D273" s="12">
        <f ca="1">IF(TOTALCO!D800="", "",TOTALCO!D800)</f>
        <v>79133477.833015531</v>
      </c>
      <c r="E273" s="12" t="str">
        <f>IF(TOTALCO!E800="", "",TOTALCO!E800)</f>
        <v/>
      </c>
      <c r="F273" s="12">
        <f ca="1">IF(TOTALCO!F800="", "",TOTALCO!F800)</f>
        <v>74603608.896106705</v>
      </c>
      <c r="G273" s="12" t="str">
        <f>IF(TOTALCO!G800="", "",TOTALCO!G800)</f>
        <v/>
      </c>
      <c r="H273" s="12">
        <f ca="1">IF(TOTALCO!H800="", "",TOTALCO!H800)</f>
        <v>3615367.3364402824</v>
      </c>
      <c r="I273" s="12">
        <f ca="1">IF(TOTALCO!I800="", "",TOTALCO!I800)</f>
        <v>914501.60046853987</v>
      </c>
      <c r="J273" s="12" t="str">
        <f>IF(TOTALCO!J800="", "",TOTALCO!J800)</f>
        <v/>
      </c>
      <c r="K273" s="12" t="str">
        <f>IF(TOTALCO!K800="", "",TOTALCO!K800)</f>
        <v/>
      </c>
      <c r="L273" s="12">
        <f ca="1">IF(TOTALCO!L800="", "",TOTALCO!L800)</f>
        <v>5145.1212032739541</v>
      </c>
      <c r="M273" s="12" t="str">
        <f>IF(TOTALCO!M800="", "",TOTALCO!M800)</f>
        <v/>
      </c>
      <c r="N273" s="12">
        <f ca="1">IF(TOTALCO!N800="", "",TOTALCO!N800)</f>
        <v>909356.47926526587</v>
      </c>
      <c r="O273" s="12">
        <f ca="1">IF(TOTALCO!O800="", "",TOTALCO!O800)</f>
        <v>474029.08347409707</v>
      </c>
      <c r="P273" s="12">
        <f ca="1">IF(TOTALCO!P800="", "",TOTALCO!P800)</f>
        <v>435327.39579116879</v>
      </c>
      <c r="Q273" s="12"/>
      <c r="R273" s="13"/>
    </row>
    <row r="274" spans="1:18" ht="15" x14ac:dyDescent="0.2">
      <c r="A274" s="321" t="str">
        <f>IF(TOTALCO!A801="", "",TOTALCO!A801)</f>
        <v/>
      </c>
      <c r="B274" s="4" t="str">
        <f>IF(TOTALCO!B801="", "",TOTALCO!B801)</f>
        <v/>
      </c>
      <c r="C274" s="4" t="str">
        <f>IF(TOTALCO!C801="", "",TOTALCO!C801)</f>
        <v/>
      </c>
      <c r="D274" s="12" t="str">
        <f>IF(TOTALCO!D801="", "",TOTALCO!D801)</f>
        <v/>
      </c>
      <c r="E274" s="12" t="str">
        <f>IF(TOTALCO!E801="", "",TOTALCO!E801)</f>
        <v/>
      </c>
      <c r="F274" s="12" t="str">
        <f>IF(TOTALCO!F801="", "",TOTALCO!F801)</f>
        <v/>
      </c>
      <c r="G274" s="12" t="str">
        <f>IF(TOTALCO!G801="", "",TOTALCO!G801)</f>
        <v/>
      </c>
      <c r="H274" s="12" t="str">
        <f>IF(TOTALCO!H801="", "",TOTALCO!H801)</f>
        <v/>
      </c>
      <c r="I274" s="12" t="str">
        <f>IF(TOTALCO!I801="", "",TOTALCO!I801)</f>
        <v/>
      </c>
      <c r="J274" s="12" t="str">
        <f>IF(TOTALCO!J801="", "",TOTALCO!J801)</f>
        <v/>
      </c>
      <c r="K274" s="12" t="str">
        <f>IF(TOTALCO!K801="", "",TOTALCO!K801)</f>
        <v/>
      </c>
      <c r="L274" s="12" t="str">
        <f>IF(TOTALCO!L801="", "",TOTALCO!L801)</f>
        <v/>
      </c>
      <c r="M274" s="12" t="str">
        <f>IF(TOTALCO!M801="", "",TOTALCO!M801)</f>
        <v/>
      </c>
      <c r="N274" s="12" t="str">
        <f>IF(TOTALCO!N801="", "",TOTALCO!N801)</f>
        <v/>
      </c>
      <c r="O274" s="12" t="str">
        <f>IF(TOTALCO!O801="", "",TOTALCO!O801)</f>
        <v/>
      </c>
      <c r="P274" s="12" t="str">
        <f>IF(TOTALCO!P801="", "",TOTALCO!P801)</f>
        <v/>
      </c>
      <c r="Q274" s="12"/>
      <c r="R274" s="13"/>
    </row>
    <row r="275" spans="1:18" ht="15" x14ac:dyDescent="0.2">
      <c r="A275" s="321">
        <f>IF(TOTALCO!A802="", "",TOTALCO!A802)</f>
        <v>23</v>
      </c>
      <c r="B275" s="4" t="str">
        <f>IF(TOTALCO!B802="", "",TOTALCO!B802)</f>
        <v xml:space="preserve"> INTANGIBLE PLANT-FRANCHISES</v>
      </c>
      <c r="C275" s="4" t="str">
        <f>IF(TOTALCO!C802="", "",TOTALCO!C802)</f>
        <v>PLT302TOT</v>
      </c>
      <c r="D275" s="12">
        <f ca="1">IF(TOTALCO!D802="", "",TOTALCO!D802)</f>
        <v>73066.841372800001</v>
      </c>
      <c r="E275" s="12" t="str">
        <f>IF(TOTALCO!E802="", "",TOTALCO!E802)</f>
        <v/>
      </c>
      <c r="F275" s="12">
        <f ca="1">IF(TOTALCO!F802="", "",TOTALCO!F802)</f>
        <v>73066.841372800001</v>
      </c>
      <c r="G275" s="12" t="str">
        <f>IF(TOTALCO!G802="", "",TOTALCO!G802)</f>
        <v/>
      </c>
      <c r="H275" s="12">
        <f ca="1">IF(TOTALCO!H802="", "",TOTALCO!H802)</f>
        <v>0</v>
      </c>
      <c r="I275" s="12">
        <f ca="1">IF(TOTALCO!I802="", "",TOTALCO!I802)</f>
        <v>0</v>
      </c>
      <c r="J275" s="12" t="str">
        <f>IF(TOTALCO!J802="", "",TOTALCO!J802)</f>
        <v/>
      </c>
      <c r="K275" s="12" t="str">
        <f>IF(TOTALCO!K802="", "",TOTALCO!K802)</f>
        <v/>
      </c>
      <c r="L275" s="12">
        <f ca="1">IF(TOTALCO!L802="", "",TOTALCO!L802)</f>
        <v>0</v>
      </c>
      <c r="M275" s="12" t="str">
        <f>IF(TOTALCO!M802="", "",TOTALCO!M802)</f>
        <v/>
      </c>
      <c r="N275" s="12">
        <f ca="1">IF(TOTALCO!N802="", "",TOTALCO!N802)</f>
        <v>0</v>
      </c>
      <c r="O275" s="12">
        <f ca="1">IF(TOTALCO!O802="", "",TOTALCO!O802)</f>
        <v>0</v>
      </c>
      <c r="P275" s="12">
        <f ca="1">IF(TOTALCO!P802="", "",TOTALCO!P802)</f>
        <v>0</v>
      </c>
      <c r="Q275" s="12"/>
      <c r="R275" s="13"/>
    </row>
    <row r="276" spans="1:18" ht="15" x14ac:dyDescent="0.2">
      <c r="A276" s="321">
        <f>IF(TOTALCO!A803="", "",TOTALCO!A803)</f>
        <v>24</v>
      </c>
      <c r="B276" s="4" t="str">
        <f>IF(TOTALCO!B803="", "",TOTALCO!B803)</f>
        <v xml:space="preserve"> INTANGIBLE PLANT-SOFTWARE</v>
      </c>
      <c r="C276" s="4" t="str">
        <f>IF(TOTALCO!C803="", "",TOTALCO!C803)</f>
        <v>PLT303TOT</v>
      </c>
      <c r="D276" s="12">
        <f ca="1">IF(TOTALCO!D803="", "",TOTALCO!D803)</f>
        <v>40303567.928576879</v>
      </c>
      <c r="E276" s="12" t="str">
        <f>IF(TOTALCO!E803="", "",TOTALCO!E803)</f>
        <v/>
      </c>
      <c r="F276" s="12">
        <f ca="1">IF(TOTALCO!F803="", "",TOTALCO!F803)</f>
        <v>37682785.156059064</v>
      </c>
      <c r="G276" s="12" t="str">
        <f>IF(TOTALCO!G803="", "",TOTALCO!G803)</f>
        <v/>
      </c>
      <c r="H276" s="12">
        <f ca="1">IF(TOTALCO!H803="", "",TOTALCO!H803)</f>
        <v>2034369.3737292434</v>
      </c>
      <c r="I276" s="12">
        <f ca="1">IF(TOTALCO!I803="", "",TOTALCO!I803)</f>
        <v>586413.39878857229</v>
      </c>
      <c r="J276" s="12" t="str">
        <f>IF(TOTALCO!J803="", "",TOTALCO!J803)</f>
        <v/>
      </c>
      <c r="K276" s="12" t="str">
        <f>IF(TOTALCO!K803="", "",TOTALCO!K803)</f>
        <v/>
      </c>
      <c r="L276" s="12">
        <f ca="1">IF(TOTALCO!L803="", "",TOTALCO!L803)</f>
        <v>2769.7975996234727</v>
      </c>
      <c r="M276" s="12" t="str">
        <f>IF(TOTALCO!M803="", "",TOTALCO!M803)</f>
        <v/>
      </c>
      <c r="N276" s="12">
        <f ca="1">IF(TOTALCO!N803="", "",TOTALCO!N803)</f>
        <v>583643.60118894884</v>
      </c>
      <c r="O276" s="12">
        <f ca="1">IF(TOTALCO!O803="", "",TOTALCO!O803)</f>
        <v>303353.36973339954</v>
      </c>
      <c r="P276" s="12">
        <f ca="1">IF(TOTALCO!P803="", "",TOTALCO!P803)</f>
        <v>280290.23145554925</v>
      </c>
      <c r="Q276" s="12"/>
      <c r="R276" s="13"/>
    </row>
    <row r="277" spans="1:18" ht="15" x14ac:dyDescent="0.2">
      <c r="A277" s="321" t="str">
        <f>IF(TOTALCO!A804="", "",TOTALCO!A804)</f>
        <v/>
      </c>
      <c r="B277" s="4" t="str">
        <f>IF(TOTALCO!B804="", "",TOTALCO!B804)</f>
        <v/>
      </c>
      <c r="C277" s="4" t="str">
        <f>IF(TOTALCO!C804="", "",TOTALCO!C804)</f>
        <v/>
      </c>
      <c r="D277" s="12" t="str">
        <f>IF(TOTALCO!D804="", "",TOTALCO!D804)</f>
        <v/>
      </c>
      <c r="E277" s="12" t="str">
        <f>IF(TOTALCO!E804="", "",TOTALCO!E804)</f>
        <v/>
      </c>
      <c r="F277" s="12" t="str">
        <f>IF(TOTALCO!F804="", "",TOTALCO!F804)</f>
        <v/>
      </c>
      <c r="G277" s="12" t="str">
        <f>IF(TOTALCO!G804="", "",TOTALCO!G804)</f>
        <v/>
      </c>
      <c r="H277" s="12" t="str">
        <f>IF(TOTALCO!H804="", "",TOTALCO!H804)</f>
        <v/>
      </c>
      <c r="I277" s="12" t="str">
        <f>IF(TOTALCO!I804="", "",TOTALCO!I804)</f>
        <v/>
      </c>
      <c r="J277" s="12" t="str">
        <f>IF(TOTALCO!J804="", "",TOTALCO!J804)</f>
        <v/>
      </c>
      <c r="K277" s="12" t="str">
        <f>IF(TOTALCO!K804="", "",TOTALCO!K804)</f>
        <v/>
      </c>
      <c r="L277" s="12" t="str">
        <f>IF(TOTALCO!L804="", "",TOTALCO!L804)</f>
        <v/>
      </c>
      <c r="M277" s="12" t="str">
        <f>IF(TOTALCO!M804="", "",TOTALCO!M804)</f>
        <v/>
      </c>
      <c r="N277" s="12" t="str">
        <f>IF(TOTALCO!N804="", "",TOTALCO!N804)</f>
        <v/>
      </c>
      <c r="O277" s="12" t="str">
        <f>IF(TOTALCO!O804="", "",TOTALCO!O804)</f>
        <v/>
      </c>
      <c r="P277" s="12" t="str">
        <f>IF(TOTALCO!P804="", "",TOTALCO!P804)</f>
        <v/>
      </c>
      <c r="Q277" s="12"/>
      <c r="R277" s="13"/>
    </row>
    <row r="278" spans="1:18" ht="15" x14ac:dyDescent="0.2">
      <c r="A278" s="321">
        <f>IF(TOTALCO!A805="", "",TOTALCO!A805)</f>
        <v>25</v>
      </c>
      <c r="B278" s="4" t="str">
        <f>IF(TOTALCO!B805="", "",TOTALCO!B805)</f>
        <v>TOTAL DEPRECIATION RESERVE</v>
      </c>
      <c r="C278" s="4" t="str">
        <f>IF(TOTALCO!C805="", "",TOTALCO!C805)</f>
        <v/>
      </c>
      <c r="D278" s="12">
        <f ca="1">IF(TOTALCO!D805="", "",TOTALCO!D805)</f>
        <v>3496764881.0426474</v>
      </c>
      <c r="E278" s="12" t="str">
        <f>IF(TOTALCO!E805="", "",TOTALCO!E805)</f>
        <v/>
      </c>
      <c r="F278" s="12">
        <f ca="1">IF(TOTALCO!F805="", "",TOTALCO!F805)</f>
        <v>3248986652.0563989</v>
      </c>
      <c r="G278" s="12" t="str">
        <f>IF(TOTALCO!G805="", "",TOTALCO!G805)</f>
        <v/>
      </c>
      <c r="H278" s="12">
        <f ca="1">IF(TOTALCO!H805="", "",TOTALCO!H805)</f>
        <v>195125323.29468253</v>
      </c>
      <c r="I278" s="12">
        <f ca="1">IF(TOTALCO!I805="", "",TOTALCO!I805)</f>
        <v>52652905.691565983</v>
      </c>
      <c r="J278" s="12" t="str">
        <f>IF(TOTALCO!J805="", "",TOTALCO!J805)</f>
        <v/>
      </c>
      <c r="K278" s="12" t="str">
        <f>IF(TOTALCO!K805="", "",TOTALCO!K805)</f>
        <v/>
      </c>
      <c r="L278" s="12">
        <f ca="1">IF(TOTALCO!L805="", "",TOTALCO!L805)</f>
        <v>170032.16873777637</v>
      </c>
      <c r="M278" s="12" t="str">
        <f>IF(TOTALCO!M805="", "",TOTALCO!M805)</f>
        <v/>
      </c>
      <c r="N278" s="12">
        <f ca="1">IF(TOTALCO!N805="", "",TOTALCO!N805)</f>
        <v>52482873.522828206</v>
      </c>
      <c r="O278" s="12">
        <f ca="1">IF(TOTALCO!O805="", "",TOTALCO!O805)</f>
        <v>27265785.093761932</v>
      </c>
      <c r="P278" s="12">
        <f ca="1">IF(TOTALCO!P805="", "",TOTALCO!P805)</f>
        <v>25217088.429066274</v>
      </c>
      <c r="Q278" s="12"/>
      <c r="R278" s="13"/>
    </row>
    <row r="279" spans="1:18" ht="15" x14ac:dyDescent="0.2">
      <c r="A279" s="321" t="str">
        <f>IF(TOTALCO!A806="", "",TOTALCO!A806)</f>
        <v/>
      </c>
      <c r="B279" s="4" t="str">
        <f>IF(TOTALCO!B806="", "",TOTALCO!B806)</f>
        <v/>
      </c>
      <c r="C279" s="4" t="str">
        <f>IF(TOTALCO!C806="", "",TOTALCO!C806)</f>
        <v/>
      </c>
      <c r="D279" s="12" t="str">
        <f>IF(TOTALCO!D806="", "",TOTALCO!D806)</f>
        <v/>
      </c>
      <c r="E279" s="12" t="str">
        <f>IF(TOTALCO!E806="", "",TOTALCO!E806)</f>
        <v/>
      </c>
      <c r="F279" s="12" t="str">
        <f>IF(TOTALCO!F806="", "",TOTALCO!F806)</f>
        <v/>
      </c>
      <c r="G279" s="12" t="str">
        <f>IF(TOTALCO!G806="", "",TOTALCO!G806)</f>
        <v/>
      </c>
      <c r="H279" s="12" t="str">
        <f>IF(TOTALCO!H806="", "",TOTALCO!H806)</f>
        <v/>
      </c>
      <c r="I279" s="12" t="str">
        <f>IF(TOTALCO!I806="", "",TOTALCO!I806)</f>
        <v/>
      </c>
      <c r="J279" s="12" t="str">
        <f>IF(TOTALCO!J806="", "",TOTALCO!J806)</f>
        <v/>
      </c>
      <c r="K279" s="12" t="str">
        <f>IF(TOTALCO!K806="", "",TOTALCO!K806)</f>
        <v/>
      </c>
      <c r="L279" s="12" t="str">
        <f>IF(TOTALCO!L806="", "",TOTALCO!L806)</f>
        <v/>
      </c>
      <c r="M279" s="12" t="str">
        <f>IF(TOTALCO!M806="", "",TOTALCO!M806)</f>
        <v/>
      </c>
      <c r="N279" s="12" t="str">
        <f>IF(TOTALCO!N806="", "",TOTALCO!N806)</f>
        <v/>
      </c>
      <c r="O279" s="12" t="str">
        <f>IF(TOTALCO!O806="", "",TOTALCO!O806)</f>
        <v/>
      </c>
      <c r="P279" s="12" t="str">
        <f>IF(TOTALCO!P806="", "",TOTALCO!P806)</f>
        <v/>
      </c>
      <c r="Q279" s="12"/>
      <c r="R279" s="13"/>
    </row>
    <row r="280" spans="1:18" ht="15" x14ac:dyDescent="0.2">
      <c r="A280" s="321">
        <f>IF(TOTALCO!A807="", "",TOTALCO!A807)</f>
        <v>26</v>
      </c>
      <c r="B280" s="4" t="str">
        <f>IF(TOTALCO!B807="", "",TOTALCO!B807)</f>
        <v>NET ELECTRIC PLANT IN SERVICE</v>
      </c>
      <c r="C280" s="4" t="str">
        <f>IF(TOTALCO!C807="", "",TOTALCO!C807)</f>
        <v/>
      </c>
      <c r="D280" s="12">
        <f ca="1">IF(TOTALCO!D807="", "",TOTALCO!D807)</f>
        <v>6565629812.6542749</v>
      </c>
      <c r="E280" s="12" t="str">
        <f>IF(TOTALCO!E807="", "",TOTALCO!E807)</f>
        <v/>
      </c>
      <c r="F280" s="12">
        <f ca="1">IF(TOTALCO!F807="", "",TOTALCO!F807)</f>
        <v>6159093660.3643436</v>
      </c>
      <c r="G280" s="12" t="str">
        <f>IF(TOTALCO!G807="", "",TOTALCO!G807)</f>
        <v/>
      </c>
      <c r="H280" s="12">
        <f ca="1">IF(TOTALCO!H807="", "",TOTALCO!H807)</f>
        <v>312782906.26836491</v>
      </c>
      <c r="I280" s="12">
        <f ca="1">IF(TOTALCO!I807="", "",TOTALCO!I807)</f>
        <v>93753246.021566063</v>
      </c>
      <c r="J280" s="12" t="str">
        <f>IF(TOTALCO!J807="", "",TOTALCO!J807)</f>
        <v/>
      </c>
      <c r="K280" s="12" t="str">
        <f>IF(TOTALCO!K807="", "",TOTALCO!K807)</f>
        <v/>
      </c>
      <c r="L280" s="12">
        <f ca="1">IF(TOTALCO!L807="", "",TOTALCO!L807)</f>
        <v>521485.80889177148</v>
      </c>
      <c r="M280" s="12" t="str">
        <f>IF(TOTALCO!M807="", "",TOTALCO!M807)</f>
        <v/>
      </c>
      <c r="N280" s="12">
        <f ca="1">IF(TOTALCO!N807="", "",TOTALCO!N807)</f>
        <v>93231760.21267429</v>
      </c>
      <c r="O280" s="12">
        <f ca="1">IF(TOTALCO!O807="", "",TOTALCO!O807)</f>
        <v>48470546.244551659</v>
      </c>
      <c r="P280" s="12">
        <f ca="1">IF(TOTALCO!P807="", "",TOTALCO!P807)</f>
        <v>44761213.968122631</v>
      </c>
      <c r="Q280" s="12"/>
      <c r="R280" s="13"/>
    </row>
    <row r="281" spans="1:18" ht="15" x14ac:dyDescent="0.2">
      <c r="A281" s="321" t="str">
        <f>IF(TOTALCO!A808="", "",TOTALCO!A808)</f>
        <v/>
      </c>
      <c r="B281" s="4" t="str">
        <f>IF(TOTALCO!B808="", "",TOTALCO!B808)</f>
        <v/>
      </c>
      <c r="C281" s="4" t="str">
        <f>IF(TOTALCO!C808="", "",TOTALCO!C808)</f>
        <v/>
      </c>
      <c r="D281" s="12" t="str">
        <f>IF(TOTALCO!D808="", "",TOTALCO!D808)</f>
        <v/>
      </c>
      <c r="E281" s="12" t="str">
        <f>IF(TOTALCO!E808="", "",TOTALCO!E808)</f>
        <v/>
      </c>
      <c r="F281" s="12" t="str">
        <f>IF(TOTALCO!F808="", "",TOTALCO!F808)</f>
        <v/>
      </c>
      <c r="G281" s="12" t="str">
        <f>IF(TOTALCO!G808="", "",TOTALCO!G808)</f>
        <v/>
      </c>
      <c r="H281" s="12" t="str">
        <f>IF(TOTALCO!H808="", "",TOTALCO!H808)</f>
        <v/>
      </c>
      <c r="I281" s="12" t="str">
        <f>IF(TOTALCO!I808="", "",TOTALCO!I808)</f>
        <v/>
      </c>
      <c r="J281" s="12" t="str">
        <f>IF(TOTALCO!J808="", "",TOTALCO!J808)</f>
        <v/>
      </c>
      <c r="K281" s="12" t="str">
        <f>IF(TOTALCO!K808="", "",TOTALCO!K808)</f>
        <v/>
      </c>
      <c r="L281" s="12" t="str">
        <f>IF(TOTALCO!L808="", "",TOTALCO!L808)</f>
        <v/>
      </c>
      <c r="M281" s="12" t="str">
        <f>IF(TOTALCO!M808="", "",TOTALCO!M808)</f>
        <v/>
      </c>
      <c r="N281" s="12" t="str">
        <f>IF(TOTALCO!N808="", "",TOTALCO!N808)</f>
        <v/>
      </c>
      <c r="O281" s="12" t="str">
        <f>IF(TOTALCO!O808="", "",TOTALCO!O808)</f>
        <v/>
      </c>
      <c r="P281" s="12" t="str">
        <f>IF(TOTALCO!P808="", "",TOTALCO!P808)</f>
        <v/>
      </c>
      <c r="Q281" s="12"/>
      <c r="R281" s="13"/>
    </row>
    <row r="282" spans="1:18" ht="15" x14ac:dyDescent="0.2">
      <c r="A282" s="321" t="str">
        <f>IF(TOTALCO!A809="", "",TOTALCO!A809)</f>
        <v/>
      </c>
      <c r="B282" s="4" t="str">
        <f>IF(TOTALCO!B809="", "",TOTALCO!B809)</f>
        <v/>
      </c>
      <c r="C282" s="4" t="str">
        <f>IF(TOTALCO!C809="", "",TOTALCO!C809)</f>
        <v/>
      </c>
      <c r="D282" s="12" t="str">
        <f>IF(TOTALCO!D809="", "",TOTALCO!D809)</f>
        <v/>
      </c>
      <c r="E282" s="12" t="str">
        <f>IF(TOTALCO!E809="", "",TOTALCO!E809)</f>
        <v/>
      </c>
      <c r="F282" s="12" t="str">
        <f>IF(TOTALCO!F809="", "",TOTALCO!F809)</f>
        <v/>
      </c>
      <c r="G282" s="12" t="str">
        <f>IF(TOTALCO!G809="", "",TOTALCO!G809)</f>
        <v/>
      </c>
      <c r="H282" s="12" t="str">
        <f>IF(TOTALCO!H809="", "",TOTALCO!H809)</f>
        <v/>
      </c>
      <c r="I282" s="12" t="str">
        <f>IF(TOTALCO!I809="", "",TOTALCO!I809)</f>
        <v/>
      </c>
      <c r="J282" s="12" t="str">
        <f>IF(TOTALCO!J809="", "",TOTALCO!J809)</f>
        <v/>
      </c>
      <c r="K282" s="12" t="str">
        <f>IF(TOTALCO!K809="", "",TOTALCO!K809)</f>
        <v/>
      </c>
      <c r="L282" s="12" t="str">
        <f>IF(TOTALCO!L809="", "",TOTALCO!L809)</f>
        <v/>
      </c>
      <c r="M282" s="12" t="str">
        <f>IF(TOTALCO!M809="", "",TOTALCO!M809)</f>
        <v/>
      </c>
      <c r="N282" s="12" t="str">
        <f>IF(TOTALCO!N809="", "",TOTALCO!N809)</f>
        <v/>
      </c>
      <c r="O282" s="12" t="str">
        <f>IF(TOTALCO!O809="", "",TOTALCO!O809)</f>
        <v/>
      </c>
      <c r="P282" s="12" t="str">
        <f>IF(TOTALCO!P809="", "",TOTALCO!P809)</f>
        <v/>
      </c>
      <c r="Q282" s="12"/>
      <c r="R282" s="13"/>
    </row>
    <row r="283" spans="1:18" ht="15" x14ac:dyDescent="0.2">
      <c r="A283" s="321" t="str">
        <f>IF(TOTALCO!A810="", "",TOTALCO!A810)</f>
        <v/>
      </c>
      <c r="B283" s="4" t="str">
        <f>IF(TOTALCO!B810="", "",TOTALCO!B810)</f>
        <v>ADDITIONS TO NET PLANT</v>
      </c>
      <c r="C283" s="4" t="str">
        <f>IF(TOTALCO!C810="", "",TOTALCO!C810)</f>
        <v/>
      </c>
      <c r="D283" s="12" t="str">
        <f>IF(TOTALCO!D810="", "",TOTALCO!D810)</f>
        <v/>
      </c>
      <c r="E283" s="12" t="str">
        <f>IF(TOTALCO!E810="", "",TOTALCO!E810)</f>
        <v/>
      </c>
      <c r="F283" s="12" t="str">
        <f>IF(TOTALCO!F810="", "",TOTALCO!F810)</f>
        <v/>
      </c>
      <c r="G283" s="12" t="str">
        <f>IF(TOTALCO!G810="", "",TOTALCO!G810)</f>
        <v/>
      </c>
      <c r="H283" s="12" t="str">
        <f>IF(TOTALCO!H810="", "",TOTALCO!H810)</f>
        <v/>
      </c>
      <c r="I283" s="12" t="str">
        <f>IF(TOTALCO!I810="", "",TOTALCO!I810)</f>
        <v/>
      </c>
      <c r="J283" s="12" t="str">
        <f>IF(TOTALCO!J810="", "",TOTALCO!J810)</f>
        <v/>
      </c>
      <c r="K283" s="12" t="str">
        <f>IF(TOTALCO!K810="", "",TOTALCO!K810)</f>
        <v/>
      </c>
      <c r="L283" s="12" t="str">
        <f>IF(TOTALCO!L810="", "",TOTALCO!L810)</f>
        <v/>
      </c>
      <c r="M283" s="12" t="str">
        <f>IF(TOTALCO!M810="", "",TOTALCO!M810)</f>
        <v/>
      </c>
      <c r="N283" s="12" t="str">
        <f>IF(TOTALCO!N810="", "",TOTALCO!N810)</f>
        <v/>
      </c>
      <c r="O283" s="12" t="str">
        <f>IF(TOTALCO!O810="", "",TOTALCO!O810)</f>
        <v/>
      </c>
      <c r="P283" s="12" t="str">
        <f>IF(TOTALCO!P810="", "",TOTALCO!P810)</f>
        <v/>
      </c>
      <c r="Q283" s="12"/>
      <c r="R283" s="13"/>
    </row>
    <row r="284" spans="1:18" ht="15" x14ac:dyDescent="0.2">
      <c r="A284" s="321" t="str">
        <f>IF(TOTALCO!A811="", "",TOTALCO!A811)</f>
        <v/>
      </c>
      <c r="B284" s="4" t="str">
        <f>IF(TOTALCO!B811="", "",TOTALCO!B811)</f>
        <v/>
      </c>
      <c r="C284" s="4" t="str">
        <f>IF(TOTALCO!C811="", "",TOTALCO!C811)</f>
        <v/>
      </c>
      <c r="D284" s="12" t="str">
        <f>IF(TOTALCO!D811="", "",TOTALCO!D811)</f>
        <v/>
      </c>
      <c r="E284" s="12" t="str">
        <f>IF(TOTALCO!E811="", "",TOTALCO!E811)</f>
        <v/>
      </c>
      <c r="F284" s="12" t="str">
        <f>IF(TOTALCO!F811="", "",TOTALCO!F811)</f>
        <v/>
      </c>
      <c r="G284" s="12" t="str">
        <f>IF(TOTALCO!G811="", "",TOTALCO!G811)</f>
        <v/>
      </c>
      <c r="H284" s="12" t="str">
        <f>IF(TOTALCO!H811="", "",TOTALCO!H811)</f>
        <v/>
      </c>
      <c r="I284" s="12" t="str">
        <f>IF(TOTALCO!I811="", "",TOTALCO!I811)</f>
        <v/>
      </c>
      <c r="J284" s="12" t="str">
        <f>IF(TOTALCO!J811="", "",TOTALCO!J811)</f>
        <v/>
      </c>
      <c r="K284" s="12" t="str">
        <f>IF(TOTALCO!K811="", "",TOTALCO!K811)</f>
        <v/>
      </c>
      <c r="L284" s="12" t="str">
        <f>IF(TOTALCO!L811="", "",TOTALCO!L811)</f>
        <v/>
      </c>
      <c r="M284" s="12" t="str">
        <f>IF(TOTALCO!M811="", "",TOTALCO!M811)</f>
        <v/>
      </c>
      <c r="N284" s="12" t="str">
        <f>IF(TOTALCO!N811="", "",TOTALCO!N811)</f>
        <v/>
      </c>
      <c r="O284" s="12" t="str">
        <f>IF(TOTALCO!O811="", "",TOTALCO!O811)</f>
        <v/>
      </c>
      <c r="P284" s="12" t="str">
        <f>IF(TOTALCO!P811="", "",TOTALCO!P811)</f>
        <v/>
      </c>
      <c r="Q284" s="12"/>
      <c r="R284" s="13"/>
    </row>
    <row r="285" spans="1:18" ht="15" x14ac:dyDescent="0.2">
      <c r="A285" s="321" t="str">
        <f>IF(TOTALCO!A812="", "",TOTALCO!A812)</f>
        <v/>
      </c>
      <c r="B285" s="4" t="str">
        <f>IF(TOTALCO!B812="", "",TOTALCO!B812)</f>
        <v>CONSTRUCTION WORK IN PROGRESS</v>
      </c>
      <c r="C285" s="4" t="str">
        <f>IF(TOTALCO!C812="", "",TOTALCO!C812)</f>
        <v/>
      </c>
      <c r="D285" s="12" t="str">
        <f>IF(TOTALCO!D812="", "",TOTALCO!D812)</f>
        <v/>
      </c>
      <c r="E285" s="12" t="str">
        <f>IF(TOTALCO!E812="", "",TOTALCO!E812)</f>
        <v/>
      </c>
      <c r="F285" s="12" t="str">
        <f>IF(TOTALCO!F812="", "",TOTALCO!F812)</f>
        <v/>
      </c>
      <c r="G285" s="12" t="str">
        <f>IF(TOTALCO!G812="", "",TOTALCO!G812)</f>
        <v/>
      </c>
      <c r="H285" s="12" t="str">
        <f>IF(TOTALCO!H812="", "",TOTALCO!H812)</f>
        <v/>
      </c>
      <c r="I285" s="12" t="str">
        <f>IF(TOTALCO!I812="", "",TOTALCO!I812)</f>
        <v/>
      </c>
      <c r="J285" s="12" t="str">
        <f>IF(TOTALCO!J812="", "",TOTALCO!J812)</f>
        <v/>
      </c>
      <c r="K285" s="12" t="str">
        <f>IF(TOTALCO!K812="", "",TOTALCO!K812)</f>
        <v/>
      </c>
      <c r="L285" s="12" t="str">
        <f>IF(TOTALCO!L812="", "",TOTALCO!L812)</f>
        <v/>
      </c>
      <c r="M285" s="12" t="str">
        <f>IF(TOTALCO!M812="", "",TOTALCO!M812)</f>
        <v/>
      </c>
      <c r="N285" s="12" t="str">
        <f>IF(TOTALCO!N812="", "",TOTALCO!N812)</f>
        <v/>
      </c>
      <c r="O285" s="12" t="str">
        <f>IF(TOTALCO!O812="", "",TOTALCO!O812)</f>
        <v/>
      </c>
      <c r="P285" s="12" t="str">
        <f>IF(TOTALCO!P812="", "",TOTALCO!P812)</f>
        <v/>
      </c>
      <c r="Q285" s="12"/>
      <c r="R285" s="13"/>
    </row>
    <row r="286" spans="1:18" ht="15" x14ac:dyDescent="0.2">
      <c r="A286" s="321" t="str">
        <f>IF(TOTALCO!A813="", "",TOTALCO!A813)</f>
        <v/>
      </c>
      <c r="B286" s="4" t="str">
        <f>IF(TOTALCO!B813="", "",TOTALCO!B813)</f>
        <v/>
      </c>
      <c r="C286" s="4" t="str">
        <f>IF(TOTALCO!C813="", "",TOTALCO!C813)</f>
        <v/>
      </c>
      <c r="D286" s="12" t="str">
        <f>IF(TOTALCO!D813="", "",TOTALCO!D813)</f>
        <v/>
      </c>
      <c r="E286" s="12" t="str">
        <f>IF(TOTALCO!E813="", "",TOTALCO!E813)</f>
        <v/>
      </c>
      <c r="F286" s="12" t="str">
        <f>IF(TOTALCO!F813="", "",TOTALCO!F813)</f>
        <v/>
      </c>
      <c r="G286" s="12" t="str">
        <f>IF(TOTALCO!G813="", "",TOTALCO!G813)</f>
        <v/>
      </c>
      <c r="H286" s="12" t="str">
        <f>IF(TOTALCO!H813="", "",TOTALCO!H813)</f>
        <v/>
      </c>
      <c r="I286" s="12" t="str">
        <f>IF(TOTALCO!I813="", "",TOTALCO!I813)</f>
        <v/>
      </c>
      <c r="J286" s="12" t="str">
        <f>IF(TOTALCO!J813="", "",TOTALCO!J813)</f>
        <v/>
      </c>
      <c r="K286" s="12" t="str">
        <f>IF(TOTALCO!K813="", "",TOTALCO!K813)</f>
        <v/>
      </c>
      <c r="L286" s="12" t="str">
        <f>IF(TOTALCO!L813="", "",TOTALCO!L813)</f>
        <v/>
      </c>
      <c r="M286" s="12" t="str">
        <f>IF(TOTALCO!M813="", "",TOTALCO!M813)</f>
        <v/>
      </c>
      <c r="N286" s="12" t="str">
        <f>IF(TOTALCO!N813="", "",TOTALCO!N813)</f>
        <v/>
      </c>
      <c r="O286" s="12" t="str">
        <f>IF(TOTALCO!O813="", "",TOTALCO!O813)</f>
        <v/>
      </c>
      <c r="P286" s="12" t="str">
        <f>IF(TOTALCO!P813="", "",TOTALCO!P813)</f>
        <v/>
      </c>
      <c r="Q286" s="12"/>
      <c r="R286" s="13"/>
    </row>
    <row r="287" spans="1:18" ht="15" x14ac:dyDescent="0.2">
      <c r="A287" s="321" t="str">
        <f>IF(TOTALCO!A814="", "",TOTALCO!A814)</f>
        <v/>
      </c>
      <c r="B287" s="4" t="str">
        <f>IF(TOTALCO!B814="", "",TOTALCO!B814)</f>
        <v xml:space="preserve"> PRODUCTION PLANT</v>
      </c>
      <c r="C287" s="4" t="str">
        <f>IF(TOTALCO!C814="", "",TOTALCO!C814)</f>
        <v/>
      </c>
      <c r="D287" s="12" t="str">
        <f>IF(TOTALCO!D814="", "",TOTALCO!D814)</f>
        <v/>
      </c>
      <c r="E287" s="12" t="str">
        <f>IF(TOTALCO!E814="", "",TOTALCO!E814)</f>
        <v/>
      </c>
      <c r="F287" s="12" t="str">
        <f>IF(TOTALCO!F814="", "",TOTALCO!F814)</f>
        <v/>
      </c>
      <c r="G287" s="12" t="str">
        <f>IF(TOTALCO!G814="", "",TOTALCO!G814)</f>
        <v/>
      </c>
      <c r="H287" s="12" t="str">
        <f>IF(TOTALCO!H814="", "",TOTALCO!H814)</f>
        <v/>
      </c>
      <c r="I287" s="12" t="str">
        <f>IF(TOTALCO!I814="", "",TOTALCO!I814)</f>
        <v/>
      </c>
      <c r="J287" s="12" t="str">
        <f>IF(TOTALCO!J814="", "",TOTALCO!J814)</f>
        <v/>
      </c>
      <c r="K287" s="12" t="str">
        <f>IF(TOTALCO!K814="", "",TOTALCO!K814)</f>
        <v/>
      </c>
      <c r="L287" s="12" t="str">
        <f>IF(TOTALCO!L814="", "",TOTALCO!L814)</f>
        <v/>
      </c>
      <c r="M287" s="12" t="str">
        <f>IF(TOTALCO!M814="", "",TOTALCO!M814)</f>
        <v/>
      </c>
      <c r="N287" s="12" t="str">
        <f>IF(TOTALCO!N814="", "",TOTALCO!N814)</f>
        <v/>
      </c>
      <c r="O287" s="12" t="str">
        <f>IF(TOTALCO!O814="", "",TOTALCO!O814)</f>
        <v/>
      </c>
      <c r="P287" s="12" t="str">
        <f>IF(TOTALCO!P814="", "",TOTALCO!P814)</f>
        <v/>
      </c>
      <c r="Q287" s="12"/>
      <c r="R287" s="13"/>
    </row>
    <row r="288" spans="1:18" ht="15" x14ac:dyDescent="0.2">
      <c r="A288" s="321">
        <f>IF(TOTALCO!A815="", "",TOTALCO!A815)</f>
        <v>1</v>
      </c>
      <c r="B288" s="4" t="str">
        <f>IF(TOTALCO!B815="", "",TOTALCO!B815)</f>
        <v xml:space="preserve">   SYSTEM</v>
      </c>
      <c r="C288" s="4" t="str">
        <f>IF(TOTALCO!C815="", "",TOTALCO!C815)</f>
        <v>PRODSYS</v>
      </c>
      <c r="D288" s="12">
        <f ca="1">IF(TOTALCO!D815="", "",TOTALCO!D815)</f>
        <v>126475092.05627653</v>
      </c>
      <c r="E288" s="12" t="str">
        <f>IF(TOTALCO!E815="", "",TOTALCO!E815)</f>
        <v/>
      </c>
      <c r="F288" s="12">
        <f ca="1">IF(TOTALCO!F815="", "",TOTALCO!F815)</f>
        <v>118559778.78983361</v>
      </c>
      <c r="G288" s="12" t="str">
        <f>IF(TOTALCO!G815="", "",TOTALCO!G815)</f>
        <v/>
      </c>
      <c r="H288" s="12">
        <f ca="1">IF(TOTALCO!H815="", "",TOTALCO!H815)</f>
        <v>5428998.1776337158</v>
      </c>
      <c r="I288" s="12">
        <f ca="1">IF(TOTALCO!I815="", "",TOTALCO!I815)</f>
        <v>2486315.0888092052</v>
      </c>
      <c r="J288" s="12" t="str">
        <f>IF(TOTALCO!J815="", "",TOTALCO!J815)</f>
        <v/>
      </c>
      <c r="K288" s="12" t="str">
        <f>IF(TOTALCO!K815="", "",TOTALCO!K815)</f>
        <v/>
      </c>
      <c r="L288" s="12">
        <f ca="1">IF(TOTALCO!L815="", "",TOTALCO!L815)</f>
        <v>380.56037359515165</v>
      </c>
      <c r="M288" s="12" t="str">
        <f>IF(TOTALCO!M815="", "",TOTALCO!M815)</f>
        <v/>
      </c>
      <c r="N288" s="12">
        <f ca="1">IF(TOTALCO!N815="", "",TOTALCO!N815)</f>
        <v>2485934.5284356102</v>
      </c>
      <c r="O288" s="12">
        <f ca="1">IF(TOTALCO!O815="", "",TOTALCO!O815)</f>
        <v>1260796.517720738</v>
      </c>
      <c r="P288" s="12">
        <f ca="1">IF(TOTALCO!P815="", "",TOTALCO!P815)</f>
        <v>1225138.0107148723</v>
      </c>
      <c r="Q288" s="12"/>
      <c r="R288" s="13"/>
    </row>
    <row r="289" spans="1:18" ht="15" x14ac:dyDescent="0.2">
      <c r="A289" s="321">
        <f>IF(TOTALCO!A816="", "",TOTALCO!A816)</f>
        <v>2</v>
      </c>
      <c r="B289" s="4" t="str">
        <f>IF(TOTALCO!B816="", "",TOTALCO!B816)</f>
        <v xml:space="preserve">   FERC-AFUDC PRE</v>
      </c>
      <c r="C289" s="4" t="str">
        <f>IF(TOTALCO!C816="", "",TOTALCO!C816)</f>
        <v>DEMFERC</v>
      </c>
      <c r="D289" s="12">
        <f ca="1">IF(TOTALCO!D816="", "",TOTALCO!D816)</f>
        <v>0</v>
      </c>
      <c r="E289" s="12" t="str">
        <f>IF(TOTALCO!E816="", "",TOTALCO!E816)</f>
        <v/>
      </c>
      <c r="F289" s="12">
        <f ca="1">IF(TOTALCO!F816="", "",TOTALCO!F816)</f>
        <v>0</v>
      </c>
      <c r="G289" s="12" t="str">
        <f>IF(TOTALCO!G816="", "",TOTALCO!G816)</f>
        <v/>
      </c>
      <c r="H289" s="12">
        <f ca="1">IF(TOTALCO!H816="", "",TOTALCO!H816)</f>
        <v>0</v>
      </c>
      <c r="I289" s="12">
        <f ca="1">IF(TOTALCO!I816="", "",TOTALCO!I816)</f>
        <v>0</v>
      </c>
      <c r="J289" s="12" t="str">
        <f>IF(TOTALCO!J816="", "",TOTALCO!J816)</f>
        <v/>
      </c>
      <c r="K289" s="12" t="str">
        <f>IF(TOTALCO!K816="", "",TOTALCO!K816)</f>
        <v/>
      </c>
      <c r="L289" s="12">
        <f ca="1">IF(TOTALCO!L816="", "",TOTALCO!L816)</f>
        <v>0</v>
      </c>
      <c r="M289" s="12" t="str">
        <f>IF(TOTALCO!M816="", "",TOTALCO!M816)</f>
        <v/>
      </c>
      <c r="N289" s="12">
        <f ca="1">IF(TOTALCO!N816="", "",TOTALCO!N816)</f>
        <v>0</v>
      </c>
      <c r="O289" s="12">
        <f ca="1">IF(TOTALCO!O816="", "",TOTALCO!O816)</f>
        <v>0</v>
      </c>
      <c r="P289" s="12">
        <f ca="1">IF(TOTALCO!P816="", "",TOTALCO!P816)</f>
        <v>0</v>
      </c>
      <c r="Q289" s="12"/>
      <c r="R289" s="13"/>
    </row>
    <row r="290" spans="1:18" ht="15" x14ac:dyDescent="0.2">
      <c r="A290" s="321">
        <f>IF(TOTALCO!A817="", "",TOTALCO!A817)</f>
        <v>3</v>
      </c>
      <c r="B290" s="4" t="str">
        <f>IF(TOTALCO!B817="", "",TOTALCO!B817)</f>
        <v xml:space="preserve">   FERC-AFUDC POST</v>
      </c>
      <c r="C290" s="4" t="str">
        <f>IF(TOTALCO!C817="", "",TOTALCO!C817)</f>
        <v>DEMFERCP</v>
      </c>
      <c r="D290" s="12">
        <f ca="1">IF(TOTALCO!D817="", "",TOTALCO!D817)</f>
        <v>961676.92</v>
      </c>
      <c r="E290" s="12" t="str">
        <f>IF(TOTALCO!E817="", "",TOTALCO!E817)</f>
        <v/>
      </c>
      <c r="F290" s="12">
        <f ca="1">IF(TOTALCO!F817="", "",TOTALCO!F817)</f>
        <v>748975.63997494429</v>
      </c>
      <c r="G290" s="12" t="str">
        <f>IF(TOTALCO!G817="", "",TOTALCO!G817)</f>
        <v/>
      </c>
      <c r="H290" s="12">
        <f ca="1">IF(TOTALCO!H817="", "",TOTALCO!H817)</f>
        <v>0</v>
      </c>
      <c r="I290" s="12">
        <f ca="1">IF(TOTALCO!I817="", "",TOTALCO!I817)</f>
        <v>212701.28002505572</v>
      </c>
      <c r="J290" s="12" t="str">
        <f>IF(TOTALCO!J817="", "",TOTALCO!J817)</f>
        <v/>
      </c>
      <c r="K290" s="12" t="str">
        <f>IF(TOTALCO!K817="", "",TOTALCO!K817)</f>
        <v/>
      </c>
      <c r="L290" s="12">
        <f ca="1">IF(TOTALCO!L817="", "",TOTALCO!L817)</f>
        <v>0</v>
      </c>
      <c r="M290" s="12" t="str">
        <f>IF(TOTALCO!M817="", "",TOTALCO!M817)</f>
        <v/>
      </c>
      <c r="N290" s="12">
        <f ca="1">IF(TOTALCO!N817="", "",TOTALCO!N817)</f>
        <v>212701.28002505572</v>
      </c>
      <c r="O290" s="12">
        <f ca="1">IF(TOTALCO!O817="", "",TOTALCO!O817)</f>
        <v>107876.14480703727</v>
      </c>
      <c r="P290" s="12">
        <f ca="1">IF(TOTALCO!P817="", "",TOTALCO!P817)</f>
        <v>104825.13521801845</v>
      </c>
      <c r="Q290" s="12"/>
      <c r="R290" s="13"/>
    </row>
    <row r="291" spans="1:18" ht="15" x14ac:dyDescent="0.2">
      <c r="A291" s="321">
        <f>IF(TOTALCO!A818="", "",TOTALCO!A818)</f>
        <v>4</v>
      </c>
      <c r="B291" s="4" t="str">
        <f>IF(TOTALCO!B818="", "",TOTALCO!B818)</f>
        <v xml:space="preserve">    TOTAL PRODUCTION PLANT</v>
      </c>
      <c r="C291" s="4" t="str">
        <f>IF(TOTALCO!C818="", "",TOTALCO!C818)</f>
        <v/>
      </c>
      <c r="D291" s="12">
        <f ca="1">IF(TOTALCO!D818="", "",TOTALCO!D818)</f>
        <v>127436768.97627653</v>
      </c>
      <c r="E291" s="12" t="str">
        <f>IF(TOTALCO!E818="", "",TOTALCO!E818)</f>
        <v/>
      </c>
      <c r="F291" s="12">
        <f ca="1">IF(TOTALCO!F818="", "",TOTALCO!F818)</f>
        <v>119308754.42980856</v>
      </c>
      <c r="G291" s="12" t="str">
        <f>IF(TOTALCO!G818="", "",TOTALCO!G818)</f>
        <v/>
      </c>
      <c r="H291" s="12">
        <f ca="1">IF(TOTALCO!H818="", "",TOTALCO!H818)</f>
        <v>5428998.1776337158</v>
      </c>
      <c r="I291" s="12">
        <f ca="1">IF(TOTALCO!I818="", "",TOTALCO!I818)</f>
        <v>2699016.3688342609</v>
      </c>
      <c r="J291" s="12" t="str">
        <f>IF(TOTALCO!J818="", "",TOTALCO!J818)</f>
        <v/>
      </c>
      <c r="K291" s="12" t="str">
        <f>IF(TOTALCO!K818="", "",TOTALCO!K818)</f>
        <v/>
      </c>
      <c r="L291" s="12">
        <f ca="1">IF(TOTALCO!L818="", "",TOTALCO!L818)</f>
        <v>380.56037359515165</v>
      </c>
      <c r="M291" s="12" t="str">
        <f>IF(TOTALCO!M818="", "",TOTALCO!M818)</f>
        <v/>
      </c>
      <c r="N291" s="12">
        <f ca="1">IF(TOTALCO!N818="", "",TOTALCO!N818)</f>
        <v>2698635.8084606659</v>
      </c>
      <c r="O291" s="12">
        <f ca="1">IF(TOTALCO!O818="", "",TOTALCO!O818)</f>
        <v>1368672.6625277752</v>
      </c>
      <c r="P291" s="12">
        <f ca="1">IF(TOTALCO!P818="", "",TOTALCO!P818)</f>
        <v>1329963.1459328907</v>
      </c>
      <c r="Q291" s="12"/>
      <c r="R291" s="13"/>
    </row>
    <row r="292" spans="1:18" ht="15" x14ac:dyDescent="0.2">
      <c r="A292" s="321" t="str">
        <f>IF(TOTALCO!A819="", "",TOTALCO!A819)</f>
        <v/>
      </c>
      <c r="B292" s="4" t="str">
        <f>IF(TOTALCO!B819="", "",TOTALCO!B819)</f>
        <v/>
      </c>
      <c r="C292" s="4" t="str">
        <f>IF(TOTALCO!C819="", "",TOTALCO!C819)</f>
        <v/>
      </c>
      <c r="D292" s="12" t="str">
        <f>IF(TOTALCO!D819="", "",TOTALCO!D819)</f>
        <v/>
      </c>
      <c r="E292" s="12" t="str">
        <f>IF(TOTALCO!E819="", "",TOTALCO!E819)</f>
        <v/>
      </c>
      <c r="F292" s="12" t="str">
        <f>IF(TOTALCO!F819="", "",TOTALCO!F819)</f>
        <v/>
      </c>
      <c r="G292" s="12" t="str">
        <f>IF(TOTALCO!G819="", "",TOTALCO!G819)</f>
        <v/>
      </c>
      <c r="H292" s="12" t="str">
        <f>IF(TOTALCO!H819="", "",TOTALCO!H819)</f>
        <v/>
      </c>
      <c r="I292" s="12" t="str">
        <f>IF(TOTALCO!I819="", "",TOTALCO!I819)</f>
        <v/>
      </c>
      <c r="J292" s="12" t="str">
        <f>IF(TOTALCO!J819="", "",TOTALCO!J819)</f>
        <v/>
      </c>
      <c r="K292" s="12" t="str">
        <f>IF(TOTALCO!K819="", "",TOTALCO!K819)</f>
        <v/>
      </c>
      <c r="L292" s="12" t="str">
        <f>IF(TOTALCO!L819="", "",TOTALCO!L819)</f>
        <v/>
      </c>
      <c r="M292" s="12" t="str">
        <f>IF(TOTALCO!M819="", "",TOTALCO!M819)</f>
        <v/>
      </c>
      <c r="N292" s="12" t="str">
        <f>IF(TOTALCO!N819="", "",TOTALCO!N819)</f>
        <v/>
      </c>
      <c r="O292" s="12" t="str">
        <f>IF(TOTALCO!O819="", "",TOTALCO!O819)</f>
        <v/>
      </c>
      <c r="P292" s="12" t="str">
        <f>IF(TOTALCO!P819="", "",TOTALCO!P819)</f>
        <v/>
      </c>
      <c r="Q292" s="12"/>
      <c r="R292" s="13"/>
    </row>
    <row r="293" spans="1:18" ht="15" x14ac:dyDescent="0.2">
      <c r="A293" s="321" t="str">
        <f>IF(TOTALCO!A820="", "",TOTALCO!A820)</f>
        <v/>
      </c>
      <c r="B293" s="4" t="str">
        <f>IF(TOTALCO!B820="", "",TOTALCO!B820)</f>
        <v xml:space="preserve"> TRANSMISSION PLANT</v>
      </c>
      <c r="C293" s="4" t="str">
        <f>IF(TOTALCO!C820="", "",TOTALCO!C820)</f>
        <v/>
      </c>
      <c r="D293" s="12" t="str">
        <f>IF(TOTALCO!D820="", "",TOTALCO!D820)</f>
        <v/>
      </c>
      <c r="E293" s="12" t="str">
        <f>IF(TOTALCO!E820="", "",TOTALCO!E820)</f>
        <v/>
      </c>
      <c r="F293" s="12" t="str">
        <f>IF(TOTALCO!F820="", "",TOTALCO!F820)</f>
        <v/>
      </c>
      <c r="G293" s="12" t="str">
        <f>IF(TOTALCO!G820="", "",TOTALCO!G820)</f>
        <v/>
      </c>
      <c r="H293" s="12" t="str">
        <f>IF(TOTALCO!H820="", "",TOTALCO!H820)</f>
        <v/>
      </c>
      <c r="I293" s="12" t="str">
        <f>IF(TOTALCO!I820="", "",TOTALCO!I820)</f>
        <v/>
      </c>
      <c r="J293" s="12" t="str">
        <f>IF(TOTALCO!J820="", "",TOTALCO!J820)</f>
        <v/>
      </c>
      <c r="K293" s="12" t="str">
        <f>IF(TOTALCO!K820="", "",TOTALCO!K820)</f>
        <v/>
      </c>
      <c r="L293" s="12" t="str">
        <f>IF(TOTALCO!L820="", "",TOTALCO!L820)</f>
        <v/>
      </c>
      <c r="M293" s="12" t="str">
        <f>IF(TOTALCO!M820="", "",TOTALCO!M820)</f>
        <v/>
      </c>
      <c r="N293" s="12" t="str">
        <f>IF(TOTALCO!N820="", "",TOTALCO!N820)</f>
        <v/>
      </c>
      <c r="O293" s="12" t="str">
        <f>IF(TOTALCO!O820="", "",TOTALCO!O820)</f>
        <v/>
      </c>
      <c r="P293" s="12" t="str">
        <f>IF(TOTALCO!P820="", "",TOTALCO!P820)</f>
        <v/>
      </c>
      <c r="Q293" s="12"/>
      <c r="R293" s="13"/>
    </row>
    <row r="294" spans="1:18" ht="15" x14ac:dyDescent="0.2">
      <c r="A294" s="321">
        <f>IF(TOTALCO!A821="", "",TOTALCO!A821)</f>
        <v>5</v>
      </c>
      <c r="B294" s="4" t="str">
        <f>IF(TOTALCO!B821="", "",TOTALCO!B821)</f>
        <v xml:space="preserve">   SYSTEM</v>
      </c>
      <c r="C294" s="4" t="str">
        <f>IF(TOTALCO!C821="", "",TOTALCO!C821)</f>
        <v>KYTRPLTXF</v>
      </c>
      <c r="D294" s="12">
        <f ca="1">IF(TOTALCO!D821="", "",TOTALCO!D821)</f>
        <v>59090176.029163994</v>
      </c>
      <c r="E294" s="12" t="str">
        <f>IF(TOTALCO!E821="", "",TOTALCO!E821)</f>
        <v/>
      </c>
      <c r="F294" s="12">
        <f ca="1">IF(TOTALCO!F821="", "",TOTALCO!F821)</f>
        <v>56460538.945625477</v>
      </c>
      <c r="G294" s="12" t="str">
        <f>IF(TOTALCO!G821="", "",TOTALCO!G821)</f>
        <v/>
      </c>
      <c r="H294" s="12">
        <f ca="1">IF(TOTALCO!H821="", "",TOTALCO!H821)</f>
        <v>2629456.3111285013</v>
      </c>
      <c r="I294" s="12">
        <f ca="1">IF(TOTALCO!I821="", "",TOTALCO!I821)</f>
        <v>180.77241001462431</v>
      </c>
      <c r="J294" s="12" t="str">
        <f>IF(TOTALCO!J821="", "",TOTALCO!J821)</f>
        <v/>
      </c>
      <c r="K294" s="12" t="str">
        <f>IF(TOTALCO!K821="", "",TOTALCO!K821)</f>
        <v/>
      </c>
      <c r="L294" s="12">
        <f ca="1">IF(TOTALCO!L821="", "",TOTALCO!L821)</f>
        <v>180.77241001462431</v>
      </c>
      <c r="M294" s="12" t="str">
        <f>IF(TOTALCO!M821="", "",TOTALCO!M821)</f>
        <v/>
      </c>
      <c r="N294" s="12">
        <f ca="1">IF(TOTALCO!N821="", "",TOTALCO!N821)</f>
        <v>0</v>
      </c>
      <c r="O294" s="12">
        <f ca="1">IF(TOTALCO!O821="", "",TOTALCO!O821)</f>
        <v>0</v>
      </c>
      <c r="P294" s="12">
        <f ca="1">IF(TOTALCO!P821="", "",TOTALCO!P821)</f>
        <v>0</v>
      </c>
      <c r="Q294" s="12"/>
      <c r="R294" s="13"/>
    </row>
    <row r="295" spans="1:18" ht="15" x14ac:dyDescent="0.2">
      <c r="A295" s="321">
        <f>IF(TOTALCO!A822="", "",TOTALCO!A822)</f>
        <v>6</v>
      </c>
      <c r="B295" s="4" t="str">
        <f>IF(TOTALCO!B822="", "",TOTALCO!B822)</f>
        <v xml:space="preserve">   TRANS VIRGINIA-KY SYSTEM</v>
      </c>
      <c r="C295" s="4" t="str">
        <f>IF(TOTALCO!C822="", "",TOTALCO!C822)</f>
        <v>KYTRPLTXF</v>
      </c>
      <c r="D295" s="12">
        <f ca="1">IF(TOTALCO!D822="", "",TOTALCO!D822)</f>
        <v>0</v>
      </c>
      <c r="E295" s="12" t="str">
        <f>IF(TOTALCO!E822="", "",TOTALCO!E822)</f>
        <v/>
      </c>
      <c r="F295" s="12">
        <f ca="1">IF(TOTALCO!F822="", "",TOTALCO!F822)</f>
        <v>0</v>
      </c>
      <c r="G295" s="12" t="str">
        <f>IF(TOTALCO!G822="", "",TOTALCO!G822)</f>
        <v/>
      </c>
      <c r="H295" s="12">
        <f ca="1">IF(TOTALCO!H822="", "",TOTALCO!H822)</f>
        <v>0</v>
      </c>
      <c r="I295" s="12">
        <f ca="1">IF(TOTALCO!I822="", "",TOTALCO!I822)</f>
        <v>0</v>
      </c>
      <c r="J295" s="12" t="str">
        <f>IF(TOTALCO!J822="", "",TOTALCO!J822)</f>
        <v/>
      </c>
      <c r="K295" s="12" t="str">
        <f>IF(TOTALCO!K822="", "",TOTALCO!K822)</f>
        <v/>
      </c>
      <c r="L295" s="12">
        <f ca="1">IF(TOTALCO!L822="", "",TOTALCO!L822)</f>
        <v>0</v>
      </c>
      <c r="M295" s="12" t="str">
        <f>IF(TOTALCO!M822="", "",TOTALCO!M822)</f>
        <v/>
      </c>
      <c r="N295" s="12">
        <f ca="1">IF(TOTALCO!N822="", "",TOTALCO!N822)</f>
        <v>0</v>
      </c>
      <c r="O295" s="12">
        <f ca="1">IF(TOTALCO!O822="", "",TOTALCO!O822)</f>
        <v>0</v>
      </c>
      <c r="P295" s="12">
        <f ca="1">IF(TOTALCO!P822="", "",TOTALCO!P822)</f>
        <v>0</v>
      </c>
      <c r="Q295" s="12"/>
      <c r="R295" s="13"/>
    </row>
    <row r="296" spans="1:18" ht="15" x14ac:dyDescent="0.2">
      <c r="A296" s="321">
        <f>IF(TOTALCO!A823="", "",TOTALCO!A823)</f>
        <v>7</v>
      </c>
      <c r="B296" s="4" t="str">
        <f>IF(TOTALCO!B823="", "",TOTALCO!B823)</f>
        <v xml:space="preserve">   TRANS VIRGINIA</v>
      </c>
      <c r="C296" s="4" t="str">
        <f>IF(TOTALCO!C823="", "",TOTALCO!C823)</f>
        <v>VATRPLT</v>
      </c>
      <c r="D296" s="12">
        <f ca="1">IF(TOTALCO!D823="", "",TOTALCO!D823)</f>
        <v>3379185.996746521</v>
      </c>
      <c r="E296" s="12" t="str">
        <f>IF(TOTALCO!E823="", "",TOTALCO!E823)</f>
        <v/>
      </c>
      <c r="F296" s="12">
        <f ca="1">IF(TOTALCO!F823="", "",TOTALCO!F823)</f>
        <v>0</v>
      </c>
      <c r="G296" s="12" t="str">
        <f>IF(TOTALCO!G823="", "",TOTALCO!G823)</f>
        <v/>
      </c>
      <c r="H296" s="12">
        <f ca="1">IF(TOTALCO!H823="", "",TOTALCO!H823)</f>
        <v>3379185.996746521</v>
      </c>
      <c r="I296" s="12">
        <f ca="1">IF(TOTALCO!I823="", "",TOTALCO!I823)</f>
        <v>0</v>
      </c>
      <c r="J296" s="12" t="str">
        <f>IF(TOTALCO!J823="", "",TOTALCO!J823)</f>
        <v/>
      </c>
      <c r="K296" s="12" t="str">
        <f>IF(TOTALCO!K823="", "",TOTALCO!K823)</f>
        <v/>
      </c>
      <c r="L296" s="12">
        <f ca="1">IF(TOTALCO!L823="", "",TOTALCO!L823)</f>
        <v>0</v>
      </c>
      <c r="M296" s="12" t="str">
        <f>IF(TOTALCO!M823="", "",TOTALCO!M823)</f>
        <v/>
      </c>
      <c r="N296" s="12">
        <f ca="1">IF(TOTALCO!N823="", "",TOTALCO!N823)</f>
        <v>0</v>
      </c>
      <c r="O296" s="12">
        <f ca="1">IF(TOTALCO!O823="", "",TOTALCO!O823)</f>
        <v>0</v>
      </c>
      <c r="P296" s="12">
        <f ca="1">IF(TOTALCO!P823="", "",TOTALCO!P823)</f>
        <v>0</v>
      </c>
      <c r="Q296" s="12"/>
      <c r="R296" s="13"/>
    </row>
    <row r="297" spans="1:18" ht="15" x14ac:dyDescent="0.2">
      <c r="A297" s="321">
        <f>IF(TOTALCO!A824="", "",TOTALCO!A824)</f>
        <v>8</v>
      </c>
      <c r="B297" s="4" t="str">
        <f>IF(TOTALCO!B824="", "",TOTALCO!B824)</f>
        <v xml:space="preserve">   FERC-AFUDC PRE</v>
      </c>
      <c r="C297" s="4" t="str">
        <f>IF(TOTALCO!C824="", "",TOTALCO!C824)</f>
        <v>DEMFERC</v>
      </c>
      <c r="D297" s="12">
        <f ca="1">IF(TOTALCO!D824="", "",TOTALCO!D824)</f>
        <v>0</v>
      </c>
      <c r="E297" s="12" t="str">
        <f>IF(TOTALCO!E824="", "",TOTALCO!E824)</f>
        <v/>
      </c>
      <c r="F297" s="12">
        <f ca="1">IF(TOTALCO!F824="", "",TOTALCO!F824)</f>
        <v>0</v>
      </c>
      <c r="G297" s="12" t="str">
        <f>IF(TOTALCO!G824="", "",TOTALCO!G824)</f>
        <v/>
      </c>
      <c r="H297" s="12">
        <f ca="1">IF(TOTALCO!H824="", "",TOTALCO!H824)</f>
        <v>0</v>
      </c>
      <c r="I297" s="12">
        <f ca="1">IF(TOTALCO!I824="", "",TOTALCO!I824)</f>
        <v>0</v>
      </c>
      <c r="J297" s="12" t="str">
        <f>IF(TOTALCO!J824="", "",TOTALCO!J824)</f>
        <v/>
      </c>
      <c r="K297" s="12" t="str">
        <f>IF(TOTALCO!K824="", "",TOTALCO!K824)</f>
        <v/>
      </c>
      <c r="L297" s="12">
        <f ca="1">IF(TOTALCO!L824="", "",TOTALCO!L824)</f>
        <v>0</v>
      </c>
      <c r="M297" s="12" t="str">
        <f>IF(TOTALCO!M824="", "",TOTALCO!M824)</f>
        <v/>
      </c>
      <c r="N297" s="12">
        <f ca="1">IF(TOTALCO!N824="", "",TOTALCO!N824)</f>
        <v>0</v>
      </c>
      <c r="O297" s="12">
        <f ca="1">IF(TOTALCO!O824="", "",TOTALCO!O824)</f>
        <v>0</v>
      </c>
      <c r="P297" s="12">
        <f ca="1">IF(TOTALCO!P824="", "",TOTALCO!P824)</f>
        <v>0</v>
      </c>
      <c r="Q297" s="12"/>
      <c r="R297" s="13"/>
    </row>
    <row r="298" spans="1:18" ht="15" x14ac:dyDescent="0.2">
      <c r="A298" s="321">
        <f>IF(TOTALCO!A825="", "",TOTALCO!A825)</f>
        <v>9</v>
      </c>
      <c r="B298" s="4" t="str">
        <f>IF(TOTALCO!B825="", "",TOTALCO!B825)</f>
        <v xml:space="preserve">   FERC-AFUDC POST</v>
      </c>
      <c r="C298" s="4" t="str">
        <f>IF(TOTALCO!C825="", "",TOTALCO!C825)</f>
        <v>DEMFERCP</v>
      </c>
      <c r="D298" s="12">
        <f ca="1">IF(TOTALCO!D825="", "",TOTALCO!D825)</f>
        <v>0</v>
      </c>
      <c r="E298" s="12" t="str">
        <f>IF(TOTALCO!E825="", "",TOTALCO!E825)</f>
        <v/>
      </c>
      <c r="F298" s="12">
        <f ca="1">IF(TOTALCO!F825="", "",TOTALCO!F825)</f>
        <v>0</v>
      </c>
      <c r="G298" s="12" t="str">
        <f>IF(TOTALCO!G825="", "",TOTALCO!G825)</f>
        <v/>
      </c>
      <c r="H298" s="12">
        <f ca="1">IF(TOTALCO!H825="", "",TOTALCO!H825)</f>
        <v>0</v>
      </c>
      <c r="I298" s="12">
        <f ca="1">IF(TOTALCO!I825="", "",TOTALCO!I825)</f>
        <v>0</v>
      </c>
      <c r="J298" s="12" t="str">
        <f>IF(TOTALCO!J825="", "",TOTALCO!J825)</f>
        <v/>
      </c>
      <c r="K298" s="12" t="str">
        <f>IF(TOTALCO!K825="", "",TOTALCO!K825)</f>
        <v/>
      </c>
      <c r="L298" s="12">
        <f ca="1">IF(TOTALCO!L825="", "",TOTALCO!L825)</f>
        <v>0</v>
      </c>
      <c r="M298" s="12" t="str">
        <f>IF(TOTALCO!M825="", "",TOTALCO!M825)</f>
        <v/>
      </c>
      <c r="N298" s="12">
        <f ca="1">IF(TOTALCO!N825="", "",TOTALCO!N825)</f>
        <v>0</v>
      </c>
      <c r="O298" s="12">
        <f ca="1">IF(TOTALCO!O825="", "",TOTALCO!O825)</f>
        <v>0</v>
      </c>
      <c r="P298" s="12">
        <f ca="1">IF(TOTALCO!P825="", "",TOTALCO!P825)</f>
        <v>0</v>
      </c>
      <c r="Q298" s="12"/>
      <c r="R298" s="13"/>
    </row>
    <row r="299" spans="1:18" ht="15" x14ac:dyDescent="0.2">
      <c r="A299" s="321">
        <f>IF(TOTALCO!A826="", "",TOTALCO!A826)</f>
        <v>10</v>
      </c>
      <c r="B299" s="4" t="str">
        <f>IF(TOTALCO!B826="", "",TOTALCO!B826)</f>
        <v xml:space="preserve">    TOTAL TRANSMISSION PLT</v>
      </c>
      <c r="C299" s="4" t="str">
        <f>IF(TOTALCO!C826="", "",TOTALCO!C826)</f>
        <v/>
      </c>
      <c r="D299" s="12">
        <f ca="1">IF(TOTALCO!D826="", "",TOTALCO!D826)</f>
        <v>62469362.025910512</v>
      </c>
      <c r="E299" s="12" t="str">
        <f>IF(TOTALCO!E826="", "",TOTALCO!E826)</f>
        <v/>
      </c>
      <c r="F299" s="12">
        <f ca="1">IF(TOTALCO!F826="", "",TOTALCO!F826)</f>
        <v>56460538.945625477</v>
      </c>
      <c r="G299" s="12" t="str">
        <f>IF(TOTALCO!G826="", "",TOTALCO!G826)</f>
        <v/>
      </c>
      <c r="H299" s="12">
        <f ca="1">IF(TOTALCO!H826="", "",TOTALCO!H826)</f>
        <v>6008642.3078750223</v>
      </c>
      <c r="I299" s="12">
        <f ca="1">IF(TOTALCO!I826="", "",TOTALCO!I826)</f>
        <v>180.77241001462431</v>
      </c>
      <c r="J299" s="12" t="str">
        <f>IF(TOTALCO!J826="", "",TOTALCO!J826)</f>
        <v/>
      </c>
      <c r="K299" s="12" t="str">
        <f>IF(TOTALCO!K826="", "",TOTALCO!K826)</f>
        <v/>
      </c>
      <c r="L299" s="12">
        <f ca="1">IF(TOTALCO!L826="", "",TOTALCO!L826)</f>
        <v>180.77241001462431</v>
      </c>
      <c r="M299" s="12" t="str">
        <f>IF(TOTALCO!M826="", "",TOTALCO!M826)</f>
        <v/>
      </c>
      <c r="N299" s="12">
        <f ca="1">IF(TOTALCO!N826="", "",TOTALCO!N826)</f>
        <v>0</v>
      </c>
      <c r="O299" s="12">
        <f ca="1">IF(TOTALCO!O826="", "",TOTALCO!O826)</f>
        <v>0</v>
      </c>
      <c r="P299" s="12">
        <f ca="1">IF(TOTALCO!P826="", "",TOTALCO!P826)</f>
        <v>0</v>
      </c>
      <c r="Q299" s="12"/>
      <c r="R299" s="13"/>
    </row>
    <row r="300" spans="1:18" ht="15" x14ac:dyDescent="0.2">
      <c r="A300" s="321" t="str">
        <f>IF(TOTALCO!A827="", "",TOTALCO!A827)</f>
        <v/>
      </c>
      <c r="B300" s="4" t="str">
        <f>IF(TOTALCO!B827="", "",TOTALCO!B827)</f>
        <v/>
      </c>
      <c r="C300" s="4" t="str">
        <f>IF(TOTALCO!C827="", "",TOTALCO!C827)</f>
        <v/>
      </c>
      <c r="D300" s="12" t="str">
        <f>IF(TOTALCO!D827="", "",TOTALCO!D827)</f>
        <v/>
      </c>
      <c r="E300" s="12" t="str">
        <f>IF(TOTALCO!E827="", "",TOTALCO!E827)</f>
        <v/>
      </c>
      <c r="F300" s="12" t="str">
        <f>IF(TOTALCO!F827="", "",TOTALCO!F827)</f>
        <v/>
      </c>
      <c r="G300" s="12" t="str">
        <f>IF(TOTALCO!G827="", "",TOTALCO!G827)</f>
        <v/>
      </c>
      <c r="H300" s="12" t="str">
        <f>IF(TOTALCO!H827="", "",TOTALCO!H827)</f>
        <v/>
      </c>
      <c r="I300" s="12" t="str">
        <f>IF(TOTALCO!I827="", "",TOTALCO!I827)</f>
        <v/>
      </c>
      <c r="J300" s="12" t="str">
        <f>IF(TOTALCO!J827="", "",TOTALCO!J827)</f>
        <v/>
      </c>
      <c r="K300" s="12" t="str">
        <f>IF(TOTALCO!K827="", "",TOTALCO!K827)</f>
        <v/>
      </c>
      <c r="L300" s="12" t="str">
        <f>IF(TOTALCO!L827="", "",TOTALCO!L827)</f>
        <v/>
      </c>
      <c r="M300" s="12" t="str">
        <f>IF(TOTALCO!M827="", "",TOTALCO!M827)</f>
        <v/>
      </c>
      <c r="N300" s="12" t="str">
        <f>IF(TOTALCO!N827="", "",TOTALCO!N827)</f>
        <v/>
      </c>
      <c r="O300" s="12" t="str">
        <f>IF(TOTALCO!O827="", "",TOTALCO!O827)</f>
        <v/>
      </c>
      <c r="P300" s="12" t="str">
        <f>IF(TOTALCO!P827="", "",TOTALCO!P827)</f>
        <v/>
      </c>
      <c r="Q300" s="12"/>
      <c r="R300" s="13"/>
    </row>
    <row r="301" spans="1:18" ht="15" x14ac:dyDescent="0.2">
      <c r="A301" s="321">
        <f>IF(TOTALCO!A828="", "",TOTALCO!A828)</f>
        <v>11</v>
      </c>
      <c r="B301" s="4" t="str">
        <f>IF(TOTALCO!B828="", "",TOTALCO!B828)</f>
        <v xml:space="preserve"> DISTRIBUTION - VA &amp; TN </v>
      </c>
      <c r="C301" s="4" t="str">
        <f>IF(TOTALCO!C828="", "",TOTALCO!C828)</f>
        <v>DIRCWIP</v>
      </c>
      <c r="D301" s="12">
        <f ca="1">IF(TOTALCO!D828="", "",TOTALCO!D828)</f>
        <v>8760.6189088464362</v>
      </c>
      <c r="E301" s="12" t="str">
        <f>IF(TOTALCO!E828="", "",TOTALCO!E828)</f>
        <v/>
      </c>
      <c r="F301" s="12">
        <f ca="1">IF(TOTALCO!F828="", "",TOTALCO!F828)</f>
        <v>0</v>
      </c>
      <c r="G301" s="12" t="str">
        <f>IF(TOTALCO!G828="", "",TOTALCO!G828)</f>
        <v/>
      </c>
      <c r="H301" s="12">
        <f ca="1">IF(TOTALCO!H828="", "",TOTALCO!H828)</f>
        <v>8760.6189088464362</v>
      </c>
      <c r="I301" s="12">
        <f ca="1">IF(TOTALCO!I828="", "",TOTALCO!I828)</f>
        <v>0</v>
      </c>
      <c r="J301" s="12" t="str">
        <f>IF(TOTALCO!J828="", "",TOTALCO!J828)</f>
        <v/>
      </c>
      <c r="K301" s="12" t="str">
        <f>IF(TOTALCO!K828="", "",TOTALCO!K828)</f>
        <v/>
      </c>
      <c r="L301" s="12">
        <f ca="1">IF(TOTALCO!L828="", "",TOTALCO!L828)</f>
        <v>0</v>
      </c>
      <c r="M301" s="12" t="str">
        <f>IF(TOTALCO!M828="", "",TOTALCO!M828)</f>
        <v/>
      </c>
      <c r="N301" s="12">
        <f ca="1">IF(TOTALCO!N828="", "",TOTALCO!N828)</f>
        <v>0</v>
      </c>
      <c r="O301" s="12">
        <f ca="1">IF(TOTALCO!O828="", "",TOTALCO!O828)</f>
        <v>0</v>
      </c>
      <c r="P301" s="12">
        <f ca="1">IF(TOTALCO!P828="", "",TOTALCO!P828)</f>
        <v>0</v>
      </c>
      <c r="Q301" s="12"/>
      <c r="R301" s="13"/>
    </row>
    <row r="302" spans="1:18" ht="15" x14ac:dyDescent="0.2">
      <c r="A302" s="321">
        <f>IF(TOTALCO!A829="", "",TOTALCO!A829)</f>
        <v>12</v>
      </c>
      <c r="B302" s="4" t="str">
        <f>IF(TOTALCO!B829="", "",TOTALCO!B829)</f>
        <v xml:space="preserve"> DISTRIBUTION - KY &amp; FERC</v>
      </c>
      <c r="C302" s="4" t="str">
        <f>IF(TOTALCO!C829="", "",TOTALCO!C829)</f>
        <v>PLANTKY</v>
      </c>
      <c r="D302" s="12">
        <f ca="1">IF(TOTALCO!D829="", "",TOTALCO!D829)</f>
        <v>20275974.271796197</v>
      </c>
      <c r="E302" s="12" t="str">
        <f>IF(TOTALCO!E829="", "",TOTALCO!E829)</f>
        <v/>
      </c>
      <c r="F302" s="12">
        <f ca="1">IF(TOTALCO!F829="", "",TOTALCO!F829)</f>
        <v>20275974.271796197</v>
      </c>
      <c r="G302" s="12" t="str">
        <f>IF(TOTALCO!G829="", "",TOTALCO!G829)</f>
        <v/>
      </c>
      <c r="H302" s="12">
        <f ca="1">IF(TOTALCO!H829="", "",TOTALCO!H829)</f>
        <v>0</v>
      </c>
      <c r="I302" s="12">
        <f ca="1">IF(TOTALCO!I829="", "",TOTALCO!I829)</f>
        <v>0</v>
      </c>
      <c r="J302" s="12" t="str">
        <f>IF(TOTALCO!J829="", "",TOTALCO!J829)</f>
        <v/>
      </c>
      <c r="K302" s="12" t="str">
        <f>IF(TOTALCO!K829="", "",TOTALCO!K829)</f>
        <v/>
      </c>
      <c r="L302" s="12">
        <f ca="1">IF(TOTALCO!L829="", "",TOTALCO!L829)</f>
        <v>0</v>
      </c>
      <c r="M302" s="12" t="str">
        <f>IF(TOTALCO!M829="", "",TOTALCO!M829)</f>
        <v/>
      </c>
      <c r="N302" s="12">
        <f ca="1">IF(TOTALCO!N829="", "",TOTALCO!N829)</f>
        <v>0</v>
      </c>
      <c r="O302" s="12">
        <f ca="1">IF(TOTALCO!O829="", "",TOTALCO!O829)</f>
        <v>0</v>
      </c>
      <c r="P302" s="12">
        <f ca="1">IF(TOTALCO!P829="", "",TOTALCO!P829)</f>
        <v>0</v>
      </c>
      <c r="Q302" s="12"/>
      <c r="R302" s="13"/>
    </row>
    <row r="303" spans="1:18" ht="15" x14ac:dyDescent="0.2">
      <c r="A303" s="321">
        <f>IF(TOTALCO!A830="", "",TOTALCO!A830)</f>
        <v>13</v>
      </c>
      <c r="B303" s="4" t="str">
        <f>IF(TOTALCO!B830="", "",TOTALCO!B830)</f>
        <v xml:space="preserve">    TOTAL DISTRIBUTION PLT</v>
      </c>
      <c r="C303" s="4" t="str">
        <f>IF(TOTALCO!C830="", "",TOTALCO!C830)</f>
        <v/>
      </c>
      <c r="D303" s="12">
        <f ca="1">IF(TOTALCO!D830="", "",TOTALCO!D830)</f>
        <v>20284734.890705042</v>
      </c>
      <c r="E303" s="12" t="str">
        <f>IF(TOTALCO!E830="", "",TOTALCO!E830)</f>
        <v/>
      </c>
      <c r="F303" s="12">
        <f ca="1">IF(TOTALCO!F830="", "",TOTALCO!F830)</f>
        <v>20275974.271796197</v>
      </c>
      <c r="G303" s="12" t="str">
        <f>IF(TOTALCO!G830="", "",TOTALCO!G830)</f>
        <v/>
      </c>
      <c r="H303" s="12">
        <f ca="1">IF(TOTALCO!H830="", "",TOTALCO!H830)</f>
        <v>8760.6189088464362</v>
      </c>
      <c r="I303" s="12">
        <f ca="1">IF(TOTALCO!I830="", "",TOTALCO!I830)</f>
        <v>0</v>
      </c>
      <c r="J303" s="12" t="str">
        <f>IF(TOTALCO!J830="", "",TOTALCO!J830)</f>
        <v/>
      </c>
      <c r="K303" s="12" t="str">
        <f>IF(TOTALCO!K830="", "",TOTALCO!K830)</f>
        <v/>
      </c>
      <c r="L303" s="12">
        <f ca="1">IF(TOTALCO!L830="", "",TOTALCO!L830)</f>
        <v>0</v>
      </c>
      <c r="M303" s="12" t="str">
        <f>IF(TOTALCO!M830="", "",TOTALCO!M830)</f>
        <v/>
      </c>
      <c r="N303" s="12">
        <f ca="1">IF(TOTALCO!N830="", "",TOTALCO!N830)</f>
        <v>0</v>
      </c>
      <c r="O303" s="12">
        <f ca="1">IF(TOTALCO!O830="", "",TOTALCO!O830)</f>
        <v>0</v>
      </c>
      <c r="P303" s="12">
        <f ca="1">IF(TOTALCO!P830="", "",TOTALCO!P830)</f>
        <v>0</v>
      </c>
      <c r="Q303" s="12"/>
      <c r="R303" s="13"/>
    </row>
    <row r="304" spans="1:18" ht="15" x14ac:dyDescent="0.2">
      <c r="A304" s="321" t="str">
        <f>IF(TOTALCO!A831="", "",TOTALCO!A831)</f>
        <v/>
      </c>
      <c r="B304" s="4" t="str">
        <f>IF(TOTALCO!B831="", "",TOTALCO!B831)</f>
        <v/>
      </c>
      <c r="C304" s="4" t="str">
        <f>IF(TOTALCO!C831="", "",TOTALCO!C831)</f>
        <v/>
      </c>
      <c r="D304" s="12" t="str">
        <f>IF(TOTALCO!D831="", "",TOTALCO!D831)</f>
        <v/>
      </c>
      <c r="E304" s="12" t="str">
        <f>IF(TOTALCO!E831="", "",TOTALCO!E831)</f>
        <v/>
      </c>
      <c r="F304" s="12" t="str">
        <f>IF(TOTALCO!F831="", "",TOTALCO!F831)</f>
        <v/>
      </c>
      <c r="G304" s="12" t="str">
        <f>IF(TOTALCO!G831="", "",TOTALCO!G831)</f>
        <v/>
      </c>
      <c r="H304" s="12" t="str">
        <f>IF(TOTALCO!H831="", "",TOTALCO!H831)</f>
        <v/>
      </c>
      <c r="I304" s="12" t="str">
        <f>IF(TOTALCO!I831="", "",TOTALCO!I831)</f>
        <v/>
      </c>
      <c r="J304" s="12" t="str">
        <f>IF(TOTALCO!J831="", "",TOTALCO!J831)</f>
        <v/>
      </c>
      <c r="K304" s="12" t="str">
        <f>IF(TOTALCO!K831="", "",TOTALCO!K831)</f>
        <v/>
      </c>
      <c r="L304" s="12" t="str">
        <f>IF(TOTALCO!L831="", "",TOTALCO!L831)</f>
        <v/>
      </c>
      <c r="M304" s="12" t="str">
        <f>IF(TOTALCO!M831="", "",TOTALCO!M831)</f>
        <v/>
      </c>
      <c r="N304" s="12" t="str">
        <f>IF(TOTALCO!N831="", "",TOTALCO!N831)</f>
        <v/>
      </c>
      <c r="O304" s="12" t="str">
        <f>IF(TOTALCO!O831="", "",TOTALCO!O831)</f>
        <v/>
      </c>
      <c r="P304" s="12" t="str">
        <f>IF(TOTALCO!P831="", "",TOTALCO!P831)</f>
        <v/>
      </c>
      <c r="Q304" s="12"/>
      <c r="R304" s="13"/>
    </row>
    <row r="305" spans="1:18" ht="15" x14ac:dyDescent="0.2">
      <c r="A305" s="321">
        <f>IF(TOTALCO!A832="", "",TOTALCO!A832)</f>
        <v>14</v>
      </c>
      <c r="B305" s="4" t="str">
        <f>IF(TOTALCO!B832="", "",TOTALCO!B832)</f>
        <v xml:space="preserve"> GENERAL</v>
      </c>
      <c r="C305" s="4" t="str">
        <f>IF(TOTALCO!C832="", "",TOTALCO!C832)</f>
        <v>GENPLT</v>
      </c>
      <c r="D305" s="12">
        <f ca="1">IF(TOTALCO!D832="", "",TOTALCO!D832)</f>
        <v>23058636.33460116</v>
      </c>
      <c r="E305" s="12" t="str">
        <f>IF(TOTALCO!E832="", "",TOTALCO!E832)</f>
        <v/>
      </c>
      <c r="F305" s="12">
        <f ca="1">IF(TOTALCO!F832="", "",TOTALCO!F832)</f>
        <v>21738681.704526655</v>
      </c>
      <c r="G305" s="12" t="str">
        <f>IF(TOTALCO!G832="", "",TOTALCO!G832)</f>
        <v/>
      </c>
      <c r="H305" s="12">
        <f ca="1">IF(TOTALCO!H832="", "",TOTALCO!H832)</f>
        <v>1053478.7919076008</v>
      </c>
      <c r="I305" s="12">
        <f ca="1">IF(TOTALCO!I832="", "",TOTALCO!I832)</f>
        <v>266475.83816690219</v>
      </c>
      <c r="J305" s="12" t="str">
        <f>IF(TOTALCO!J832="", "",TOTALCO!J832)</f>
        <v/>
      </c>
      <c r="K305" s="12" t="str">
        <f>IF(TOTALCO!K832="", "",TOTALCO!K832)</f>
        <v/>
      </c>
      <c r="L305" s="12">
        <f ca="1">IF(TOTALCO!L832="", "",TOTALCO!L832)</f>
        <v>1499.2324610588728</v>
      </c>
      <c r="M305" s="12" t="str">
        <f>IF(TOTALCO!M832="", "",TOTALCO!M832)</f>
        <v/>
      </c>
      <c r="N305" s="12">
        <f ca="1">IF(TOTALCO!N832="", "",TOTALCO!N832)</f>
        <v>264976.60570584331</v>
      </c>
      <c r="O305" s="12">
        <f ca="1">IF(TOTALCO!O832="", "",TOTALCO!O832)</f>
        <v>138126.92866751735</v>
      </c>
      <c r="P305" s="12">
        <f ca="1">IF(TOTALCO!P832="", "",TOTALCO!P832)</f>
        <v>126849.67703832594</v>
      </c>
      <c r="Q305" s="12"/>
      <c r="R305" s="13"/>
    </row>
    <row r="306" spans="1:18" ht="15" x14ac:dyDescent="0.2">
      <c r="A306" s="321" t="str">
        <f>IF(TOTALCO!A833="", "",TOTALCO!A833)</f>
        <v/>
      </c>
      <c r="B306" s="4" t="str">
        <f>IF(TOTALCO!B833="", "",TOTALCO!B833)</f>
        <v/>
      </c>
      <c r="C306" s="4" t="str">
        <f>IF(TOTALCO!C833="", "",TOTALCO!C833)</f>
        <v/>
      </c>
      <c r="D306" s="12" t="str">
        <f>IF(TOTALCO!D833="", "",TOTALCO!D833)</f>
        <v/>
      </c>
      <c r="E306" s="12" t="str">
        <f>IF(TOTALCO!E833="", "",TOTALCO!E833)</f>
        <v/>
      </c>
      <c r="F306" s="12" t="str">
        <f>IF(TOTALCO!F833="", "",TOTALCO!F833)</f>
        <v/>
      </c>
      <c r="G306" s="12" t="str">
        <f>IF(TOTALCO!G833="", "",TOTALCO!G833)</f>
        <v/>
      </c>
      <c r="H306" s="12" t="str">
        <f>IF(TOTALCO!H833="", "",TOTALCO!H833)</f>
        <v/>
      </c>
      <c r="I306" s="12" t="str">
        <f>IF(TOTALCO!I833="", "",TOTALCO!I833)</f>
        <v/>
      </c>
      <c r="J306" s="12" t="str">
        <f>IF(TOTALCO!J833="", "",TOTALCO!J833)</f>
        <v/>
      </c>
      <c r="K306" s="12" t="str">
        <f>IF(TOTALCO!K833="", "",TOTALCO!K833)</f>
        <v/>
      </c>
      <c r="L306" s="12" t="str">
        <f>IF(TOTALCO!L833="", "",TOTALCO!L833)</f>
        <v/>
      </c>
      <c r="M306" s="12" t="str">
        <f>IF(TOTALCO!M833="", "",TOTALCO!M833)</f>
        <v/>
      </c>
      <c r="N306" s="12" t="str">
        <f>IF(TOTALCO!N833="", "",TOTALCO!N833)</f>
        <v/>
      </c>
      <c r="O306" s="12" t="str">
        <f>IF(TOTALCO!O833="", "",TOTALCO!O833)</f>
        <v/>
      </c>
      <c r="P306" s="12" t="str">
        <f>IF(TOTALCO!P833="", "",TOTALCO!P833)</f>
        <v/>
      </c>
      <c r="Q306" s="12"/>
      <c r="R306" s="13"/>
    </row>
    <row r="307" spans="1:18" ht="15" x14ac:dyDescent="0.2">
      <c r="A307" s="321">
        <f>IF(TOTALCO!A834="", "",TOTALCO!A834)</f>
        <v>15</v>
      </c>
      <c r="B307" s="4" t="str">
        <f>IF(TOTALCO!B834="", "",TOTALCO!B834)</f>
        <v>TOTAL CWIP</v>
      </c>
      <c r="C307" s="4" t="str">
        <f>IF(TOTALCO!C834="", "",TOTALCO!C834)</f>
        <v/>
      </c>
      <c r="D307" s="12">
        <f ca="1">IF(TOTALCO!D834="", "",TOTALCO!D834)</f>
        <v>233249502.22749329</v>
      </c>
      <c r="E307" s="12" t="str">
        <f>IF(TOTALCO!E834="", "",TOTALCO!E834)</f>
        <v/>
      </c>
      <c r="F307" s="12">
        <f ca="1">IF(TOTALCO!F834="", "",TOTALCO!F834)</f>
        <v>217783949.3517569</v>
      </c>
      <c r="G307" s="12" t="str">
        <f>IF(TOTALCO!G834="", "",TOTALCO!G834)</f>
        <v/>
      </c>
      <c r="H307" s="12">
        <f ca="1">IF(TOTALCO!H834="", "",TOTALCO!H834)</f>
        <v>12499879.896325186</v>
      </c>
      <c r="I307" s="12">
        <f ca="1">IF(TOTALCO!I834="", "",TOTALCO!I834)</f>
        <v>2965672.9794111778</v>
      </c>
      <c r="J307" s="12" t="str">
        <f>IF(TOTALCO!J834="", "",TOTALCO!J834)</f>
        <v/>
      </c>
      <c r="K307" s="12" t="str">
        <f>IF(TOTALCO!K834="", "",TOTALCO!K834)</f>
        <v/>
      </c>
      <c r="L307" s="12">
        <f ca="1">IF(TOTALCO!L834="", "",TOTALCO!L834)</f>
        <v>2060.565244668649</v>
      </c>
      <c r="M307" s="12" t="str">
        <f>IF(TOTALCO!M834="", "",TOTALCO!M834)</f>
        <v/>
      </c>
      <c r="N307" s="12">
        <f ca="1">IF(TOTALCO!N834="", "",TOTALCO!N834)</f>
        <v>2963612.4141665092</v>
      </c>
      <c r="O307" s="12">
        <f ca="1">IF(TOTALCO!O834="", "",TOTALCO!O834)</f>
        <v>1506799.5911952925</v>
      </c>
      <c r="P307" s="12">
        <f ca="1">IF(TOTALCO!P834="", "",TOTALCO!P834)</f>
        <v>1456812.8229712166</v>
      </c>
      <c r="Q307" s="12"/>
      <c r="R307" s="13"/>
    </row>
    <row r="308" spans="1:18" ht="15" x14ac:dyDescent="0.2">
      <c r="A308" s="321" t="str">
        <f>IF(TOTALCO!A835="", "",TOTALCO!A835)</f>
        <v/>
      </c>
      <c r="B308" s="4" t="str">
        <f>IF(TOTALCO!B835="", "",TOTALCO!B835)</f>
        <v/>
      </c>
      <c r="C308" s="4" t="str">
        <f>IF(TOTALCO!C835="", "",TOTALCO!C835)</f>
        <v/>
      </c>
      <c r="D308" s="12" t="str">
        <f>IF(TOTALCO!D835="", "",TOTALCO!D835)</f>
        <v/>
      </c>
      <c r="E308" s="12" t="str">
        <f>IF(TOTALCO!E835="", "",TOTALCO!E835)</f>
        <v/>
      </c>
      <c r="F308" s="12" t="str">
        <f>IF(TOTALCO!F835="", "",TOTALCO!F835)</f>
        <v/>
      </c>
      <c r="G308" s="12" t="str">
        <f>IF(TOTALCO!G835="", "",TOTALCO!G835)</f>
        <v/>
      </c>
      <c r="H308" s="12" t="str">
        <f>IF(TOTALCO!H835="", "",TOTALCO!H835)</f>
        <v/>
      </c>
      <c r="I308" s="12" t="str">
        <f>IF(TOTALCO!I835="", "",TOTALCO!I835)</f>
        <v/>
      </c>
      <c r="J308" s="12" t="str">
        <f>IF(TOTALCO!J835="", "",TOTALCO!J835)</f>
        <v/>
      </c>
      <c r="K308" s="12" t="str">
        <f>IF(TOTALCO!K835="", "",TOTALCO!K835)</f>
        <v/>
      </c>
      <c r="L308" s="12" t="str">
        <f>IF(TOTALCO!L835="", "",TOTALCO!L835)</f>
        <v/>
      </c>
      <c r="M308" s="12" t="str">
        <f>IF(TOTALCO!M835="", "",TOTALCO!M835)</f>
        <v/>
      </c>
      <c r="N308" s="12" t="str">
        <f>IF(TOTALCO!N835="", "",TOTALCO!N835)</f>
        <v/>
      </c>
      <c r="O308" s="12" t="str">
        <f>IF(TOTALCO!O835="", "",TOTALCO!O835)</f>
        <v/>
      </c>
      <c r="P308" s="12" t="str">
        <f>IF(TOTALCO!P835="", "",TOTALCO!P835)</f>
        <v/>
      </c>
      <c r="Q308" s="12"/>
      <c r="R308" s="13"/>
    </row>
    <row r="309" spans="1:18" ht="15" x14ac:dyDescent="0.2">
      <c r="A309" s="321" t="str">
        <f>IF(TOTALCO!A836="", "",TOTALCO!A836)</f>
        <v/>
      </c>
      <c r="B309" s="4" t="str">
        <f>IF(TOTALCO!B836="", "",TOTALCO!B836)</f>
        <v>WORKING CAPITAL</v>
      </c>
      <c r="C309" s="4" t="str">
        <f>IF(TOTALCO!C836="", "",TOTALCO!C836)</f>
        <v/>
      </c>
      <c r="D309" s="12" t="str">
        <f>IF(TOTALCO!D836="", "",TOTALCO!D836)</f>
        <v/>
      </c>
      <c r="E309" s="12" t="str">
        <f>IF(TOTALCO!E836="", "",TOTALCO!E836)</f>
        <v/>
      </c>
      <c r="F309" s="12" t="str">
        <f>IF(TOTALCO!F836="", "",TOTALCO!F836)</f>
        <v/>
      </c>
      <c r="G309" s="12" t="str">
        <f>IF(TOTALCO!G836="", "",TOTALCO!G836)</f>
        <v/>
      </c>
      <c r="H309" s="12" t="str">
        <f>IF(TOTALCO!H836="", "",TOTALCO!H836)</f>
        <v/>
      </c>
      <c r="I309" s="12" t="str">
        <f>IF(TOTALCO!I836="", "",TOTALCO!I836)</f>
        <v/>
      </c>
      <c r="J309" s="12" t="str">
        <f>IF(TOTALCO!J836="", "",TOTALCO!J836)</f>
        <v/>
      </c>
      <c r="K309" s="12" t="str">
        <f>IF(TOTALCO!K836="", "",TOTALCO!K836)</f>
        <v/>
      </c>
      <c r="L309" s="12" t="str">
        <f>IF(TOTALCO!L836="", "",TOTALCO!L836)</f>
        <v/>
      </c>
      <c r="M309" s="12" t="str">
        <f>IF(TOTALCO!M836="", "",TOTALCO!M836)</f>
        <v/>
      </c>
      <c r="N309" s="12" t="str">
        <f>IF(TOTALCO!N836="", "",TOTALCO!N836)</f>
        <v/>
      </c>
      <c r="O309" s="12" t="str">
        <f>IF(TOTALCO!O836="", "",TOTALCO!O836)</f>
        <v/>
      </c>
      <c r="P309" s="12" t="str">
        <f>IF(TOTALCO!P836="", "",TOTALCO!P836)</f>
        <v/>
      </c>
      <c r="Q309" s="12"/>
      <c r="R309" s="13"/>
    </row>
    <row r="310" spans="1:18" ht="15" x14ac:dyDescent="0.2">
      <c r="A310" s="321" t="str">
        <f>IF(TOTALCO!A837="", "",TOTALCO!A837)</f>
        <v/>
      </c>
      <c r="B310" s="4" t="str">
        <f>IF(TOTALCO!B837="", "",TOTALCO!B837)</f>
        <v xml:space="preserve"> MATERIALS &amp; SUPPLIES</v>
      </c>
      <c r="C310" s="4" t="str">
        <f>IF(TOTALCO!C837="", "",TOTALCO!C837)</f>
        <v/>
      </c>
      <c r="D310" s="12" t="str">
        <f>IF(TOTALCO!D837="", "",TOTALCO!D837)</f>
        <v/>
      </c>
      <c r="E310" s="12" t="str">
        <f>IF(TOTALCO!E837="", "",TOTALCO!E837)</f>
        <v/>
      </c>
      <c r="F310" s="12" t="str">
        <f>IF(TOTALCO!F837="", "",TOTALCO!F837)</f>
        <v/>
      </c>
      <c r="G310" s="12" t="str">
        <f>IF(TOTALCO!G837="", "",TOTALCO!G837)</f>
        <v/>
      </c>
      <c r="H310" s="12" t="str">
        <f>IF(TOTALCO!H837="", "",TOTALCO!H837)</f>
        <v/>
      </c>
      <c r="I310" s="12" t="str">
        <f>IF(TOTALCO!I837="", "",TOTALCO!I837)</f>
        <v/>
      </c>
      <c r="J310" s="12" t="str">
        <f>IF(TOTALCO!J837="", "",TOTALCO!J837)</f>
        <v/>
      </c>
      <c r="K310" s="12" t="str">
        <f>IF(TOTALCO!K837="", "",TOTALCO!K837)</f>
        <v/>
      </c>
      <c r="L310" s="12" t="str">
        <f>IF(TOTALCO!L837="", "",TOTALCO!L837)</f>
        <v/>
      </c>
      <c r="M310" s="12" t="str">
        <f>IF(TOTALCO!M837="", "",TOTALCO!M837)</f>
        <v/>
      </c>
      <c r="N310" s="12" t="str">
        <f>IF(TOTALCO!N837="", "",TOTALCO!N837)</f>
        <v/>
      </c>
      <c r="O310" s="12" t="str">
        <f>IF(TOTALCO!O837="", "",TOTALCO!O837)</f>
        <v/>
      </c>
      <c r="P310" s="12" t="str">
        <f>IF(TOTALCO!P837="", "",TOTALCO!P837)</f>
        <v/>
      </c>
      <c r="Q310" s="12"/>
      <c r="R310" s="13"/>
    </row>
    <row r="311" spans="1:18" ht="15" x14ac:dyDescent="0.2">
      <c r="A311" s="321">
        <f>IF(TOTALCO!A838="", "",TOTALCO!A838)</f>
        <v>16</v>
      </c>
      <c r="B311" s="4" t="str">
        <f>IF(TOTALCO!B838="", "",TOTALCO!B838)</f>
        <v xml:space="preserve">  FUEL STOCK</v>
      </c>
      <c r="C311" s="4" t="str">
        <f>IF(TOTALCO!C838="", "",TOTALCO!C838)</f>
        <v>ENERGY</v>
      </c>
      <c r="D311" s="12">
        <f ca="1">IF(TOTALCO!D838="", "",TOTALCO!D838)</f>
        <v>62955456.000000007</v>
      </c>
      <c r="E311" s="12" t="str">
        <f>IF(TOTALCO!E838="", "",TOTALCO!E838)</f>
        <v/>
      </c>
      <c r="F311" s="12">
        <f ca="1">IF(TOTALCO!F838="", "",TOTALCO!F838)</f>
        <v>59241660.740988947</v>
      </c>
      <c r="G311" s="12" t="str">
        <f>IF(TOTALCO!G838="", "",TOTALCO!G838)</f>
        <v/>
      </c>
      <c r="H311" s="12">
        <f ca="1">IF(TOTALCO!H838="", "",TOTALCO!H838)</f>
        <v>2416789.5602463312</v>
      </c>
      <c r="I311" s="12">
        <f ca="1">IF(TOTALCO!I838="", "",TOTALCO!I838)</f>
        <v>1297005.6987647284</v>
      </c>
      <c r="J311" s="12" t="str">
        <f>IF(TOTALCO!J838="", "",TOTALCO!J838)</f>
        <v/>
      </c>
      <c r="K311" s="12" t="str">
        <f>IF(TOTALCO!K838="", "",TOTALCO!K838)</f>
        <v/>
      </c>
      <c r="L311" s="12">
        <f ca="1">IF(TOTALCO!L838="", "",TOTALCO!L838)</f>
        <v>265.13329903306823</v>
      </c>
      <c r="M311" s="12" t="str">
        <f>IF(TOTALCO!M838="", "",TOTALCO!M838)</f>
        <v/>
      </c>
      <c r="N311" s="12">
        <f ca="1">IF(TOTALCO!N838="", "",TOTALCO!N838)</f>
        <v>1296740.5654656952</v>
      </c>
      <c r="O311" s="12">
        <f ca="1">IF(TOTALCO!O838="", "",TOTALCO!O838)</f>
        <v>656679.3526504836</v>
      </c>
      <c r="P311" s="12">
        <f ca="1">IF(TOTALCO!P838="", "",TOTALCO!P838)</f>
        <v>640061.2128152115</v>
      </c>
      <c r="Q311" s="12"/>
      <c r="R311" s="13"/>
    </row>
    <row r="312" spans="1:18" ht="15" x14ac:dyDescent="0.2">
      <c r="A312" s="321" t="str">
        <f>IF(TOTALCO!A839="", "",TOTALCO!A839)</f>
        <v/>
      </c>
      <c r="B312" s="4" t="str">
        <f>IF(TOTALCO!B839="", "",TOTALCO!B839)</f>
        <v xml:space="preserve">  PLANT MATERIAL &amp; SUPPLIES</v>
      </c>
      <c r="C312" s="4" t="str">
        <f>IF(TOTALCO!C839="", "",TOTALCO!C839)</f>
        <v/>
      </c>
      <c r="D312" s="12" t="str">
        <f>IF(TOTALCO!D839="", "",TOTALCO!D839)</f>
        <v/>
      </c>
      <c r="E312" s="12" t="str">
        <f>IF(TOTALCO!E839="", "",TOTALCO!E839)</f>
        <v/>
      </c>
      <c r="F312" s="12" t="str">
        <f>IF(TOTALCO!F839="", "",TOTALCO!F839)</f>
        <v/>
      </c>
      <c r="G312" s="12" t="str">
        <f>IF(TOTALCO!G839="", "",TOTALCO!G839)</f>
        <v/>
      </c>
      <c r="H312" s="12" t="str">
        <f>IF(TOTALCO!H839="", "",TOTALCO!H839)</f>
        <v/>
      </c>
      <c r="I312" s="12" t="str">
        <f>IF(TOTALCO!I839="", "",TOTALCO!I839)</f>
        <v/>
      </c>
      <c r="J312" s="12" t="str">
        <f>IF(TOTALCO!J839="", "",TOTALCO!J839)</f>
        <v/>
      </c>
      <c r="K312" s="12" t="str">
        <f>IF(TOTALCO!K839="", "",TOTALCO!K839)</f>
        <v/>
      </c>
      <c r="L312" s="12" t="str">
        <f>IF(TOTALCO!L839="", "",TOTALCO!L839)</f>
        <v/>
      </c>
      <c r="M312" s="12" t="str">
        <f>IF(TOTALCO!M839="", "",TOTALCO!M839)</f>
        <v/>
      </c>
      <c r="N312" s="12" t="str">
        <f>IF(TOTALCO!N839="", "",TOTALCO!N839)</f>
        <v/>
      </c>
      <c r="O312" s="12" t="str">
        <f>IF(TOTALCO!O839="", "",TOTALCO!O839)</f>
        <v/>
      </c>
      <c r="P312" s="12" t="str">
        <f>IF(TOTALCO!P839="", "",TOTALCO!P839)</f>
        <v/>
      </c>
      <c r="Q312" s="12"/>
      <c r="R312" s="13"/>
    </row>
    <row r="313" spans="1:18" ht="15" x14ac:dyDescent="0.2">
      <c r="A313" s="321">
        <f>IF(TOTALCO!A840="", "",TOTALCO!A840)</f>
        <v>17</v>
      </c>
      <c r="B313" s="4" t="str">
        <f>IF(TOTALCO!B840="", "",TOTALCO!B840)</f>
        <v xml:space="preserve">    PRODUCTION</v>
      </c>
      <c r="C313" s="4" t="str">
        <f>IF(TOTALCO!C840="", "",TOTALCO!C840)</f>
        <v>PRODPLT</v>
      </c>
      <c r="D313" s="12">
        <f ca="1">IF(TOTALCO!D840="", "",TOTALCO!D840)</f>
        <v>31487351.844800003</v>
      </c>
      <c r="E313" s="12" t="str">
        <f>IF(TOTALCO!E840="", "",TOTALCO!E840)</f>
        <v/>
      </c>
      <c r="F313" s="12">
        <f ca="1">IF(TOTALCO!F840="", "",TOTALCO!F840)</f>
        <v>29461036.358015776</v>
      </c>
      <c r="G313" s="12" t="str">
        <f>IF(TOTALCO!G840="", "",TOTALCO!G840)</f>
        <v/>
      </c>
      <c r="H313" s="12">
        <f ca="1">IF(TOTALCO!H840="", "",TOTALCO!H840)</f>
        <v>1368252.4246790328</v>
      </c>
      <c r="I313" s="12">
        <f ca="1">IF(TOTALCO!I840="", "",TOTALCO!I840)</f>
        <v>658063.06210519304</v>
      </c>
      <c r="J313" s="12" t="str">
        <f>IF(TOTALCO!J840="", "",TOTALCO!J840)</f>
        <v/>
      </c>
      <c r="K313" s="12" t="str">
        <f>IF(TOTALCO!K840="", "",TOTALCO!K840)</f>
        <v/>
      </c>
      <c r="L313" s="12">
        <f ca="1">IF(TOTALCO!L840="", "",TOTALCO!L840)</f>
        <v>94.074783090643962</v>
      </c>
      <c r="M313" s="12" t="str">
        <f>IF(TOTALCO!M840="", "",TOTALCO!M840)</f>
        <v/>
      </c>
      <c r="N313" s="12">
        <f ca="1">IF(TOTALCO!N840="", "",TOTALCO!N840)</f>
        <v>657968.98732210242</v>
      </c>
      <c r="O313" s="12">
        <f ca="1">IF(TOTALCO!O840="", "",TOTALCO!O840)</f>
        <v>333703.48192797723</v>
      </c>
      <c r="P313" s="12">
        <f ca="1">IF(TOTALCO!P840="", "",TOTALCO!P840)</f>
        <v>324265.50539412518</v>
      </c>
      <c r="Q313" s="12"/>
      <c r="R313" s="13"/>
    </row>
    <row r="314" spans="1:18" ht="15" x14ac:dyDescent="0.2">
      <c r="A314" s="321">
        <f>IF(TOTALCO!A841="", "",TOTALCO!A841)</f>
        <v>18</v>
      </c>
      <c r="B314" s="4" t="str">
        <f>IF(TOTALCO!B841="", "",TOTALCO!B841)</f>
        <v xml:space="preserve">    TRANSMISSION</v>
      </c>
      <c r="C314" s="4" t="str">
        <f>IF(TOTALCO!C841="", "",TOTALCO!C841)</f>
        <v>TRANPLTXF</v>
      </c>
      <c r="D314" s="12">
        <f ca="1">IF(TOTALCO!D841="", "",TOTALCO!D841)</f>
        <v>9701208.7550000008</v>
      </c>
      <c r="E314" s="12" t="str">
        <f>IF(TOTALCO!E841="", "",TOTALCO!E841)</f>
        <v/>
      </c>
      <c r="F314" s="12">
        <f ca="1">IF(TOTALCO!F841="", "",TOTALCO!F841)</f>
        <v>8786071.3120326865</v>
      </c>
      <c r="G314" s="12" t="str">
        <f>IF(TOTALCO!G841="", "",TOTALCO!G841)</f>
        <v/>
      </c>
      <c r="H314" s="12">
        <f ca="1">IF(TOTALCO!H841="", "",TOTALCO!H841)</f>
        <v>915109.31161262165</v>
      </c>
      <c r="I314" s="12">
        <f ca="1">IF(TOTALCO!I841="", "",TOTALCO!I841)</f>
        <v>28.131354692538558</v>
      </c>
      <c r="J314" s="12" t="str">
        <f>IF(TOTALCO!J841="", "",TOTALCO!J841)</f>
        <v/>
      </c>
      <c r="K314" s="12" t="str">
        <f>IF(TOTALCO!K841="", "",TOTALCO!K841)</f>
        <v/>
      </c>
      <c r="L314" s="12">
        <f ca="1">IF(TOTALCO!L841="", "",TOTALCO!L841)</f>
        <v>28.131354692538558</v>
      </c>
      <c r="M314" s="12" t="str">
        <f>IF(TOTALCO!M841="", "",TOTALCO!M841)</f>
        <v/>
      </c>
      <c r="N314" s="12">
        <f ca="1">IF(TOTALCO!N841="", "",TOTALCO!N841)</f>
        <v>0</v>
      </c>
      <c r="O314" s="12">
        <f ca="1">IF(TOTALCO!O841="", "",TOTALCO!O841)</f>
        <v>0</v>
      </c>
      <c r="P314" s="12">
        <f ca="1">IF(TOTALCO!P841="", "",TOTALCO!P841)</f>
        <v>0</v>
      </c>
      <c r="Q314" s="12"/>
      <c r="R314" s="13"/>
    </row>
    <row r="315" spans="1:18" ht="15" x14ac:dyDescent="0.2">
      <c r="A315" s="321">
        <f>IF(TOTALCO!A842="", "",TOTALCO!A842)</f>
        <v>19</v>
      </c>
      <c r="B315" s="4" t="str">
        <f>IF(TOTALCO!B842="", "",TOTALCO!B842)</f>
        <v xml:space="preserve">    DISTRIBUTION</v>
      </c>
      <c r="C315" s="4" t="str">
        <f>IF(TOTALCO!C842="", "",TOTALCO!C842)</f>
        <v>DISTPLT</v>
      </c>
      <c r="D315" s="12">
        <f ca="1">IF(TOTALCO!D842="", "",TOTALCO!D842)</f>
        <v>7016203.400200001</v>
      </c>
      <c r="E315" s="12" t="str">
        <f>IF(TOTALCO!E842="", "",TOTALCO!E842)</f>
        <v/>
      </c>
      <c r="F315" s="12">
        <f ca="1">IF(TOTALCO!F842="", "",TOTALCO!F842)</f>
        <v>6657013.3374711201</v>
      </c>
      <c r="G315" s="12" t="str">
        <f>IF(TOTALCO!G842="", "",TOTALCO!G842)</f>
        <v/>
      </c>
      <c r="H315" s="12">
        <f ca="1">IF(TOTALCO!H842="", "",TOTALCO!H842)</f>
        <v>344271.73500346928</v>
      </c>
      <c r="I315" s="12">
        <f ca="1">IF(TOTALCO!I842="", "",TOTALCO!I842)</f>
        <v>14918.327725411644</v>
      </c>
      <c r="J315" s="12" t="str">
        <f>IF(TOTALCO!J842="", "",TOTALCO!J842)</f>
        <v/>
      </c>
      <c r="K315" s="12" t="str">
        <f>IF(TOTALCO!K842="", "",TOTALCO!K842)</f>
        <v/>
      </c>
      <c r="L315" s="12">
        <f ca="1">IF(TOTALCO!L842="", "",TOTALCO!L842)</f>
        <v>2238.8109112763505</v>
      </c>
      <c r="M315" s="12" t="str">
        <f>IF(TOTALCO!M842="", "",TOTALCO!M842)</f>
        <v/>
      </c>
      <c r="N315" s="12">
        <f ca="1">IF(TOTALCO!N842="", "",TOTALCO!N842)</f>
        <v>12679.516814135293</v>
      </c>
      <c r="O315" s="12">
        <f ca="1">IF(TOTALCO!O842="", "",TOTALCO!O842)</f>
        <v>12586.618014286683</v>
      </c>
      <c r="P315" s="12">
        <f ca="1">IF(TOTALCO!P842="", "",TOTALCO!P842)</f>
        <v>92.898799848609784</v>
      </c>
      <c r="Q315" s="12"/>
      <c r="R315" s="13"/>
    </row>
    <row r="316" spans="1:18" ht="15" x14ac:dyDescent="0.2">
      <c r="A316" s="321">
        <f>IF(TOTALCO!A843="", "",TOTALCO!A843)</f>
        <v>20</v>
      </c>
      <c r="B316" s="4" t="str">
        <f>IF(TOTALCO!B843="", "",TOTALCO!B843)</f>
        <v xml:space="preserve">    GENERAL</v>
      </c>
      <c r="C316" s="4" t="str">
        <f>IF(TOTALCO!C843="", "",TOTALCO!C843)</f>
        <v>GENPLT</v>
      </c>
      <c r="D316" s="12">
        <f ca="1">IF(TOTALCO!D843="", "",TOTALCO!D843)</f>
        <v>0</v>
      </c>
      <c r="E316" s="12" t="str">
        <f>IF(TOTALCO!E843="", "",TOTALCO!E843)</f>
        <v/>
      </c>
      <c r="F316" s="12">
        <f ca="1">IF(TOTALCO!F843="", "",TOTALCO!F843)</f>
        <v>0</v>
      </c>
      <c r="G316" s="12" t="str">
        <f>IF(TOTALCO!G843="", "",TOTALCO!G843)</f>
        <v/>
      </c>
      <c r="H316" s="12">
        <f ca="1">IF(TOTALCO!H843="", "",TOTALCO!H843)</f>
        <v>0</v>
      </c>
      <c r="I316" s="12">
        <f ca="1">IF(TOTALCO!I843="", "",TOTALCO!I843)</f>
        <v>0</v>
      </c>
      <c r="J316" s="12" t="str">
        <f>IF(TOTALCO!J843="", "",TOTALCO!J843)</f>
        <v/>
      </c>
      <c r="K316" s="12" t="str">
        <f>IF(TOTALCO!K843="", "",TOTALCO!K843)</f>
        <v/>
      </c>
      <c r="L316" s="12">
        <f ca="1">IF(TOTALCO!L843="", "",TOTALCO!L843)</f>
        <v>0</v>
      </c>
      <c r="M316" s="12" t="str">
        <f>IF(TOTALCO!M843="", "",TOTALCO!M843)</f>
        <v/>
      </c>
      <c r="N316" s="12">
        <f ca="1">IF(TOTALCO!N843="", "",TOTALCO!N843)</f>
        <v>0</v>
      </c>
      <c r="O316" s="12">
        <f ca="1">IF(TOTALCO!O843="", "",TOTALCO!O843)</f>
        <v>0</v>
      </c>
      <c r="P316" s="12">
        <f ca="1">IF(TOTALCO!P843="", "",TOTALCO!P843)</f>
        <v>0</v>
      </c>
      <c r="Q316" s="12"/>
      <c r="R316" s="13"/>
    </row>
    <row r="317" spans="1:18" ht="15" x14ac:dyDescent="0.2">
      <c r="A317" s="321">
        <f>IF(TOTALCO!A844="", "",TOTALCO!A844)</f>
        <v>21</v>
      </c>
      <c r="B317" s="4" t="str">
        <f>IF(TOTALCO!B844="", "",TOTALCO!B844)</f>
        <v xml:space="preserve">    STORES UNDISTRIBUTED</v>
      </c>
      <c r="C317" s="4" t="str">
        <f>IF(TOTALCO!C844="", "",TOTALCO!C844)</f>
        <v>M_S</v>
      </c>
      <c r="D317" s="12">
        <f ca="1">IF(TOTALCO!D844="", "",TOTALCO!D844)</f>
        <v>12000185.000000002</v>
      </c>
      <c r="E317" s="12" t="str">
        <f>IF(TOTALCO!E844="", "",TOTALCO!E844)</f>
        <v/>
      </c>
      <c r="F317" s="12">
        <f ca="1">IF(TOTALCO!F844="", "",TOTALCO!F844)</f>
        <v>11178516.69915076</v>
      </c>
      <c r="G317" s="12" t="str">
        <f>IF(TOTALCO!G844="", "",TOTALCO!G844)</f>
        <v/>
      </c>
      <c r="H317" s="12">
        <f ca="1">IF(TOTALCO!H844="", "",TOTALCO!H844)</f>
        <v>654128.03945547109</v>
      </c>
      <c r="I317" s="12">
        <f ca="1">IF(TOTALCO!I844="", "",TOTALCO!I844)</f>
        <v>167540.26139376988</v>
      </c>
      <c r="J317" s="12" t="str">
        <f>IF(TOTALCO!J844="", "",TOTALCO!J844)</f>
        <v/>
      </c>
      <c r="K317" s="12" t="str">
        <f>IF(TOTALCO!K844="", "",TOTALCO!K844)</f>
        <v/>
      </c>
      <c r="L317" s="12">
        <f ca="1">IF(TOTALCO!L844="", "",TOTALCO!L844)</f>
        <v>587.75604371527402</v>
      </c>
      <c r="M317" s="12" t="str">
        <f>IF(TOTALCO!M844="", "",TOTALCO!M844)</f>
        <v/>
      </c>
      <c r="N317" s="12">
        <f ca="1">IF(TOTALCO!N844="", "",TOTALCO!N844)</f>
        <v>166952.50535005459</v>
      </c>
      <c r="O317" s="12">
        <f ca="1">IF(TOTALCO!O844="", "",TOTALCO!O844)</f>
        <v>86206.111557265511</v>
      </c>
      <c r="P317" s="12">
        <f ca="1">IF(TOTALCO!P844="", "",TOTALCO!P844)</f>
        <v>80746.393792789066</v>
      </c>
      <c r="Q317" s="12"/>
      <c r="R317" s="13"/>
    </row>
    <row r="318" spans="1:18" ht="15" x14ac:dyDescent="0.2">
      <c r="A318" s="321">
        <f>IF(TOTALCO!A845="", "",TOTALCO!A845)</f>
        <v>22</v>
      </c>
      <c r="B318" s="4" t="str">
        <f>IF(TOTALCO!B845="", "",TOTALCO!B845)</f>
        <v xml:space="preserve">  TOTAL PLT MAT &amp; SUPPLIES</v>
      </c>
      <c r="C318" s="4" t="str">
        <f>IF(TOTALCO!C845="", "",TOTALCO!C845)</f>
        <v/>
      </c>
      <c r="D318" s="12">
        <f ca="1">IF(TOTALCO!D845="", "",TOTALCO!D845)</f>
        <v>60204949</v>
      </c>
      <c r="E318" s="12" t="str">
        <f>IF(TOTALCO!E845="", "",TOTALCO!E845)</f>
        <v/>
      </c>
      <c r="F318" s="12">
        <f ca="1">IF(TOTALCO!F845="", "",TOTALCO!F845)</f>
        <v>56082637.706670344</v>
      </c>
      <c r="G318" s="12" t="str">
        <f>IF(TOTALCO!G845="", "",TOTALCO!G845)</f>
        <v/>
      </c>
      <c r="H318" s="12">
        <f ca="1">IF(TOTALCO!H845="", "",TOTALCO!H845)</f>
        <v>3281761.510750595</v>
      </c>
      <c r="I318" s="12">
        <f ca="1">IF(TOTALCO!I845="", "",TOTALCO!I845)</f>
        <v>840549.78257906705</v>
      </c>
      <c r="J318" s="12" t="str">
        <f>IF(TOTALCO!J845="", "",TOTALCO!J845)</f>
        <v/>
      </c>
      <c r="K318" s="12" t="str">
        <f>IF(TOTALCO!K845="", "",TOTALCO!K845)</f>
        <v/>
      </c>
      <c r="L318" s="12">
        <f ca="1">IF(TOTALCO!L845="", "",TOTALCO!L845)</f>
        <v>2948.7730927748071</v>
      </c>
      <c r="M318" s="12" t="str">
        <f>IF(TOTALCO!M845="", "",TOTALCO!M845)</f>
        <v/>
      </c>
      <c r="N318" s="12">
        <f ca="1">IF(TOTALCO!N845="", "",TOTALCO!N845)</f>
        <v>837601.00948629226</v>
      </c>
      <c r="O318" s="12">
        <f ca="1">IF(TOTALCO!O845="", "",TOTALCO!O845)</f>
        <v>432496.21149952943</v>
      </c>
      <c r="P318" s="12">
        <f ca="1">IF(TOTALCO!P845="", "",TOTALCO!P845)</f>
        <v>405104.79798676289</v>
      </c>
      <c r="Q318" s="12"/>
      <c r="R318" s="13"/>
    </row>
    <row r="319" spans="1:18" ht="15" x14ac:dyDescent="0.2">
      <c r="A319" s="321">
        <f>IF(TOTALCO!A846="", "",TOTALCO!A846)</f>
        <v>23</v>
      </c>
      <c r="B319" s="4" t="str">
        <f>IF(TOTALCO!B846="", "",TOTALCO!B846)</f>
        <v xml:space="preserve"> TOTAL MATERIALS &amp; SUPPLIES</v>
      </c>
      <c r="C319" s="4" t="str">
        <f>IF(TOTALCO!C846="", "",TOTALCO!C846)</f>
        <v/>
      </c>
      <c r="D319" s="12">
        <f ca="1">IF(TOTALCO!D846="", "",TOTALCO!D846)</f>
        <v>123160405</v>
      </c>
      <c r="E319" s="12" t="str">
        <f>IF(TOTALCO!E846="", "",TOTALCO!E846)</f>
        <v/>
      </c>
      <c r="F319" s="12">
        <f ca="1">IF(TOTALCO!F846="", "",TOTALCO!F846)</f>
        <v>115324298.44765928</v>
      </c>
      <c r="G319" s="12" t="str">
        <f>IF(TOTALCO!G846="", "",TOTALCO!G846)</f>
        <v/>
      </c>
      <c r="H319" s="12">
        <f ca="1">IF(TOTALCO!H846="", "",TOTALCO!H846)</f>
        <v>5698551.0709969262</v>
      </c>
      <c r="I319" s="12">
        <f ca="1">IF(TOTALCO!I846="", "",TOTALCO!I846)</f>
        <v>2137555.4813437955</v>
      </c>
      <c r="J319" s="12" t="str">
        <f>IF(TOTALCO!J846="", "",TOTALCO!J846)</f>
        <v/>
      </c>
      <c r="K319" s="12" t="str">
        <f>IF(TOTALCO!K846="", "",TOTALCO!K846)</f>
        <v/>
      </c>
      <c r="L319" s="12">
        <f ca="1">IF(TOTALCO!L846="", "",TOTALCO!L846)</f>
        <v>3213.9063918078755</v>
      </c>
      <c r="M319" s="12" t="str">
        <f>IF(TOTALCO!M846="", "",TOTALCO!M846)</f>
        <v/>
      </c>
      <c r="N319" s="12">
        <f ca="1">IF(TOTALCO!N846="", "",TOTALCO!N846)</f>
        <v>2134341.5749519877</v>
      </c>
      <c r="O319" s="12">
        <f ca="1">IF(TOTALCO!O846="", "",TOTALCO!O846)</f>
        <v>1089175.564150013</v>
      </c>
      <c r="P319" s="12">
        <f ca="1">IF(TOTALCO!P846="", "",TOTALCO!P846)</f>
        <v>1045166.0108019745</v>
      </c>
      <c r="Q319" s="12"/>
      <c r="R319" s="13"/>
    </row>
    <row r="320" spans="1:18" ht="15" x14ac:dyDescent="0.2">
      <c r="A320" s="321" t="str">
        <f>IF(TOTALCO!A847="", "",TOTALCO!A847)</f>
        <v/>
      </c>
      <c r="B320" s="4" t="str">
        <f>IF(TOTALCO!B847="", "",TOTALCO!B847)</f>
        <v/>
      </c>
      <c r="C320" s="4" t="str">
        <f>IF(TOTALCO!C847="", "",TOTALCO!C847)</f>
        <v/>
      </c>
      <c r="D320" s="12" t="str">
        <f>IF(TOTALCO!D847="", "",TOTALCO!D847)</f>
        <v/>
      </c>
      <c r="E320" s="12" t="str">
        <f>IF(TOTALCO!E847="", "",TOTALCO!E847)</f>
        <v/>
      </c>
      <c r="F320" s="12" t="str">
        <f>IF(TOTALCO!F847="", "",TOTALCO!F847)</f>
        <v/>
      </c>
      <c r="G320" s="12" t="str">
        <f>IF(TOTALCO!G847="", "",TOTALCO!G847)</f>
        <v/>
      </c>
      <c r="H320" s="12" t="str">
        <f>IF(TOTALCO!H847="", "",TOTALCO!H847)</f>
        <v/>
      </c>
      <c r="I320" s="12" t="str">
        <f>IF(TOTALCO!I847="", "",TOTALCO!I847)</f>
        <v/>
      </c>
      <c r="J320" s="12" t="str">
        <f>IF(TOTALCO!J847="", "",TOTALCO!J847)</f>
        <v/>
      </c>
      <c r="K320" s="12" t="str">
        <f>IF(TOTALCO!K847="", "",TOTALCO!K847)</f>
        <v/>
      </c>
      <c r="L320" s="12" t="str">
        <f>IF(TOTALCO!L847="", "",TOTALCO!L847)</f>
        <v/>
      </c>
      <c r="M320" s="12" t="str">
        <f>IF(TOTALCO!M847="", "",TOTALCO!M847)</f>
        <v/>
      </c>
      <c r="N320" s="12" t="str">
        <f>IF(TOTALCO!N847="", "",TOTALCO!N847)</f>
        <v/>
      </c>
      <c r="O320" s="12" t="str">
        <f>IF(TOTALCO!O847="", "",TOTALCO!O847)</f>
        <v/>
      </c>
      <c r="P320" s="12" t="str">
        <f>IF(TOTALCO!P847="", "",TOTALCO!P847)</f>
        <v/>
      </c>
      <c r="Q320" s="12"/>
      <c r="R320" s="13"/>
    </row>
    <row r="321" spans="1:18" ht="15" x14ac:dyDescent="0.2">
      <c r="A321" s="321" t="str">
        <f>IF(TOTALCO!A848="", "",TOTALCO!A848)</f>
        <v/>
      </c>
      <c r="B321" s="4" t="str">
        <f>IF(TOTALCO!B848="", "",TOTALCO!B848)</f>
        <v xml:space="preserve"> PREPAYMENTS</v>
      </c>
      <c r="C321" s="4" t="str">
        <f>IF(TOTALCO!C848="", "",TOTALCO!C848)</f>
        <v/>
      </c>
      <c r="D321" s="12" t="str">
        <f>IF(TOTALCO!D848="", "",TOTALCO!D848)</f>
        <v/>
      </c>
      <c r="E321" s="12" t="str">
        <f>IF(TOTALCO!E848="", "",TOTALCO!E848)</f>
        <v/>
      </c>
      <c r="F321" s="12" t="str">
        <f>IF(TOTALCO!F848="", "",TOTALCO!F848)</f>
        <v/>
      </c>
      <c r="G321" s="12" t="str">
        <f>IF(TOTALCO!G848="", "",TOTALCO!G848)</f>
        <v/>
      </c>
      <c r="H321" s="12" t="str">
        <f>IF(TOTALCO!H848="", "",TOTALCO!H848)</f>
        <v/>
      </c>
      <c r="I321" s="12" t="str">
        <f>IF(TOTALCO!I848="", "",TOTALCO!I848)</f>
        <v/>
      </c>
      <c r="J321" s="12" t="str">
        <f>IF(TOTALCO!J848="", "",TOTALCO!J848)</f>
        <v/>
      </c>
      <c r="K321" s="12" t="str">
        <f>IF(TOTALCO!K848="", "",TOTALCO!K848)</f>
        <v/>
      </c>
      <c r="L321" s="12" t="str">
        <f>IF(TOTALCO!L848="", "",TOTALCO!L848)</f>
        <v/>
      </c>
      <c r="M321" s="12" t="str">
        <f>IF(TOTALCO!M848="", "",TOTALCO!M848)</f>
        <v/>
      </c>
      <c r="N321" s="12" t="str">
        <f>IF(TOTALCO!N848="", "",TOTALCO!N848)</f>
        <v/>
      </c>
      <c r="O321" s="12" t="str">
        <f>IF(TOTALCO!O848="", "",TOTALCO!O848)</f>
        <v/>
      </c>
      <c r="P321" s="12" t="str">
        <f>IF(TOTALCO!P848="", "",TOTALCO!P848)</f>
        <v/>
      </c>
      <c r="Q321" s="12"/>
      <c r="R321" s="13"/>
    </row>
    <row r="322" spans="1:18" ht="15" x14ac:dyDescent="0.2">
      <c r="A322" s="321">
        <f>IF(TOTALCO!A849="", "",TOTALCO!A849)</f>
        <v>24</v>
      </c>
      <c r="B322" s="4" t="str">
        <f>IF(TOTALCO!B849="", "",TOTALCO!B849)</f>
        <v xml:space="preserve">  PREPAYMENTS OTHER THAN TAXES</v>
      </c>
      <c r="C322" s="4" t="str">
        <f>IF(TOTALCO!C849="", "",TOTALCO!C849)</f>
        <v>EXP9245TOT</v>
      </c>
      <c r="D322" s="12">
        <f ca="1">IF(TOTALCO!D849="", "",TOTALCO!D849)</f>
        <v>15827640.36401503</v>
      </c>
      <c r="E322" s="12" t="str">
        <f>IF(TOTALCO!E849="", "",TOTALCO!E849)</f>
        <v/>
      </c>
      <c r="F322" s="12">
        <f ca="1">IF(TOTALCO!F849="", "",TOTALCO!F849)</f>
        <v>15604608.223605685</v>
      </c>
      <c r="G322" s="12" t="str">
        <f>IF(TOTALCO!G849="", "",TOTALCO!G849)</f>
        <v/>
      </c>
      <c r="H322" s="12">
        <f>IF(TOTALCO!H849="", "",TOTALCO!H849)</f>
        <v>0</v>
      </c>
      <c r="I322" s="12">
        <f ca="1">IF(TOTALCO!I849="", "",TOTALCO!I849)</f>
        <v>223032.14040934504</v>
      </c>
      <c r="J322" s="12" t="str">
        <f>IF(TOTALCO!J849="", "",TOTALCO!J849)</f>
        <v/>
      </c>
      <c r="K322" s="12" t="str">
        <f>IF(TOTALCO!K849="", "",TOTALCO!K849)</f>
        <v/>
      </c>
      <c r="L322" s="12">
        <f ca="1">IF(TOTALCO!L849="", "",TOTALCO!L849)</f>
        <v>1133.8842851194138</v>
      </c>
      <c r="M322" s="12" t="str">
        <f>IF(TOTALCO!M849="", "",TOTALCO!M849)</f>
        <v/>
      </c>
      <c r="N322" s="12">
        <f ca="1">IF(TOTALCO!N849="", "",TOTALCO!N849)</f>
        <v>221898.25612422562</v>
      </c>
      <c r="O322" s="12">
        <f ca="1">IF(TOTALCO!O849="", "",TOTALCO!O849)</f>
        <v>115468.19291125862</v>
      </c>
      <c r="P322" s="12">
        <f ca="1">IF(TOTALCO!P849="", "",TOTALCO!P849)</f>
        <v>106430.06321296701</v>
      </c>
      <c r="Q322" s="12"/>
      <c r="R322" s="13"/>
    </row>
    <row r="323" spans="1:18" ht="15" x14ac:dyDescent="0.2">
      <c r="A323" s="321">
        <f>IF(TOTALCO!A850="", "",TOTALCO!A850)</f>
        <v>25</v>
      </c>
      <c r="B323" s="4" t="str">
        <f>IF(TOTALCO!B850="", "",TOTALCO!B850)</f>
        <v xml:space="preserve">  PUBLIC SERVICE COMM TAX</v>
      </c>
      <c r="C323" s="4" t="str">
        <f>IF(TOTALCO!C850="", "",TOTALCO!C850)</f>
        <v>REVKY</v>
      </c>
      <c r="D323" s="12">
        <f ca="1">IF(TOTALCO!D850="", "",TOTALCO!D850)</f>
        <v>0</v>
      </c>
      <c r="E323" s="12" t="str">
        <f>IF(TOTALCO!E850="", "",TOTALCO!E850)</f>
        <v/>
      </c>
      <c r="F323" s="12">
        <f ca="1">IF(TOTALCO!F850="", "",TOTALCO!F850)</f>
        <v>0</v>
      </c>
      <c r="G323" s="12" t="str">
        <f>IF(TOTALCO!G850="", "",TOTALCO!G850)</f>
        <v/>
      </c>
      <c r="H323" s="12">
        <f ca="1">IF(TOTALCO!H850="", "",TOTALCO!H850)</f>
        <v>0</v>
      </c>
      <c r="I323" s="12">
        <f ca="1">IF(TOTALCO!I850="", "",TOTALCO!I850)</f>
        <v>0</v>
      </c>
      <c r="J323" s="12" t="str">
        <f>IF(TOTALCO!J850="", "",TOTALCO!J850)</f>
        <v/>
      </c>
      <c r="K323" s="12" t="str">
        <f>IF(TOTALCO!K850="", "",TOTALCO!K850)</f>
        <v/>
      </c>
      <c r="L323" s="12">
        <f ca="1">IF(TOTALCO!L850="", "",TOTALCO!L850)</f>
        <v>0</v>
      </c>
      <c r="M323" s="12" t="str">
        <f>IF(TOTALCO!M850="", "",TOTALCO!M850)</f>
        <v/>
      </c>
      <c r="N323" s="12">
        <f ca="1">IF(TOTALCO!N850="", "",TOTALCO!N850)</f>
        <v>0</v>
      </c>
      <c r="O323" s="12">
        <f ca="1">IF(TOTALCO!O850="", "",TOTALCO!O850)</f>
        <v>0</v>
      </c>
      <c r="P323" s="12">
        <f ca="1">IF(TOTALCO!P850="", "",TOTALCO!P850)</f>
        <v>0</v>
      </c>
      <c r="Q323" s="12"/>
      <c r="R323" s="13"/>
    </row>
    <row r="324" spans="1:18" ht="15" x14ac:dyDescent="0.2">
      <c r="A324" s="321">
        <f>IF(TOTALCO!A851="", "",TOTALCO!A851)</f>
        <v>26</v>
      </c>
      <c r="B324" s="4" t="str">
        <f>IF(TOTALCO!B851="", "",TOTALCO!B851)</f>
        <v xml:space="preserve"> TOTAL PREPAYMENTS</v>
      </c>
      <c r="C324" s="4" t="str">
        <f>IF(TOTALCO!C851="", "",TOTALCO!C851)</f>
        <v/>
      </c>
      <c r="D324" s="12">
        <f ca="1">IF(TOTALCO!D851="", "",TOTALCO!D851)</f>
        <v>15827640.36401503</v>
      </c>
      <c r="E324" s="12" t="str">
        <f>IF(TOTALCO!E851="", "",TOTALCO!E851)</f>
        <v/>
      </c>
      <c r="F324" s="12">
        <f ca="1">IF(TOTALCO!F851="", "",TOTALCO!F851)</f>
        <v>15604608.223605685</v>
      </c>
      <c r="G324" s="12" t="str">
        <f>IF(TOTALCO!G851="", "",TOTALCO!G851)</f>
        <v/>
      </c>
      <c r="H324" s="12">
        <f ca="1">IF(TOTALCO!H851="", "",TOTALCO!H851)</f>
        <v>0</v>
      </c>
      <c r="I324" s="12">
        <f ca="1">IF(TOTALCO!I851="", "",TOTALCO!I851)</f>
        <v>223032.14040934504</v>
      </c>
      <c r="J324" s="12" t="str">
        <f>IF(TOTALCO!J851="", "",TOTALCO!J851)</f>
        <v/>
      </c>
      <c r="K324" s="12" t="str">
        <f>IF(TOTALCO!K851="", "",TOTALCO!K851)</f>
        <v/>
      </c>
      <c r="L324" s="12">
        <f ca="1">IF(TOTALCO!L851="", "",TOTALCO!L851)</f>
        <v>1133.8842851194138</v>
      </c>
      <c r="M324" s="12" t="str">
        <f>IF(TOTALCO!M851="", "",TOTALCO!M851)</f>
        <v/>
      </c>
      <c r="N324" s="12">
        <f ca="1">IF(TOTALCO!N851="", "",TOTALCO!N851)</f>
        <v>221898.25612422562</v>
      </c>
      <c r="O324" s="12">
        <f ca="1">IF(TOTALCO!O851="", "",TOTALCO!O851)</f>
        <v>115468.19291125862</v>
      </c>
      <c r="P324" s="12">
        <f ca="1">IF(TOTALCO!P851="", "",TOTALCO!P851)</f>
        <v>106430.06321296701</v>
      </c>
      <c r="Q324" s="12"/>
      <c r="R324" s="13"/>
    </row>
    <row r="325" spans="1:18" ht="15" x14ac:dyDescent="0.2">
      <c r="A325" s="321" t="str">
        <f>IF(TOTALCO!A852="", "",TOTALCO!A852)</f>
        <v/>
      </c>
      <c r="B325" s="4" t="str">
        <f>IF(TOTALCO!B852="", "",TOTALCO!B852)</f>
        <v/>
      </c>
      <c r="C325" s="4" t="str">
        <f>IF(TOTALCO!C852="", "",TOTALCO!C852)</f>
        <v/>
      </c>
      <c r="D325" s="12" t="str">
        <f>IF(TOTALCO!D852="", "",TOTALCO!D852)</f>
        <v/>
      </c>
      <c r="E325" s="12" t="str">
        <f>IF(TOTALCO!E852="", "",TOTALCO!E852)</f>
        <v/>
      </c>
      <c r="F325" s="12" t="str">
        <f>IF(TOTALCO!F852="", "",TOTALCO!F852)</f>
        <v/>
      </c>
      <c r="G325" s="12" t="str">
        <f>IF(TOTALCO!G852="", "",TOTALCO!G852)</f>
        <v/>
      </c>
      <c r="H325" s="12" t="str">
        <f>IF(TOTALCO!H852="", "",TOTALCO!H852)</f>
        <v/>
      </c>
      <c r="I325" s="12" t="str">
        <f>IF(TOTALCO!I852="", "",TOTALCO!I852)</f>
        <v/>
      </c>
      <c r="J325" s="12" t="str">
        <f>IF(TOTALCO!J852="", "",TOTALCO!J852)</f>
        <v/>
      </c>
      <c r="K325" s="12" t="str">
        <f>IF(TOTALCO!K852="", "",TOTALCO!K852)</f>
        <v/>
      </c>
      <c r="L325" s="12" t="str">
        <f>IF(TOTALCO!L852="", "",TOTALCO!L852)</f>
        <v/>
      </c>
      <c r="M325" s="12" t="str">
        <f>IF(TOTALCO!M852="", "",TOTALCO!M852)</f>
        <v/>
      </c>
      <c r="N325" s="12" t="str">
        <f>IF(TOTALCO!N852="", "",TOTALCO!N852)</f>
        <v/>
      </c>
      <c r="O325" s="12" t="str">
        <f>IF(TOTALCO!O852="", "",TOTALCO!O852)</f>
        <v/>
      </c>
      <c r="P325" s="12" t="str">
        <f>IF(TOTALCO!P852="", "",TOTALCO!P852)</f>
        <v/>
      </c>
      <c r="Q325" s="12"/>
      <c r="R325" s="13"/>
    </row>
    <row r="326" spans="1:18" ht="15" x14ac:dyDescent="0.2">
      <c r="A326" s="321">
        <f>IF(TOTALCO!A853="", "",TOTALCO!A853)</f>
        <v>27</v>
      </c>
      <c r="B326" s="4" t="str">
        <f>IF(TOTALCO!B853="", "",TOTALCO!B853)</f>
        <v xml:space="preserve"> WORKING CASH - CALC BY JURIS</v>
      </c>
      <c r="C326" s="4" t="str">
        <f>IF(TOTALCO!C853="", "",TOTALCO!C853)</f>
        <v/>
      </c>
      <c r="D326" s="12">
        <f ca="1">IF(TOTALCO!D853="", "",TOTALCO!D853)</f>
        <v>107245712.3979117</v>
      </c>
      <c r="E326" s="12" t="str">
        <f>IF(TOTALCO!E853="", "",TOTALCO!E853)</f>
        <v/>
      </c>
      <c r="F326" s="12">
        <f ca="1">IF(TOTALCO!F853="", "",TOTALCO!F853)</f>
        <v>98232982.688082933</v>
      </c>
      <c r="G326" s="12" t="str">
        <f>IF(TOTALCO!G853="", "",TOTALCO!G853)</f>
        <v/>
      </c>
      <c r="H326" s="12">
        <f ca="1">IF(TOTALCO!H853="", "",TOTALCO!H853)</f>
        <v>7223881.5541795744</v>
      </c>
      <c r="I326" s="12">
        <f ca="1">IF(TOTALCO!I853="", "",TOTALCO!I853)</f>
        <v>1788848.1556491852</v>
      </c>
      <c r="J326" s="12" t="str">
        <f>IF(TOTALCO!J853="", "",TOTALCO!J853)</f>
        <v/>
      </c>
      <c r="K326" s="12" t="str">
        <f>IF(TOTALCO!K853="", "",TOTALCO!K853)</f>
        <v/>
      </c>
      <c r="L326" s="12">
        <f ca="1">IF(TOTALCO!L853="", "",TOTALCO!L853)</f>
        <v>3132.7200044813271</v>
      </c>
      <c r="M326" s="12" t="str">
        <f>IF(TOTALCO!M853="", "",TOTALCO!M853)</f>
        <v/>
      </c>
      <c r="N326" s="12">
        <f ca="1">IF(TOTALCO!N853="", "",TOTALCO!N853)</f>
        <v>1785715.4356447039</v>
      </c>
      <c r="O326" s="12">
        <f ca="1">IF(TOTALCO!O853="", "",TOTALCO!O853)</f>
        <v>910962.66564261296</v>
      </c>
      <c r="P326" s="12">
        <f ca="1">IF(TOTALCO!P853="", "",TOTALCO!P853)</f>
        <v>874752.77000209084</v>
      </c>
      <c r="Q326" s="12"/>
      <c r="R326" s="13"/>
    </row>
    <row r="327" spans="1:18" ht="15" x14ac:dyDescent="0.2">
      <c r="A327" s="321" t="str">
        <f>IF(TOTALCO!A854="", "",TOTALCO!A854)</f>
        <v/>
      </c>
      <c r="B327" s="4" t="str">
        <f>IF(TOTALCO!B854="", "",TOTALCO!B854)</f>
        <v/>
      </c>
      <c r="C327" s="4" t="str">
        <f>IF(TOTALCO!C854="", "",TOTALCO!C854)</f>
        <v/>
      </c>
      <c r="D327" s="12" t="str">
        <f>IF(TOTALCO!D854="", "",TOTALCO!D854)</f>
        <v/>
      </c>
      <c r="E327" s="12" t="str">
        <f>IF(TOTALCO!E854="", "",TOTALCO!E854)</f>
        <v/>
      </c>
      <c r="F327" s="12" t="str">
        <f>IF(TOTALCO!F854="", "",TOTALCO!F854)</f>
        <v/>
      </c>
      <c r="G327" s="12" t="str">
        <f>IF(TOTALCO!G854="", "",TOTALCO!G854)</f>
        <v/>
      </c>
      <c r="H327" s="12" t="str">
        <f>IF(TOTALCO!H854="", "",TOTALCO!H854)</f>
        <v/>
      </c>
      <c r="I327" s="12" t="str">
        <f>IF(TOTALCO!I854="", "",TOTALCO!I854)</f>
        <v/>
      </c>
      <c r="J327" s="12" t="str">
        <f>IF(TOTALCO!J854="", "",TOTALCO!J854)</f>
        <v/>
      </c>
      <c r="K327" s="12" t="str">
        <f>IF(TOTALCO!K854="", "",TOTALCO!K854)</f>
        <v/>
      </c>
      <c r="L327" s="12" t="str">
        <f>IF(TOTALCO!L854="", "",TOTALCO!L854)</f>
        <v/>
      </c>
      <c r="M327" s="12" t="str">
        <f>IF(TOTALCO!M854="", "",TOTALCO!M854)</f>
        <v/>
      </c>
      <c r="N327" s="12" t="str">
        <f>IF(TOTALCO!N854="", "",TOTALCO!N854)</f>
        <v/>
      </c>
      <c r="O327" s="12" t="str">
        <f>IF(TOTALCO!O854="", "",TOTALCO!O854)</f>
        <v/>
      </c>
      <c r="P327" s="12" t="str">
        <f>IF(TOTALCO!P854="", "",TOTALCO!P854)</f>
        <v/>
      </c>
      <c r="Q327" s="12"/>
      <c r="R327" s="13"/>
    </row>
    <row r="328" spans="1:18" ht="15" x14ac:dyDescent="0.2">
      <c r="A328" s="321">
        <f>IF(TOTALCO!A855="", "",TOTALCO!A855)</f>
        <v>28</v>
      </c>
      <c r="B328" s="4" t="str">
        <f>IF(TOTALCO!B855="", "",TOTALCO!B855)</f>
        <v>TOTAL WORKING CAPITAL</v>
      </c>
      <c r="C328" s="4" t="str">
        <f>IF(TOTALCO!C855="", "",TOTALCO!C855)</f>
        <v/>
      </c>
      <c r="D328" s="12">
        <f ca="1">IF(TOTALCO!D855="", "",TOTALCO!D855)</f>
        <v>246233757.76192671</v>
      </c>
      <c r="E328" s="12" t="str">
        <f>IF(TOTALCO!E855="", "",TOTALCO!E855)</f>
        <v/>
      </c>
      <c r="F328" s="12">
        <f ca="1">IF(TOTALCO!F855="", "",TOTALCO!F855)</f>
        <v>229161889.35934791</v>
      </c>
      <c r="G328" s="12" t="str">
        <f>IF(TOTALCO!G855="", "",TOTALCO!G855)</f>
        <v/>
      </c>
      <c r="H328" s="12">
        <f ca="1">IF(TOTALCO!H855="", "",TOTALCO!H855)</f>
        <v>12922432.625176501</v>
      </c>
      <c r="I328" s="12">
        <f ca="1">IF(TOTALCO!I855="", "",TOTALCO!I855)</f>
        <v>4149435.7774023255</v>
      </c>
      <c r="J328" s="12" t="str">
        <f>IF(TOTALCO!J855="", "",TOTALCO!J855)</f>
        <v/>
      </c>
      <c r="K328" s="12" t="str">
        <f>IF(TOTALCO!K855="", "",TOTALCO!K855)</f>
        <v/>
      </c>
      <c r="L328" s="12">
        <f ca="1">IF(TOTALCO!L855="", "",TOTALCO!L855)</f>
        <v>7480.5106814086166</v>
      </c>
      <c r="M328" s="12" t="str">
        <f>IF(TOTALCO!M855="", "",TOTALCO!M855)</f>
        <v/>
      </c>
      <c r="N328" s="12">
        <f ca="1">IF(TOTALCO!N855="", "",TOTALCO!N855)</f>
        <v>4141955.2667209171</v>
      </c>
      <c r="O328" s="12">
        <f ca="1">IF(TOTALCO!O855="", "",TOTALCO!O855)</f>
        <v>2115606.4227038845</v>
      </c>
      <c r="P328" s="12">
        <f ca="1">IF(TOTALCO!P855="", "",TOTALCO!P855)</f>
        <v>2026348.8440170323</v>
      </c>
      <c r="Q328" s="12"/>
      <c r="R328" s="13"/>
    </row>
    <row r="329" spans="1:18" ht="15" x14ac:dyDescent="0.2">
      <c r="A329" s="321" t="str">
        <f>IF(TOTALCO!A856="", "",TOTALCO!A856)</f>
        <v/>
      </c>
      <c r="B329" s="4" t="str">
        <f>IF(TOTALCO!B856="", "",TOTALCO!B856)</f>
        <v/>
      </c>
      <c r="C329" s="4" t="str">
        <f>IF(TOTALCO!C856="", "",TOTALCO!C856)</f>
        <v/>
      </c>
      <c r="D329" s="12" t="str">
        <f>IF(TOTALCO!D856="", "",TOTALCO!D856)</f>
        <v/>
      </c>
      <c r="E329" s="12" t="str">
        <f>IF(TOTALCO!E856="", "",TOTALCO!E856)</f>
        <v/>
      </c>
      <c r="F329" s="12" t="str">
        <f>IF(TOTALCO!F856="", "",TOTALCO!F856)</f>
        <v/>
      </c>
      <c r="G329" s="12" t="str">
        <f>IF(TOTALCO!G856="", "",TOTALCO!G856)</f>
        <v/>
      </c>
      <c r="H329" s="12" t="str">
        <f>IF(TOTALCO!H856="", "",TOTALCO!H856)</f>
        <v/>
      </c>
      <c r="I329" s="12" t="str">
        <f>IF(TOTALCO!I856="", "",TOTALCO!I856)</f>
        <v/>
      </c>
      <c r="J329" s="12" t="str">
        <f>IF(TOTALCO!J856="", "",TOTALCO!J856)</f>
        <v/>
      </c>
      <c r="K329" s="12" t="str">
        <f>IF(TOTALCO!K856="", "",TOTALCO!K856)</f>
        <v/>
      </c>
      <c r="L329" s="12" t="str">
        <f>IF(TOTALCO!L856="", "",TOTALCO!L856)</f>
        <v/>
      </c>
      <c r="M329" s="12" t="str">
        <f>IF(TOTALCO!M856="", "",TOTALCO!M856)</f>
        <v/>
      </c>
      <c r="N329" s="12" t="str">
        <f>IF(TOTALCO!N856="", "",TOTALCO!N856)</f>
        <v/>
      </c>
      <c r="O329" s="12" t="str">
        <f>IF(TOTALCO!O856="", "",TOTALCO!O856)</f>
        <v/>
      </c>
      <c r="P329" s="12" t="str">
        <f>IF(TOTALCO!P856="", "",TOTALCO!P856)</f>
        <v/>
      </c>
      <c r="Q329" s="12"/>
      <c r="R329" s="13"/>
    </row>
    <row r="330" spans="1:18" ht="15" x14ac:dyDescent="0.2">
      <c r="A330" s="321">
        <f>IF(TOTALCO!A857="", "",TOTALCO!A857)</f>
        <v>29</v>
      </c>
      <c r="B330" s="4" t="str">
        <f>IF(TOTALCO!B857="", "",TOTALCO!B857)</f>
        <v>EMISSION ALLOWANCES</v>
      </c>
      <c r="C330" s="4" t="str">
        <f>IF(TOTALCO!C857="", "",TOTALCO!C857)</f>
        <v>DEMPROD</v>
      </c>
      <c r="D330" s="12">
        <f ca="1">IF(TOTALCO!D857="", "",TOTALCO!D857)</f>
        <v>129522</v>
      </c>
      <c r="E330" s="12" t="str">
        <f>IF(TOTALCO!E857="", "",TOTALCO!E857)</f>
        <v/>
      </c>
      <c r="F330" s="12">
        <f ca="1">IF(TOTALCO!F857="", "",TOTALCO!F857)</f>
        <v>121415.99914063678</v>
      </c>
      <c r="G330" s="12" t="str">
        <f>IF(TOTALCO!G857="", "",TOTALCO!G857)</f>
        <v/>
      </c>
      <c r="H330" s="12">
        <f ca="1">IF(TOTALCO!H857="", "",TOTALCO!H857)</f>
        <v>5559.7880225348144</v>
      </c>
      <c r="I330" s="12">
        <f ca="1">IF(TOTALCO!I857="", "",TOTALCO!I857)</f>
        <v>2546.2128368284079</v>
      </c>
      <c r="J330" s="12" t="str">
        <f>IF(TOTALCO!J857="", "",TOTALCO!J857)</f>
        <v/>
      </c>
      <c r="K330" s="12" t="str">
        <f>IF(TOTALCO!K857="", "",TOTALCO!K857)</f>
        <v/>
      </c>
      <c r="L330" s="12">
        <f ca="1">IF(TOTALCO!L857="", "",TOTALCO!L857)</f>
        <v>0.3897284430270167</v>
      </c>
      <c r="M330" s="12" t="str">
        <f>IF(TOTALCO!M857="", "",TOTALCO!M857)</f>
        <v/>
      </c>
      <c r="N330" s="12">
        <f ca="1">IF(TOTALCO!N857="", "",TOTALCO!N857)</f>
        <v>2545.8231083853811</v>
      </c>
      <c r="O330" s="12">
        <f ca="1">IF(TOTALCO!O857="", "",TOTALCO!O857)</f>
        <v>1291.1703317485064</v>
      </c>
      <c r="P330" s="12">
        <f ca="1">IF(TOTALCO!P857="", "",TOTALCO!P857)</f>
        <v>1254.6527766368747</v>
      </c>
      <c r="Q330" s="12"/>
      <c r="R330" s="13"/>
    </row>
    <row r="331" spans="1:18" ht="15" x14ac:dyDescent="0.2">
      <c r="A331" s="321" t="str">
        <f>IF(TOTALCO!A858="", "",TOTALCO!A858)</f>
        <v/>
      </c>
      <c r="B331" s="4" t="str">
        <f>IF(TOTALCO!B858="", "",TOTALCO!B858)</f>
        <v/>
      </c>
      <c r="C331" s="4" t="str">
        <f>IF(TOTALCO!C858="", "",TOTALCO!C858)</f>
        <v/>
      </c>
      <c r="D331" s="12" t="str">
        <f>IF(TOTALCO!D858="", "",TOTALCO!D858)</f>
        <v/>
      </c>
      <c r="E331" s="12" t="str">
        <f>IF(TOTALCO!E858="", "",TOTALCO!E858)</f>
        <v/>
      </c>
      <c r="F331" s="12" t="str">
        <f>IF(TOTALCO!F858="", "",TOTALCO!F858)</f>
        <v/>
      </c>
      <c r="G331" s="12" t="str">
        <f>IF(TOTALCO!G858="", "",TOTALCO!G858)</f>
        <v/>
      </c>
      <c r="H331" s="12" t="str">
        <f>IF(TOTALCO!H858="", "",TOTALCO!H858)</f>
        <v/>
      </c>
      <c r="I331" s="12" t="str">
        <f>IF(TOTALCO!I858="", "",TOTALCO!I858)</f>
        <v/>
      </c>
      <c r="J331" s="12" t="str">
        <f>IF(TOTALCO!J858="", "",TOTALCO!J858)</f>
        <v/>
      </c>
      <c r="K331" s="12" t="str">
        <f>IF(TOTALCO!K858="", "",TOTALCO!K858)</f>
        <v/>
      </c>
      <c r="L331" s="12" t="str">
        <f>IF(TOTALCO!L858="", "",TOTALCO!L858)</f>
        <v/>
      </c>
      <c r="M331" s="12" t="str">
        <f>IF(TOTALCO!M858="", "",TOTALCO!M858)</f>
        <v/>
      </c>
      <c r="N331" s="12" t="str">
        <f>IF(TOTALCO!N858="", "",TOTALCO!N858)</f>
        <v/>
      </c>
      <c r="O331" s="12" t="str">
        <f>IF(TOTALCO!O858="", "",TOTALCO!O858)</f>
        <v/>
      </c>
      <c r="P331" s="12" t="str">
        <f>IF(TOTALCO!P858="", "",TOTALCO!P858)</f>
        <v/>
      </c>
      <c r="Q331" s="12"/>
      <c r="R331" s="13"/>
    </row>
    <row r="332" spans="1:18" ht="15" x14ac:dyDescent="0.2">
      <c r="A332" s="321">
        <f>IF(TOTALCO!A859="", "",TOTALCO!A859)</f>
        <v>30</v>
      </c>
      <c r="B332" s="4" t="str">
        <f>IF(TOTALCO!B859="", "",TOTALCO!B859)</f>
        <v>UNAMORTIZED CLOSURE COSTS</v>
      </c>
      <c r="C332" s="4" t="str">
        <f>IF(TOTALCO!C859="", "",TOTALCO!C859)</f>
        <v>DEMPROD</v>
      </c>
      <c r="D332" s="12">
        <f ca="1">IF(TOTALCO!D859="", "",TOTALCO!D859)</f>
        <v>101937692.82886787</v>
      </c>
      <c r="E332" s="12" t="str">
        <f>IF(TOTALCO!E859="", "",TOTALCO!E859)</f>
        <v/>
      </c>
      <c r="F332" s="12">
        <f>IF(TOTALCO!F859="", "",TOTALCO!F859)</f>
        <v>96343596</v>
      </c>
      <c r="G332" s="12" t="str">
        <f>IF(TOTALCO!G859="", "",TOTALCO!G859)</f>
        <v/>
      </c>
      <c r="H332" s="12">
        <f ca="1">IF(TOTALCO!H859="", "",TOTALCO!H859)</f>
        <v>3332590.8360824827</v>
      </c>
      <c r="I332" s="12">
        <f ca="1">IF(TOTALCO!I859="", "",TOTALCO!I859)</f>
        <v>2261505.9927853812</v>
      </c>
      <c r="J332" s="12" t="str">
        <f>IF(TOTALCO!J859="", "",TOTALCO!J859)</f>
        <v/>
      </c>
      <c r="K332" s="12" t="str">
        <f>IF(TOTALCO!K859="", "",TOTALCO!K859)</f>
        <v/>
      </c>
      <c r="L332" s="12">
        <f ca="1">IF(TOTALCO!L859="", "",TOTALCO!L859)</f>
        <v>346.15064252144873</v>
      </c>
      <c r="M332" s="12" t="str">
        <f>IF(TOTALCO!M859="", "",TOTALCO!M859)</f>
        <v/>
      </c>
      <c r="N332" s="12">
        <f ca="1">IF(TOTALCO!N859="", "",TOTALCO!N859)</f>
        <v>2261159.8421428595</v>
      </c>
      <c r="O332" s="12">
        <f ca="1">IF(TOTALCO!O859="", "",TOTALCO!O859)</f>
        <v>1146797.0786735597</v>
      </c>
      <c r="P332" s="12">
        <f ca="1">IF(TOTALCO!P859="", "",TOTALCO!P859)</f>
        <v>1114362.7634692998</v>
      </c>
      <c r="Q332" s="12"/>
      <c r="R332" s="13"/>
    </row>
    <row r="333" spans="1:18" ht="15" x14ac:dyDescent="0.2">
      <c r="A333" s="321" t="str">
        <f>IF(TOTALCO!A860="", "",TOTALCO!A860)</f>
        <v/>
      </c>
      <c r="B333" s="4" t="str">
        <f>IF(TOTALCO!B860="", "",TOTALCO!B860)</f>
        <v/>
      </c>
      <c r="C333" s="4" t="str">
        <f>IF(TOTALCO!C860="", "",TOTALCO!C860)</f>
        <v/>
      </c>
      <c r="D333" s="12" t="str">
        <f>IF(TOTALCO!D860="", "",TOTALCO!D860)</f>
        <v/>
      </c>
      <c r="E333" s="12" t="str">
        <f>IF(TOTALCO!E860="", "",TOTALCO!E860)</f>
        <v/>
      </c>
      <c r="F333" s="12" t="str">
        <f>IF(TOTALCO!F860="", "",TOTALCO!F860)</f>
        <v/>
      </c>
      <c r="G333" s="12" t="str">
        <f>IF(TOTALCO!G860="", "",TOTALCO!G860)</f>
        <v/>
      </c>
      <c r="H333" s="12" t="str">
        <f>IF(TOTALCO!H860="", "",TOTALCO!H860)</f>
        <v/>
      </c>
      <c r="I333" s="12" t="str">
        <f>IF(TOTALCO!I860="", "",TOTALCO!I860)</f>
        <v/>
      </c>
      <c r="J333" s="12" t="str">
        <f>IF(TOTALCO!J860="", "",TOTALCO!J860)</f>
        <v/>
      </c>
      <c r="K333" s="12" t="str">
        <f>IF(TOTALCO!K860="", "",TOTALCO!K860)</f>
        <v/>
      </c>
      <c r="L333" s="12" t="str">
        <f>IF(TOTALCO!L860="", "",TOTALCO!L860)</f>
        <v/>
      </c>
      <c r="M333" s="12" t="str">
        <f>IF(TOTALCO!M860="", "",TOTALCO!M860)</f>
        <v/>
      </c>
      <c r="N333" s="12" t="str">
        <f>IF(TOTALCO!N860="", "",TOTALCO!N860)</f>
        <v/>
      </c>
      <c r="O333" s="12" t="str">
        <f>IF(TOTALCO!O860="", "",TOTALCO!O860)</f>
        <v/>
      </c>
      <c r="P333" s="12" t="str">
        <f>IF(TOTALCO!P860="", "",TOTALCO!P860)</f>
        <v/>
      </c>
      <c r="Q333" s="12"/>
      <c r="R333" s="13"/>
    </row>
    <row r="334" spans="1:18" ht="15" x14ac:dyDescent="0.2">
      <c r="A334" s="321">
        <f>IF(TOTALCO!A861="", "",TOTALCO!A861)</f>
        <v>31</v>
      </c>
      <c r="B334" s="4" t="str">
        <f>IF(TOTALCO!B861="", "",TOTALCO!B861)</f>
        <v>TOTAL ADDITIONS TO NET PLANT</v>
      </c>
      <c r="C334" s="4" t="str">
        <f>IF(TOTALCO!C861="", "",TOTALCO!C861)</f>
        <v/>
      </c>
      <c r="D334" s="12">
        <f ca="1">IF(TOTALCO!D861="", "",TOTALCO!D861)</f>
        <v>581550474.81828797</v>
      </c>
      <c r="E334" s="12" t="str">
        <f>IF(TOTALCO!E861="", "",TOTALCO!E861)</f>
        <v/>
      </c>
      <c r="F334" s="12">
        <f ca="1">IF(TOTALCO!F861="", "",TOTALCO!F861)</f>
        <v>543410850.71024549</v>
      </c>
      <c r="G334" s="12" t="str">
        <f>IF(TOTALCO!G861="", "",TOTALCO!G861)</f>
        <v/>
      </c>
      <c r="H334" s="12">
        <f ca="1">IF(TOTALCO!H861="", "",TOTALCO!H861)</f>
        <v>28760463.145606704</v>
      </c>
      <c r="I334" s="12">
        <f ca="1">IF(TOTALCO!I861="", "",TOTALCO!I861)</f>
        <v>9379160.962435713</v>
      </c>
      <c r="J334" s="12" t="str">
        <f>IF(TOTALCO!J861="", "",TOTALCO!J861)</f>
        <v/>
      </c>
      <c r="K334" s="12" t="str">
        <f>IF(TOTALCO!K861="", "",TOTALCO!K861)</f>
        <v/>
      </c>
      <c r="L334" s="12">
        <f ca="1">IF(TOTALCO!L861="", "",TOTALCO!L861)</f>
        <v>9887.6162970417427</v>
      </c>
      <c r="M334" s="12" t="str">
        <f>IF(TOTALCO!M861="", "",TOTALCO!M861)</f>
        <v/>
      </c>
      <c r="N334" s="12">
        <f ca="1">IF(TOTALCO!N861="", "",TOTALCO!N861)</f>
        <v>9369273.346138671</v>
      </c>
      <c r="O334" s="12">
        <f ca="1">IF(TOTALCO!O861="", "",TOTALCO!O861)</f>
        <v>4770494.2629044857</v>
      </c>
      <c r="P334" s="12">
        <f ca="1">IF(TOTALCO!P861="", "",TOTALCO!P861)</f>
        <v>4598779.0832341854</v>
      </c>
      <c r="Q334" s="12"/>
      <c r="R334" s="13"/>
    </row>
    <row r="335" spans="1:18" ht="15" x14ac:dyDescent="0.2">
      <c r="A335" s="321" t="str">
        <f>IF(TOTALCO!A862="", "",TOTALCO!A862)</f>
        <v/>
      </c>
      <c r="B335" s="4" t="str">
        <f>IF(TOTALCO!B862="", "",TOTALCO!B862)</f>
        <v/>
      </c>
      <c r="C335" s="4" t="str">
        <f>IF(TOTALCO!C862="", "",TOTALCO!C862)</f>
        <v/>
      </c>
      <c r="D335" s="12" t="str">
        <f>IF(TOTALCO!D862="", "",TOTALCO!D862)</f>
        <v/>
      </c>
      <c r="E335" s="12" t="str">
        <f>IF(TOTALCO!E862="", "",TOTALCO!E862)</f>
        <v/>
      </c>
      <c r="F335" s="12" t="str">
        <f>IF(TOTALCO!F862="", "",TOTALCO!F862)</f>
        <v/>
      </c>
      <c r="G335" s="12" t="str">
        <f>IF(TOTALCO!G862="", "",TOTALCO!G862)</f>
        <v/>
      </c>
      <c r="H335" s="12" t="str">
        <f>IF(TOTALCO!H862="", "",TOTALCO!H862)</f>
        <v/>
      </c>
      <c r="I335" s="12" t="str">
        <f>IF(TOTALCO!I862="", "",TOTALCO!I862)</f>
        <v/>
      </c>
      <c r="J335" s="12" t="str">
        <f>IF(TOTALCO!J862="", "",TOTALCO!J862)</f>
        <v/>
      </c>
      <c r="K335" s="12" t="str">
        <f>IF(TOTALCO!K862="", "",TOTALCO!K862)</f>
        <v/>
      </c>
      <c r="L335" s="12" t="str">
        <f>IF(TOTALCO!L862="", "",TOTALCO!L862)</f>
        <v/>
      </c>
      <c r="M335" s="12" t="str">
        <f>IF(TOTALCO!M862="", "",TOTALCO!M862)</f>
        <v/>
      </c>
      <c r="N335" s="12" t="str">
        <f>IF(TOTALCO!N862="", "",TOTALCO!N862)</f>
        <v/>
      </c>
      <c r="O335" s="12" t="str">
        <f>IF(TOTALCO!O862="", "",TOTALCO!O862)</f>
        <v/>
      </c>
      <c r="P335" s="12" t="str">
        <f>IF(TOTALCO!P862="", "",TOTALCO!P862)</f>
        <v/>
      </c>
      <c r="Q335" s="12"/>
      <c r="R335" s="13"/>
    </row>
    <row r="336" spans="1:18" ht="15" x14ac:dyDescent="0.2">
      <c r="A336" s="321" t="str">
        <f>IF(TOTALCO!A863="", "",TOTALCO!A863)</f>
        <v/>
      </c>
      <c r="B336" s="4" t="str">
        <f>IF(TOTALCO!B863="", "",TOTALCO!B863)</f>
        <v/>
      </c>
      <c r="C336" s="4" t="str">
        <f>IF(TOTALCO!C863="", "",TOTALCO!C863)</f>
        <v/>
      </c>
      <c r="D336" s="12" t="str">
        <f>IF(TOTALCO!D863="", "",TOTALCO!D863)</f>
        <v/>
      </c>
      <c r="E336" s="12" t="str">
        <f>IF(TOTALCO!E863="", "",TOTALCO!E863)</f>
        <v/>
      </c>
      <c r="F336" s="12" t="str">
        <f>IF(TOTALCO!F863="", "",TOTALCO!F863)</f>
        <v/>
      </c>
      <c r="G336" s="12" t="str">
        <f>IF(TOTALCO!G863="", "",TOTALCO!G863)</f>
        <v/>
      </c>
      <c r="H336" s="12" t="str">
        <f>IF(TOTALCO!H863="", "",TOTALCO!H863)</f>
        <v/>
      </c>
      <c r="I336" s="12" t="str">
        <f>IF(TOTALCO!I863="", "",TOTALCO!I863)</f>
        <v/>
      </c>
      <c r="J336" s="12" t="str">
        <f>IF(TOTALCO!J863="", "",TOTALCO!J863)</f>
        <v/>
      </c>
      <c r="K336" s="12" t="str">
        <f>IF(TOTALCO!K863="", "",TOTALCO!K863)</f>
        <v/>
      </c>
      <c r="L336" s="12" t="str">
        <f>IF(TOTALCO!L863="", "",TOTALCO!L863)</f>
        <v/>
      </c>
      <c r="M336" s="12" t="str">
        <f>IF(TOTALCO!M863="", "",TOTALCO!M863)</f>
        <v/>
      </c>
      <c r="N336" s="12" t="str">
        <f>IF(TOTALCO!N863="", "",TOTALCO!N863)</f>
        <v/>
      </c>
      <c r="O336" s="12" t="str">
        <f>IF(TOTALCO!O863="", "",TOTALCO!O863)</f>
        <v/>
      </c>
      <c r="P336" s="12" t="str">
        <f>IF(TOTALCO!P863="", "",TOTALCO!P863)</f>
        <v/>
      </c>
      <c r="Q336" s="12"/>
      <c r="R336" s="13"/>
    </row>
    <row r="337" spans="1:18" ht="15" x14ac:dyDescent="0.2">
      <c r="A337" s="321" t="str">
        <f>IF(TOTALCO!A864="", "",TOTALCO!A864)</f>
        <v/>
      </c>
      <c r="B337" s="4" t="str">
        <f>IF(TOTALCO!B864="", "",TOTALCO!B864)</f>
        <v>DEDUCTIONS FROM NET PLANT</v>
      </c>
      <c r="C337" s="4" t="str">
        <f>IF(TOTALCO!C864="", "",TOTALCO!C864)</f>
        <v/>
      </c>
      <c r="D337" s="12" t="str">
        <f>IF(TOTALCO!D864="", "",TOTALCO!D864)</f>
        <v/>
      </c>
      <c r="E337" s="12" t="str">
        <f>IF(TOTALCO!E864="", "",TOTALCO!E864)</f>
        <v/>
      </c>
      <c r="F337" s="12" t="str">
        <f>IF(TOTALCO!F864="", "",TOTALCO!F864)</f>
        <v/>
      </c>
      <c r="G337" s="12" t="str">
        <f>IF(TOTALCO!G864="", "",TOTALCO!G864)</f>
        <v/>
      </c>
      <c r="H337" s="12" t="str">
        <f>IF(TOTALCO!H864="", "",TOTALCO!H864)</f>
        <v/>
      </c>
      <c r="I337" s="12" t="str">
        <f>IF(TOTALCO!I864="", "",TOTALCO!I864)</f>
        <v/>
      </c>
      <c r="J337" s="12" t="str">
        <f>IF(TOTALCO!J864="", "",TOTALCO!J864)</f>
        <v/>
      </c>
      <c r="K337" s="12" t="str">
        <f>IF(TOTALCO!K864="", "",TOTALCO!K864)</f>
        <v/>
      </c>
      <c r="L337" s="12" t="str">
        <f>IF(TOTALCO!L864="", "",TOTALCO!L864)</f>
        <v/>
      </c>
      <c r="M337" s="12" t="str">
        <f>IF(TOTALCO!M864="", "",TOTALCO!M864)</f>
        <v/>
      </c>
      <c r="N337" s="12" t="str">
        <f>IF(TOTALCO!N864="", "",TOTALCO!N864)</f>
        <v/>
      </c>
      <c r="O337" s="12" t="str">
        <f>IF(TOTALCO!O864="", "",TOTALCO!O864)</f>
        <v/>
      </c>
      <c r="P337" s="12" t="str">
        <f>IF(TOTALCO!P864="", "",TOTALCO!P864)</f>
        <v/>
      </c>
      <c r="Q337" s="12"/>
      <c r="R337" s="13"/>
    </row>
    <row r="338" spans="1:18" ht="15" x14ac:dyDescent="0.2">
      <c r="A338" s="321" t="str">
        <f>IF(TOTALCO!A865="", "",TOTALCO!A865)</f>
        <v/>
      </c>
      <c r="B338" s="4" t="str">
        <f>IF(TOTALCO!B865="", "",TOTALCO!B865)</f>
        <v/>
      </c>
      <c r="C338" s="4" t="str">
        <f>IF(TOTALCO!C865="", "",TOTALCO!C865)</f>
        <v/>
      </c>
      <c r="D338" s="12" t="str">
        <f>IF(TOTALCO!D865="", "",TOTALCO!D865)</f>
        <v/>
      </c>
      <c r="E338" s="12" t="str">
        <f>IF(TOTALCO!E865="", "",TOTALCO!E865)</f>
        <v/>
      </c>
      <c r="F338" s="12" t="str">
        <f>IF(TOTALCO!F865="", "",TOTALCO!F865)</f>
        <v/>
      </c>
      <c r="G338" s="12" t="str">
        <f>IF(TOTALCO!G865="", "",TOTALCO!G865)</f>
        <v/>
      </c>
      <c r="H338" s="12" t="str">
        <f>IF(TOTALCO!H865="", "",TOTALCO!H865)</f>
        <v/>
      </c>
      <c r="I338" s="12" t="str">
        <f>IF(TOTALCO!I865="", "",TOTALCO!I865)</f>
        <v/>
      </c>
      <c r="J338" s="12" t="str">
        <f>IF(TOTALCO!J865="", "",TOTALCO!J865)</f>
        <v/>
      </c>
      <c r="K338" s="12" t="str">
        <f>IF(TOTALCO!K865="", "",TOTALCO!K865)</f>
        <v/>
      </c>
      <c r="L338" s="12" t="str">
        <f>IF(TOTALCO!L865="", "",TOTALCO!L865)</f>
        <v/>
      </c>
      <c r="M338" s="12" t="str">
        <f>IF(TOTALCO!M865="", "",TOTALCO!M865)</f>
        <v/>
      </c>
      <c r="N338" s="12" t="str">
        <f>IF(TOTALCO!N865="", "",TOTALCO!N865)</f>
        <v/>
      </c>
      <c r="O338" s="12" t="str">
        <f>IF(TOTALCO!O865="", "",TOTALCO!O865)</f>
        <v/>
      </c>
      <c r="P338" s="12" t="str">
        <f>IF(TOTALCO!P865="", "",TOTALCO!P865)</f>
        <v/>
      </c>
      <c r="Q338" s="12"/>
      <c r="R338" s="13"/>
    </row>
    <row r="339" spans="1:18" ht="15" x14ac:dyDescent="0.2">
      <c r="A339" s="321" t="str">
        <f>IF(TOTALCO!A866="", "",TOTALCO!A866)</f>
        <v/>
      </c>
      <c r="B339" s="4" t="str">
        <f>IF(TOTALCO!B866="", "",TOTALCO!B866)</f>
        <v>ACCUMULATED DEFERRED INC TAX</v>
      </c>
      <c r="C339" s="4" t="str">
        <f>IF(TOTALCO!C866="", "",TOTALCO!C866)</f>
        <v/>
      </c>
      <c r="D339" s="12" t="str">
        <f>IF(TOTALCO!D866="", "",TOTALCO!D866)</f>
        <v/>
      </c>
      <c r="E339" s="12" t="str">
        <f>IF(TOTALCO!E866="", "",TOTALCO!E866)</f>
        <v/>
      </c>
      <c r="F339" s="12" t="str">
        <f>IF(TOTALCO!F866="", "",TOTALCO!F866)</f>
        <v/>
      </c>
      <c r="G339" s="12" t="str">
        <f>IF(TOTALCO!G866="", "",TOTALCO!G866)</f>
        <v/>
      </c>
      <c r="H339" s="12" t="str">
        <f>IF(TOTALCO!H866="", "",TOTALCO!H866)</f>
        <v/>
      </c>
      <c r="I339" s="12" t="str">
        <f>IF(TOTALCO!I866="", "",TOTALCO!I866)</f>
        <v/>
      </c>
      <c r="J339" s="12" t="str">
        <f>IF(TOTALCO!J866="", "",TOTALCO!J866)</f>
        <v/>
      </c>
      <c r="K339" s="12" t="str">
        <f>IF(TOTALCO!K866="", "",TOTALCO!K866)</f>
        <v/>
      </c>
      <c r="L339" s="12" t="str">
        <f>IF(TOTALCO!L866="", "",TOTALCO!L866)</f>
        <v/>
      </c>
      <c r="M339" s="12" t="str">
        <f>IF(TOTALCO!M866="", "",TOTALCO!M866)</f>
        <v/>
      </c>
      <c r="N339" s="12" t="str">
        <f>IF(TOTALCO!N866="", "",TOTALCO!N866)</f>
        <v/>
      </c>
      <c r="O339" s="12" t="str">
        <f>IF(TOTALCO!O866="", "",TOTALCO!O866)</f>
        <v/>
      </c>
      <c r="P339" s="12" t="str">
        <f>IF(TOTALCO!P866="", "",TOTALCO!P866)</f>
        <v/>
      </c>
      <c r="Q339" s="12"/>
      <c r="R339" s="13"/>
    </row>
    <row r="340" spans="1:18" ht="15" x14ac:dyDescent="0.2">
      <c r="A340" s="321" t="str">
        <f>IF(TOTALCO!A867="", "",TOTALCO!A867)</f>
        <v/>
      </c>
      <c r="B340" s="4" t="str">
        <f>IF(TOTALCO!B867="", "",TOTALCO!B867)</f>
        <v/>
      </c>
      <c r="C340" s="4" t="str">
        <f>IF(TOTALCO!C867="", "",TOTALCO!C867)</f>
        <v/>
      </c>
      <c r="D340" s="12" t="str">
        <f>IF(TOTALCO!D867="", "",TOTALCO!D867)</f>
        <v/>
      </c>
      <c r="E340" s="12" t="str">
        <f>IF(TOTALCO!E867="", "",TOTALCO!E867)</f>
        <v/>
      </c>
      <c r="F340" s="12" t="str">
        <f>IF(TOTALCO!F867="", "",TOTALCO!F867)</f>
        <v/>
      </c>
      <c r="G340" s="12" t="str">
        <f>IF(TOTALCO!G867="", "",TOTALCO!G867)</f>
        <v/>
      </c>
      <c r="H340" s="12" t="str">
        <f>IF(TOTALCO!H867="", "",TOTALCO!H867)</f>
        <v/>
      </c>
      <c r="I340" s="12" t="str">
        <f>IF(TOTALCO!I867="", "",TOTALCO!I867)</f>
        <v/>
      </c>
      <c r="J340" s="12" t="str">
        <f>IF(TOTALCO!J867="", "",TOTALCO!J867)</f>
        <v/>
      </c>
      <c r="K340" s="12" t="str">
        <f>IF(TOTALCO!K867="", "",TOTALCO!K867)</f>
        <v/>
      </c>
      <c r="L340" s="12" t="str">
        <f>IF(TOTALCO!L867="", "",TOTALCO!L867)</f>
        <v/>
      </c>
      <c r="M340" s="12" t="str">
        <f>IF(TOTALCO!M867="", "",TOTALCO!M867)</f>
        <v/>
      </c>
      <c r="N340" s="12" t="str">
        <f>IF(TOTALCO!N867="", "",TOTALCO!N867)</f>
        <v/>
      </c>
      <c r="O340" s="12" t="str">
        <f>IF(TOTALCO!O867="", "",TOTALCO!O867)</f>
        <v/>
      </c>
      <c r="P340" s="12" t="str">
        <f>IF(TOTALCO!P867="", "",TOTALCO!P867)</f>
        <v/>
      </c>
      <c r="Q340" s="12"/>
      <c r="R340" s="13"/>
    </row>
    <row r="341" spans="1:18" ht="15" x14ac:dyDescent="0.2">
      <c r="A341" s="321" t="str">
        <f>IF(TOTALCO!A868="", "",TOTALCO!A868)</f>
        <v/>
      </c>
      <c r="B341" s="4" t="str">
        <f>IF(TOTALCO!B868="", "",TOTALCO!B868)</f>
        <v xml:space="preserve"> PRODUCTION PLANT</v>
      </c>
      <c r="C341" s="4" t="str">
        <f>IF(TOTALCO!C868="", "",TOTALCO!C868)</f>
        <v/>
      </c>
      <c r="D341" s="12" t="str">
        <f>IF(TOTALCO!D868="", "",TOTALCO!D868)</f>
        <v/>
      </c>
      <c r="E341" s="12" t="str">
        <f>IF(TOTALCO!E868="", "",TOTALCO!E868)</f>
        <v/>
      </c>
      <c r="F341" s="12" t="str">
        <f>IF(TOTALCO!F868="", "",TOTALCO!F868)</f>
        <v/>
      </c>
      <c r="G341" s="12" t="str">
        <f>IF(TOTALCO!G868="", "",TOTALCO!G868)</f>
        <v/>
      </c>
      <c r="H341" s="12" t="str">
        <f>IF(TOTALCO!H868="", "",TOTALCO!H868)</f>
        <v/>
      </c>
      <c r="I341" s="12" t="str">
        <f>IF(TOTALCO!I868="", "",TOTALCO!I868)</f>
        <v/>
      </c>
      <c r="J341" s="12" t="str">
        <f>IF(TOTALCO!J868="", "",TOTALCO!J868)</f>
        <v/>
      </c>
      <c r="K341" s="12" t="str">
        <f>IF(TOTALCO!K868="", "",TOTALCO!K868)</f>
        <v/>
      </c>
      <c r="L341" s="12" t="str">
        <f>IF(TOTALCO!L868="", "",TOTALCO!L868)</f>
        <v/>
      </c>
      <c r="M341" s="12" t="str">
        <f>IF(TOTALCO!M868="", "",TOTALCO!M868)</f>
        <v/>
      </c>
      <c r="N341" s="12" t="str">
        <f>IF(TOTALCO!N868="", "",TOTALCO!N868)</f>
        <v/>
      </c>
      <c r="O341" s="12" t="str">
        <f>IF(TOTALCO!O868="", "",TOTALCO!O868)</f>
        <v/>
      </c>
      <c r="P341" s="12" t="str">
        <f>IF(TOTALCO!P868="", "",TOTALCO!P868)</f>
        <v/>
      </c>
      <c r="Q341" s="12"/>
      <c r="R341" s="13"/>
    </row>
    <row r="342" spans="1:18" ht="15" x14ac:dyDescent="0.2">
      <c r="A342" s="321">
        <f>IF(TOTALCO!A869="", "",TOTALCO!A869)</f>
        <v>1</v>
      </c>
      <c r="B342" s="4" t="str">
        <f>IF(TOTALCO!B869="", "",TOTALCO!B869)</f>
        <v xml:space="preserve">   SYSTEM</v>
      </c>
      <c r="C342" s="4" t="str">
        <f>IF(TOTALCO!C869="", "",TOTALCO!C869)</f>
        <v>PRODSYS</v>
      </c>
      <c r="D342" s="12">
        <f ca="1">IF(TOTALCO!D869="", "",TOTALCO!D869)</f>
        <v>908710311.99999988</v>
      </c>
      <c r="E342" s="12" t="str">
        <f>IF(TOTALCO!E869="", "",TOTALCO!E869)</f>
        <v/>
      </c>
      <c r="F342" s="12">
        <f ca="1">IF(TOTALCO!F869="", "",TOTALCO!F869)</f>
        <v>851839613.81757367</v>
      </c>
      <c r="G342" s="12" t="str">
        <f>IF(TOTALCO!G869="", "",TOTALCO!G869)</f>
        <v/>
      </c>
      <c r="H342" s="12">
        <f ca="1">IF(TOTALCO!H869="", "",TOTALCO!H869)</f>
        <v>39006784.242147848</v>
      </c>
      <c r="I342" s="12">
        <f ca="1">IF(TOTALCO!I869="", "",TOTALCO!I869)</f>
        <v>17863913.940278467</v>
      </c>
      <c r="J342" s="12" t="str">
        <f>IF(TOTALCO!J869="", "",TOTALCO!J869)</f>
        <v/>
      </c>
      <c r="K342" s="12" t="str">
        <f>IF(TOTALCO!K869="", "",TOTALCO!K869)</f>
        <v/>
      </c>
      <c r="L342" s="12">
        <f ca="1">IF(TOTALCO!L869="", "",TOTALCO!L869)</f>
        <v>2734.2864923206434</v>
      </c>
      <c r="M342" s="12" t="str">
        <f>IF(TOTALCO!M869="", "",TOTALCO!M869)</f>
        <v/>
      </c>
      <c r="N342" s="12">
        <f ca="1">IF(TOTALCO!N869="", "",TOTALCO!N869)</f>
        <v>17861179.653786145</v>
      </c>
      <c r="O342" s="12">
        <f ca="1">IF(TOTALCO!O869="", "",TOTALCO!O869)</f>
        <v>9058691.1490582954</v>
      </c>
      <c r="P342" s="12">
        <f ca="1">IF(TOTALCO!P869="", "",TOTALCO!P869)</f>
        <v>8802488.5047278516</v>
      </c>
      <c r="Q342" s="12"/>
      <c r="R342" s="13"/>
    </row>
    <row r="343" spans="1:18" ht="15" x14ac:dyDescent="0.2">
      <c r="A343" s="321">
        <f>IF(TOTALCO!A870="", "",TOTALCO!A870)</f>
        <v>2</v>
      </c>
      <c r="B343" s="4" t="str">
        <f>IF(TOTALCO!B870="", "",TOTALCO!B870)</f>
        <v xml:space="preserve">   FERC-AFUDC PRE</v>
      </c>
      <c r="C343" s="4" t="str">
        <f>IF(TOTALCO!C870="", "",TOTALCO!C870)</f>
        <v>DEMFERC</v>
      </c>
      <c r="D343" s="12">
        <f ca="1">IF(TOTALCO!D870="", "",TOTALCO!D870)</f>
        <v>17805</v>
      </c>
      <c r="E343" s="12" t="str">
        <f>IF(TOTALCO!E870="", "",TOTALCO!E870)</f>
        <v/>
      </c>
      <c r="F343" s="12">
        <f ca="1">IF(TOTALCO!F870="", "",TOTALCO!F870)</f>
        <v>9350.4298972602737</v>
      </c>
      <c r="G343" s="12" t="str">
        <f>IF(TOTALCO!G870="", "",TOTALCO!G870)</f>
        <v/>
      </c>
      <c r="H343" s="12">
        <f ca="1">IF(TOTALCO!H870="", "",TOTALCO!H870)</f>
        <v>5799.1454109589049</v>
      </c>
      <c r="I343" s="12">
        <f ca="1">IF(TOTALCO!I870="", "",TOTALCO!I870)</f>
        <v>2655.4246917808218</v>
      </c>
      <c r="J343" s="12" t="str">
        <f>IF(TOTALCO!J870="", "",TOTALCO!J870)</f>
        <v/>
      </c>
      <c r="K343" s="12" t="str">
        <f>IF(TOTALCO!K870="", "",TOTALCO!K870)</f>
        <v/>
      </c>
      <c r="L343" s="12">
        <f ca="1">IF(TOTALCO!L870="", "",TOTALCO!L870)</f>
        <v>0</v>
      </c>
      <c r="M343" s="12" t="str">
        <f>IF(TOTALCO!M870="", "",TOTALCO!M870)</f>
        <v/>
      </c>
      <c r="N343" s="12">
        <f ca="1">IF(TOTALCO!N870="", "",TOTALCO!N870)</f>
        <v>2655.4246917808218</v>
      </c>
      <c r="O343" s="12">
        <f ca="1">IF(TOTALCO!O870="", "",TOTALCO!O870)</f>
        <v>1346.7571917808218</v>
      </c>
      <c r="P343" s="12">
        <f ca="1">IF(TOTALCO!P870="", "",TOTALCO!P870)</f>
        <v>1308.6675</v>
      </c>
      <c r="Q343" s="12"/>
      <c r="R343" s="13"/>
    </row>
    <row r="344" spans="1:18" ht="15" x14ac:dyDescent="0.2">
      <c r="A344" s="321">
        <f>IF(TOTALCO!A871="", "",TOTALCO!A871)</f>
        <v>3</v>
      </c>
      <c r="B344" s="4" t="str">
        <f>IF(TOTALCO!B871="", "",TOTALCO!B871)</f>
        <v xml:space="preserve">   FERC-AFUDC POST</v>
      </c>
      <c r="C344" s="4" t="str">
        <f>IF(TOTALCO!C871="", "",TOTALCO!C871)</f>
        <v>DEMFERCP</v>
      </c>
      <c r="D344" s="12">
        <f ca="1">IF(TOTALCO!D871="", "",TOTALCO!D871)</f>
        <v>1891531</v>
      </c>
      <c r="E344" s="12" t="str">
        <f>IF(TOTALCO!E871="", "",TOTALCO!E871)</f>
        <v/>
      </c>
      <c r="F344" s="12">
        <f ca="1">IF(TOTALCO!F871="", "",TOTALCO!F871)</f>
        <v>1473166.9355831544</v>
      </c>
      <c r="G344" s="12" t="str">
        <f>IF(TOTALCO!G871="", "",TOTALCO!G871)</f>
        <v/>
      </c>
      <c r="H344" s="12">
        <f ca="1">IF(TOTALCO!H871="", "",TOTALCO!H871)</f>
        <v>0</v>
      </c>
      <c r="I344" s="12">
        <f ca="1">IF(TOTALCO!I871="", "",TOTALCO!I871)</f>
        <v>418364.06441684556</v>
      </c>
      <c r="J344" s="12" t="str">
        <f>IF(TOTALCO!J871="", "",TOTALCO!J871)</f>
        <v/>
      </c>
      <c r="K344" s="12" t="str">
        <f>IF(TOTALCO!K871="", "",TOTALCO!K871)</f>
        <v/>
      </c>
      <c r="L344" s="12">
        <f ca="1">IF(TOTALCO!L871="", "",TOTALCO!L871)</f>
        <v>0</v>
      </c>
      <c r="M344" s="12" t="str">
        <f>IF(TOTALCO!M871="", "",TOTALCO!M871)</f>
        <v/>
      </c>
      <c r="N344" s="12">
        <f ca="1">IF(TOTALCO!N871="", "",TOTALCO!N871)</f>
        <v>418364.06441684556</v>
      </c>
      <c r="O344" s="12">
        <f ca="1">IF(TOTALCO!O871="", "",TOTALCO!O871)</f>
        <v>212182.56133567187</v>
      </c>
      <c r="P344" s="12">
        <f ca="1">IF(TOTALCO!P871="", "",TOTALCO!P871)</f>
        <v>206181.50308117369</v>
      </c>
      <c r="Q344" s="12"/>
      <c r="R344" s="13"/>
    </row>
    <row r="345" spans="1:18" ht="15" x14ac:dyDescent="0.2">
      <c r="A345" s="321">
        <f>IF(TOTALCO!A872="", "",TOTALCO!A872)</f>
        <v>4</v>
      </c>
      <c r="B345" s="4" t="str">
        <f>IF(TOTALCO!B872="", "",TOTALCO!B872)</f>
        <v xml:space="preserve">    TOTAL PRODUCTION PLANT</v>
      </c>
      <c r="C345" s="4" t="str">
        <f>IF(TOTALCO!C872="", "",TOTALCO!C872)</f>
        <v/>
      </c>
      <c r="D345" s="12">
        <f ca="1">IF(TOTALCO!D872="", "",TOTALCO!D872)</f>
        <v>910619648</v>
      </c>
      <c r="E345" s="12" t="str">
        <f>IF(TOTALCO!E872="", "",TOTALCO!E872)</f>
        <v/>
      </c>
      <c r="F345" s="12">
        <f ca="1">IF(TOTALCO!F872="", "",TOTALCO!F872)</f>
        <v>853322131.18305409</v>
      </c>
      <c r="G345" s="12" t="str">
        <f>IF(TOTALCO!G872="", "",TOTALCO!G872)</f>
        <v/>
      </c>
      <c r="H345" s="12">
        <f ca="1">IF(TOTALCO!H872="", "",TOTALCO!H872)</f>
        <v>39012583.38755881</v>
      </c>
      <c r="I345" s="12">
        <f ca="1">IF(TOTALCO!I872="", "",TOTALCO!I872)</f>
        <v>18284933.429387096</v>
      </c>
      <c r="J345" s="12" t="str">
        <f>IF(TOTALCO!J872="", "",TOTALCO!J872)</f>
        <v/>
      </c>
      <c r="K345" s="12" t="str">
        <f>IF(TOTALCO!K872="", "",TOTALCO!K872)</f>
        <v/>
      </c>
      <c r="L345" s="12">
        <f ca="1">IF(TOTALCO!L872="", "",TOTALCO!L872)</f>
        <v>2734.2864923206434</v>
      </c>
      <c r="M345" s="12" t="str">
        <f>IF(TOTALCO!M872="", "",TOTALCO!M872)</f>
        <v/>
      </c>
      <c r="N345" s="12">
        <f ca="1">IF(TOTALCO!N872="", "",TOTALCO!N872)</f>
        <v>18282199.142894775</v>
      </c>
      <c r="O345" s="12">
        <f ca="1">IF(TOTALCO!O872="", "",TOTALCO!O872)</f>
        <v>9272220.4675857481</v>
      </c>
      <c r="P345" s="12">
        <f ca="1">IF(TOTALCO!P872="", "",TOTALCO!P872)</f>
        <v>9009978.6753090266</v>
      </c>
      <c r="Q345" s="12"/>
      <c r="R345" s="13"/>
    </row>
    <row r="346" spans="1:18" ht="15" x14ac:dyDescent="0.2">
      <c r="A346" s="321" t="str">
        <f>IF(TOTALCO!A873="", "",TOTALCO!A873)</f>
        <v/>
      </c>
      <c r="B346" s="4" t="str">
        <f>IF(TOTALCO!B873="", "",TOTALCO!B873)</f>
        <v/>
      </c>
      <c r="C346" s="4" t="str">
        <f>IF(TOTALCO!C873="", "",TOTALCO!C873)</f>
        <v/>
      </c>
      <c r="D346" s="12" t="str">
        <f>IF(TOTALCO!D873="", "",TOTALCO!D873)</f>
        <v/>
      </c>
      <c r="E346" s="12" t="str">
        <f>IF(TOTALCO!E873="", "",TOTALCO!E873)</f>
        <v/>
      </c>
      <c r="F346" s="12" t="str">
        <f>IF(TOTALCO!F873="", "",TOTALCO!F873)</f>
        <v/>
      </c>
      <c r="G346" s="12" t="str">
        <f>IF(TOTALCO!G873="", "",TOTALCO!G873)</f>
        <v/>
      </c>
      <c r="H346" s="12" t="str">
        <f>IF(TOTALCO!H873="", "",TOTALCO!H873)</f>
        <v/>
      </c>
      <c r="I346" s="12" t="str">
        <f>IF(TOTALCO!I873="", "",TOTALCO!I873)</f>
        <v/>
      </c>
      <c r="J346" s="12" t="str">
        <f>IF(TOTALCO!J873="", "",TOTALCO!J873)</f>
        <v/>
      </c>
      <c r="K346" s="12" t="str">
        <f>IF(TOTALCO!K873="", "",TOTALCO!K873)</f>
        <v/>
      </c>
      <c r="L346" s="12" t="str">
        <f>IF(TOTALCO!L873="", "",TOTALCO!L873)</f>
        <v/>
      </c>
      <c r="M346" s="12" t="str">
        <f>IF(TOTALCO!M873="", "",TOTALCO!M873)</f>
        <v/>
      </c>
      <c r="N346" s="12" t="str">
        <f>IF(TOTALCO!N873="", "",TOTALCO!N873)</f>
        <v/>
      </c>
      <c r="O346" s="12" t="str">
        <f>IF(TOTALCO!O873="", "",TOTALCO!O873)</f>
        <v/>
      </c>
      <c r="P346" s="12" t="str">
        <f>IF(TOTALCO!P873="", "",TOTALCO!P873)</f>
        <v/>
      </c>
      <c r="Q346" s="12"/>
      <c r="R346" s="13"/>
    </row>
    <row r="347" spans="1:18" ht="15" x14ac:dyDescent="0.2">
      <c r="A347" s="321" t="str">
        <f>IF(TOTALCO!A874="", "",TOTALCO!A874)</f>
        <v/>
      </c>
      <c r="B347" s="4" t="str">
        <f>IF(TOTALCO!B874="", "",TOTALCO!B874)</f>
        <v xml:space="preserve"> TRANSMISSION PLANT</v>
      </c>
      <c r="C347" s="4" t="str">
        <f>IF(TOTALCO!C874="", "",TOTALCO!C874)</f>
        <v/>
      </c>
      <c r="D347" s="12" t="str">
        <f>IF(TOTALCO!D874="", "",TOTALCO!D874)</f>
        <v/>
      </c>
      <c r="E347" s="12" t="str">
        <f>IF(TOTALCO!E874="", "",TOTALCO!E874)</f>
        <v/>
      </c>
      <c r="F347" s="12" t="str">
        <f>IF(TOTALCO!F874="", "",TOTALCO!F874)</f>
        <v/>
      </c>
      <c r="G347" s="12" t="str">
        <f>IF(TOTALCO!G874="", "",TOTALCO!G874)</f>
        <v/>
      </c>
      <c r="H347" s="12" t="str">
        <f>IF(TOTALCO!H874="", "",TOTALCO!H874)</f>
        <v/>
      </c>
      <c r="I347" s="12" t="str">
        <f>IF(TOTALCO!I874="", "",TOTALCO!I874)</f>
        <v/>
      </c>
      <c r="J347" s="12" t="str">
        <f>IF(TOTALCO!J874="", "",TOTALCO!J874)</f>
        <v/>
      </c>
      <c r="K347" s="12" t="str">
        <f>IF(TOTALCO!K874="", "",TOTALCO!K874)</f>
        <v/>
      </c>
      <c r="L347" s="12" t="str">
        <f>IF(TOTALCO!L874="", "",TOTALCO!L874)</f>
        <v/>
      </c>
      <c r="M347" s="12" t="str">
        <f>IF(TOTALCO!M874="", "",TOTALCO!M874)</f>
        <v/>
      </c>
      <c r="N347" s="12" t="str">
        <f>IF(TOTALCO!N874="", "",TOTALCO!N874)</f>
        <v/>
      </c>
      <c r="O347" s="12" t="str">
        <f>IF(TOTALCO!O874="", "",TOTALCO!O874)</f>
        <v/>
      </c>
      <c r="P347" s="12" t="str">
        <f>IF(TOTALCO!P874="", "",TOTALCO!P874)</f>
        <v/>
      </c>
      <c r="Q347" s="12"/>
      <c r="R347" s="13"/>
    </row>
    <row r="348" spans="1:18" ht="15" x14ac:dyDescent="0.2">
      <c r="A348" s="321">
        <f>IF(TOTALCO!A875="", "",TOTALCO!A875)</f>
        <v>5</v>
      </c>
      <c r="B348" s="4" t="str">
        <f>IF(TOTALCO!B875="", "",TOTALCO!B875)</f>
        <v xml:space="preserve">  KENTUCKY SYSTEM PROPERTY</v>
      </c>
      <c r="C348" s="4" t="str">
        <f>IF(TOTALCO!C875="", "",TOTALCO!C875)</f>
        <v>KYTRPLTXF</v>
      </c>
      <c r="D348" s="12">
        <f ca="1">IF(TOTALCO!D875="", "",TOTALCO!D875)</f>
        <v>166647024.99999997</v>
      </c>
      <c r="E348" s="12" t="str">
        <f>IF(TOTALCO!E875="", "",TOTALCO!E875)</f>
        <v/>
      </c>
      <c r="F348" s="12">
        <f ca="1">IF(TOTALCO!F875="", "",TOTALCO!F875)</f>
        <v>159230881.97505644</v>
      </c>
      <c r="G348" s="12" t="str">
        <f>IF(TOTALCO!G875="", "",TOTALCO!G875)</f>
        <v/>
      </c>
      <c r="H348" s="12">
        <f ca="1">IF(TOTALCO!H875="", "",TOTALCO!H875)</f>
        <v>7415633.2078071591</v>
      </c>
      <c r="I348" s="12">
        <f ca="1">IF(TOTALCO!I875="", "",TOTALCO!I875)</f>
        <v>509.81713637388793</v>
      </c>
      <c r="J348" s="12" t="str">
        <f>IF(TOTALCO!J875="", "",TOTALCO!J875)</f>
        <v/>
      </c>
      <c r="K348" s="12" t="str">
        <f>IF(TOTALCO!K875="", "",TOTALCO!K875)</f>
        <v/>
      </c>
      <c r="L348" s="12">
        <f ca="1">IF(TOTALCO!L875="", "",TOTALCO!L875)</f>
        <v>509.81713637388793</v>
      </c>
      <c r="M348" s="12" t="str">
        <f>IF(TOTALCO!M875="", "",TOTALCO!M875)</f>
        <v/>
      </c>
      <c r="N348" s="12">
        <f ca="1">IF(TOTALCO!N875="", "",TOTALCO!N875)</f>
        <v>0</v>
      </c>
      <c r="O348" s="12">
        <f ca="1">IF(TOTALCO!O875="", "",TOTALCO!O875)</f>
        <v>0</v>
      </c>
      <c r="P348" s="12">
        <f ca="1">IF(TOTALCO!P875="", "",TOTALCO!P875)</f>
        <v>0</v>
      </c>
      <c r="Q348" s="12"/>
      <c r="R348" s="13"/>
    </row>
    <row r="349" spans="1:18" ht="15" x14ac:dyDescent="0.2">
      <c r="A349" s="321">
        <f>IF(TOTALCO!A876="", "",TOTALCO!A876)</f>
        <v>6</v>
      </c>
      <c r="B349" s="4" t="str">
        <f>IF(TOTALCO!B876="", "",TOTALCO!B876)</f>
        <v xml:space="preserve">  VIRGINIA PROPERTY-500 KV LINE</v>
      </c>
      <c r="C349" s="4" t="str">
        <f>IF(TOTALCO!C876="", "",TOTALCO!C876)</f>
        <v>DEMTRANNVF</v>
      </c>
      <c r="D349" s="12">
        <f ca="1">IF(TOTALCO!D876="", "",TOTALCO!D876)</f>
        <v>0</v>
      </c>
      <c r="E349" s="12" t="str">
        <f>IF(TOTALCO!E876="", "",TOTALCO!E876)</f>
        <v/>
      </c>
      <c r="F349" s="12">
        <f ca="1">IF(TOTALCO!F876="", "",TOTALCO!F876)</f>
        <v>0</v>
      </c>
      <c r="G349" s="12" t="str">
        <f>IF(TOTALCO!G876="", "",TOTALCO!G876)</f>
        <v/>
      </c>
      <c r="H349" s="12">
        <f ca="1">IF(TOTALCO!H876="", "",TOTALCO!H876)</f>
        <v>0</v>
      </c>
      <c r="I349" s="12">
        <f ca="1">IF(TOTALCO!I876="", "",TOTALCO!I876)</f>
        <v>0</v>
      </c>
      <c r="J349" s="12" t="str">
        <f>IF(TOTALCO!J876="", "",TOTALCO!J876)</f>
        <v/>
      </c>
      <c r="K349" s="12" t="str">
        <f>IF(TOTALCO!K876="", "",TOTALCO!K876)</f>
        <v/>
      </c>
      <c r="L349" s="12">
        <f ca="1">IF(TOTALCO!L876="", "",TOTALCO!L876)</f>
        <v>0</v>
      </c>
      <c r="M349" s="12" t="str">
        <f>IF(TOTALCO!M876="", "",TOTALCO!M876)</f>
        <v/>
      </c>
      <c r="N349" s="12">
        <f ca="1">IF(TOTALCO!N876="", "",TOTALCO!N876)</f>
        <v>0</v>
      </c>
      <c r="O349" s="12">
        <f ca="1">IF(TOTALCO!O876="", "",TOTALCO!O876)</f>
        <v>0</v>
      </c>
      <c r="P349" s="12">
        <f ca="1">IF(TOTALCO!P876="", "",TOTALCO!P876)</f>
        <v>0</v>
      </c>
      <c r="Q349" s="12"/>
      <c r="R349" s="13"/>
    </row>
    <row r="350" spans="1:18" ht="15" x14ac:dyDescent="0.2">
      <c r="A350" s="321">
        <f>IF(TOTALCO!A877="", "",TOTALCO!A877)</f>
        <v>7</v>
      </c>
      <c r="B350" s="4" t="str">
        <f>IF(TOTALCO!B877="", "",TOTALCO!B877)</f>
        <v xml:space="preserve">  VIRGINIA PROPERTY-OTHER</v>
      </c>
      <c r="C350" s="4" t="str">
        <f>IF(TOTALCO!C877="", "",TOTALCO!C877)</f>
        <v>VATRPLT</v>
      </c>
      <c r="D350" s="12">
        <f ca="1">IF(TOTALCO!D877="", "",TOTALCO!D877)</f>
        <v>7408379</v>
      </c>
      <c r="E350" s="12" t="str">
        <f>IF(TOTALCO!E877="", "",TOTALCO!E877)</f>
        <v/>
      </c>
      <c r="F350" s="12">
        <f ca="1">IF(TOTALCO!F877="", "",TOTALCO!F877)</f>
        <v>0</v>
      </c>
      <c r="G350" s="12" t="str">
        <f>IF(TOTALCO!G877="", "",TOTALCO!G877)</f>
        <v/>
      </c>
      <c r="H350" s="12">
        <f ca="1">IF(TOTALCO!H877="", "",TOTALCO!H877)</f>
        <v>7408379</v>
      </c>
      <c r="I350" s="12">
        <f ca="1">IF(TOTALCO!I877="", "",TOTALCO!I877)</f>
        <v>0</v>
      </c>
      <c r="J350" s="12" t="str">
        <f>IF(TOTALCO!J877="", "",TOTALCO!J877)</f>
        <v/>
      </c>
      <c r="K350" s="12" t="str">
        <f>IF(TOTALCO!K877="", "",TOTALCO!K877)</f>
        <v/>
      </c>
      <c r="L350" s="12">
        <f ca="1">IF(TOTALCO!L877="", "",TOTALCO!L877)</f>
        <v>0</v>
      </c>
      <c r="M350" s="12" t="str">
        <f>IF(TOTALCO!M877="", "",TOTALCO!M877)</f>
        <v/>
      </c>
      <c r="N350" s="12">
        <f ca="1">IF(TOTALCO!N877="", "",TOTALCO!N877)</f>
        <v>0</v>
      </c>
      <c r="O350" s="12">
        <f ca="1">IF(TOTALCO!O877="", "",TOTALCO!O877)</f>
        <v>0</v>
      </c>
      <c r="P350" s="12">
        <f ca="1">IF(TOTALCO!P877="", "",TOTALCO!P877)</f>
        <v>0</v>
      </c>
      <c r="Q350" s="12"/>
      <c r="R350" s="13"/>
    </row>
    <row r="351" spans="1:18" ht="15" x14ac:dyDescent="0.2">
      <c r="A351" s="321">
        <f>IF(TOTALCO!A878="", "",TOTALCO!A878)</f>
        <v>8</v>
      </c>
      <c r="B351" s="4" t="str">
        <f>IF(TOTALCO!B878="", "",TOTALCO!B878)</f>
        <v xml:space="preserve">  FERC-AFUDC PRE</v>
      </c>
      <c r="C351" s="4" t="str">
        <f>IF(TOTALCO!C878="", "",TOTALCO!C878)</f>
        <v>DEMFERC</v>
      </c>
      <c r="D351" s="12">
        <f ca="1">IF(TOTALCO!D878="", "",TOTALCO!D878)</f>
        <v>3142</v>
      </c>
      <c r="E351" s="12" t="str">
        <f>IF(TOTALCO!E878="", "",TOTALCO!E878)</f>
        <v/>
      </c>
      <c r="F351" s="12">
        <f ca="1">IF(TOTALCO!F878="", "",TOTALCO!F878)</f>
        <v>1650.0449726027396</v>
      </c>
      <c r="G351" s="12" t="str">
        <f>IF(TOTALCO!G878="", "",TOTALCO!G878)</f>
        <v/>
      </c>
      <c r="H351" s="12">
        <f ca="1">IF(TOTALCO!H878="", "",TOTALCO!H878)</f>
        <v>1023.3594429223745</v>
      </c>
      <c r="I351" s="12">
        <f ca="1">IF(TOTALCO!I878="", "",TOTALCO!I878)</f>
        <v>468.59558447488581</v>
      </c>
      <c r="J351" s="12" t="str">
        <f>IF(TOTALCO!J878="", "",TOTALCO!J878)</f>
        <v/>
      </c>
      <c r="K351" s="12" t="str">
        <f>IF(TOTALCO!K878="", "",TOTALCO!K878)</f>
        <v/>
      </c>
      <c r="L351" s="12">
        <f ca="1">IF(TOTALCO!L878="", "",TOTALCO!L878)</f>
        <v>0</v>
      </c>
      <c r="M351" s="12" t="str">
        <f>IF(TOTALCO!M878="", "",TOTALCO!M878)</f>
        <v/>
      </c>
      <c r="N351" s="12">
        <f ca="1">IF(TOTALCO!N878="", "",TOTALCO!N878)</f>
        <v>468.59558447488581</v>
      </c>
      <c r="O351" s="12">
        <f ca="1">IF(TOTALCO!O878="", "",TOTALCO!O878)</f>
        <v>237.65858447488583</v>
      </c>
      <c r="P351" s="12">
        <f ca="1">IF(TOTALCO!P878="", "",TOTALCO!P878)</f>
        <v>230.93699999999998</v>
      </c>
      <c r="Q351" s="12"/>
      <c r="R351" s="13"/>
    </row>
    <row r="352" spans="1:18" ht="15" x14ac:dyDescent="0.2">
      <c r="A352" s="321">
        <f>IF(TOTALCO!A879="", "",TOTALCO!A879)</f>
        <v>9</v>
      </c>
      <c r="B352" s="4" t="str">
        <f>IF(TOTALCO!B879="", "",TOTALCO!B879)</f>
        <v xml:space="preserve">  FERC-AFUDC POST</v>
      </c>
      <c r="C352" s="4" t="str">
        <f>IF(TOTALCO!C879="", "",TOTALCO!C879)</f>
        <v>DEMFERCP</v>
      </c>
      <c r="D352" s="12">
        <f ca="1">IF(TOTALCO!D879="", "",TOTALCO!D879)</f>
        <v>333800</v>
      </c>
      <c r="E352" s="12" t="str">
        <f>IF(TOTALCO!E879="", "",TOTALCO!E879)</f>
        <v/>
      </c>
      <c r="F352" s="12">
        <f ca="1">IF(TOTALCO!F879="", "",TOTALCO!F879)</f>
        <v>259970.9563827698</v>
      </c>
      <c r="G352" s="12" t="str">
        <f>IF(TOTALCO!G879="", "",TOTALCO!G879)</f>
        <v/>
      </c>
      <c r="H352" s="12">
        <f ca="1">IF(TOTALCO!H879="", "",TOTALCO!H879)</f>
        <v>0</v>
      </c>
      <c r="I352" s="12">
        <f ca="1">IF(TOTALCO!I879="", "",TOTALCO!I879)</f>
        <v>73829.0436172302</v>
      </c>
      <c r="J352" s="12" t="str">
        <f>IF(TOTALCO!J879="", "",TOTALCO!J879)</f>
        <v/>
      </c>
      <c r="K352" s="12" t="str">
        <f>IF(TOTALCO!K879="", "",TOTALCO!K879)</f>
        <v/>
      </c>
      <c r="L352" s="12">
        <f ca="1">IF(TOTALCO!L879="", "",TOTALCO!L879)</f>
        <v>0</v>
      </c>
      <c r="M352" s="12" t="str">
        <f>IF(TOTALCO!M879="", "",TOTALCO!M879)</f>
        <v/>
      </c>
      <c r="N352" s="12">
        <f ca="1">IF(TOTALCO!N879="", "",TOTALCO!N879)</f>
        <v>73829.0436172302</v>
      </c>
      <c r="O352" s="12">
        <f ca="1">IF(TOTALCO!O879="", "",TOTALCO!O879)</f>
        <v>37444.027601898815</v>
      </c>
      <c r="P352" s="12">
        <f ca="1">IF(TOTALCO!P879="", "",TOTALCO!P879)</f>
        <v>36385.016015331377</v>
      </c>
      <c r="Q352" s="12"/>
      <c r="R352" s="13"/>
    </row>
    <row r="353" spans="1:18" ht="15" x14ac:dyDescent="0.2">
      <c r="A353" s="321">
        <f>IF(TOTALCO!A880="", "",TOTALCO!A880)</f>
        <v>10</v>
      </c>
      <c r="B353" s="4" t="str">
        <f>IF(TOTALCO!B880="", "",TOTALCO!B880)</f>
        <v xml:space="preserve"> TOTAL TRANSMISSION PLANT</v>
      </c>
      <c r="C353" s="4" t="str">
        <f>IF(TOTALCO!C880="", "",TOTALCO!C880)</f>
        <v/>
      </c>
      <c r="D353" s="12">
        <f ca="1">IF(TOTALCO!D880="", "",TOTALCO!D880)</f>
        <v>174392345.99999997</v>
      </c>
      <c r="E353" s="12" t="str">
        <f>IF(TOTALCO!E880="", "",TOTALCO!E880)</f>
        <v/>
      </c>
      <c r="F353" s="12">
        <f ca="1">IF(TOTALCO!F880="", "",TOTALCO!F880)</f>
        <v>159492502.97641182</v>
      </c>
      <c r="G353" s="12" t="str">
        <f>IF(TOTALCO!G880="", "",TOTALCO!G880)</f>
        <v/>
      </c>
      <c r="H353" s="12">
        <f ca="1">IF(TOTALCO!H880="", "",TOTALCO!H880)</f>
        <v>14825035.567250082</v>
      </c>
      <c r="I353" s="12">
        <f ca="1">IF(TOTALCO!I880="", "",TOTALCO!I880)</f>
        <v>74807.456338078977</v>
      </c>
      <c r="J353" s="12" t="str">
        <f>IF(TOTALCO!J880="", "",TOTALCO!J880)</f>
        <v/>
      </c>
      <c r="K353" s="12" t="str">
        <f>IF(TOTALCO!K880="", "",TOTALCO!K880)</f>
        <v/>
      </c>
      <c r="L353" s="12">
        <f ca="1">IF(TOTALCO!L880="", "",TOTALCO!L880)</f>
        <v>509.81713637388793</v>
      </c>
      <c r="M353" s="12" t="str">
        <f>IF(TOTALCO!M880="", "",TOTALCO!M880)</f>
        <v/>
      </c>
      <c r="N353" s="12">
        <f ca="1">IF(TOTALCO!N880="", "",TOTALCO!N880)</f>
        <v>74297.639201705082</v>
      </c>
      <c r="O353" s="12">
        <f ca="1">IF(TOTALCO!O880="", "",TOTALCO!O880)</f>
        <v>37681.686186373699</v>
      </c>
      <c r="P353" s="12">
        <f ca="1">IF(TOTALCO!P880="", "",TOTALCO!P880)</f>
        <v>36615.953015331375</v>
      </c>
      <c r="Q353" s="12"/>
      <c r="R353" s="13"/>
    </row>
    <row r="354" spans="1:18" ht="15" x14ac:dyDescent="0.2">
      <c r="A354" s="321" t="str">
        <f>IF(TOTALCO!A881="", "",TOTALCO!A881)</f>
        <v/>
      </c>
      <c r="B354" s="4" t="str">
        <f>IF(TOTALCO!B881="", "",TOTALCO!B881)</f>
        <v/>
      </c>
      <c r="C354" s="4" t="str">
        <f>IF(TOTALCO!C881="", "",TOTALCO!C881)</f>
        <v/>
      </c>
      <c r="D354" s="12" t="str">
        <f>IF(TOTALCO!D881="", "",TOTALCO!D881)</f>
        <v/>
      </c>
      <c r="E354" s="12" t="str">
        <f>IF(TOTALCO!E881="", "",TOTALCO!E881)</f>
        <v/>
      </c>
      <c r="F354" s="12" t="str">
        <f>IF(TOTALCO!F881="", "",TOTALCO!F881)</f>
        <v/>
      </c>
      <c r="G354" s="12" t="str">
        <f>IF(TOTALCO!G881="", "",TOTALCO!G881)</f>
        <v/>
      </c>
      <c r="H354" s="12" t="str">
        <f>IF(TOTALCO!H881="", "",TOTALCO!H881)</f>
        <v/>
      </c>
      <c r="I354" s="12" t="str">
        <f>IF(TOTALCO!I881="", "",TOTALCO!I881)</f>
        <v/>
      </c>
      <c r="J354" s="12" t="str">
        <f>IF(TOTALCO!J881="", "",TOTALCO!J881)</f>
        <v/>
      </c>
      <c r="K354" s="12" t="str">
        <f>IF(TOTALCO!K881="", "",TOTALCO!K881)</f>
        <v/>
      </c>
      <c r="L354" s="12" t="str">
        <f>IF(TOTALCO!L881="", "",TOTALCO!L881)</f>
        <v/>
      </c>
      <c r="M354" s="12" t="str">
        <f>IF(TOTALCO!M881="", "",TOTALCO!M881)</f>
        <v/>
      </c>
      <c r="N354" s="12" t="str">
        <f>IF(TOTALCO!N881="", "",TOTALCO!N881)</f>
        <v/>
      </c>
      <c r="O354" s="12" t="str">
        <f>IF(TOTALCO!O881="", "",TOTALCO!O881)</f>
        <v/>
      </c>
      <c r="P354" s="12" t="str">
        <f>IF(TOTALCO!P881="", "",TOTALCO!P881)</f>
        <v/>
      </c>
      <c r="Q354" s="12"/>
      <c r="R354" s="13"/>
    </row>
    <row r="355" spans="1:18" ht="15" x14ac:dyDescent="0.2">
      <c r="A355" s="321">
        <f>IF(TOTALCO!A882="", "",TOTALCO!A882)</f>
        <v>11</v>
      </c>
      <c r="B355" s="4" t="str">
        <f>IF(TOTALCO!B882="", "",TOTALCO!B882)</f>
        <v xml:space="preserve"> DISTRIBUTION - VA</v>
      </c>
      <c r="C355" s="4" t="str">
        <f>IF(TOTALCO!C882="", "",TOTALCO!C882)</f>
        <v>DIRACDFTX</v>
      </c>
      <c r="D355" s="12">
        <f ca="1">IF(TOTALCO!D882="", "",TOTALCO!D882)</f>
        <v>12259352</v>
      </c>
      <c r="E355" s="12" t="str">
        <f>IF(TOTALCO!E882="", "",TOTALCO!E882)</f>
        <v/>
      </c>
      <c r="F355" s="12">
        <f ca="1">IF(TOTALCO!F882="", "",TOTALCO!F882)</f>
        <v>0</v>
      </c>
      <c r="G355" s="12" t="str">
        <f>IF(TOTALCO!G882="", "",TOTALCO!G882)</f>
        <v/>
      </c>
      <c r="H355" s="12">
        <f ca="1">IF(TOTALCO!H882="", "",TOTALCO!H882)</f>
        <v>12259352</v>
      </c>
      <c r="I355" s="12">
        <f ca="1">IF(TOTALCO!I882="", "",TOTALCO!I882)</f>
        <v>0</v>
      </c>
      <c r="J355" s="12" t="str">
        <f>IF(TOTALCO!J882="", "",TOTALCO!J882)</f>
        <v/>
      </c>
      <c r="K355" s="12" t="str">
        <f>IF(TOTALCO!K882="", "",TOTALCO!K882)</f>
        <v/>
      </c>
      <c r="L355" s="12">
        <f ca="1">IF(TOTALCO!L882="", "",TOTALCO!L882)</f>
        <v>0</v>
      </c>
      <c r="M355" s="12" t="str">
        <f>IF(TOTALCO!M882="", "",TOTALCO!M882)</f>
        <v/>
      </c>
      <c r="N355" s="12">
        <f ca="1">IF(TOTALCO!N882="", "",TOTALCO!N882)</f>
        <v>0</v>
      </c>
      <c r="O355" s="12">
        <f ca="1">IF(TOTALCO!O882="", "",TOTALCO!O882)</f>
        <v>0</v>
      </c>
      <c r="P355" s="12">
        <f ca="1">IF(TOTALCO!P882="", "",TOTALCO!P882)</f>
        <v>0</v>
      </c>
      <c r="Q355" s="12"/>
      <c r="R355" s="13"/>
    </row>
    <row r="356" spans="1:18" ht="15" x14ac:dyDescent="0.2">
      <c r="A356" s="321">
        <f>IF(TOTALCO!A883="", "",TOTALCO!A883)</f>
        <v>12</v>
      </c>
      <c r="B356" s="4" t="str">
        <f>IF(TOTALCO!B883="", "",TOTALCO!B883)</f>
        <v xml:space="preserve"> DISTRIBUTION PLT KY,FERC &amp; TN</v>
      </c>
      <c r="C356" s="4" t="str">
        <f>IF(TOTALCO!C883="", "",TOTALCO!C883)</f>
        <v>DPLTXVA</v>
      </c>
      <c r="D356" s="12">
        <f ca="1">IF(TOTALCO!D883="", "",TOTALCO!D883)</f>
        <v>275154577</v>
      </c>
      <c r="E356" s="12" t="str">
        <f>IF(TOTALCO!E883="", "",TOTALCO!E883)</f>
        <v/>
      </c>
      <c r="F356" s="12">
        <f ca="1">IF(TOTALCO!F883="", "",TOTALCO!F883)</f>
        <v>274539335.96324813</v>
      </c>
      <c r="G356" s="12" t="str">
        <f>IF(TOTALCO!G883="", "",TOTALCO!G883)</f>
        <v/>
      </c>
      <c r="H356" s="12">
        <f ca="1">IF(TOTALCO!H883="", "",TOTALCO!H883)</f>
        <v>0</v>
      </c>
      <c r="I356" s="12">
        <f ca="1">IF(TOTALCO!I883="", "",TOTALCO!I883)</f>
        <v>615241.03675185028</v>
      </c>
      <c r="J356" s="12" t="str">
        <f>IF(TOTALCO!J883="", "",TOTALCO!J883)</f>
        <v/>
      </c>
      <c r="K356" s="12" t="str">
        <f>IF(TOTALCO!K883="", "",TOTALCO!K883)</f>
        <v/>
      </c>
      <c r="L356" s="12">
        <f ca="1">IF(TOTALCO!L883="", "",TOTALCO!L883)</f>
        <v>92329.942839287614</v>
      </c>
      <c r="M356" s="12" t="str">
        <f>IF(TOTALCO!M883="", "",TOTALCO!M883)</f>
        <v/>
      </c>
      <c r="N356" s="12">
        <f ca="1">IF(TOTALCO!N883="", "",TOTALCO!N883)</f>
        <v>522911.0939125627</v>
      </c>
      <c r="O356" s="12">
        <f ca="1">IF(TOTALCO!O883="", "",TOTALCO!O883)</f>
        <v>519079.89010849933</v>
      </c>
      <c r="P356" s="12">
        <f ca="1">IF(TOTALCO!P883="", "",TOTALCO!P883)</f>
        <v>3831.2038040633824</v>
      </c>
      <c r="Q356" s="12"/>
      <c r="R356" s="13"/>
    </row>
    <row r="357" spans="1:18" ht="15" x14ac:dyDescent="0.2">
      <c r="A357" s="321">
        <f>IF(TOTALCO!A884="", "",TOTALCO!A884)</f>
        <v>13</v>
      </c>
      <c r="B357" s="4" t="str">
        <f>IF(TOTALCO!B884="", "",TOTALCO!B884)</f>
        <v xml:space="preserve"> TOTAL DISTRIBUTION PLANT</v>
      </c>
      <c r="C357" s="4" t="str">
        <f>IF(TOTALCO!C884="", "",TOTALCO!C884)</f>
        <v/>
      </c>
      <c r="D357" s="12">
        <f ca="1">IF(TOTALCO!D884="", "",TOTALCO!D884)</f>
        <v>287413929</v>
      </c>
      <c r="E357" s="12" t="str">
        <f>IF(TOTALCO!E884="", "",TOTALCO!E884)</f>
        <v/>
      </c>
      <c r="F357" s="12">
        <f ca="1">IF(TOTALCO!F884="", "",TOTALCO!F884)</f>
        <v>274539335.96324813</v>
      </c>
      <c r="G357" s="12" t="str">
        <f>IF(TOTALCO!G884="", "",TOTALCO!G884)</f>
        <v/>
      </c>
      <c r="H357" s="12">
        <f ca="1">IF(TOTALCO!H884="", "",TOTALCO!H884)</f>
        <v>12259352</v>
      </c>
      <c r="I357" s="12">
        <f ca="1">IF(TOTALCO!I884="", "",TOTALCO!I884)</f>
        <v>615241.03675185028</v>
      </c>
      <c r="J357" s="12" t="str">
        <f>IF(TOTALCO!J884="", "",TOTALCO!J884)</f>
        <v/>
      </c>
      <c r="K357" s="12" t="str">
        <f>IF(TOTALCO!K884="", "",TOTALCO!K884)</f>
        <v/>
      </c>
      <c r="L357" s="12">
        <f ca="1">IF(TOTALCO!L884="", "",TOTALCO!L884)</f>
        <v>92329.942839287614</v>
      </c>
      <c r="M357" s="12" t="str">
        <f>IF(TOTALCO!M884="", "",TOTALCO!M884)</f>
        <v/>
      </c>
      <c r="N357" s="12">
        <f ca="1">IF(TOTALCO!N884="", "",TOTALCO!N884)</f>
        <v>522911.0939125627</v>
      </c>
      <c r="O357" s="12">
        <f ca="1">IF(TOTALCO!O884="", "",TOTALCO!O884)</f>
        <v>519079.89010849933</v>
      </c>
      <c r="P357" s="12">
        <f ca="1">IF(TOTALCO!P884="", "",TOTALCO!P884)</f>
        <v>3831.2038040633824</v>
      </c>
      <c r="Q357" s="12"/>
      <c r="R357" s="13"/>
    </row>
    <row r="358" spans="1:18" ht="15" x14ac:dyDescent="0.2">
      <c r="A358" s="321" t="str">
        <f>IF(TOTALCO!A885="", "",TOTALCO!A885)</f>
        <v/>
      </c>
      <c r="B358" s="4" t="str">
        <f>IF(TOTALCO!B885="", "",TOTALCO!B885)</f>
        <v/>
      </c>
      <c r="C358" s="4" t="str">
        <f>IF(TOTALCO!C885="", "",TOTALCO!C885)</f>
        <v/>
      </c>
      <c r="D358" s="12" t="str">
        <f>IF(TOTALCO!D885="", "",TOTALCO!D885)</f>
        <v/>
      </c>
      <c r="E358" s="12" t="str">
        <f>IF(TOTALCO!E885="", "",TOTALCO!E885)</f>
        <v/>
      </c>
      <c r="F358" s="12" t="str">
        <f>IF(TOTALCO!F885="", "",TOTALCO!F885)</f>
        <v/>
      </c>
      <c r="G358" s="12" t="str">
        <f>IF(TOTALCO!G885="", "",TOTALCO!G885)</f>
        <v/>
      </c>
      <c r="H358" s="12" t="str">
        <f>IF(TOTALCO!H885="", "",TOTALCO!H885)</f>
        <v/>
      </c>
      <c r="I358" s="12" t="str">
        <f>IF(TOTALCO!I885="", "",TOTALCO!I885)</f>
        <v/>
      </c>
      <c r="J358" s="12" t="str">
        <f>IF(TOTALCO!J885="", "",TOTALCO!J885)</f>
        <v/>
      </c>
      <c r="K358" s="12" t="str">
        <f>IF(TOTALCO!K885="", "",TOTALCO!K885)</f>
        <v/>
      </c>
      <c r="L358" s="12" t="str">
        <f>IF(TOTALCO!L885="", "",TOTALCO!L885)</f>
        <v/>
      </c>
      <c r="M358" s="12" t="str">
        <f>IF(TOTALCO!M885="", "",TOTALCO!M885)</f>
        <v/>
      </c>
      <c r="N358" s="12" t="str">
        <f>IF(TOTALCO!N885="", "",TOTALCO!N885)</f>
        <v/>
      </c>
      <c r="O358" s="12" t="str">
        <f>IF(TOTALCO!O885="", "",TOTALCO!O885)</f>
        <v/>
      </c>
      <c r="P358" s="12" t="str">
        <f>IF(TOTALCO!P885="", "",TOTALCO!P885)</f>
        <v/>
      </c>
      <c r="Q358" s="12"/>
      <c r="R358" s="13"/>
    </row>
    <row r="359" spans="1:18" ht="15" x14ac:dyDescent="0.2">
      <c r="A359" s="321">
        <f>IF(TOTALCO!A886="", "",TOTALCO!A886)</f>
        <v>14</v>
      </c>
      <c r="B359" s="4" t="str">
        <f>IF(TOTALCO!B886="", "",TOTALCO!B886)</f>
        <v xml:space="preserve"> GENERAL</v>
      </c>
      <c r="C359" s="4" t="str">
        <f>IF(TOTALCO!C886="", "",TOTALCO!C886)</f>
        <v>GENPLT</v>
      </c>
      <c r="D359" s="12">
        <f ca="1">IF(TOTALCO!D886="", "",TOTALCO!D886)</f>
        <v>32389554.000000004</v>
      </c>
      <c r="E359" s="12" t="str">
        <f>IF(TOTALCO!E886="", "",TOTALCO!E886)</f>
        <v/>
      </c>
      <c r="F359" s="12">
        <f ca="1">IF(TOTALCO!F886="", "",TOTALCO!F886)</f>
        <v>30535465.963397659</v>
      </c>
      <c r="G359" s="12" t="str">
        <f>IF(TOTALCO!G886="", "",TOTALCO!G886)</f>
        <v/>
      </c>
      <c r="H359" s="12">
        <f ca="1">IF(TOTALCO!H886="", "",TOTALCO!H886)</f>
        <v>1479779.9715130553</v>
      </c>
      <c r="I359" s="12">
        <f ca="1">IF(TOTALCO!I886="", "",TOTALCO!I886)</f>
        <v>374308.06508928916</v>
      </c>
      <c r="J359" s="12" t="str">
        <f>IF(TOTALCO!J886="", "",TOTALCO!J886)</f>
        <v/>
      </c>
      <c r="K359" s="12" t="str">
        <f>IF(TOTALCO!K886="", "",TOTALCO!K886)</f>
        <v/>
      </c>
      <c r="L359" s="12">
        <f ca="1">IF(TOTALCO!L886="", "",TOTALCO!L886)</f>
        <v>2105.9125115370439</v>
      </c>
      <c r="M359" s="12" t="str">
        <f>IF(TOTALCO!M886="", "",TOTALCO!M886)</f>
        <v/>
      </c>
      <c r="N359" s="12">
        <f ca="1">IF(TOTALCO!N886="", "",TOTALCO!N886)</f>
        <v>372202.15257775213</v>
      </c>
      <c r="O359" s="12">
        <f ca="1">IF(TOTALCO!O886="", "",TOTALCO!O886)</f>
        <v>194021.43084312993</v>
      </c>
      <c r="P359" s="12">
        <f ca="1">IF(TOTALCO!P886="", "",TOTALCO!P886)</f>
        <v>178180.72173462223</v>
      </c>
      <c r="Q359" s="12"/>
      <c r="R359" s="13"/>
    </row>
    <row r="360" spans="1:18" ht="15" x14ac:dyDescent="0.2">
      <c r="A360" s="321" t="str">
        <f>IF(TOTALCO!A887="", "",TOTALCO!A887)</f>
        <v/>
      </c>
      <c r="B360" s="4" t="str">
        <f>IF(TOTALCO!B887="", "",TOTALCO!B887)</f>
        <v/>
      </c>
      <c r="C360" s="4" t="str">
        <f>IF(TOTALCO!C887="", "",TOTALCO!C887)</f>
        <v/>
      </c>
      <c r="D360" s="12" t="str">
        <f>IF(TOTALCO!D887="", "",TOTALCO!D887)</f>
        <v/>
      </c>
      <c r="E360" s="12" t="str">
        <f>IF(TOTALCO!E887="", "",TOTALCO!E887)</f>
        <v/>
      </c>
      <c r="F360" s="12" t="str">
        <f>IF(TOTALCO!F887="", "",TOTALCO!F887)</f>
        <v/>
      </c>
      <c r="G360" s="12" t="str">
        <f>IF(TOTALCO!G887="", "",TOTALCO!G887)</f>
        <v/>
      </c>
      <c r="H360" s="12" t="str">
        <f>IF(TOTALCO!H887="", "",TOTALCO!H887)</f>
        <v/>
      </c>
      <c r="I360" s="12" t="str">
        <f>IF(TOTALCO!I887="", "",TOTALCO!I887)</f>
        <v/>
      </c>
      <c r="J360" s="12" t="str">
        <f>IF(TOTALCO!J887="", "",TOTALCO!J887)</f>
        <v/>
      </c>
      <c r="K360" s="12" t="str">
        <f>IF(TOTALCO!K887="", "",TOTALCO!K887)</f>
        <v/>
      </c>
      <c r="L360" s="12" t="str">
        <f>IF(TOTALCO!L887="", "",TOTALCO!L887)</f>
        <v/>
      </c>
      <c r="M360" s="12" t="str">
        <f>IF(TOTALCO!M887="", "",TOTALCO!M887)</f>
        <v/>
      </c>
      <c r="N360" s="12" t="str">
        <f>IF(TOTALCO!N887="", "",TOTALCO!N887)</f>
        <v/>
      </c>
      <c r="O360" s="12" t="str">
        <f>IF(TOTALCO!O887="", "",TOTALCO!O887)</f>
        <v/>
      </c>
      <c r="P360" s="12" t="str">
        <f>IF(TOTALCO!P887="", "",TOTALCO!P887)</f>
        <v/>
      </c>
      <c r="Q360" s="12"/>
      <c r="R360" s="13"/>
    </row>
    <row r="361" spans="1:18" ht="15" x14ac:dyDescent="0.2">
      <c r="A361" s="321">
        <f>IF(TOTALCO!A888="", "",TOTALCO!A888)</f>
        <v>15</v>
      </c>
      <c r="B361" s="4" t="str">
        <f>IF(TOTALCO!B888="", "",TOTALCO!B888)</f>
        <v>TOTAL DEFERRED INCOME TAX</v>
      </c>
      <c r="C361" s="4" t="str">
        <f>IF(TOTALCO!C888="", "",TOTALCO!C888)</f>
        <v/>
      </c>
      <c r="D361" s="12">
        <f ca="1">IF(TOTALCO!D888="", "",TOTALCO!D888)</f>
        <v>1404815477</v>
      </c>
      <c r="E361" s="12" t="str">
        <f>IF(TOTALCO!E888="", "",TOTALCO!E888)</f>
        <v/>
      </c>
      <c r="F361" s="12">
        <f ca="1">IF(TOTALCO!F888="", "",TOTALCO!F888)</f>
        <v>1317889436.0861118</v>
      </c>
      <c r="G361" s="12" t="str">
        <f>IF(TOTALCO!G888="", "",TOTALCO!G888)</f>
        <v/>
      </c>
      <c r="H361" s="12">
        <f ca="1">IF(TOTALCO!H888="", "",TOTALCO!H888)</f>
        <v>67576750.926321954</v>
      </c>
      <c r="I361" s="12">
        <f ca="1">IF(TOTALCO!I888="", "",TOTALCO!I888)</f>
        <v>19349289.987566315</v>
      </c>
      <c r="J361" s="12" t="str">
        <f>IF(TOTALCO!J888="", "",TOTALCO!J888)</f>
        <v/>
      </c>
      <c r="K361" s="12" t="str">
        <f>IF(TOTALCO!K888="", "",TOTALCO!K888)</f>
        <v/>
      </c>
      <c r="L361" s="12">
        <f ca="1">IF(TOTALCO!L888="", "",TOTALCO!L888)</f>
        <v>97679.958979519186</v>
      </c>
      <c r="M361" s="12" t="str">
        <f>IF(TOTALCO!M888="", "",TOTALCO!M888)</f>
        <v/>
      </c>
      <c r="N361" s="12">
        <f ca="1">IF(TOTALCO!N888="", "",TOTALCO!N888)</f>
        <v>19251610.028586794</v>
      </c>
      <c r="O361" s="12">
        <f ca="1">IF(TOTALCO!O888="", "",TOTALCO!O888)</f>
        <v>10023003.474723751</v>
      </c>
      <c r="P361" s="12">
        <f ca="1">IF(TOTALCO!P888="", "",TOTALCO!P888)</f>
        <v>9228606.553863043</v>
      </c>
      <c r="Q361" s="12"/>
      <c r="R361" s="13"/>
    </row>
    <row r="362" spans="1:18" ht="15" x14ac:dyDescent="0.2">
      <c r="A362" s="321" t="str">
        <f>IF(TOTALCO!A889="", "",TOTALCO!A889)</f>
        <v/>
      </c>
      <c r="B362" s="4" t="str">
        <f>IF(TOTALCO!B889="", "",TOTALCO!B889)</f>
        <v/>
      </c>
      <c r="C362" s="4" t="str">
        <f>IF(TOTALCO!C889="", "",TOTALCO!C889)</f>
        <v/>
      </c>
      <c r="D362" s="12" t="str">
        <f>IF(TOTALCO!D889="", "",TOTALCO!D889)</f>
        <v/>
      </c>
      <c r="E362" s="12" t="str">
        <f>IF(TOTALCO!E889="", "",TOTALCO!E889)</f>
        <v/>
      </c>
      <c r="F362" s="12" t="str">
        <f>IF(TOTALCO!F889="", "",TOTALCO!F889)</f>
        <v/>
      </c>
      <c r="G362" s="12" t="str">
        <f>IF(TOTALCO!G889="", "",TOTALCO!G889)</f>
        <v/>
      </c>
      <c r="H362" s="12" t="str">
        <f>IF(TOTALCO!H889="", "",TOTALCO!H889)</f>
        <v/>
      </c>
      <c r="I362" s="12" t="str">
        <f>IF(TOTALCO!I889="", "",TOTALCO!I889)</f>
        <v/>
      </c>
      <c r="J362" s="12" t="str">
        <f>IF(TOTALCO!J889="", "",TOTALCO!J889)</f>
        <v/>
      </c>
      <c r="K362" s="12" t="str">
        <f>IF(TOTALCO!K889="", "",TOTALCO!K889)</f>
        <v/>
      </c>
      <c r="L362" s="12" t="str">
        <f>IF(TOTALCO!L889="", "",TOTALCO!L889)</f>
        <v/>
      </c>
      <c r="M362" s="12" t="str">
        <f>IF(TOTALCO!M889="", "",TOTALCO!M889)</f>
        <v/>
      </c>
      <c r="N362" s="12" t="str">
        <f>IF(TOTALCO!N889="", "",TOTALCO!N889)</f>
        <v/>
      </c>
      <c r="O362" s="12" t="str">
        <f>IF(TOTALCO!O889="", "",TOTALCO!O889)</f>
        <v/>
      </c>
      <c r="P362" s="12" t="str">
        <f>IF(TOTALCO!P889="", "",TOTALCO!P889)</f>
        <v/>
      </c>
      <c r="Q362" s="12"/>
      <c r="R362" s="13"/>
    </row>
    <row r="363" spans="1:18" ht="15" x14ac:dyDescent="0.2">
      <c r="A363" s="321" t="str">
        <f>IF(TOTALCO!A890="", "",TOTALCO!A890)</f>
        <v/>
      </c>
      <c r="B363" s="4" t="str">
        <f>IF(TOTALCO!B890="", "",TOTALCO!B890)</f>
        <v>ACCUM DEFER INVEST TAX CREDITS</v>
      </c>
      <c r="C363" s="4" t="str">
        <f>IF(TOTALCO!C890="", "",TOTALCO!C890)</f>
        <v/>
      </c>
      <c r="D363" s="12" t="str">
        <f>IF(TOTALCO!D890="", "",TOTALCO!D890)</f>
        <v/>
      </c>
      <c r="E363" s="12" t="str">
        <f>IF(TOTALCO!E890="", "",TOTALCO!E890)</f>
        <v/>
      </c>
      <c r="F363" s="12" t="str">
        <f>IF(TOTALCO!F890="", "",TOTALCO!F890)</f>
        <v/>
      </c>
      <c r="G363" s="12" t="str">
        <f>IF(TOTALCO!G890="", "",TOTALCO!G890)</f>
        <v/>
      </c>
      <c r="H363" s="12" t="str">
        <f>IF(TOTALCO!H890="", "",TOTALCO!H890)</f>
        <v/>
      </c>
      <c r="I363" s="12" t="str">
        <f>IF(TOTALCO!I890="", "",TOTALCO!I890)</f>
        <v/>
      </c>
      <c r="J363" s="12" t="str">
        <f>IF(TOTALCO!J890="", "",TOTALCO!J890)</f>
        <v/>
      </c>
      <c r="K363" s="12" t="str">
        <f>IF(TOTALCO!K890="", "",TOTALCO!K890)</f>
        <v/>
      </c>
      <c r="L363" s="12" t="str">
        <f>IF(TOTALCO!L890="", "",TOTALCO!L890)</f>
        <v/>
      </c>
      <c r="M363" s="12" t="str">
        <f>IF(TOTALCO!M890="", "",TOTALCO!M890)</f>
        <v/>
      </c>
      <c r="N363" s="12" t="str">
        <f>IF(TOTALCO!N890="", "",TOTALCO!N890)</f>
        <v/>
      </c>
      <c r="O363" s="12" t="str">
        <f>IF(TOTALCO!O890="", "",TOTALCO!O890)</f>
        <v/>
      </c>
      <c r="P363" s="12" t="str">
        <f>IF(TOTALCO!P890="", "",TOTALCO!P890)</f>
        <v/>
      </c>
      <c r="Q363" s="12"/>
      <c r="R363" s="13"/>
    </row>
    <row r="364" spans="1:18" ht="15" x14ac:dyDescent="0.2">
      <c r="A364" s="321">
        <f>IF(TOTALCO!A891="", "",TOTALCO!A891)</f>
        <v>16</v>
      </c>
      <c r="B364" s="4" t="str">
        <f>IF(TOTALCO!B891="", "",TOTALCO!B891)</f>
        <v xml:space="preserve">  PRODUCTION</v>
      </c>
      <c r="C364" s="4" t="str">
        <f>IF(TOTALCO!C891="", "",TOTALCO!C891)</f>
        <v>PRODPLT</v>
      </c>
      <c r="D364" s="12">
        <f ca="1">IF(TOTALCO!D891="", "",TOTALCO!D891)</f>
        <v>89931576.000000015</v>
      </c>
      <c r="E364" s="12" t="str">
        <f>IF(TOTALCO!E891="", "",TOTALCO!E891)</f>
        <v/>
      </c>
      <c r="F364" s="12">
        <f ca="1">IF(TOTALCO!F891="", "",TOTALCO!F891)</f>
        <v>84144180.918383867</v>
      </c>
      <c r="G364" s="12" t="str">
        <f>IF(TOTALCO!G891="", "",TOTALCO!G891)</f>
        <v/>
      </c>
      <c r="H364" s="12">
        <f ca="1">IF(TOTALCO!H891="", "",TOTALCO!H891)</f>
        <v>3907889.6670546061</v>
      </c>
      <c r="I364" s="12">
        <f ca="1">IF(TOTALCO!I891="", "",TOTALCO!I891)</f>
        <v>1879505.4145615399</v>
      </c>
      <c r="J364" s="12" t="str">
        <f>IF(TOTALCO!J891="", "",TOTALCO!J891)</f>
        <v/>
      </c>
      <c r="K364" s="12" t="str">
        <f>IF(TOTALCO!K891="", "",TOTALCO!K891)</f>
        <v/>
      </c>
      <c r="L364" s="12">
        <f ca="1">IF(TOTALCO!L891="", "",TOTALCO!L891)</f>
        <v>268.68863240390107</v>
      </c>
      <c r="M364" s="12" t="str">
        <f>IF(TOTALCO!M891="", "",TOTALCO!M891)</f>
        <v/>
      </c>
      <c r="N364" s="12">
        <f ca="1">IF(TOTALCO!N891="", "",TOTALCO!N891)</f>
        <v>1879236.7259291359</v>
      </c>
      <c r="O364" s="12">
        <f ca="1">IF(TOTALCO!O891="", "",TOTALCO!O891)</f>
        <v>953096.34784122417</v>
      </c>
      <c r="P364" s="12">
        <f ca="1">IF(TOTALCO!P891="", "",TOTALCO!P891)</f>
        <v>926140.37808791187</v>
      </c>
      <c r="Q364" s="12"/>
      <c r="R364" s="13"/>
    </row>
    <row r="365" spans="1:18" ht="15" x14ac:dyDescent="0.2">
      <c r="A365" s="321">
        <f>IF(TOTALCO!A892="", "",TOTALCO!A892)</f>
        <v>17</v>
      </c>
      <c r="B365" s="4" t="str">
        <f>IF(TOTALCO!B892="", "",TOTALCO!B892)</f>
        <v xml:space="preserve">  TRANSMISSION</v>
      </c>
      <c r="C365" s="4" t="str">
        <f>IF(TOTALCO!C892="", "",TOTALCO!C892)</f>
        <v>TRANPLTXF</v>
      </c>
      <c r="D365" s="12">
        <f ca="1">IF(TOTALCO!D892="", "",TOTALCO!D892)</f>
        <v>0</v>
      </c>
      <c r="E365" s="12" t="str">
        <f>IF(TOTALCO!E892="", "",TOTALCO!E892)</f>
        <v/>
      </c>
      <c r="F365" s="12">
        <f ca="1">IF(TOTALCO!F892="", "",TOTALCO!F892)</f>
        <v>0</v>
      </c>
      <c r="G365" s="12" t="str">
        <f>IF(TOTALCO!G892="", "",TOTALCO!G892)</f>
        <v/>
      </c>
      <c r="H365" s="12">
        <f ca="1">IF(TOTALCO!H892="", "",TOTALCO!H892)</f>
        <v>0</v>
      </c>
      <c r="I365" s="12">
        <f ca="1">IF(TOTALCO!I892="", "",TOTALCO!I892)</f>
        <v>0</v>
      </c>
      <c r="J365" s="12" t="str">
        <f>IF(TOTALCO!J892="", "",TOTALCO!J892)</f>
        <v/>
      </c>
      <c r="K365" s="12" t="str">
        <f>IF(TOTALCO!K892="", "",TOTALCO!K892)</f>
        <v/>
      </c>
      <c r="L365" s="12">
        <f ca="1">IF(TOTALCO!L892="", "",TOTALCO!L892)</f>
        <v>0</v>
      </c>
      <c r="M365" s="12" t="str">
        <f>IF(TOTALCO!M892="", "",TOTALCO!M892)</f>
        <v/>
      </c>
      <c r="N365" s="12">
        <f ca="1">IF(TOTALCO!N892="", "",TOTALCO!N892)</f>
        <v>0</v>
      </c>
      <c r="O365" s="12">
        <f ca="1">IF(TOTALCO!O892="", "",TOTALCO!O892)</f>
        <v>0</v>
      </c>
      <c r="P365" s="12">
        <f ca="1">IF(TOTALCO!P892="", "",TOTALCO!P892)</f>
        <v>0</v>
      </c>
      <c r="Q365" s="12"/>
      <c r="R365" s="13"/>
    </row>
    <row r="366" spans="1:18" ht="15" x14ac:dyDescent="0.2">
      <c r="A366" s="321">
        <f>IF(TOTALCO!A893="", "",TOTALCO!A893)</f>
        <v>18</v>
      </c>
      <c r="B366" s="4" t="str">
        <f>IF(TOTALCO!B893="", "",TOTALCO!B893)</f>
        <v xml:space="preserve">  TRANSMISSION - VA</v>
      </c>
      <c r="C366" s="4" t="str">
        <f>IF(TOTALCO!C893="", "",TOTALCO!C893)</f>
        <v>TRPLTVA</v>
      </c>
      <c r="D366" s="12">
        <f ca="1">IF(TOTALCO!D893="", "",TOTALCO!D893)</f>
        <v>0</v>
      </c>
      <c r="E366" s="12" t="str">
        <f>IF(TOTALCO!E893="", "",TOTALCO!E893)</f>
        <v/>
      </c>
      <c r="F366" s="12">
        <f ca="1">IF(TOTALCO!F893="", "",TOTALCO!F893)</f>
        <v>0</v>
      </c>
      <c r="G366" s="12" t="str">
        <f>IF(TOTALCO!G893="", "",TOTALCO!G893)</f>
        <v/>
      </c>
      <c r="H366" s="12">
        <f ca="1">IF(TOTALCO!H893="", "",TOTALCO!H893)</f>
        <v>0</v>
      </c>
      <c r="I366" s="12">
        <f ca="1">IF(TOTALCO!I893="", "",TOTALCO!I893)</f>
        <v>0</v>
      </c>
      <c r="J366" s="12" t="str">
        <f>IF(TOTALCO!J893="", "",TOTALCO!J893)</f>
        <v/>
      </c>
      <c r="K366" s="12" t="str">
        <f>IF(TOTALCO!K893="", "",TOTALCO!K893)</f>
        <v/>
      </c>
      <c r="L366" s="12">
        <f ca="1">IF(TOTALCO!L893="", "",TOTALCO!L893)</f>
        <v>0</v>
      </c>
      <c r="M366" s="12" t="str">
        <f>IF(TOTALCO!M893="", "",TOTALCO!M893)</f>
        <v/>
      </c>
      <c r="N366" s="12">
        <f ca="1">IF(TOTALCO!N893="", "",TOTALCO!N893)</f>
        <v>0</v>
      </c>
      <c r="O366" s="12">
        <f ca="1">IF(TOTALCO!O893="", "",TOTALCO!O893)</f>
        <v>0</v>
      </c>
      <c r="P366" s="12">
        <f ca="1">IF(TOTALCO!P893="", "",TOTALCO!P893)</f>
        <v>0</v>
      </c>
      <c r="Q366" s="12"/>
      <c r="R366" s="13"/>
    </row>
    <row r="367" spans="1:18" ht="15" x14ac:dyDescent="0.2">
      <c r="A367" s="321">
        <f>IF(TOTALCO!A894="", "",TOTALCO!A894)</f>
        <v>18</v>
      </c>
      <c r="B367" s="4" t="str">
        <f>IF(TOTALCO!B894="", "",TOTALCO!B894)</f>
        <v xml:space="preserve">  DISTRIBUTION - VA</v>
      </c>
      <c r="C367" s="4" t="str">
        <f>IF(TOTALCO!C894="", "",TOTALCO!C894)</f>
        <v>DIRACITC</v>
      </c>
      <c r="D367" s="12">
        <f ca="1">IF(TOTALCO!D894="", "",TOTALCO!D894)</f>
        <v>0</v>
      </c>
      <c r="E367" s="12" t="str">
        <f>IF(TOTALCO!E894="", "",TOTALCO!E894)</f>
        <v/>
      </c>
      <c r="F367" s="12">
        <f ca="1">IF(TOTALCO!F894="", "",TOTALCO!F894)</f>
        <v>0</v>
      </c>
      <c r="G367" s="12" t="str">
        <f>IF(TOTALCO!G894="", "",TOTALCO!G894)</f>
        <v/>
      </c>
      <c r="H367" s="12">
        <f ca="1">IF(TOTALCO!H894="", "",TOTALCO!H894)</f>
        <v>0</v>
      </c>
      <c r="I367" s="12">
        <f ca="1">IF(TOTALCO!I894="", "",TOTALCO!I894)</f>
        <v>0</v>
      </c>
      <c r="J367" s="12" t="str">
        <f>IF(TOTALCO!J894="", "",TOTALCO!J894)</f>
        <v/>
      </c>
      <c r="K367" s="12" t="str">
        <f>IF(TOTALCO!K894="", "",TOTALCO!K894)</f>
        <v/>
      </c>
      <c r="L367" s="12">
        <f ca="1">IF(TOTALCO!L894="", "",TOTALCO!L894)</f>
        <v>0</v>
      </c>
      <c r="M367" s="12" t="str">
        <f>IF(TOTALCO!M894="", "",TOTALCO!M894)</f>
        <v/>
      </c>
      <c r="N367" s="12">
        <f ca="1">IF(TOTALCO!N894="", "",TOTALCO!N894)</f>
        <v>0</v>
      </c>
      <c r="O367" s="12">
        <f ca="1">IF(TOTALCO!O894="", "",TOTALCO!O894)</f>
        <v>0</v>
      </c>
      <c r="P367" s="12">
        <f ca="1">IF(TOTALCO!P894="", "",TOTALCO!P894)</f>
        <v>0</v>
      </c>
      <c r="Q367" s="12"/>
      <c r="R367" s="13"/>
    </row>
    <row r="368" spans="1:18" ht="15" x14ac:dyDescent="0.2">
      <c r="A368" s="321">
        <f>IF(TOTALCO!A895="", "",TOTALCO!A895)</f>
        <v>20</v>
      </c>
      <c r="B368" s="4" t="str">
        <f>IF(TOTALCO!B895="", "",TOTALCO!B895)</f>
        <v xml:space="preserve">  DISTRIBUTION PLT KY,FERC &amp; TN</v>
      </c>
      <c r="C368" s="4" t="str">
        <f>IF(TOTALCO!C895="", "",TOTALCO!C895)</f>
        <v>DPLTXVA</v>
      </c>
      <c r="D368" s="12">
        <f ca="1">IF(TOTALCO!D895="", "",TOTALCO!D895)</f>
        <v>0</v>
      </c>
      <c r="E368" s="12" t="str">
        <f>IF(TOTALCO!E895="", "",TOTALCO!E895)</f>
        <v/>
      </c>
      <c r="F368" s="12">
        <f ca="1">IF(TOTALCO!F895="", "",TOTALCO!F895)</f>
        <v>0</v>
      </c>
      <c r="G368" s="12" t="str">
        <f>IF(TOTALCO!G895="", "",TOTALCO!G895)</f>
        <v/>
      </c>
      <c r="H368" s="12">
        <f ca="1">IF(TOTALCO!H895="", "",TOTALCO!H895)</f>
        <v>0</v>
      </c>
      <c r="I368" s="12">
        <f ca="1">IF(TOTALCO!I895="", "",TOTALCO!I895)</f>
        <v>0</v>
      </c>
      <c r="J368" s="12" t="str">
        <f>IF(TOTALCO!J895="", "",TOTALCO!J895)</f>
        <v/>
      </c>
      <c r="K368" s="12" t="str">
        <f>IF(TOTALCO!K895="", "",TOTALCO!K895)</f>
        <v/>
      </c>
      <c r="L368" s="12">
        <f ca="1">IF(TOTALCO!L895="", "",TOTALCO!L895)</f>
        <v>0</v>
      </c>
      <c r="M368" s="12" t="str">
        <f>IF(TOTALCO!M895="", "",TOTALCO!M895)</f>
        <v/>
      </c>
      <c r="N368" s="12">
        <f ca="1">IF(TOTALCO!N895="", "",TOTALCO!N895)</f>
        <v>0</v>
      </c>
      <c r="O368" s="12">
        <f ca="1">IF(TOTALCO!O895="", "",TOTALCO!O895)</f>
        <v>0</v>
      </c>
      <c r="P368" s="12">
        <f ca="1">IF(TOTALCO!P895="", "",TOTALCO!P895)</f>
        <v>0</v>
      </c>
      <c r="Q368" s="12"/>
      <c r="R368" s="13"/>
    </row>
    <row r="369" spans="1:18" ht="15" x14ac:dyDescent="0.2">
      <c r="A369" s="321">
        <f>IF(TOTALCO!A896="", "",TOTALCO!A896)</f>
        <v>21</v>
      </c>
      <c r="B369" s="4" t="str">
        <f>IF(TOTALCO!B896="", "",TOTALCO!B896)</f>
        <v xml:space="preserve">  GENERAL</v>
      </c>
      <c r="C369" s="4" t="str">
        <f>IF(TOTALCO!C896="", "",TOTALCO!C896)</f>
        <v>GENPLT</v>
      </c>
      <c r="D369" s="12">
        <f ca="1">IF(TOTALCO!D896="", "",TOTALCO!D896)</f>
        <v>0</v>
      </c>
      <c r="E369" s="12" t="str">
        <f>IF(TOTALCO!E896="", "",TOTALCO!E896)</f>
        <v/>
      </c>
      <c r="F369" s="12">
        <f ca="1">IF(TOTALCO!F896="", "",TOTALCO!F896)</f>
        <v>0</v>
      </c>
      <c r="G369" s="12" t="str">
        <f>IF(TOTALCO!G896="", "",TOTALCO!G896)</f>
        <v/>
      </c>
      <c r="H369" s="12">
        <f ca="1">IF(TOTALCO!H896="", "",TOTALCO!H896)</f>
        <v>0</v>
      </c>
      <c r="I369" s="12">
        <f ca="1">IF(TOTALCO!I896="", "",TOTALCO!I896)</f>
        <v>0</v>
      </c>
      <c r="J369" s="12" t="str">
        <f>IF(TOTALCO!J896="", "",TOTALCO!J896)</f>
        <v/>
      </c>
      <c r="K369" s="12" t="str">
        <f>IF(TOTALCO!K896="", "",TOTALCO!K896)</f>
        <v/>
      </c>
      <c r="L369" s="12">
        <f ca="1">IF(TOTALCO!L896="", "",TOTALCO!L896)</f>
        <v>0</v>
      </c>
      <c r="M369" s="12" t="str">
        <f>IF(TOTALCO!M896="", "",TOTALCO!M896)</f>
        <v/>
      </c>
      <c r="N369" s="12" t="str">
        <f>IF(TOTALCO!N896="", "",TOTALCO!N896)</f>
        <v>.</v>
      </c>
      <c r="O369" s="12">
        <f ca="1">IF(TOTALCO!O896="", "",TOTALCO!O896)</f>
        <v>0</v>
      </c>
      <c r="P369" s="12">
        <f ca="1">IF(TOTALCO!P896="", "",TOTALCO!P896)</f>
        <v>0</v>
      </c>
      <c r="Q369" s="12"/>
      <c r="R369" s="13"/>
    </row>
    <row r="370" spans="1:18" ht="15" x14ac:dyDescent="0.2">
      <c r="A370" s="321">
        <f>IF(TOTALCO!A897="", "",TOTALCO!A897)</f>
        <v>22</v>
      </c>
      <c r="B370" s="4" t="str">
        <f>IF(TOTALCO!B897="", "",TOTALCO!B897)</f>
        <v>TOTAL DEFERRED INVEST CREDIT</v>
      </c>
      <c r="C370" s="4" t="str">
        <f>IF(TOTALCO!C897="", "",TOTALCO!C897)</f>
        <v/>
      </c>
      <c r="D370" s="12">
        <f ca="1">IF(TOTALCO!D897="", "",TOTALCO!D897)</f>
        <v>89931576.000000015</v>
      </c>
      <c r="E370" s="12" t="str">
        <f>IF(TOTALCO!E897="", "",TOTALCO!E897)</f>
        <v/>
      </c>
      <c r="F370" s="12">
        <f ca="1">IF(TOTALCO!F897="", "",TOTALCO!F897)</f>
        <v>84144180.918383867</v>
      </c>
      <c r="G370" s="12" t="str">
        <f>IF(TOTALCO!G897="", "",TOTALCO!G897)</f>
        <v/>
      </c>
      <c r="H370" s="12">
        <f ca="1">IF(TOTALCO!H897="", "",TOTALCO!H897)</f>
        <v>3907889.6670546061</v>
      </c>
      <c r="I370" s="12">
        <f ca="1">IF(TOTALCO!I897="", "",TOTALCO!I897)</f>
        <v>1879505.4145615399</v>
      </c>
      <c r="J370" s="12" t="str">
        <f>IF(TOTALCO!J897="", "",TOTALCO!J897)</f>
        <v/>
      </c>
      <c r="K370" s="12" t="str">
        <f>IF(TOTALCO!K897="", "",TOTALCO!K897)</f>
        <v/>
      </c>
      <c r="L370" s="12">
        <f ca="1">IF(TOTALCO!L897="", "",TOTALCO!L897)</f>
        <v>268.68863240390107</v>
      </c>
      <c r="M370" s="12" t="str">
        <f>IF(TOTALCO!M897="", "",TOTALCO!M897)</f>
        <v/>
      </c>
      <c r="N370" s="12">
        <f ca="1">IF(TOTALCO!N897="", "",TOTALCO!N897)</f>
        <v>1879236.7259291359</v>
      </c>
      <c r="O370" s="12">
        <f ca="1">IF(TOTALCO!O897="", "",TOTALCO!O897)</f>
        <v>953096.34784122417</v>
      </c>
      <c r="P370" s="12">
        <f ca="1">IF(TOTALCO!P897="", "",TOTALCO!P897)</f>
        <v>926140.37808791187</v>
      </c>
      <c r="Q370" s="12"/>
      <c r="R370" s="13"/>
    </row>
    <row r="371" spans="1:18" ht="15" x14ac:dyDescent="0.2">
      <c r="A371" s="321" t="str">
        <f>IF(TOTALCO!A898="", "",TOTALCO!A898)</f>
        <v/>
      </c>
      <c r="B371" s="4" t="str">
        <f>IF(TOTALCO!B898="", "",TOTALCO!B898)</f>
        <v/>
      </c>
      <c r="C371" s="4" t="str">
        <f>IF(TOTALCO!C898="", "",TOTALCO!C898)</f>
        <v/>
      </c>
      <c r="D371" s="12" t="str">
        <f>IF(TOTALCO!D898="", "",TOTALCO!D898)</f>
        <v/>
      </c>
      <c r="E371" s="12" t="str">
        <f>IF(TOTALCO!E898="", "",TOTALCO!E898)</f>
        <v/>
      </c>
      <c r="F371" s="12" t="str">
        <f>IF(TOTALCO!F898="", "",TOTALCO!F898)</f>
        <v/>
      </c>
      <c r="G371" s="12" t="str">
        <f>IF(TOTALCO!G898="", "",TOTALCO!G898)</f>
        <v/>
      </c>
      <c r="H371" s="12" t="str">
        <f>IF(TOTALCO!H898="", "",TOTALCO!H898)</f>
        <v/>
      </c>
      <c r="I371" s="12" t="str">
        <f>IF(TOTALCO!I898="", "",TOTALCO!I898)</f>
        <v/>
      </c>
      <c r="J371" s="12" t="str">
        <f>IF(TOTALCO!J898="", "",TOTALCO!J898)</f>
        <v/>
      </c>
      <c r="K371" s="12" t="str">
        <f>IF(TOTALCO!K898="", "",TOTALCO!K898)</f>
        <v/>
      </c>
      <c r="L371" s="12" t="str">
        <f>IF(TOTALCO!L898="", "",TOTALCO!L898)</f>
        <v/>
      </c>
      <c r="M371" s="12" t="str">
        <f>IF(TOTALCO!M898="", "",TOTALCO!M898)</f>
        <v/>
      </c>
      <c r="N371" s="12" t="str">
        <f>IF(TOTALCO!N898="", "",TOTALCO!N898)</f>
        <v/>
      </c>
      <c r="O371" s="12" t="str">
        <f>IF(TOTALCO!O898="", "",TOTALCO!O898)</f>
        <v/>
      </c>
      <c r="P371" s="12" t="str">
        <f>IF(TOTALCO!P898="", "",TOTALCO!P898)</f>
        <v/>
      </c>
      <c r="Q371" s="12"/>
      <c r="R371" s="13"/>
    </row>
    <row r="372" spans="1:18" ht="15" x14ac:dyDescent="0.2">
      <c r="A372" s="321">
        <f>IF(TOTALCO!A899="", "",TOTALCO!A899)</f>
        <v>23</v>
      </c>
      <c r="B372" s="4" t="str">
        <f>IF(TOTALCO!B899="", "",TOTALCO!B899)</f>
        <v>CUSTOMER ADVANCES</v>
      </c>
      <c r="C372" s="4" t="str">
        <f>IF(TOTALCO!C899="", "",TOTALCO!C899)</f>
        <v>CUSTADV</v>
      </c>
      <c r="D372" s="12">
        <f ca="1">IF(TOTALCO!D899="", "",TOTALCO!D899)</f>
        <v>980981.36999999965</v>
      </c>
      <c r="E372" s="12" t="str">
        <f>IF(TOTALCO!E899="", "",TOTALCO!E899)</f>
        <v/>
      </c>
      <c r="F372" s="12">
        <f ca="1">IF(TOTALCO!F899="", "",TOTALCO!F899)</f>
        <v>951646.55364259344</v>
      </c>
      <c r="G372" s="12" t="str">
        <f>IF(TOTALCO!G899="", "",TOTALCO!G899)</f>
        <v/>
      </c>
      <c r="H372" s="12">
        <f ca="1">IF(TOTALCO!H899="", "",TOTALCO!H899)</f>
        <v>29334.816357406231</v>
      </c>
      <c r="I372" s="12">
        <f ca="1">IF(TOTALCO!I899="", "",TOTALCO!I899)</f>
        <v>0</v>
      </c>
      <c r="J372" s="12" t="str">
        <f>IF(TOTALCO!J899="", "",TOTALCO!J899)</f>
        <v/>
      </c>
      <c r="K372" s="12" t="str">
        <f>IF(TOTALCO!K899="", "",TOTALCO!K899)</f>
        <v/>
      </c>
      <c r="L372" s="12">
        <f ca="1">IF(TOTALCO!L899="", "",TOTALCO!L899)</f>
        <v>0</v>
      </c>
      <c r="M372" s="12" t="str">
        <f>IF(TOTALCO!M899="", "",TOTALCO!M899)</f>
        <v/>
      </c>
      <c r="N372" s="12">
        <f ca="1">IF(TOTALCO!N899="", "",TOTALCO!N899)</f>
        <v>0</v>
      </c>
      <c r="O372" s="12">
        <f ca="1">IF(TOTALCO!O899="", "",TOTALCO!O899)</f>
        <v>0</v>
      </c>
      <c r="P372" s="12">
        <f ca="1">IF(TOTALCO!P899="", "",TOTALCO!P899)</f>
        <v>0</v>
      </c>
      <c r="Q372" s="12"/>
      <c r="R372" s="13"/>
    </row>
    <row r="373" spans="1:18" ht="15" x14ac:dyDescent="0.2">
      <c r="A373" s="321">
        <f>IF(TOTALCO!A900="", "",TOTALCO!A900)</f>
        <v>24</v>
      </c>
      <c r="B373" s="4" t="str">
        <f>IF(TOTALCO!B900="", "",TOTALCO!B900)</f>
        <v>CUSTOMER DEPOSITS-VIRGINIA</v>
      </c>
      <c r="C373" s="4" t="str">
        <f>IF(TOTALCO!C900="", "",TOTALCO!C900)</f>
        <v>CUSTDEP</v>
      </c>
      <c r="D373" s="12">
        <f>IF(TOTALCO!D900="", "",TOTALCO!D900)</f>
        <v>30898393.370000001</v>
      </c>
      <c r="E373" s="12" t="str">
        <f>IF(TOTALCO!E900="", "",TOTALCO!E900)</f>
        <v/>
      </c>
      <c r="F373" s="12">
        <f>IF(TOTALCO!F900="", "",TOTALCO!F900)</f>
        <v>0</v>
      </c>
      <c r="G373" s="12" t="str">
        <f>IF(TOTALCO!G900="", "",TOTALCO!G900)</f>
        <v/>
      </c>
      <c r="H373" s="12">
        <f ca="1">IF(TOTALCO!H900="", "",TOTALCO!H900)</f>
        <v>1710542.4421739152</v>
      </c>
      <c r="I373" s="12">
        <f ca="1">IF(TOTALCO!I900="", "",TOTALCO!I900)</f>
        <v>1.0102626508301783E-2</v>
      </c>
      <c r="J373" s="12" t="str">
        <f>IF(TOTALCO!J900="", "",TOTALCO!J900)</f>
        <v/>
      </c>
      <c r="K373" s="12" t="str">
        <f>IF(TOTALCO!K900="", "",TOTALCO!K900)</f>
        <v/>
      </c>
      <c r="L373" s="12">
        <f ca="1">IF(TOTALCO!L900="", "",TOTALCO!L900)</f>
        <v>0</v>
      </c>
      <c r="M373" s="12" t="str">
        <f>IF(TOTALCO!M900="", "",TOTALCO!M900)</f>
        <v/>
      </c>
      <c r="N373" s="12">
        <f ca="1">IF(TOTALCO!N900="", "",TOTALCO!N900)</f>
        <v>1.0102626508301783E-2</v>
      </c>
      <c r="O373" s="12">
        <f ca="1">IF(TOTALCO!O900="", "",TOTALCO!O900)</f>
        <v>1.0102626508301783E-2</v>
      </c>
      <c r="P373" s="12">
        <f ca="1">IF(TOTALCO!P900="", "",TOTALCO!P900)</f>
        <v>0</v>
      </c>
      <c r="Q373" s="12"/>
      <c r="R373" s="13"/>
    </row>
    <row r="374" spans="1:18" ht="15" x14ac:dyDescent="0.2">
      <c r="A374" s="321">
        <f>IF(TOTALCO!A901="", "",TOTALCO!A901)</f>
        <v>25</v>
      </c>
      <c r="B374" s="4" t="str">
        <f>IF(TOTALCO!B901="", "",TOTALCO!B901)</f>
        <v>DEFERRED FUEL-VIRGINIA</v>
      </c>
      <c r="C374" s="4" t="str">
        <f>IF(TOTALCO!C901="", "",TOTALCO!C901)</f>
        <v>DFUELVA</v>
      </c>
      <c r="D374" s="12">
        <f ca="1">IF(TOTALCO!D901="", "",TOTALCO!D901)</f>
        <v>-91173</v>
      </c>
      <c r="E374" s="12" t="str">
        <f>IF(TOTALCO!E901="", "",TOTALCO!E901)</f>
        <v/>
      </c>
      <c r="F374" s="12">
        <f ca="1">IF(TOTALCO!F901="", "",TOTALCO!F901)</f>
        <v>0</v>
      </c>
      <c r="G374" s="12" t="str">
        <f>IF(TOTALCO!G901="", "",TOTALCO!G901)</f>
        <v/>
      </c>
      <c r="H374" s="12">
        <f ca="1">IF(TOTALCO!H901="", "",TOTALCO!H901)</f>
        <v>-91173</v>
      </c>
      <c r="I374" s="12">
        <f ca="1">IF(TOTALCO!I901="", "",TOTALCO!I901)</f>
        <v>0</v>
      </c>
      <c r="J374" s="12" t="str">
        <f>IF(TOTALCO!J901="", "",TOTALCO!J901)</f>
        <v/>
      </c>
      <c r="K374" s="12" t="str">
        <f>IF(TOTALCO!K901="", "",TOTALCO!K901)</f>
        <v/>
      </c>
      <c r="L374" s="12">
        <f ca="1">IF(TOTALCO!L901="", "",TOTALCO!L901)</f>
        <v>0</v>
      </c>
      <c r="M374" s="12" t="str">
        <f>IF(TOTALCO!M901="", "",TOTALCO!M901)</f>
        <v/>
      </c>
      <c r="N374" s="12">
        <f ca="1">IF(TOTALCO!N901="", "",TOTALCO!N901)</f>
        <v>0</v>
      </c>
      <c r="O374" s="12">
        <f ca="1">IF(TOTALCO!O901="", "",TOTALCO!O901)</f>
        <v>0</v>
      </c>
      <c r="P374" s="12">
        <f ca="1">IF(TOTALCO!P901="", "",TOTALCO!P901)</f>
        <v>0</v>
      </c>
      <c r="Q374" s="12"/>
      <c r="R374" s="13"/>
    </row>
    <row r="375" spans="1:18" ht="15" x14ac:dyDescent="0.2">
      <c r="A375" s="321">
        <f>IF(TOTALCO!A902="", "",TOTALCO!A902)</f>
        <v>26</v>
      </c>
      <c r="B375" s="4" t="str">
        <f>IF(TOTALCO!B902="", "",TOTALCO!B902)</f>
        <v>OPEB UNFUNDED-VIRGINIA</v>
      </c>
      <c r="C375" s="4" t="str">
        <f>IF(TOTALCO!C902="", "",TOTALCO!C902)</f>
        <v>LABOR</v>
      </c>
      <c r="D375" s="12">
        <f>IF(TOTALCO!D902="", "",TOTALCO!D902)</f>
        <v>18730630.045384593</v>
      </c>
      <c r="E375" s="12" t="str">
        <f>IF(TOTALCO!E902="", "",TOTALCO!E902)</f>
        <v/>
      </c>
      <c r="F375" s="12">
        <f>IF(TOTALCO!F902="", "",TOTALCO!F902)</f>
        <v>0</v>
      </c>
      <c r="G375" s="12" t="str">
        <f>IF(TOTALCO!G902="", "",TOTALCO!G902)</f>
        <v/>
      </c>
      <c r="H375" s="12">
        <f ca="1">IF(TOTALCO!H902="", "",TOTALCO!H902)</f>
        <v>886854.04044750531</v>
      </c>
      <c r="I375" s="12">
        <f ca="1">IF(TOTALCO!I902="", "",TOTALCO!I902)</f>
        <v>9.983713851556715E-13</v>
      </c>
      <c r="J375" s="12" t="str">
        <f>IF(TOTALCO!J902="", "",TOTALCO!J902)</f>
        <v/>
      </c>
      <c r="K375" s="12" t="str">
        <f>IF(TOTALCO!K902="", "",TOTALCO!K902)</f>
        <v/>
      </c>
      <c r="L375" s="12">
        <f>IF(TOTALCO!L902="", "",TOTALCO!L902)</f>
        <v>0</v>
      </c>
      <c r="M375" s="12" t="str">
        <f>IF(TOTALCO!M902="", "",TOTALCO!M902)</f>
        <v/>
      </c>
      <c r="N375" s="12">
        <f ca="1">IF(TOTALCO!N902="", "",TOTALCO!N902)</f>
        <v>9.983713851556715E-13</v>
      </c>
      <c r="O375" s="12">
        <f>IF(TOTALCO!O902="", "",TOTALCO!O902)</f>
        <v>0</v>
      </c>
      <c r="P375" s="12">
        <f>IF(TOTALCO!P902="", "",TOTALCO!P902)</f>
        <v>0</v>
      </c>
      <c r="Q375" s="12"/>
      <c r="R375" s="13"/>
    </row>
    <row r="376" spans="1:18" ht="15" x14ac:dyDescent="0.2">
      <c r="A376" s="321">
        <f>IF(TOTALCO!A903="", "",TOTALCO!A903)</f>
        <v>27</v>
      </c>
      <c r="B376" s="4" t="str">
        <f>IF(TOTALCO!B903="", "",TOTALCO!B903)</f>
        <v>WORKMANS COMPENSATION-FERC</v>
      </c>
      <c r="C376" s="4" t="str">
        <f>IF(TOTALCO!C903="", "",TOTALCO!C903)</f>
        <v>LABOR</v>
      </c>
      <c r="D376" s="12">
        <f>IF(TOTALCO!D903="", "",TOTALCO!D903)</f>
        <v>6921646.9999999981</v>
      </c>
      <c r="E376" s="12" t="str">
        <f>IF(TOTALCO!E903="", "",TOTALCO!E903)</f>
        <v/>
      </c>
      <c r="F376" s="12">
        <f>IF(TOTALCO!F903="", "",TOTALCO!F903)</f>
        <v>0</v>
      </c>
      <c r="G376" s="12" t="str">
        <f>IF(TOTALCO!G903="", "",TOTALCO!G903)</f>
        <v/>
      </c>
      <c r="H376" s="12">
        <f>IF(TOTALCO!H903="", "",TOTALCO!H903)</f>
        <v>0</v>
      </c>
      <c r="I376" s="12">
        <f ca="1">IF(TOTALCO!I903="", "",TOTALCO!I903)</f>
        <v>82431.071509685571</v>
      </c>
      <c r="J376" s="12" t="str">
        <f>IF(TOTALCO!J903="", "",TOTALCO!J903)</f>
        <v/>
      </c>
      <c r="K376" s="12" t="str">
        <f>IF(TOTALCO!K903="", "",TOTALCO!K903)</f>
        <v/>
      </c>
      <c r="L376" s="12">
        <f>IF(TOTALCO!L903="", "",TOTALCO!L903)</f>
        <v>0</v>
      </c>
      <c r="M376" s="12" t="str">
        <f>IF(TOTALCO!M903="", "",TOTALCO!M903)</f>
        <v/>
      </c>
      <c r="N376" s="12">
        <f ca="1">IF(TOTALCO!N903="", "",TOTALCO!N903)</f>
        <v>82431.071509685571</v>
      </c>
      <c r="O376" s="12">
        <f ca="1">IF(TOTALCO!O903="", "",TOTALCO!O903)</f>
        <v>42969.645203490792</v>
      </c>
      <c r="P376" s="12">
        <f ca="1">IF(TOTALCO!P903="", "",TOTALCO!P903)</f>
        <v>39461.426306194786</v>
      </c>
      <c r="Q376" s="12"/>
      <c r="R376" s="13"/>
    </row>
    <row r="377" spans="1:18" ht="15" x14ac:dyDescent="0.2">
      <c r="A377" s="321">
        <f>IF(TOTALCO!A904="", "",TOTALCO!A904)</f>
        <v>28</v>
      </c>
      <c r="B377" s="4" t="str">
        <f>IF(TOTALCO!B904="", "",TOTALCO!B904)</f>
        <v>VESTED VACATION-FERC</v>
      </c>
      <c r="C377" s="4" t="str">
        <f>IF(TOTALCO!C904="", "",TOTALCO!C904)</f>
        <v>LABOR</v>
      </c>
      <c r="D377" s="12">
        <f>IF(TOTALCO!D904="", "",TOTALCO!D904)</f>
        <v>6465681.3499999996</v>
      </c>
      <c r="E377" s="12" t="str">
        <f>IF(TOTALCO!E904="", "",TOTALCO!E904)</f>
        <v/>
      </c>
      <c r="F377" s="12">
        <f>IF(TOTALCO!F904="", "",TOTALCO!F904)</f>
        <v>0</v>
      </c>
      <c r="G377" s="12" t="str">
        <f>IF(TOTALCO!G904="", "",TOTALCO!G904)</f>
        <v/>
      </c>
      <c r="H377" s="12">
        <f>IF(TOTALCO!H904="", "",TOTALCO!H904)</f>
        <v>0</v>
      </c>
      <c r="I377" s="12">
        <f ca="1">IF(TOTALCO!I904="", "",TOTALCO!I904)</f>
        <v>77000.89902312131</v>
      </c>
      <c r="J377" s="12" t="str">
        <f>IF(TOTALCO!J904="", "",TOTALCO!J904)</f>
        <v/>
      </c>
      <c r="K377" s="12" t="str">
        <f>IF(TOTALCO!K904="", "",TOTALCO!K904)</f>
        <v/>
      </c>
      <c r="L377" s="12">
        <f>IF(TOTALCO!L904="", "",TOTALCO!L904)</f>
        <v>0</v>
      </c>
      <c r="M377" s="12" t="str">
        <f>IF(TOTALCO!M904="", "",TOTALCO!M904)</f>
        <v/>
      </c>
      <c r="N377" s="12">
        <f ca="1">IF(TOTALCO!N904="", "",TOTALCO!N904)</f>
        <v>77000.89902312131</v>
      </c>
      <c r="O377" s="12">
        <f ca="1">IF(TOTALCO!O904="", "",TOTALCO!O904)</f>
        <v>40139.006454435985</v>
      </c>
      <c r="P377" s="12">
        <f ca="1">IF(TOTALCO!P904="", "",TOTALCO!P904)</f>
        <v>36861.892568685318</v>
      </c>
      <c r="Q377" s="12"/>
      <c r="R377" s="13"/>
    </row>
    <row r="378" spans="1:18" ht="15" x14ac:dyDescent="0.2">
      <c r="A378" s="321">
        <f>IF(TOTALCO!A905="", "",TOTALCO!A905)</f>
        <v>29</v>
      </c>
      <c r="B378" s="4" t="str">
        <f>IF(TOTALCO!B905="", "",TOTALCO!B905)</f>
        <v>MEDICAL AND DENTAL RESERVE-FERC</v>
      </c>
      <c r="C378" s="4" t="str">
        <f>IF(TOTALCO!C905="", "",TOTALCO!C905)</f>
        <v>LABOR</v>
      </c>
      <c r="D378" s="12">
        <f>IF(TOTALCO!D905="", "",TOTALCO!D905)</f>
        <v>1944142.0800000003</v>
      </c>
      <c r="E378" s="12" t="str">
        <f>IF(TOTALCO!E905="", "",TOTALCO!E905)</f>
        <v/>
      </c>
      <c r="F378" s="12">
        <f>IF(TOTALCO!F905="", "",TOTALCO!F905)</f>
        <v>0</v>
      </c>
      <c r="G378" s="12" t="str">
        <f>IF(TOTALCO!G905="", "",TOTALCO!G905)</f>
        <v/>
      </c>
      <c r="H378" s="12">
        <f>IF(TOTALCO!H905="", "",TOTALCO!H905)</f>
        <v>0</v>
      </c>
      <c r="I378" s="12">
        <f ca="1">IF(TOTALCO!I905="", "",TOTALCO!I905)</f>
        <v>23153.118733369229</v>
      </c>
      <c r="J378" s="12" t="str">
        <f>IF(TOTALCO!J905="", "",TOTALCO!J905)</f>
        <v/>
      </c>
      <c r="K378" s="12" t="str">
        <f>IF(TOTALCO!K905="", "",TOTALCO!K905)</f>
        <v/>
      </c>
      <c r="L378" s="12">
        <f>IF(TOTALCO!L905="", "",TOTALCO!L905)</f>
        <v>0</v>
      </c>
      <c r="M378" s="12" t="str">
        <f>IF(TOTALCO!M905="", "",TOTALCO!M905)</f>
        <v/>
      </c>
      <c r="N378" s="12">
        <f ca="1">IF(TOTALCO!N905="", "",TOTALCO!N905)</f>
        <v>23153.118733369229</v>
      </c>
      <c r="O378" s="12">
        <f ca="1">IF(TOTALCO!O905="", "",TOTALCO!O905)</f>
        <v>12069.251061600895</v>
      </c>
      <c r="P378" s="12">
        <f ca="1">IF(TOTALCO!P905="", "",TOTALCO!P905)</f>
        <v>11083.867671768334</v>
      </c>
      <c r="Q378" s="12"/>
      <c r="R378" s="13"/>
    </row>
    <row r="379" spans="1:18" ht="15" x14ac:dyDescent="0.2">
      <c r="A379" s="321">
        <f>IF(TOTALCO!A906="", "",TOTALCO!A906)</f>
        <v>30</v>
      </c>
      <c r="B379" s="4" t="str">
        <f>IF(TOTALCO!B906="", "",TOTALCO!B906)</f>
        <v>TOTAL DEDUCTIONS FROM NET PLT</v>
      </c>
      <c r="C379" s="4" t="str">
        <f>IF(TOTALCO!C906="", "",TOTALCO!C906)</f>
        <v/>
      </c>
      <c r="D379" s="12">
        <f ca="1">IF(TOTALCO!D906="", "",TOTALCO!D906)</f>
        <v>1560597355.2153842</v>
      </c>
      <c r="E379" s="12" t="str">
        <f>IF(TOTALCO!E906="", "",TOTALCO!E906)</f>
        <v/>
      </c>
      <c r="F379" s="12">
        <f ca="1">IF(TOTALCO!F906="", "",TOTALCO!F906)</f>
        <v>1402985263.5581381</v>
      </c>
      <c r="G379" s="12" t="str">
        <f>IF(TOTALCO!G906="", "",TOTALCO!G906)</f>
        <v/>
      </c>
      <c r="H379" s="12">
        <f ca="1">IF(TOTALCO!H906="", "",TOTALCO!H906)</f>
        <v>74020198.892355382</v>
      </c>
      <c r="I379" s="12">
        <f ca="1">IF(TOTALCO!I906="", "",TOTALCO!I906)</f>
        <v>21411380.501496658</v>
      </c>
      <c r="J379" s="12" t="str">
        <f>IF(TOTALCO!J906="", "",TOTALCO!J906)</f>
        <v/>
      </c>
      <c r="K379" s="12" t="str">
        <f>IF(TOTALCO!K906="", "",TOTALCO!K906)</f>
        <v/>
      </c>
      <c r="L379" s="12">
        <f ca="1">IF(TOTALCO!L906="", "",TOTALCO!L906)</f>
        <v>97948.647611923094</v>
      </c>
      <c r="M379" s="12" t="str">
        <f>IF(TOTALCO!M906="", "",TOTALCO!M906)</f>
        <v/>
      </c>
      <c r="N379" s="12">
        <f ca="1">IF(TOTALCO!N906="", "",TOTALCO!N906)</f>
        <v>21313431.853884734</v>
      </c>
      <c r="O379" s="12">
        <f ca="1">IF(TOTALCO!O906="", "",TOTALCO!O906)</f>
        <v>11071277.73538713</v>
      </c>
      <c r="P379" s="12">
        <f ca="1">IF(TOTALCO!P906="", "",TOTALCO!P906)</f>
        <v>10242154.118497605</v>
      </c>
      <c r="Q379" s="12"/>
      <c r="R379" s="13"/>
    </row>
    <row r="380" spans="1:18" ht="15" x14ac:dyDescent="0.2">
      <c r="A380" s="321" t="str">
        <f>IF(TOTALCO!A907="", "",TOTALCO!A907)</f>
        <v/>
      </c>
      <c r="B380" s="4" t="str">
        <f>IF(TOTALCO!B907="", "",TOTALCO!B907)</f>
        <v/>
      </c>
      <c r="C380" s="4" t="str">
        <f>IF(TOTALCO!C907="", "",TOTALCO!C907)</f>
        <v/>
      </c>
      <c r="D380" s="12" t="str">
        <f>IF(TOTALCO!D907="", "",TOTALCO!D907)</f>
        <v/>
      </c>
      <c r="E380" s="12" t="str">
        <f>IF(TOTALCO!E907="", "",TOTALCO!E907)</f>
        <v/>
      </c>
      <c r="F380" s="12" t="str">
        <f>IF(TOTALCO!F907="", "",TOTALCO!F907)</f>
        <v/>
      </c>
      <c r="G380" s="12" t="str">
        <f>IF(TOTALCO!G907="", "",TOTALCO!G907)</f>
        <v/>
      </c>
      <c r="H380" s="12" t="str">
        <f>IF(TOTALCO!H907="", "",TOTALCO!H907)</f>
        <v/>
      </c>
      <c r="I380" s="12" t="str">
        <f>IF(TOTALCO!I907="", "",TOTALCO!I907)</f>
        <v/>
      </c>
      <c r="J380" s="12" t="str">
        <f>IF(TOTALCO!J907="", "",TOTALCO!J907)</f>
        <v/>
      </c>
      <c r="K380" s="12" t="str">
        <f>IF(TOTALCO!K907="", "",TOTALCO!K907)</f>
        <v/>
      </c>
      <c r="L380" s="12" t="str">
        <f>IF(TOTALCO!L907="", "",TOTALCO!L907)</f>
        <v/>
      </c>
      <c r="M380" s="12" t="str">
        <f>IF(TOTALCO!M907="", "",TOTALCO!M907)</f>
        <v/>
      </c>
      <c r="N380" s="12" t="str">
        <f>IF(TOTALCO!N907="", "",TOTALCO!N907)</f>
        <v/>
      </c>
      <c r="O380" s="12" t="str">
        <f>IF(TOTALCO!O907="", "",TOTALCO!O907)</f>
        <v/>
      </c>
      <c r="P380" s="12" t="str">
        <f>IF(TOTALCO!P907="", "",TOTALCO!P907)</f>
        <v/>
      </c>
      <c r="Q380" s="12"/>
      <c r="R380" s="13"/>
    </row>
    <row r="381" spans="1:18" ht="15" x14ac:dyDescent="0.2">
      <c r="A381" s="321">
        <f>IF(TOTALCO!A908="", "",TOTALCO!A908)</f>
        <v>31</v>
      </c>
      <c r="B381" s="4" t="str">
        <f>IF(TOTALCO!B908="", "",TOTALCO!B908)</f>
        <v>RATE BASE</v>
      </c>
      <c r="C381" s="4" t="str">
        <f>IF(TOTALCO!C908="", "",TOTALCO!C908)</f>
        <v/>
      </c>
      <c r="D381" s="12">
        <f ca="1">IF(TOTALCO!D908="", "",TOTALCO!D908)</f>
        <v>5586582932.2571783</v>
      </c>
      <c r="E381" s="12" t="str">
        <f>IF(TOTALCO!E908="", "",TOTALCO!E908)</f>
        <v/>
      </c>
      <c r="F381" s="12">
        <f ca="1">IF(TOTALCO!F908="", "",TOTALCO!F908)</f>
        <v>5299519247.5164509</v>
      </c>
      <c r="G381" s="12" t="str">
        <f>IF(TOTALCO!G908="", "",TOTALCO!G908)</f>
        <v/>
      </c>
      <c r="H381" s="12">
        <f ca="1">IF(TOTALCO!H908="", "",TOTALCO!H908)</f>
        <v>267523170.52161622</v>
      </c>
      <c r="I381" s="12">
        <f ca="1">IF(TOTALCO!I908="", "",TOTALCO!I908)</f>
        <v>81721026.482505113</v>
      </c>
      <c r="J381" s="12" t="str">
        <f>IF(TOTALCO!J908="", "",TOTALCO!J908)</f>
        <v/>
      </c>
      <c r="K381" s="12" t="str">
        <f>IF(TOTALCO!K908="", "",TOTALCO!K908)</f>
        <v/>
      </c>
      <c r="L381" s="12">
        <f ca="1">IF(TOTALCO!L908="", "",TOTALCO!L908)</f>
        <v>433424.77757689013</v>
      </c>
      <c r="M381" s="12" t="str">
        <f>IF(TOTALCO!M908="", "",TOTALCO!M908)</f>
        <v/>
      </c>
      <c r="N381" s="12">
        <f ca="1">IF(TOTALCO!N908="", "",TOTALCO!N908)</f>
        <v>81287601.704928219</v>
      </c>
      <c r="O381" s="12">
        <f ca="1">IF(TOTALCO!O908="", "",TOTALCO!O908)</f>
        <v>42169762.772069015</v>
      </c>
      <c r="P381" s="12">
        <f ca="1">IF(TOTALCO!P908="", "",TOTALCO!P908)</f>
        <v>39117838.932859212</v>
      </c>
      <c r="Q381" s="12"/>
      <c r="R381" s="13"/>
    </row>
    <row r="382" spans="1:18" ht="15" x14ac:dyDescent="0.2">
      <c r="A382" s="321" t="str">
        <f>IF(TOTALCO!A909="", "",TOTALCO!A909)</f>
        <v/>
      </c>
      <c r="B382" s="4" t="str">
        <f>IF(TOTALCO!B909="", "",TOTALCO!B909)</f>
        <v/>
      </c>
      <c r="C382" s="4" t="str">
        <f>IF(TOTALCO!C909="", "",TOTALCO!C909)</f>
        <v/>
      </c>
      <c r="D382" s="12" t="str">
        <f>IF(TOTALCO!D909="", "",TOTALCO!D909)</f>
        <v/>
      </c>
      <c r="E382" s="12" t="str">
        <f>IF(TOTALCO!E909="", "",TOTALCO!E909)</f>
        <v/>
      </c>
      <c r="F382" s="12" t="str">
        <f>IF(TOTALCO!F909="", "",TOTALCO!F909)</f>
        <v/>
      </c>
      <c r="G382" s="12" t="str">
        <f>IF(TOTALCO!G909="", "",TOTALCO!G909)</f>
        <v/>
      </c>
      <c r="H382" s="12" t="str">
        <f>IF(TOTALCO!H909="", "",TOTALCO!H909)</f>
        <v/>
      </c>
      <c r="I382" s="12" t="str">
        <f>IF(TOTALCO!I909="", "",TOTALCO!I909)</f>
        <v/>
      </c>
      <c r="J382" s="12" t="str">
        <f>IF(TOTALCO!J909="", "",TOTALCO!J909)</f>
        <v/>
      </c>
      <c r="K382" s="12" t="str">
        <f>IF(TOTALCO!K909="", "",TOTALCO!K909)</f>
        <v/>
      </c>
      <c r="L382" s="12" t="str">
        <f>IF(TOTALCO!L909="", "",TOTALCO!L909)</f>
        <v/>
      </c>
      <c r="M382" s="12" t="str">
        <f>IF(TOTALCO!M909="", "",TOTALCO!M909)</f>
        <v/>
      </c>
      <c r="N382" s="12" t="str">
        <f>IF(TOTALCO!N909="", "",TOTALCO!N909)</f>
        <v/>
      </c>
      <c r="O382" s="12" t="str">
        <f>IF(TOTALCO!O909="", "",TOTALCO!O909)</f>
        <v/>
      </c>
      <c r="P382" s="12" t="str">
        <f>IF(TOTALCO!P909="", "",TOTALCO!P909)</f>
        <v/>
      </c>
      <c r="Q382" s="12"/>
      <c r="R382" s="13"/>
    </row>
    <row r="383" spans="1:18" ht="15" x14ac:dyDescent="0.2">
      <c r="A383" s="321" t="str">
        <f>IF(TOTALCO!A910="", "",TOTALCO!A910)</f>
        <v/>
      </c>
      <c r="B383" s="4" t="str">
        <f>IF(TOTALCO!B910="", "",TOTALCO!B910)</f>
        <v/>
      </c>
      <c r="C383" s="4" t="str">
        <f>IF(TOTALCO!C910="", "",TOTALCO!C910)</f>
        <v/>
      </c>
      <c r="D383" s="12" t="str">
        <f>IF(TOTALCO!D910="", "",TOTALCO!D910)</f>
        <v/>
      </c>
      <c r="E383" s="12" t="str">
        <f>IF(TOTALCO!E910="", "",TOTALCO!E910)</f>
        <v/>
      </c>
      <c r="F383" s="12" t="str">
        <f>IF(TOTALCO!F910="", "",TOTALCO!F910)</f>
        <v/>
      </c>
      <c r="G383" s="12" t="str">
        <f>IF(TOTALCO!G910="", "",TOTALCO!G910)</f>
        <v/>
      </c>
      <c r="H383" s="12" t="str">
        <f>IF(TOTALCO!H910="", "",TOTALCO!H910)</f>
        <v/>
      </c>
      <c r="I383" s="12" t="str">
        <f>IF(TOTALCO!I910="", "",TOTALCO!I910)</f>
        <v/>
      </c>
      <c r="J383" s="12" t="str">
        <f>IF(TOTALCO!J910="", "",TOTALCO!J910)</f>
        <v/>
      </c>
      <c r="K383" s="12" t="str">
        <f>IF(TOTALCO!K910="", "",TOTALCO!K910)</f>
        <v/>
      </c>
      <c r="L383" s="12" t="str">
        <f>IF(TOTALCO!L910="", "",TOTALCO!L910)</f>
        <v/>
      </c>
      <c r="M383" s="12" t="str">
        <f>IF(TOTALCO!M910="", "",TOTALCO!M910)</f>
        <v/>
      </c>
      <c r="N383" s="12" t="str">
        <f>IF(TOTALCO!N910="", "",TOTALCO!N910)</f>
        <v/>
      </c>
      <c r="O383" s="12" t="str">
        <f>IF(TOTALCO!O910="", "",TOTALCO!O910)</f>
        <v/>
      </c>
      <c r="P383" s="12" t="str">
        <f>IF(TOTALCO!P910="", "",TOTALCO!P910)</f>
        <v/>
      </c>
      <c r="Q383" s="12"/>
      <c r="R383" s="13"/>
    </row>
    <row r="384" spans="1:18" ht="15" x14ac:dyDescent="0.2">
      <c r="A384" s="321" t="str">
        <f>IF(TOTALCO!A911="", "",TOTALCO!A911)</f>
        <v/>
      </c>
      <c r="B384" s="4" t="str">
        <f>IF(TOTALCO!B911="", "",TOTALCO!B911)</f>
        <v>OPERATING REVENUES</v>
      </c>
      <c r="C384" s="4" t="str">
        <f>IF(TOTALCO!C911="", "",TOTALCO!C911)</f>
        <v/>
      </c>
      <c r="D384" s="12" t="str">
        <f>IF(TOTALCO!D911="", "",TOTALCO!D911)</f>
        <v/>
      </c>
      <c r="E384" s="12" t="str">
        <f>IF(TOTALCO!E911="", "",TOTALCO!E911)</f>
        <v/>
      </c>
      <c r="F384" s="12" t="str">
        <f>IF(TOTALCO!F911="", "",TOTALCO!F911)</f>
        <v/>
      </c>
      <c r="G384" s="12" t="str">
        <f>IF(TOTALCO!G911="", "",TOTALCO!G911)</f>
        <v/>
      </c>
      <c r="H384" s="12" t="str">
        <f>IF(TOTALCO!H911="", "",TOTALCO!H911)</f>
        <v/>
      </c>
      <c r="I384" s="12" t="str">
        <f>IF(TOTALCO!I911="", "",TOTALCO!I911)</f>
        <v/>
      </c>
      <c r="J384" s="12" t="str">
        <f>IF(TOTALCO!J911="", "",TOTALCO!J911)</f>
        <v/>
      </c>
      <c r="K384" s="12" t="str">
        <f>IF(TOTALCO!K911="", "",TOTALCO!K911)</f>
        <v/>
      </c>
      <c r="L384" s="12" t="str">
        <f>IF(TOTALCO!L911="", "",TOTALCO!L911)</f>
        <v/>
      </c>
      <c r="M384" s="12" t="str">
        <f>IF(TOTALCO!M911="", "",TOTALCO!M911)</f>
        <v/>
      </c>
      <c r="N384" s="12" t="str">
        <f>IF(TOTALCO!N911="", "",TOTALCO!N911)</f>
        <v/>
      </c>
      <c r="O384" s="12" t="str">
        <f>IF(TOTALCO!O911="", "",TOTALCO!O911)</f>
        <v/>
      </c>
      <c r="P384" s="12" t="str">
        <f>IF(TOTALCO!P911="", "",TOTALCO!P911)</f>
        <v/>
      </c>
      <c r="Q384" s="12"/>
      <c r="R384" s="13"/>
    </row>
    <row r="385" spans="1:18" ht="15" x14ac:dyDescent="0.2">
      <c r="A385" s="321" t="str">
        <f>IF(TOTALCO!A912="", "",TOTALCO!A912)</f>
        <v/>
      </c>
      <c r="B385" s="4" t="str">
        <f>IF(TOTALCO!B912="", "",TOTALCO!B912)</f>
        <v/>
      </c>
      <c r="C385" s="4" t="str">
        <f>IF(TOTALCO!C912="", "",TOTALCO!C912)</f>
        <v/>
      </c>
      <c r="D385" s="12" t="str">
        <f>IF(TOTALCO!D912="", "",TOTALCO!D912)</f>
        <v/>
      </c>
      <c r="E385" s="12" t="str">
        <f>IF(TOTALCO!E912="", "",TOTALCO!E912)</f>
        <v/>
      </c>
      <c r="F385" s="12" t="str">
        <f>IF(TOTALCO!F912="", "",TOTALCO!F912)</f>
        <v/>
      </c>
      <c r="G385" s="12" t="str">
        <f>IF(TOTALCO!G912="", "",TOTALCO!G912)</f>
        <v/>
      </c>
      <c r="H385" s="12" t="str">
        <f>IF(TOTALCO!H912="", "",TOTALCO!H912)</f>
        <v/>
      </c>
      <c r="I385" s="12" t="str">
        <f>IF(TOTALCO!I912="", "",TOTALCO!I912)</f>
        <v/>
      </c>
      <c r="J385" s="12" t="str">
        <f>IF(TOTALCO!J912="", "",TOTALCO!J912)</f>
        <v/>
      </c>
      <c r="K385" s="12" t="str">
        <f>IF(TOTALCO!K912="", "",TOTALCO!K912)</f>
        <v/>
      </c>
      <c r="L385" s="12" t="str">
        <f>IF(TOTALCO!L912="", "",TOTALCO!L912)</f>
        <v/>
      </c>
      <c r="M385" s="12" t="str">
        <f>IF(TOTALCO!M912="", "",TOTALCO!M912)</f>
        <v/>
      </c>
      <c r="N385" s="12" t="str">
        <f>IF(TOTALCO!N912="", "",TOTALCO!N912)</f>
        <v/>
      </c>
      <c r="O385" s="12" t="str">
        <f>IF(TOTALCO!O912="", "",TOTALCO!O912)</f>
        <v/>
      </c>
      <c r="P385" s="12" t="str">
        <f>IF(TOTALCO!P912="", "",TOTALCO!P912)</f>
        <v/>
      </c>
      <c r="Q385" s="12"/>
      <c r="R385" s="13"/>
    </row>
    <row r="386" spans="1:18" ht="15" x14ac:dyDescent="0.2">
      <c r="A386" s="321" t="str">
        <f>IF(TOTALCO!A913="", "",TOTALCO!A913)</f>
        <v/>
      </c>
      <c r="B386" s="4" t="str">
        <f>IF(TOTALCO!B913="", "",TOTALCO!B913)</f>
        <v>SALES OF ELECTRICITY</v>
      </c>
      <c r="C386" s="4" t="str">
        <f>IF(TOTALCO!C913="", "",TOTALCO!C913)</f>
        <v/>
      </c>
      <c r="D386" s="12" t="str">
        <f>IF(TOTALCO!D913="", "",TOTALCO!D913)</f>
        <v/>
      </c>
      <c r="E386" s="12" t="str">
        <f>IF(TOTALCO!E913="", "",TOTALCO!E913)</f>
        <v/>
      </c>
      <c r="F386" s="12" t="str">
        <f>IF(TOTALCO!F913="", "",TOTALCO!F913)</f>
        <v/>
      </c>
      <c r="G386" s="12" t="str">
        <f>IF(TOTALCO!G913="", "",TOTALCO!G913)</f>
        <v/>
      </c>
      <c r="H386" s="12" t="str">
        <f>IF(TOTALCO!H913="", "",TOTALCO!H913)</f>
        <v/>
      </c>
      <c r="I386" s="12" t="str">
        <f>IF(TOTALCO!I913="", "",TOTALCO!I913)</f>
        <v/>
      </c>
      <c r="J386" s="12" t="str">
        <f>IF(TOTALCO!J913="", "",TOTALCO!J913)</f>
        <v/>
      </c>
      <c r="K386" s="12" t="str">
        <f>IF(TOTALCO!K913="", "",TOTALCO!K913)</f>
        <v/>
      </c>
      <c r="L386" s="12" t="str">
        <f>IF(TOTALCO!L913="", "",TOTALCO!L913)</f>
        <v/>
      </c>
      <c r="M386" s="12" t="str">
        <f>IF(TOTALCO!M913="", "",TOTALCO!M913)</f>
        <v/>
      </c>
      <c r="N386" s="12" t="str">
        <f>IF(TOTALCO!N913="", "",TOTALCO!N913)</f>
        <v/>
      </c>
      <c r="O386" s="12" t="str">
        <f>IF(TOTALCO!O913="", "",TOTALCO!O913)</f>
        <v/>
      </c>
      <c r="P386" s="12" t="str">
        <f>IF(TOTALCO!P913="", "",TOTALCO!P913)</f>
        <v/>
      </c>
      <c r="Q386" s="12"/>
      <c r="R386" s="13"/>
    </row>
    <row r="387" spans="1:18" ht="15" x14ac:dyDescent="0.2">
      <c r="A387" s="321">
        <f>IF(TOTALCO!A914="", "",TOTALCO!A914)</f>
        <v>1</v>
      </c>
      <c r="B387" s="4" t="str">
        <f>IF(TOTALCO!B914="", "",TOTALCO!B914)</f>
        <v xml:space="preserve">  440-RESIDENTIAL</v>
      </c>
      <c r="C387" s="4" t="str">
        <f>IF(TOTALCO!C914="", "",TOTALCO!C914)</f>
        <v/>
      </c>
      <c r="D387" s="12">
        <f>IF(TOTALCO!D914="", "",TOTALCO!D914)</f>
        <v>665780256.86918175</v>
      </c>
      <c r="E387" s="12" t="str">
        <f>IF(TOTALCO!E914="", "",TOTALCO!E914)</f>
        <v/>
      </c>
      <c r="F387" s="12">
        <f>IF(TOTALCO!F914="", "",TOTALCO!F914)</f>
        <v>627615321.31252027</v>
      </c>
      <c r="G387" s="12" t="str">
        <f>IF(TOTALCO!G914="", "",TOTALCO!G914)</f>
        <v/>
      </c>
      <c r="H387" s="12">
        <f>IF(TOTALCO!H914="", "",TOTALCO!H914)</f>
        <v>38164935.556661539</v>
      </c>
      <c r="I387" s="12">
        <f>IF(TOTALCO!I914="", "",TOTALCO!I914)</f>
        <v>0</v>
      </c>
      <c r="J387" s="12" t="str">
        <f>IF(TOTALCO!J914="", "",TOTALCO!J914)</f>
        <v/>
      </c>
      <c r="K387" s="12" t="str">
        <f>IF(TOTALCO!K914="", "",TOTALCO!K914)</f>
        <v/>
      </c>
      <c r="L387" s="12">
        <f>IF(TOTALCO!L914="", "",TOTALCO!L914)</f>
        <v>0</v>
      </c>
      <c r="M387" s="12" t="str">
        <f>IF(TOTALCO!M914="", "",TOTALCO!M914)</f>
        <v/>
      </c>
      <c r="N387" s="12">
        <f>IF(TOTALCO!N914="", "",TOTALCO!N914)</f>
        <v>0</v>
      </c>
      <c r="O387" s="12">
        <f>IF(TOTALCO!O914="", "",TOTALCO!O914)</f>
        <v>0</v>
      </c>
      <c r="P387" s="12">
        <f>IF(TOTALCO!P914="", "",TOTALCO!P914)</f>
        <v>0</v>
      </c>
      <c r="Q387" s="12"/>
      <c r="R387" s="13"/>
    </row>
    <row r="388" spans="1:18" ht="15" x14ac:dyDescent="0.2">
      <c r="A388" s="321">
        <f>IF(TOTALCO!A915="", "",TOTALCO!A915)</f>
        <v>2</v>
      </c>
      <c r="B388" s="4" t="str">
        <f>IF(TOTALCO!B915="", "",TOTALCO!B915)</f>
        <v xml:space="preserve">  442-COMMERCIAL</v>
      </c>
      <c r="C388" s="4" t="str">
        <f>IF(TOTALCO!C915="", "",TOTALCO!C915)</f>
        <v/>
      </c>
      <c r="D388" s="12">
        <f>IF(TOTALCO!D915="", "",TOTALCO!D915)</f>
        <v>416945597.73430771</v>
      </c>
      <c r="E388" s="12" t="str">
        <f>IF(TOTALCO!E915="", "",TOTALCO!E915)</f>
        <v/>
      </c>
      <c r="F388" s="12">
        <f>IF(TOTALCO!F915="", "",TOTALCO!F915)</f>
        <v>399084022.75055635</v>
      </c>
      <c r="G388" s="12" t="str">
        <f>IF(TOTALCO!G915="", "",TOTALCO!G915)</f>
        <v/>
      </c>
      <c r="H388" s="12">
        <f>IF(TOTALCO!H915="", "",TOTALCO!H915)</f>
        <v>17861574.983751338</v>
      </c>
      <c r="I388" s="12">
        <f>IF(TOTALCO!I915="", "",TOTALCO!I915)</f>
        <v>0</v>
      </c>
      <c r="J388" s="12" t="str">
        <f>IF(TOTALCO!J915="", "",TOTALCO!J915)</f>
        <v/>
      </c>
      <c r="K388" s="12" t="str">
        <f>IF(TOTALCO!K915="", "",TOTALCO!K915)</f>
        <v/>
      </c>
      <c r="L388" s="12">
        <f>IF(TOTALCO!L915="", "",TOTALCO!L915)</f>
        <v>0</v>
      </c>
      <c r="M388" s="12" t="str">
        <f>IF(TOTALCO!M915="", "",TOTALCO!M915)</f>
        <v/>
      </c>
      <c r="N388" s="12">
        <f>IF(TOTALCO!N915="", "",TOTALCO!N915)</f>
        <v>0</v>
      </c>
      <c r="O388" s="12">
        <f>IF(TOTALCO!O915="", "",TOTALCO!O915)</f>
        <v>0</v>
      </c>
      <c r="P388" s="12">
        <f>IF(TOTALCO!P915="", "",TOTALCO!P915)</f>
        <v>0</v>
      </c>
      <c r="Q388" s="12"/>
      <c r="R388" s="13"/>
    </row>
    <row r="389" spans="1:18" ht="15" x14ac:dyDescent="0.2">
      <c r="A389" s="321">
        <f>IF(TOTALCO!A916="", "",TOTALCO!A916)</f>
        <v>3</v>
      </c>
      <c r="B389" s="4" t="str">
        <f>IF(TOTALCO!B916="", "",TOTALCO!B916)</f>
        <v xml:space="preserve">  442-INDUSTRIAL</v>
      </c>
      <c r="C389" s="4" t="str">
        <f>IF(TOTALCO!C916="", "",TOTALCO!C916)</f>
        <v/>
      </c>
      <c r="D389" s="12">
        <f>IF(TOTALCO!D916="", "",TOTALCO!D916)</f>
        <v>432591682.68587506</v>
      </c>
      <c r="E389" s="12" t="str">
        <f>IF(TOTALCO!E916="", "",TOTALCO!E916)</f>
        <v/>
      </c>
      <c r="F389" s="12">
        <f>IF(TOTALCO!F916="", "",TOTALCO!F916)</f>
        <v>424467890.24351609</v>
      </c>
      <c r="G389" s="12" t="str">
        <f>IF(TOTALCO!G916="", "",TOTALCO!G916)</f>
        <v/>
      </c>
      <c r="H389" s="12">
        <f>IF(TOTALCO!H916="", "",TOTALCO!H916)</f>
        <v>8123792.442358966</v>
      </c>
      <c r="I389" s="12">
        <f>IF(TOTALCO!I916="", "",TOTALCO!I916)</f>
        <v>0</v>
      </c>
      <c r="J389" s="12" t="str">
        <f>IF(TOTALCO!J916="", "",TOTALCO!J916)</f>
        <v/>
      </c>
      <c r="K389" s="12" t="str">
        <f>IF(TOTALCO!K916="", "",TOTALCO!K916)</f>
        <v/>
      </c>
      <c r="L389" s="12">
        <f>IF(TOTALCO!L916="", "",TOTALCO!L916)</f>
        <v>0</v>
      </c>
      <c r="M389" s="12" t="str">
        <f>IF(TOTALCO!M916="", "",TOTALCO!M916)</f>
        <v/>
      </c>
      <c r="N389" s="12">
        <f>IF(TOTALCO!N916="", "",TOTALCO!N916)</f>
        <v>0</v>
      </c>
      <c r="O389" s="12">
        <f>IF(TOTALCO!O916="", "",TOTALCO!O916)</f>
        <v>0</v>
      </c>
      <c r="P389" s="12">
        <f>IF(TOTALCO!P916="", "",TOTALCO!P916)</f>
        <v>0</v>
      </c>
      <c r="Q389" s="12"/>
      <c r="R389" s="13"/>
    </row>
    <row r="390" spans="1:18" ht="15" x14ac:dyDescent="0.2">
      <c r="A390" s="321">
        <f>IF(TOTALCO!A917="", "",TOTALCO!A917)</f>
        <v>4</v>
      </c>
      <c r="B390" s="4" t="str">
        <f>IF(TOTALCO!B917="", "",TOTALCO!B917)</f>
        <v xml:space="preserve">  444-PUBLIC ST &amp; HWY LIGHTING</v>
      </c>
      <c r="C390" s="4" t="str">
        <f>IF(TOTALCO!C917="", "",TOTALCO!C917)</f>
        <v/>
      </c>
      <c r="D390" s="12">
        <f>IF(TOTALCO!D917="", "",TOTALCO!D917)</f>
        <v>13596736.40943232</v>
      </c>
      <c r="E390" s="12" t="str">
        <f>IF(TOTALCO!E917="", "",TOTALCO!E917)</f>
        <v/>
      </c>
      <c r="F390" s="12">
        <f>IF(TOTALCO!F917="", "",TOTALCO!F917)</f>
        <v>13142540.284420729</v>
      </c>
      <c r="G390" s="12" t="str">
        <f>IF(TOTALCO!G917="", "",TOTALCO!G917)</f>
        <v/>
      </c>
      <c r="H390" s="12">
        <f>IF(TOTALCO!H917="", "",TOTALCO!H917)</f>
        <v>454196.12501159054</v>
      </c>
      <c r="I390" s="12">
        <f>IF(TOTALCO!I917="", "",TOTALCO!I917)</f>
        <v>0</v>
      </c>
      <c r="J390" s="12" t="str">
        <f>IF(TOTALCO!J917="", "",TOTALCO!J917)</f>
        <v/>
      </c>
      <c r="K390" s="12" t="str">
        <f>IF(TOTALCO!K917="", "",TOTALCO!K917)</f>
        <v/>
      </c>
      <c r="L390" s="12">
        <f>IF(TOTALCO!L917="", "",TOTALCO!L917)</f>
        <v>0</v>
      </c>
      <c r="M390" s="12" t="str">
        <f>IF(TOTALCO!M917="", "",TOTALCO!M917)</f>
        <v/>
      </c>
      <c r="N390" s="12">
        <f>IF(TOTALCO!N917="", "",TOTALCO!N917)</f>
        <v>0</v>
      </c>
      <c r="O390" s="12">
        <f>IF(TOTALCO!O917="", "",TOTALCO!O917)</f>
        <v>0</v>
      </c>
      <c r="P390" s="12">
        <f>IF(TOTALCO!P917="", "",TOTALCO!P917)</f>
        <v>0</v>
      </c>
      <c r="Q390" s="12"/>
      <c r="R390" s="13"/>
    </row>
    <row r="391" spans="1:18" ht="15" x14ac:dyDescent="0.2">
      <c r="A391" s="321">
        <f>IF(TOTALCO!A918="", "",TOTALCO!A918)</f>
        <v>5</v>
      </c>
      <c r="B391" s="4" t="str">
        <f>IF(TOTALCO!B918="", "",TOTALCO!B918)</f>
        <v xml:space="preserve">  445-OTHER PUBLIC AUTHORITIES</v>
      </c>
      <c r="C391" s="4" t="str">
        <f>IF(TOTALCO!C918="", "",TOTALCO!C918)</f>
        <v/>
      </c>
      <c r="D391" s="12">
        <f>IF(TOTALCO!D918="", "",TOTALCO!D918)</f>
        <v>130933810.87643737</v>
      </c>
      <c r="E391" s="12" t="str">
        <f>IF(TOTALCO!E918="", "",TOTALCO!E918)</f>
        <v/>
      </c>
      <c r="F391" s="12">
        <f>IF(TOTALCO!F918="", "",TOTALCO!F918)</f>
        <v>124371106.8708469</v>
      </c>
      <c r="G391" s="12" t="str">
        <f>IF(TOTALCO!G918="", "",TOTALCO!G918)</f>
        <v/>
      </c>
      <c r="H391" s="12">
        <f>IF(TOTALCO!H918="", "",TOTALCO!H918)</f>
        <v>6562704.0055904742</v>
      </c>
      <c r="I391" s="12">
        <f>IF(TOTALCO!I918="", "",TOTALCO!I918)</f>
        <v>0</v>
      </c>
      <c r="J391" s="12" t="str">
        <f>IF(TOTALCO!J918="", "",TOTALCO!J918)</f>
        <v/>
      </c>
      <c r="K391" s="12" t="str">
        <f>IF(TOTALCO!K918="", "",TOTALCO!K918)</f>
        <v/>
      </c>
      <c r="L391" s="12">
        <f>IF(TOTALCO!L918="", "",TOTALCO!L918)</f>
        <v>0</v>
      </c>
      <c r="M391" s="12" t="str">
        <f>IF(TOTALCO!M918="", "",TOTALCO!M918)</f>
        <v/>
      </c>
      <c r="N391" s="12">
        <f>IF(TOTALCO!N918="", "",TOTALCO!N918)</f>
        <v>0</v>
      </c>
      <c r="O391" s="12">
        <f>IF(TOTALCO!O918="", "",TOTALCO!O918)</f>
        <v>0</v>
      </c>
      <c r="P391" s="12">
        <f>IF(TOTALCO!P918="", "",TOTALCO!P918)</f>
        <v>0</v>
      </c>
      <c r="Q391" s="12"/>
      <c r="R391" s="13"/>
    </row>
    <row r="392" spans="1:18" ht="15" x14ac:dyDescent="0.2">
      <c r="A392" s="321">
        <f>IF(TOTALCO!A919="", "",TOTALCO!A919)</f>
        <v>6</v>
      </c>
      <c r="B392" s="4" t="str">
        <f>IF(TOTALCO!B919="", "",TOTALCO!B919)</f>
        <v xml:space="preserve">  447-SALES FOR RESALE-MUNICIPALS</v>
      </c>
      <c r="C392" s="4" t="str">
        <f>IF(TOTALCO!C919="", "",TOTALCO!C919)</f>
        <v/>
      </c>
      <c r="D392" s="12">
        <f>IF(TOTALCO!D919="", "",TOTALCO!D919)</f>
        <v>24857217.745995708</v>
      </c>
      <c r="E392" s="12" t="str">
        <f>IF(TOTALCO!E919="", "",TOTALCO!E919)</f>
        <v/>
      </c>
      <c r="F392" s="12">
        <f>IF(TOTALCO!F919="", "",TOTALCO!F919)</f>
        <v>0</v>
      </c>
      <c r="G392" s="12" t="str">
        <f>IF(TOTALCO!G919="", "",TOTALCO!G919)</f>
        <v/>
      </c>
      <c r="H392" s="12">
        <f>IF(TOTALCO!H919="", "",TOTALCO!H919)</f>
        <v>0</v>
      </c>
      <c r="I392" s="12">
        <f>IF(TOTALCO!I919="", "",TOTALCO!I919)</f>
        <v>24857217.745995708</v>
      </c>
      <c r="J392" s="12" t="str">
        <f>IF(TOTALCO!J919="", "",TOTALCO!J919)</f>
        <v/>
      </c>
      <c r="K392" s="12" t="str">
        <f>IF(TOTALCO!K919="", "",TOTALCO!K919)</f>
        <v/>
      </c>
      <c r="L392" s="12">
        <f>IF(TOTALCO!L919="", "",TOTALCO!L919)</f>
        <v>0</v>
      </c>
      <c r="M392" s="12" t="str">
        <f>IF(TOTALCO!M919="", "",TOTALCO!M919)</f>
        <v/>
      </c>
      <c r="N392" s="12">
        <f>IF(TOTALCO!N919="", "",TOTALCO!N919)</f>
        <v>24857217.745995708</v>
      </c>
      <c r="O392" s="12">
        <f>IF(TOTALCO!O919="", "",TOTALCO!O919)</f>
        <v>12585764.562653359</v>
      </c>
      <c r="P392" s="12">
        <f>IF(TOTALCO!P919="", "",TOTALCO!P919)</f>
        <v>12271453.183342351</v>
      </c>
      <c r="Q392" s="12"/>
      <c r="R392" s="13"/>
    </row>
    <row r="393" spans="1:18" ht="15" x14ac:dyDescent="0.2">
      <c r="A393" s="321">
        <f>IF(TOTALCO!A920="", "",TOTALCO!A920)</f>
        <v>7</v>
      </c>
      <c r="B393" s="4" t="str">
        <f>IF(TOTALCO!B920="", "",TOTALCO!B920)</f>
        <v xml:space="preserve">  447-SALES FOR RESALE-BORDERLINE</v>
      </c>
      <c r="C393" s="4" t="str">
        <f>IF(TOTALCO!C920="", "",TOTALCO!C920)</f>
        <v/>
      </c>
      <c r="D393" s="12">
        <f>IF(TOTALCO!D920="", "",TOTALCO!D920)</f>
        <v>2969.5068393167198</v>
      </c>
      <c r="E393" s="12" t="str">
        <f>IF(TOTALCO!E920="", "",TOTALCO!E920)</f>
        <v/>
      </c>
      <c r="F393" s="12">
        <f>IF(TOTALCO!F920="", "",TOTALCO!F920)</f>
        <v>0</v>
      </c>
      <c r="G393" s="12" t="str">
        <f>IF(TOTALCO!G920="", "",TOTALCO!G920)</f>
        <v/>
      </c>
      <c r="H393" s="12">
        <f>IF(TOTALCO!H920="", "",TOTALCO!H920)</f>
        <v>2969.5068393167198</v>
      </c>
      <c r="I393" s="12">
        <f>IF(TOTALCO!I920="", "",TOTALCO!I920)</f>
        <v>0</v>
      </c>
      <c r="J393" s="12" t="str">
        <f>IF(TOTALCO!J920="", "",TOTALCO!J920)</f>
        <v/>
      </c>
      <c r="K393" s="12" t="str">
        <f>IF(TOTALCO!K920="", "",TOTALCO!K920)</f>
        <v/>
      </c>
      <c r="L393" s="12">
        <f>IF(TOTALCO!L920="", "",TOTALCO!L920)</f>
        <v>0</v>
      </c>
      <c r="M393" s="12" t="str">
        <f>IF(TOTALCO!M920="", "",TOTALCO!M920)</f>
        <v/>
      </c>
      <c r="N393" s="12">
        <f>IF(TOTALCO!N920="", "",TOTALCO!N920)</f>
        <v>0</v>
      </c>
      <c r="O393" s="12">
        <f>IF(TOTALCO!O920="", "",TOTALCO!O920)</f>
        <v>0</v>
      </c>
      <c r="P393" s="12">
        <f>IF(TOTALCO!P920="", "",TOTALCO!P920)</f>
        <v>0</v>
      </c>
      <c r="Q393" s="12"/>
      <c r="R393" s="13"/>
    </row>
    <row r="394" spans="1:18" ht="15" x14ac:dyDescent="0.2">
      <c r="A394" s="321">
        <f>IF(TOTALCO!A921="", "",TOTALCO!A921)</f>
        <v>8</v>
      </c>
      <c r="B394" s="4" t="str">
        <f>IF(TOTALCO!B921="", "",TOTALCO!B921)</f>
        <v xml:space="preserve">  447-SALES FOR RESALE-OFF SYSTEM:</v>
      </c>
      <c r="C394" s="4" t="str">
        <f>IF(TOTALCO!C921="", "",TOTALCO!C921)</f>
        <v/>
      </c>
      <c r="D394" s="12" t="str">
        <f>IF(TOTALCO!D921="", "",TOTALCO!D921)</f>
        <v/>
      </c>
      <c r="E394" s="12" t="str">
        <f>IF(TOTALCO!E921="", "",TOTALCO!E921)</f>
        <v/>
      </c>
      <c r="F394" s="12" t="str">
        <f>IF(TOTALCO!F921="", "",TOTALCO!F921)</f>
        <v/>
      </c>
      <c r="G394" s="12" t="str">
        <f>IF(TOTALCO!G921="", "",TOTALCO!G921)</f>
        <v/>
      </c>
      <c r="H394" s="12" t="str">
        <f>IF(TOTALCO!H921="", "",TOTALCO!H921)</f>
        <v/>
      </c>
      <c r="I394" s="12" t="str">
        <f>IF(TOTALCO!I921="", "",TOTALCO!I921)</f>
        <v/>
      </c>
      <c r="J394" s="12" t="str">
        <f>IF(TOTALCO!J921="", "",TOTALCO!J921)</f>
        <v/>
      </c>
      <c r="K394" s="12" t="str">
        <f>IF(TOTALCO!K921="", "",TOTALCO!K921)</f>
        <v/>
      </c>
      <c r="L394" s="12" t="str">
        <f>IF(TOTALCO!L921="", "",TOTALCO!L921)</f>
        <v/>
      </c>
      <c r="M394" s="12" t="str">
        <f>IF(TOTALCO!M921="", "",TOTALCO!M921)</f>
        <v/>
      </c>
      <c r="N394" s="12" t="str">
        <f>IF(TOTALCO!N921="", "",TOTALCO!N921)</f>
        <v/>
      </c>
      <c r="O394" s="12" t="str">
        <f>IF(TOTALCO!O921="", "",TOTALCO!O921)</f>
        <v/>
      </c>
      <c r="P394" s="12" t="str">
        <f>IF(TOTALCO!P921="", "",TOTALCO!P921)</f>
        <v/>
      </c>
      <c r="Q394" s="12"/>
      <c r="R394" s="13"/>
    </row>
    <row r="395" spans="1:18" ht="15" x14ac:dyDescent="0.2">
      <c r="A395" s="321">
        <f>IF(TOTALCO!A922="", "",TOTALCO!A922)</f>
        <v>9</v>
      </c>
      <c r="B395" s="4" t="str">
        <f>IF(TOTALCO!B922="", "",TOTALCO!B922)</f>
        <v xml:space="preserve">              DEMAND</v>
      </c>
      <c r="C395" s="4" t="str">
        <f>IF(TOTALCO!C922="", "",TOTALCO!C922)</f>
        <v>DEMPROD</v>
      </c>
      <c r="D395" s="12">
        <f ca="1">IF(TOTALCO!D922="", "",TOTALCO!D922)</f>
        <v>0</v>
      </c>
      <c r="E395" s="12" t="str">
        <f>IF(TOTALCO!E922="", "",TOTALCO!E922)</f>
        <v/>
      </c>
      <c r="F395" s="12">
        <f ca="1">IF(TOTALCO!F922="", "",TOTALCO!F922)</f>
        <v>0</v>
      </c>
      <c r="G395" s="12" t="str">
        <f>IF(TOTALCO!G922="", "",TOTALCO!G922)</f>
        <v/>
      </c>
      <c r="H395" s="12">
        <f ca="1">IF(TOTALCO!H922="", "",TOTALCO!H922)</f>
        <v>0</v>
      </c>
      <c r="I395" s="12">
        <f ca="1">IF(TOTALCO!I922="", "",TOTALCO!I922)</f>
        <v>0</v>
      </c>
      <c r="J395" s="12" t="str">
        <f>IF(TOTALCO!J922="", "",TOTALCO!J922)</f>
        <v/>
      </c>
      <c r="K395" s="12" t="str">
        <f>IF(TOTALCO!K922="", "",TOTALCO!K922)</f>
        <v/>
      </c>
      <c r="L395" s="12">
        <f ca="1">IF(TOTALCO!L922="", "",TOTALCO!L922)</f>
        <v>0</v>
      </c>
      <c r="M395" s="12" t="str">
        <f>IF(TOTALCO!M922="", "",TOTALCO!M922)</f>
        <v/>
      </c>
      <c r="N395" s="12">
        <f ca="1">IF(TOTALCO!N922="", "",TOTALCO!N922)</f>
        <v>0</v>
      </c>
      <c r="O395" s="12">
        <f ca="1">IF(TOTALCO!O922="", "",TOTALCO!O922)</f>
        <v>0</v>
      </c>
      <c r="P395" s="12">
        <f ca="1">IF(TOTALCO!P922="", "",TOTALCO!P922)</f>
        <v>0</v>
      </c>
      <c r="Q395" s="12"/>
      <c r="R395" s="13"/>
    </row>
    <row r="396" spans="1:18" ht="15" x14ac:dyDescent="0.2">
      <c r="A396" s="321">
        <f>IF(TOTALCO!A923="", "",TOTALCO!A923)</f>
        <v>10</v>
      </c>
      <c r="B396" s="4" t="str">
        <f>IF(TOTALCO!B923="", "",TOTALCO!B923)</f>
        <v xml:space="preserve">              ENERGY</v>
      </c>
      <c r="C396" s="4" t="str">
        <f>IF(TOTALCO!C923="", "",TOTALCO!C923)</f>
        <v>ENERGY</v>
      </c>
      <c r="D396" s="12">
        <f ca="1">IF(TOTALCO!D923="", "",TOTALCO!D923)</f>
        <v>10135947.354481341</v>
      </c>
      <c r="E396" s="12" t="str">
        <f>IF(TOTALCO!E923="", "",TOTALCO!E923)</f>
        <v/>
      </c>
      <c r="F396" s="12">
        <f ca="1">IF(TOTALCO!F923="", "",TOTALCO!F923)</f>
        <v>9538019.3014995866</v>
      </c>
      <c r="G396" s="12" t="str">
        <f>IF(TOTALCO!G923="", "",TOTALCO!G923)</f>
        <v/>
      </c>
      <c r="H396" s="12">
        <f ca="1">IF(TOTALCO!H923="", "",TOTALCO!H923)</f>
        <v>389107.68511496321</v>
      </c>
      <c r="I396" s="12">
        <f ca="1">IF(TOTALCO!I923="", "",TOTALCO!I923)</f>
        <v>208820.36786679088</v>
      </c>
      <c r="J396" s="12" t="str">
        <f>IF(TOTALCO!J923="", "",TOTALCO!J923)</f>
        <v/>
      </c>
      <c r="K396" s="12" t="str">
        <f>IF(TOTALCO!K923="", "",TOTALCO!K923)</f>
        <v/>
      </c>
      <c r="L396" s="12">
        <f ca="1">IF(TOTALCO!L923="", "",TOTALCO!L923)</f>
        <v>42.686962046929459</v>
      </c>
      <c r="M396" s="12" t="str">
        <f>IF(TOTALCO!M923="", "",TOTALCO!M923)</f>
        <v/>
      </c>
      <c r="N396" s="12">
        <f ca="1">IF(TOTALCO!N923="", "",TOTALCO!N923)</f>
        <v>208777.68090474396</v>
      </c>
      <c r="O396" s="12">
        <f ca="1">IF(TOTALCO!O923="", "",TOTALCO!O923)</f>
        <v>105726.6164070067</v>
      </c>
      <c r="P396" s="12">
        <f ca="1">IF(TOTALCO!P923="", "",TOTALCO!P923)</f>
        <v>103051.06449773727</v>
      </c>
      <c r="Q396" s="12"/>
      <c r="R396" s="13"/>
    </row>
    <row r="397" spans="1:18" ht="15" x14ac:dyDescent="0.2">
      <c r="A397" s="321">
        <f>IF(TOTALCO!A924="", "",TOTALCO!A924)</f>
        <v>11</v>
      </c>
      <c r="B397" s="4" t="str">
        <f>IF(TOTALCO!B924="", "",TOTALCO!B924)</f>
        <v xml:space="preserve">  TOTAL 447-OFF SYSTEM</v>
      </c>
      <c r="C397" s="4" t="str">
        <f>IF(TOTALCO!C924="", "",TOTALCO!C924)</f>
        <v/>
      </c>
      <c r="D397" s="12">
        <f ca="1">IF(TOTALCO!D924="", "",TOTALCO!D924)</f>
        <v>10135947.354481341</v>
      </c>
      <c r="E397" s="12" t="str">
        <f>IF(TOTALCO!E924="", "",TOTALCO!E924)</f>
        <v/>
      </c>
      <c r="F397" s="12">
        <f ca="1">IF(TOTALCO!F924="", "",TOTALCO!F924)</f>
        <v>9538019.3014995866</v>
      </c>
      <c r="G397" s="12" t="str">
        <f>IF(TOTALCO!G924="", "",TOTALCO!G924)</f>
        <v/>
      </c>
      <c r="H397" s="12">
        <f ca="1">IF(TOTALCO!H924="", "",TOTALCO!H924)</f>
        <v>389107.68511496321</v>
      </c>
      <c r="I397" s="12">
        <f ca="1">IF(TOTALCO!I924="", "",TOTALCO!I924)</f>
        <v>208820.36786679088</v>
      </c>
      <c r="J397" s="12" t="str">
        <f>IF(TOTALCO!J924="", "",TOTALCO!J924)</f>
        <v/>
      </c>
      <c r="K397" s="12" t="str">
        <f>IF(TOTALCO!K924="", "",TOTALCO!K924)</f>
        <v/>
      </c>
      <c r="L397" s="12">
        <f ca="1">IF(TOTALCO!L924="", "",TOTALCO!L924)</f>
        <v>42.686962046929459</v>
      </c>
      <c r="M397" s="12" t="str">
        <f>IF(TOTALCO!M924="", "",TOTALCO!M924)</f>
        <v/>
      </c>
      <c r="N397" s="12">
        <f ca="1">IF(TOTALCO!N924="", "",TOTALCO!N924)</f>
        <v>208777.68090474396</v>
      </c>
      <c r="O397" s="12">
        <f ca="1">IF(TOTALCO!O924="", "",TOTALCO!O924)</f>
        <v>105726.6164070067</v>
      </c>
      <c r="P397" s="12">
        <f ca="1">IF(TOTALCO!P924="", "",TOTALCO!P924)</f>
        <v>103051.06449773727</v>
      </c>
      <c r="Q397" s="12"/>
      <c r="R397" s="13"/>
    </row>
    <row r="398" spans="1:18" ht="15" x14ac:dyDescent="0.2">
      <c r="A398" s="321" t="str">
        <f>IF(TOTALCO!A925="", "",TOTALCO!A925)</f>
        <v/>
      </c>
      <c r="B398" s="4" t="str">
        <f>IF(TOTALCO!B925="", "",TOTALCO!B925)</f>
        <v/>
      </c>
      <c r="C398" s="4" t="str">
        <f>IF(TOTALCO!C925="", "",TOTALCO!C925)</f>
        <v/>
      </c>
      <c r="D398" s="12" t="str">
        <f>IF(TOTALCO!D925="", "",TOTALCO!D925)</f>
        <v/>
      </c>
      <c r="E398" s="12" t="str">
        <f>IF(TOTALCO!E925="", "",TOTALCO!E925)</f>
        <v/>
      </c>
      <c r="F398" s="12" t="str">
        <f>IF(TOTALCO!F925="", "",TOTALCO!F925)</f>
        <v/>
      </c>
      <c r="G398" s="12" t="str">
        <f>IF(TOTALCO!G925="", "",TOTALCO!G925)</f>
        <v/>
      </c>
      <c r="H398" s="12" t="str">
        <f>IF(TOTALCO!H925="", "",TOTALCO!H925)</f>
        <v/>
      </c>
      <c r="I398" s="12" t="str">
        <f>IF(TOTALCO!I925="", "",TOTALCO!I925)</f>
        <v/>
      </c>
      <c r="J398" s="12" t="str">
        <f>IF(TOTALCO!J925="", "",TOTALCO!J925)</f>
        <v/>
      </c>
      <c r="K398" s="12" t="str">
        <f>IF(TOTALCO!K925="", "",TOTALCO!K925)</f>
        <v/>
      </c>
      <c r="L398" s="12" t="str">
        <f>IF(TOTALCO!L925="", "",TOTALCO!L925)</f>
        <v/>
      </c>
      <c r="M398" s="12" t="str">
        <f>IF(TOTALCO!M925="", "",TOTALCO!M925)</f>
        <v/>
      </c>
      <c r="N398" s="12" t="str">
        <f>IF(TOTALCO!N925="", "",TOTALCO!N925)</f>
        <v/>
      </c>
      <c r="O398" s="12" t="str">
        <f>IF(TOTALCO!O925="", "",TOTALCO!O925)</f>
        <v/>
      </c>
      <c r="P398" s="12" t="str">
        <f>IF(TOTALCO!P925="", "",TOTALCO!P925)</f>
        <v/>
      </c>
      <c r="Q398" s="12"/>
      <c r="R398" s="13"/>
    </row>
    <row r="399" spans="1:18" ht="15" x14ac:dyDescent="0.2">
      <c r="A399" s="321">
        <f>IF(TOTALCO!A926="", "",TOTALCO!A926)</f>
        <v>12</v>
      </c>
      <c r="B399" s="4" t="str">
        <f>IF(TOTALCO!B926="", "",TOTALCO!B926)</f>
        <v xml:space="preserve">  449-PROVISION FOR RATE REFUND</v>
      </c>
      <c r="C399" s="4" t="str">
        <f>IF(TOTALCO!C926="", "",TOTALCO!C926)</f>
        <v/>
      </c>
      <c r="D399" s="12">
        <f>IF(TOTALCO!D926="", "",TOTALCO!D926)</f>
        <v>0</v>
      </c>
      <c r="E399" s="12" t="str">
        <f>IF(TOTALCO!E926="", "",TOTALCO!E926)</f>
        <v/>
      </c>
      <c r="F399" s="12">
        <f>IF(TOTALCO!F926="", "",TOTALCO!F926)</f>
        <v>0</v>
      </c>
      <c r="G399" s="12" t="str">
        <f>IF(TOTALCO!G926="", "",TOTALCO!G926)</f>
        <v/>
      </c>
      <c r="H399" s="12">
        <f>IF(TOTALCO!H926="", "",TOTALCO!H926)</f>
        <v>0</v>
      </c>
      <c r="I399" s="12">
        <f>IF(TOTALCO!I926="", "",TOTALCO!I926)</f>
        <v>0</v>
      </c>
      <c r="J399" s="12" t="str">
        <f>IF(TOTALCO!J926="", "",TOTALCO!J926)</f>
        <v/>
      </c>
      <c r="K399" s="12" t="str">
        <f>IF(TOTALCO!K926="", "",TOTALCO!K926)</f>
        <v/>
      </c>
      <c r="L399" s="12">
        <f>IF(TOTALCO!L926="", "",TOTALCO!L926)</f>
        <v>0</v>
      </c>
      <c r="M399" s="12" t="str">
        <f>IF(TOTALCO!M926="", "",TOTALCO!M926)</f>
        <v/>
      </c>
      <c r="N399" s="12">
        <f>IF(TOTALCO!N926="", "",TOTALCO!N926)</f>
        <v>0</v>
      </c>
      <c r="O399" s="12">
        <f>IF(TOTALCO!O926="", "",TOTALCO!O926)</f>
        <v>0</v>
      </c>
      <c r="P399" s="12">
        <f>IF(TOTALCO!P926="", "",TOTALCO!P926)</f>
        <v>0</v>
      </c>
      <c r="Q399" s="12"/>
      <c r="R399" s="13"/>
    </row>
    <row r="400" spans="1:18" ht="15" x14ac:dyDescent="0.2">
      <c r="A400" s="321" t="str">
        <f>IF(TOTALCO!A927="", "",TOTALCO!A927)</f>
        <v/>
      </c>
      <c r="B400" s="4" t="str">
        <f>IF(TOTALCO!B927="", "",TOTALCO!B927)</f>
        <v/>
      </c>
      <c r="C400" s="4" t="str">
        <f>IF(TOTALCO!C927="", "",TOTALCO!C927)</f>
        <v/>
      </c>
      <c r="D400" s="12" t="str">
        <f>IF(TOTALCO!D927="", "",TOTALCO!D927)</f>
        <v/>
      </c>
      <c r="E400" s="12" t="str">
        <f>IF(TOTALCO!E927="", "",TOTALCO!E927)</f>
        <v/>
      </c>
      <c r="F400" s="12" t="str">
        <f>IF(TOTALCO!F927="", "",TOTALCO!F927)</f>
        <v/>
      </c>
      <c r="G400" s="12" t="str">
        <f>IF(TOTALCO!G927="", "",TOTALCO!G927)</f>
        <v/>
      </c>
      <c r="H400" s="12" t="str">
        <f>IF(TOTALCO!H927="", "",TOTALCO!H927)</f>
        <v/>
      </c>
      <c r="I400" s="12" t="str">
        <f>IF(TOTALCO!I927="", "",TOTALCO!I927)</f>
        <v/>
      </c>
      <c r="J400" s="12" t="str">
        <f>IF(TOTALCO!J927="", "",TOTALCO!J927)</f>
        <v/>
      </c>
      <c r="K400" s="12" t="str">
        <f>IF(TOTALCO!K927="", "",TOTALCO!K927)</f>
        <v/>
      </c>
      <c r="L400" s="12" t="str">
        <f>IF(TOTALCO!L927="", "",TOTALCO!L927)</f>
        <v/>
      </c>
      <c r="M400" s="12" t="str">
        <f>IF(TOTALCO!M927="", "",TOTALCO!M927)</f>
        <v/>
      </c>
      <c r="N400" s="12" t="str">
        <f>IF(TOTALCO!N927="", "",TOTALCO!N927)</f>
        <v/>
      </c>
      <c r="O400" s="12" t="str">
        <f>IF(TOTALCO!O927="", "",TOTALCO!O927)</f>
        <v/>
      </c>
      <c r="P400" s="12" t="str">
        <f>IF(TOTALCO!P927="", "",TOTALCO!P927)</f>
        <v/>
      </c>
      <c r="Q400" s="12"/>
      <c r="R400" s="13"/>
    </row>
    <row r="401" spans="1:18" ht="15" x14ac:dyDescent="0.2">
      <c r="A401" s="321">
        <f>IF(TOTALCO!A928="", "",TOTALCO!A928)</f>
        <v>13</v>
      </c>
      <c r="B401" s="4" t="str">
        <f>IF(TOTALCO!B928="", "",TOTALCO!B928)</f>
        <v>TOTAL ELECTRIC SALES REVENUES</v>
      </c>
      <c r="C401" s="4" t="str">
        <f>IF(TOTALCO!C928="", "",TOTALCO!C928)</f>
        <v/>
      </c>
      <c r="D401" s="12">
        <f ca="1">IF(TOTALCO!D928="", "",TOTALCO!D928)</f>
        <v>1694844219.1825507</v>
      </c>
      <c r="E401" s="12" t="str">
        <f>IF(TOTALCO!E928="", "",TOTALCO!E928)</f>
        <v/>
      </c>
      <c r="F401" s="12">
        <f ca="1">IF(TOTALCO!F928="", "",TOTALCO!F928)</f>
        <v>1598218900.76336</v>
      </c>
      <c r="G401" s="12" t="str">
        <f>IF(TOTALCO!G928="", "",TOTALCO!G928)</f>
        <v/>
      </c>
      <c r="H401" s="12">
        <f ca="1">IF(TOTALCO!H928="", "",TOTALCO!H928)</f>
        <v>71559280.30532819</v>
      </c>
      <c r="I401" s="12">
        <f ca="1">IF(TOTALCO!I928="", "",TOTALCO!I928)</f>
        <v>25066038.1138625</v>
      </c>
      <c r="J401" s="12" t="str">
        <f>IF(TOTALCO!J928="", "",TOTALCO!J928)</f>
        <v/>
      </c>
      <c r="K401" s="12" t="str">
        <f>IF(TOTALCO!K928="", "",TOTALCO!K928)</f>
        <v/>
      </c>
      <c r="L401" s="12">
        <f ca="1">IF(TOTALCO!L928="", "",TOTALCO!L928)</f>
        <v>42.686962046929459</v>
      </c>
      <c r="M401" s="12" t="str">
        <f>IF(TOTALCO!M928="", "",TOTALCO!M928)</f>
        <v/>
      </c>
      <c r="N401" s="12">
        <f ca="1">IF(TOTALCO!N928="", "",TOTALCO!N928)</f>
        <v>25065995.426900454</v>
      </c>
      <c r="O401" s="12">
        <f ca="1">IF(TOTALCO!O928="", "",TOTALCO!O928)</f>
        <v>12691491.179060366</v>
      </c>
      <c r="P401" s="12">
        <f ca="1">IF(TOTALCO!P928="", "",TOTALCO!P928)</f>
        <v>12374504.247840088</v>
      </c>
      <c r="Q401" s="12"/>
      <c r="R401" s="13"/>
    </row>
    <row r="402" spans="1:18" ht="15" x14ac:dyDescent="0.2">
      <c r="A402" s="321" t="str">
        <f>IF(TOTALCO!A929="", "",TOTALCO!A929)</f>
        <v/>
      </c>
      <c r="B402" s="4" t="str">
        <f>IF(TOTALCO!B929="", "",TOTALCO!B929)</f>
        <v/>
      </c>
      <c r="C402" s="4" t="str">
        <f>IF(TOTALCO!C929="", "",TOTALCO!C929)</f>
        <v/>
      </c>
      <c r="D402" s="12" t="str">
        <f>IF(TOTALCO!D929="", "",TOTALCO!D929)</f>
        <v/>
      </c>
      <c r="E402" s="12" t="str">
        <f>IF(TOTALCO!E929="", "",TOTALCO!E929)</f>
        <v/>
      </c>
      <c r="F402" s="12" t="str">
        <f>IF(TOTALCO!F929="", "",TOTALCO!F929)</f>
        <v/>
      </c>
      <c r="G402" s="12" t="str">
        <f>IF(TOTALCO!G929="", "",TOTALCO!G929)</f>
        <v/>
      </c>
      <c r="H402" s="12" t="str">
        <f>IF(TOTALCO!H929="", "",TOTALCO!H929)</f>
        <v/>
      </c>
      <c r="I402" s="12" t="str">
        <f>IF(TOTALCO!I929="", "",TOTALCO!I929)</f>
        <v/>
      </c>
      <c r="J402" s="12" t="str">
        <f>IF(TOTALCO!J929="", "",TOTALCO!J929)</f>
        <v/>
      </c>
      <c r="K402" s="12" t="str">
        <f>IF(TOTALCO!K929="", "",TOTALCO!K929)</f>
        <v/>
      </c>
      <c r="L402" s="12" t="str">
        <f>IF(TOTALCO!L929="", "",TOTALCO!L929)</f>
        <v/>
      </c>
      <c r="M402" s="12" t="str">
        <f>IF(TOTALCO!M929="", "",TOTALCO!M929)</f>
        <v/>
      </c>
      <c r="N402" s="12" t="str">
        <f>IF(TOTALCO!N929="", "",TOTALCO!N929)</f>
        <v/>
      </c>
      <c r="O402" s="12" t="str">
        <f>IF(TOTALCO!O929="", "",TOTALCO!O929)</f>
        <v/>
      </c>
      <c r="P402" s="12" t="str">
        <f>IF(TOTALCO!P929="", "",TOTALCO!P929)</f>
        <v/>
      </c>
      <c r="Q402" s="12"/>
      <c r="R402" s="13"/>
    </row>
    <row r="403" spans="1:18" ht="15" x14ac:dyDescent="0.2">
      <c r="A403" s="321" t="str">
        <f>IF(TOTALCO!A930="", "",TOTALCO!A930)</f>
        <v/>
      </c>
      <c r="B403" s="4" t="str">
        <f>IF(TOTALCO!B930="", "",TOTALCO!B930)</f>
        <v>OTHER OPERATING REVENUES</v>
      </c>
      <c r="C403" s="4" t="str">
        <f>IF(TOTALCO!C930="", "",TOTALCO!C930)</f>
        <v/>
      </c>
      <c r="D403" s="12" t="str">
        <f>IF(TOTALCO!D930="", "",TOTALCO!D930)</f>
        <v/>
      </c>
      <c r="E403" s="12" t="str">
        <f>IF(TOTALCO!E930="", "",TOTALCO!E930)</f>
        <v/>
      </c>
      <c r="F403" s="12" t="str">
        <f>IF(TOTALCO!F930="", "",TOTALCO!F930)</f>
        <v/>
      </c>
      <c r="G403" s="12" t="str">
        <f>IF(TOTALCO!G930="", "",TOTALCO!G930)</f>
        <v/>
      </c>
      <c r="H403" s="12" t="str">
        <f>IF(TOTALCO!H930="", "",TOTALCO!H930)</f>
        <v/>
      </c>
      <c r="I403" s="12" t="str">
        <f>IF(TOTALCO!I930="", "",TOTALCO!I930)</f>
        <v/>
      </c>
      <c r="J403" s="12" t="str">
        <f>IF(TOTALCO!J930="", "",TOTALCO!J930)</f>
        <v/>
      </c>
      <c r="K403" s="12" t="str">
        <f>IF(TOTALCO!K930="", "",TOTALCO!K930)</f>
        <v/>
      </c>
      <c r="L403" s="12" t="str">
        <f>IF(TOTALCO!L930="", "",TOTALCO!L930)</f>
        <v/>
      </c>
      <c r="M403" s="12" t="str">
        <f>IF(TOTALCO!M930="", "",TOTALCO!M930)</f>
        <v/>
      </c>
      <c r="N403" s="12" t="str">
        <f>IF(TOTALCO!N930="", "",TOTALCO!N930)</f>
        <v/>
      </c>
      <c r="O403" s="12" t="str">
        <f>IF(TOTALCO!O930="", "",TOTALCO!O930)</f>
        <v/>
      </c>
      <c r="P403" s="12" t="str">
        <f>IF(TOTALCO!P930="", "",TOTALCO!P930)</f>
        <v/>
      </c>
      <c r="Q403" s="12"/>
      <c r="R403" s="13"/>
    </row>
    <row r="404" spans="1:18" ht="15" x14ac:dyDescent="0.2">
      <c r="A404" s="321">
        <f>IF(TOTALCO!A931="", "",TOTALCO!A931)</f>
        <v>14</v>
      </c>
      <c r="B404" s="4" t="str">
        <f>IF(TOTALCO!B931="", "",TOTALCO!B931)</f>
        <v xml:space="preserve">  450-LATE PAYMENT CHARGES</v>
      </c>
      <c r="C404" s="4" t="str">
        <f>IF(TOTALCO!C931="", "",TOTALCO!C931)</f>
        <v>DIR450REV</v>
      </c>
      <c r="D404" s="12">
        <f ca="1">IF(TOTALCO!D931="", "",TOTALCO!D931)</f>
        <v>3962819.9333333327</v>
      </c>
      <c r="E404" s="12" t="str">
        <f>IF(TOTALCO!E931="", "",TOTALCO!E931)</f>
        <v/>
      </c>
      <c r="F404" s="12">
        <f ca="1">IF(TOTALCO!F931="", "",TOTALCO!F931)</f>
        <v>3803817.2532682326</v>
      </c>
      <c r="G404" s="12" t="str">
        <f>IF(TOTALCO!G931="", "",TOTALCO!G931)</f>
        <v/>
      </c>
      <c r="H404" s="12">
        <f ca="1">IF(TOTALCO!H931="", "",TOTALCO!H931)</f>
        <v>158910.25599425804</v>
      </c>
      <c r="I404" s="12">
        <f ca="1">IF(TOTALCO!I931="", "",TOTALCO!I931)</f>
        <v>92.424070842210355</v>
      </c>
      <c r="J404" s="12" t="str">
        <f>IF(TOTALCO!J931="", "",TOTALCO!J931)</f>
        <v/>
      </c>
      <c r="K404" s="12" t="str">
        <f>IF(TOTALCO!K931="", "",TOTALCO!K931)</f>
        <v/>
      </c>
      <c r="L404" s="12">
        <f ca="1">IF(TOTALCO!L931="", "",TOTALCO!L931)</f>
        <v>0</v>
      </c>
      <c r="M404" s="12" t="str">
        <f>IF(TOTALCO!M931="", "",TOTALCO!M931)</f>
        <v/>
      </c>
      <c r="N404" s="12">
        <f ca="1">IF(TOTALCO!N931="", "",TOTALCO!N931)</f>
        <v>92.424070842210355</v>
      </c>
      <c r="O404" s="12">
        <f ca="1">IF(TOTALCO!O931="", "",TOTALCO!O931)</f>
        <v>5.7637833968665726</v>
      </c>
      <c r="P404" s="12">
        <f ca="1">IF(TOTALCO!P931="", "",TOTALCO!P931)</f>
        <v>86.660287445343783</v>
      </c>
      <c r="Q404" s="12"/>
      <c r="R404" s="13"/>
    </row>
    <row r="405" spans="1:18" ht="15" x14ac:dyDescent="0.2">
      <c r="A405" s="321">
        <f>IF(TOTALCO!A932="", "",TOTALCO!A932)</f>
        <v>15</v>
      </c>
      <c r="B405" s="4" t="str">
        <f>IF(TOTALCO!B932="", "",TOTALCO!B932)</f>
        <v xml:space="preserve">  451-RECONNECT CHARGES</v>
      </c>
      <c r="C405" s="4" t="str">
        <f>IF(TOTALCO!C932="", "",TOTALCO!C932)</f>
        <v>DIR451REC</v>
      </c>
      <c r="D405" s="12">
        <f ca="1">IF(TOTALCO!D932="", "",TOTALCO!D932)</f>
        <v>2253137.8000000003</v>
      </c>
      <c r="E405" s="12" t="str">
        <f>IF(TOTALCO!E932="", "",TOTALCO!E932)</f>
        <v/>
      </c>
      <c r="F405" s="12">
        <f ca="1">IF(TOTALCO!F932="", "",TOTALCO!F932)</f>
        <v>2110069.1081305002</v>
      </c>
      <c r="G405" s="12" t="str">
        <f>IF(TOTALCO!G932="", "",TOTALCO!G932)</f>
        <v/>
      </c>
      <c r="H405" s="12">
        <f ca="1">IF(TOTALCO!H932="", "",TOTALCO!H932)</f>
        <v>143068.69186950012</v>
      </c>
      <c r="I405" s="12">
        <f ca="1">IF(TOTALCO!I932="", "",TOTALCO!I932)</f>
        <v>0</v>
      </c>
      <c r="J405" s="12" t="str">
        <f>IF(TOTALCO!J932="", "",TOTALCO!J932)</f>
        <v/>
      </c>
      <c r="K405" s="12" t="str">
        <f>IF(TOTALCO!K932="", "",TOTALCO!K932)</f>
        <v/>
      </c>
      <c r="L405" s="12">
        <f ca="1">IF(TOTALCO!L932="", "",TOTALCO!L932)</f>
        <v>0</v>
      </c>
      <c r="M405" s="12" t="str">
        <f>IF(TOTALCO!M932="", "",TOTALCO!M932)</f>
        <v/>
      </c>
      <c r="N405" s="12">
        <f ca="1">IF(TOTALCO!N932="", "",TOTALCO!N932)</f>
        <v>0</v>
      </c>
      <c r="O405" s="12">
        <f ca="1">IF(TOTALCO!O932="", "",TOTALCO!O932)</f>
        <v>0</v>
      </c>
      <c r="P405" s="12">
        <f ca="1">IF(TOTALCO!P932="", "",TOTALCO!P932)</f>
        <v>0</v>
      </c>
      <c r="Q405" s="12"/>
      <c r="R405" s="13"/>
    </row>
    <row r="406" spans="1:18" ht="15" x14ac:dyDescent="0.2">
      <c r="A406" s="321">
        <f>IF(TOTALCO!A933="", "",TOTALCO!A933)</f>
        <v>16</v>
      </c>
      <c r="B406" s="4" t="str">
        <f>IF(TOTALCO!B933="", "",TOTALCO!B933)</f>
        <v xml:space="preserve">  451-OTHER SERVICE CHARGES</v>
      </c>
      <c r="C406" s="4" t="str">
        <f>IF(TOTALCO!C933="", "",TOTALCO!C933)</f>
        <v>DIR451OTH</v>
      </c>
      <c r="D406" s="12">
        <f ca="1">IF(TOTALCO!D933="", "",TOTALCO!D933)</f>
        <v>59718.7933333334</v>
      </c>
      <c r="E406" s="12" t="str">
        <f>IF(TOTALCO!E933="", "",TOTALCO!E933)</f>
        <v/>
      </c>
      <c r="F406" s="12">
        <f ca="1">IF(TOTALCO!F933="", "",TOTALCO!F933)</f>
        <v>59264.561379314859</v>
      </c>
      <c r="G406" s="12" t="str">
        <f>IF(TOTALCO!G933="", "",TOTALCO!G933)</f>
        <v/>
      </c>
      <c r="H406" s="12">
        <f ca="1">IF(TOTALCO!H933="", "",TOTALCO!H933)</f>
        <v>454.23195401854167</v>
      </c>
      <c r="I406" s="12">
        <f ca="1">IF(TOTALCO!I933="", "",TOTALCO!I933)</f>
        <v>0</v>
      </c>
      <c r="J406" s="12" t="str">
        <f>IF(TOTALCO!J933="", "",TOTALCO!J933)</f>
        <v/>
      </c>
      <c r="K406" s="12" t="str">
        <f>IF(TOTALCO!K933="", "",TOTALCO!K933)</f>
        <v/>
      </c>
      <c r="L406" s="12">
        <f ca="1">IF(TOTALCO!L933="", "",TOTALCO!L933)</f>
        <v>0</v>
      </c>
      <c r="M406" s="12" t="str">
        <f>IF(TOTALCO!M933="", "",TOTALCO!M933)</f>
        <v/>
      </c>
      <c r="N406" s="12">
        <f ca="1">IF(TOTALCO!N933="", "",TOTALCO!N933)</f>
        <v>0</v>
      </c>
      <c r="O406" s="12">
        <f ca="1">IF(TOTALCO!O933="", "",TOTALCO!O933)</f>
        <v>0</v>
      </c>
      <c r="P406" s="12">
        <f ca="1">IF(TOTALCO!P933="", "",TOTALCO!P933)</f>
        <v>0</v>
      </c>
      <c r="Q406" s="12"/>
      <c r="R406" s="13"/>
    </row>
    <row r="407" spans="1:18" ht="15" x14ac:dyDescent="0.2">
      <c r="A407" s="321">
        <f>IF(TOTALCO!A934="", "",TOTALCO!A934)</f>
        <v>17</v>
      </c>
      <c r="B407" s="4" t="str">
        <f>IF(TOTALCO!B934="", "",TOTALCO!B934)</f>
        <v xml:space="preserve">  454-RENT FROM ELEC PROPERTY</v>
      </c>
      <c r="C407" s="4" t="str">
        <f>IF(TOTALCO!C934="", "",TOTALCO!C934)</f>
        <v>DIR454REV</v>
      </c>
      <c r="D407" s="12">
        <f ca="1">IF(TOTALCO!D934="", "",TOTALCO!D934)</f>
        <v>3695780.1399999964</v>
      </c>
      <c r="E407" s="12" t="str">
        <f>IF(TOTALCO!E934="", "",TOTALCO!E934)</f>
        <v/>
      </c>
      <c r="F407" s="12">
        <f ca="1">IF(TOTALCO!F934="", "",TOTALCO!F934)</f>
        <v>3139768.4099999964</v>
      </c>
      <c r="G407" s="12" t="str">
        <f>IF(TOTALCO!G934="", "",TOTALCO!G934)</f>
        <v/>
      </c>
      <c r="H407" s="12">
        <f ca="1">IF(TOTALCO!H934="", "",TOTALCO!H934)</f>
        <v>387734.87</v>
      </c>
      <c r="I407" s="12">
        <f ca="1">IF(TOTALCO!I934="", "",TOTALCO!I934)</f>
        <v>168276.86000000002</v>
      </c>
      <c r="J407" s="12" t="str">
        <f>IF(TOTALCO!J934="", "",TOTALCO!J934)</f>
        <v/>
      </c>
      <c r="K407" s="12" t="str">
        <f>IF(TOTALCO!K934="", "",TOTALCO!K934)</f>
        <v/>
      </c>
      <c r="L407" s="12">
        <f ca="1">IF(TOTALCO!L934="", "",TOTALCO!L934)</f>
        <v>57.5</v>
      </c>
      <c r="M407" s="12" t="str">
        <f>IF(TOTALCO!M934="", "",TOTALCO!M934)</f>
        <v/>
      </c>
      <c r="N407" s="12">
        <f ca="1">IF(TOTALCO!N934="", "",TOTALCO!N934)</f>
        <v>168219.36000000002</v>
      </c>
      <c r="O407" s="12">
        <f ca="1">IF(TOTALCO!O934="", "",TOTALCO!O934)</f>
        <v>168219.36000000002</v>
      </c>
      <c r="P407" s="12">
        <f ca="1">IF(TOTALCO!P934="", "",TOTALCO!P934)</f>
        <v>0</v>
      </c>
      <c r="Q407" s="12"/>
      <c r="R407" s="13"/>
    </row>
    <row r="408" spans="1:18" ht="15" x14ac:dyDescent="0.2">
      <c r="A408" s="321">
        <f>IF(TOTALCO!A935="", "",TOTALCO!A935)</f>
        <v>18</v>
      </c>
      <c r="B408" s="4" t="str">
        <f>IF(TOTALCO!B935="", "",TOTALCO!B935)</f>
        <v xml:space="preserve">  454-EV CHARGING STATION RENTAL</v>
      </c>
      <c r="C408" s="4" t="str">
        <f>IF(TOTALCO!C935="", "",TOTALCO!C935)</f>
        <v>REVKY</v>
      </c>
      <c r="D408" s="12">
        <f ca="1">IF(TOTALCO!D935="", "",TOTALCO!D935)</f>
        <v>5720.6799999999994</v>
      </c>
      <c r="E408" s="12" t="str">
        <f>IF(TOTALCO!E935="", "",TOTALCO!E935)</f>
        <v/>
      </c>
      <c r="F408" s="12">
        <f ca="1">IF(TOTALCO!F935="", "",TOTALCO!F935)</f>
        <v>5720.6799999999994</v>
      </c>
      <c r="G408" s="12" t="str">
        <f>IF(TOTALCO!G935="", "",TOTALCO!G935)</f>
        <v/>
      </c>
      <c r="H408" s="12">
        <f ca="1">IF(TOTALCO!H935="", "",TOTALCO!H935)</f>
        <v>0</v>
      </c>
      <c r="I408" s="12">
        <f ca="1">IF(TOTALCO!I935="", "",TOTALCO!I935)</f>
        <v>0</v>
      </c>
      <c r="J408" s="12" t="str">
        <f>IF(TOTALCO!J935="", "",TOTALCO!J935)</f>
        <v/>
      </c>
      <c r="K408" s="12" t="str">
        <f>IF(TOTALCO!K935="", "",TOTALCO!K935)</f>
        <v/>
      </c>
      <c r="L408" s="12">
        <f ca="1">IF(TOTALCO!L935="", "",TOTALCO!L935)</f>
        <v>0</v>
      </c>
      <c r="M408" s="12" t="str">
        <f>IF(TOTALCO!M935="", "",TOTALCO!M935)</f>
        <v/>
      </c>
      <c r="N408" s="12">
        <f ca="1">IF(TOTALCO!N935="", "",TOTALCO!N935)</f>
        <v>0</v>
      </c>
      <c r="O408" s="12">
        <f ca="1">IF(TOTALCO!O935="", "",TOTALCO!O935)</f>
        <v>0</v>
      </c>
      <c r="P408" s="12">
        <f ca="1">IF(TOTALCO!P935="", "",TOTALCO!P935)</f>
        <v>0</v>
      </c>
      <c r="Q408" s="12"/>
      <c r="R408" s="13"/>
    </row>
    <row r="409" spans="1:18" ht="15" x14ac:dyDescent="0.2">
      <c r="A409" s="321">
        <f>IF(TOTALCO!A936="", "",TOTALCO!A936)</f>
        <v>19</v>
      </c>
      <c r="B409" s="4" t="str">
        <f>IF(TOTALCO!B936="", "",TOTALCO!B936)</f>
        <v xml:space="preserve">  454-REFINED COAL LICENSE FEE</v>
      </c>
      <c r="C409" s="4" t="str">
        <f>IF(TOTALCO!C936="", "",TOTALCO!C936)</f>
        <v>DIRECT</v>
      </c>
      <c r="D409" s="12">
        <f>IF(TOTALCO!D936="", "",TOTALCO!D936)</f>
        <v>7379090.0399999991</v>
      </c>
      <c r="E409" s="12" t="str">
        <f>IF(TOTALCO!E936="", "",TOTALCO!E936)</f>
        <v/>
      </c>
      <c r="F409" s="12">
        <f>IF(TOTALCO!F936="", "",TOTALCO!F936)</f>
        <v>6877843.4400000004</v>
      </c>
      <c r="G409" s="12" t="str">
        <f>IF(TOTALCO!G936="", "",TOTALCO!G936)</f>
        <v/>
      </c>
      <c r="H409" s="12">
        <f>IF(TOTALCO!H936="", "",TOTALCO!H936)</f>
        <v>360291.24</v>
      </c>
      <c r="I409" s="12">
        <f>IF(TOTALCO!I936="", "",TOTALCO!I936)</f>
        <v>140955.35999999882</v>
      </c>
      <c r="J409" s="12" t="str">
        <f>IF(TOTALCO!J936="", "",TOTALCO!J936)</f>
        <v/>
      </c>
      <c r="K409" s="12" t="str">
        <f>IF(TOTALCO!K936="", "",TOTALCO!K936)</f>
        <v/>
      </c>
      <c r="L409" s="12">
        <f>IF(TOTALCO!L936="", "",TOTALCO!L936)</f>
        <v>0</v>
      </c>
      <c r="M409" s="12" t="str">
        <f>IF(TOTALCO!M936="", "",TOTALCO!M936)</f>
        <v/>
      </c>
      <c r="N409" s="12">
        <f>IF(TOTALCO!N936="", "",TOTALCO!N936)</f>
        <v>140955.35999999882</v>
      </c>
      <c r="O409" s="12">
        <f>IF(TOTALCO!O936="", "",TOTALCO!O936)</f>
        <v>71368.847186842278</v>
      </c>
      <c r="P409" s="12">
        <f>IF(TOTALCO!P936="", "",TOTALCO!P936)</f>
        <v>69586.512813156529</v>
      </c>
      <c r="Q409" s="12"/>
      <c r="R409" s="13"/>
    </row>
    <row r="410" spans="1:18" ht="15" x14ac:dyDescent="0.2">
      <c r="A410" s="321">
        <f>IF(TOTALCO!A937="", "",TOTALCO!A937)</f>
        <v>20</v>
      </c>
      <c r="B410" s="4" t="str">
        <f>IF(TOTALCO!B937="", "",TOTALCO!B937)</f>
        <v xml:space="preserve">  456-TRANSMISSION SERVICE</v>
      </c>
      <c r="C410" s="4" t="str">
        <f>IF(TOTALCO!C937="", "",TOTALCO!C937)</f>
        <v>DEMTRANNF</v>
      </c>
      <c r="D410" s="12">
        <f ca="1">IF(TOTALCO!D937="", "",TOTALCO!D937)</f>
        <v>21969461.876645327</v>
      </c>
      <c r="E410" s="12" t="str">
        <f>IF(TOTALCO!E937="", "",TOTALCO!E937)</f>
        <v/>
      </c>
      <c r="F410" s="12">
        <f ca="1">IF(TOTALCO!F937="", "",TOTALCO!F937)</f>
        <v>21007438.006358631</v>
      </c>
      <c r="G410" s="12" t="str">
        <f>IF(TOTALCO!G937="", "",TOTALCO!G937)</f>
        <v/>
      </c>
      <c r="H410" s="12">
        <f ca="1">IF(TOTALCO!H937="", "",TOTALCO!H937)</f>
        <v>961956.43933719886</v>
      </c>
      <c r="I410" s="12">
        <f ca="1">IF(TOTALCO!I937="", "",TOTALCO!I937)</f>
        <v>67.430949497203031</v>
      </c>
      <c r="J410" s="12" t="str">
        <f>IF(TOTALCO!J937="", "",TOTALCO!J937)</f>
        <v/>
      </c>
      <c r="K410" s="12" t="str">
        <f>IF(TOTALCO!K937="", "",TOTALCO!K937)</f>
        <v/>
      </c>
      <c r="L410" s="12">
        <f ca="1">IF(TOTALCO!L937="", "",TOTALCO!L937)</f>
        <v>67.430949497203031</v>
      </c>
      <c r="M410" s="12" t="str">
        <f>IF(TOTALCO!M937="", "",TOTALCO!M937)</f>
        <v/>
      </c>
      <c r="N410" s="12">
        <f ca="1">IF(TOTALCO!N937="", "",TOTALCO!N937)</f>
        <v>0</v>
      </c>
      <c r="O410" s="12">
        <f>IF(TOTALCO!O937="", "",TOTALCO!O937)</f>
        <v>0</v>
      </c>
      <c r="P410" s="12">
        <f>IF(TOTALCO!P937="", "",TOTALCO!P937)</f>
        <v>0</v>
      </c>
      <c r="Q410" s="12"/>
      <c r="R410" s="13"/>
    </row>
    <row r="411" spans="1:18" ht="15" x14ac:dyDescent="0.2">
      <c r="A411" s="321">
        <f>IF(TOTALCO!A938="", "",TOTALCO!A938)</f>
        <v>21</v>
      </c>
      <c r="B411" s="4" t="str">
        <f>IF(TOTALCO!B938="", "",TOTALCO!B938)</f>
        <v xml:space="preserve">  456-ANCILLARY SERVICES</v>
      </c>
      <c r="C411" s="4" t="str">
        <f>IF(TOTALCO!C938="", "",TOTALCO!C938)</f>
        <v>DEMTRAN</v>
      </c>
      <c r="D411" s="12">
        <f ca="1">IF(TOTALCO!D938="", "",TOTALCO!D938)</f>
        <v>1500447.0144977879</v>
      </c>
      <c r="E411" s="12" t="str">
        <f>IF(TOTALCO!E938="", "",TOTALCO!E938)</f>
        <v/>
      </c>
      <c r="F411" s="12">
        <f ca="1">IF(TOTALCO!F938="", "",TOTALCO!F938)</f>
        <v>1406543.0847488027</v>
      </c>
      <c r="G411" s="12" t="str">
        <f>IF(TOTALCO!G938="", "",TOTALCO!G938)</f>
        <v/>
      </c>
      <c r="H411" s="12">
        <f ca="1">IF(TOTALCO!H938="", "",TOTALCO!H938)</f>
        <v>64407.338827789259</v>
      </c>
      <c r="I411" s="12">
        <f ca="1">IF(TOTALCO!I938="", "",TOTALCO!I938)</f>
        <v>29496.590921195835</v>
      </c>
      <c r="J411" s="12" t="str">
        <f>IF(TOTALCO!J938="", "",TOTALCO!J938)</f>
        <v/>
      </c>
      <c r="K411" s="12" t="str">
        <f>IF(TOTALCO!K938="", "",TOTALCO!K938)</f>
        <v/>
      </c>
      <c r="L411" s="12">
        <f ca="1">IF(TOTALCO!L938="", "",TOTALCO!L938)</f>
        <v>4.5148073594042586</v>
      </c>
      <c r="M411" s="12" t="str">
        <f>IF(TOTALCO!M938="", "",TOTALCO!M938)</f>
        <v/>
      </c>
      <c r="N411" s="12">
        <f ca="1">IF(TOTALCO!N938="", "",TOTALCO!N938)</f>
        <v>29492.076113836432</v>
      </c>
      <c r="O411" s="12">
        <f ca="1">IF(TOTALCO!O938="", "",TOTALCO!O938)</f>
        <v>14957.556781706307</v>
      </c>
      <c r="P411" s="12">
        <f ca="1">IF(TOTALCO!P938="", "",TOTALCO!P938)</f>
        <v>14534.519332130127</v>
      </c>
      <c r="Q411" s="12"/>
      <c r="R411" s="13"/>
    </row>
    <row r="412" spans="1:18" ht="15" x14ac:dyDescent="0.2">
      <c r="A412" s="321">
        <f>IF(TOTALCO!A939="", "",TOTALCO!A939)</f>
        <v>22</v>
      </c>
      <c r="B412" s="4" t="str">
        <f>IF(TOTALCO!B939="", "",TOTALCO!B939)</f>
        <v xml:space="preserve">  456-TAX REMITTANCE COMPENSATION</v>
      </c>
      <c r="C412" s="4" t="str">
        <f>IF(TOTALCO!C939="", "",TOTALCO!C939)</f>
        <v>REVKY</v>
      </c>
      <c r="D412" s="12">
        <f ca="1">IF(TOTALCO!D939="", "",TOTALCO!D939)</f>
        <v>600</v>
      </c>
      <c r="E412" s="12" t="str">
        <f>IF(TOTALCO!E939="", "",TOTALCO!E939)</f>
        <v/>
      </c>
      <c r="F412" s="12">
        <f ca="1">IF(TOTALCO!F939="", "",TOTALCO!F939)</f>
        <v>600</v>
      </c>
      <c r="G412" s="12" t="str">
        <f>IF(TOTALCO!G939="", "",TOTALCO!G939)</f>
        <v/>
      </c>
      <c r="H412" s="12">
        <f ca="1">IF(TOTALCO!H939="", "",TOTALCO!H939)</f>
        <v>0</v>
      </c>
      <c r="I412" s="12">
        <f ca="1">IF(TOTALCO!I939="", "",TOTALCO!I939)</f>
        <v>0</v>
      </c>
      <c r="J412" s="12" t="str">
        <f>IF(TOTALCO!J939="", "",TOTALCO!J939)</f>
        <v/>
      </c>
      <c r="K412" s="12" t="str">
        <f>IF(TOTALCO!K939="", "",TOTALCO!K939)</f>
        <v/>
      </c>
      <c r="L412" s="12">
        <f ca="1">IF(TOTALCO!L939="", "",TOTALCO!L939)</f>
        <v>0</v>
      </c>
      <c r="M412" s="12" t="str">
        <f>IF(TOTALCO!M939="", "",TOTALCO!M939)</f>
        <v/>
      </c>
      <c r="N412" s="12">
        <f ca="1">IF(TOTALCO!N939="", "",TOTALCO!N939)</f>
        <v>0</v>
      </c>
      <c r="O412" s="12">
        <f ca="1">IF(TOTALCO!O939="", "",TOTALCO!O939)</f>
        <v>0</v>
      </c>
      <c r="P412" s="12">
        <f ca="1">IF(TOTALCO!P939="", "",TOTALCO!P939)</f>
        <v>0</v>
      </c>
      <c r="Q412" s="12"/>
      <c r="R412" s="13"/>
    </row>
    <row r="413" spans="1:18" ht="15" x14ac:dyDescent="0.2">
      <c r="A413" s="321">
        <f>IF(TOTALCO!A940="", "",TOTALCO!A940)</f>
        <v>23</v>
      </c>
      <c r="B413" s="4" t="str">
        <f>IF(TOTALCO!B940="", "",TOTALCO!B940)</f>
        <v xml:space="preserve">  456-RETURN CHECK CHARGES</v>
      </c>
      <c r="C413" s="4" t="str">
        <f>IF(TOTALCO!C940="", "",TOTALCO!C940)</f>
        <v>DIR456CHK</v>
      </c>
      <c r="D413" s="12">
        <f ca="1">IF(TOTALCO!D940="", "",TOTALCO!D940)</f>
        <v>162426.66666666718</v>
      </c>
      <c r="E413" s="12" t="str">
        <f>IF(TOTALCO!E940="", "",TOTALCO!E940)</f>
        <v/>
      </c>
      <c r="F413" s="12">
        <f ca="1">IF(TOTALCO!F940="", "",TOTALCO!F940)</f>
        <v>162426.66666666718</v>
      </c>
      <c r="G413" s="12" t="str">
        <f>IF(TOTALCO!G940="", "",TOTALCO!G940)</f>
        <v/>
      </c>
      <c r="H413" s="12">
        <f ca="1">IF(TOTALCO!H940="", "",TOTALCO!H940)</f>
        <v>0</v>
      </c>
      <c r="I413" s="12">
        <f ca="1">IF(TOTALCO!I940="", "",TOTALCO!I940)</f>
        <v>0</v>
      </c>
      <c r="J413" s="12" t="str">
        <f>IF(TOTALCO!J940="", "",TOTALCO!J940)</f>
        <v/>
      </c>
      <c r="K413" s="12" t="str">
        <f>IF(TOTALCO!K940="", "",TOTALCO!K940)</f>
        <v/>
      </c>
      <c r="L413" s="12">
        <f ca="1">IF(TOTALCO!L940="", "",TOTALCO!L940)</f>
        <v>0</v>
      </c>
      <c r="M413" s="12" t="str">
        <f>IF(TOTALCO!M940="", "",TOTALCO!M940)</f>
        <v/>
      </c>
      <c r="N413" s="12">
        <f ca="1">IF(TOTALCO!N940="", "",TOTALCO!N940)</f>
        <v>0</v>
      </c>
      <c r="O413" s="12">
        <f ca="1">IF(TOTALCO!O940="", "",TOTALCO!O940)</f>
        <v>0</v>
      </c>
      <c r="P413" s="12">
        <f ca="1">IF(TOTALCO!P940="", "",TOTALCO!P940)</f>
        <v>0</v>
      </c>
      <c r="Q413" s="12"/>
      <c r="R413" s="13"/>
    </row>
    <row r="414" spans="1:18" ht="15" x14ac:dyDescent="0.2">
      <c r="A414" s="321">
        <f>IF(TOTALCO!A941="", "",TOTALCO!A941)</f>
        <v>24</v>
      </c>
      <c r="B414" s="4" t="str">
        <f>IF(TOTALCO!B941="", "",TOTALCO!B941)</f>
        <v xml:space="preserve">  456-OTHER MISC REVENUES</v>
      </c>
      <c r="C414" s="4" t="str">
        <f>IF(TOTALCO!C941="", "",TOTALCO!C941)</f>
        <v>DIR456OTH</v>
      </c>
      <c r="D414" s="12">
        <f ca="1">IF(TOTALCO!D941="", "",TOTALCO!D941)</f>
        <v>72900.206666669401</v>
      </c>
      <c r="E414" s="12" t="str">
        <f>IF(TOTALCO!E941="", "",TOTALCO!E941)</f>
        <v/>
      </c>
      <c r="F414" s="12">
        <f ca="1">IF(TOTALCO!F941="", "",TOTALCO!F941)</f>
        <v>72900.206666669401</v>
      </c>
      <c r="G414" s="12" t="str">
        <f>IF(TOTALCO!G941="", "",TOTALCO!G941)</f>
        <v/>
      </c>
      <c r="H414" s="12">
        <f ca="1">IF(TOTALCO!H941="", "",TOTALCO!H941)</f>
        <v>0</v>
      </c>
      <c r="I414" s="12">
        <f ca="1">IF(TOTALCO!I941="", "",TOTALCO!I941)</f>
        <v>0</v>
      </c>
      <c r="J414" s="12" t="str">
        <f>IF(TOTALCO!J941="", "",TOTALCO!J941)</f>
        <v/>
      </c>
      <c r="K414" s="12" t="str">
        <f>IF(TOTALCO!K941="", "",TOTALCO!K941)</f>
        <v/>
      </c>
      <c r="L414" s="12">
        <f ca="1">IF(TOTALCO!L941="", "",TOTALCO!L941)</f>
        <v>0</v>
      </c>
      <c r="M414" s="12" t="str">
        <f>IF(TOTALCO!M941="", "",TOTALCO!M941)</f>
        <v/>
      </c>
      <c r="N414" s="12">
        <f ca="1">IF(TOTALCO!N941="", "",TOTALCO!N941)</f>
        <v>0</v>
      </c>
      <c r="O414" s="12">
        <f ca="1">IF(TOTALCO!O941="", "",TOTALCO!O941)</f>
        <v>0</v>
      </c>
      <c r="P414" s="12">
        <f ca="1">IF(TOTALCO!P941="", "",TOTALCO!P941)</f>
        <v>0</v>
      </c>
      <c r="Q414" s="12"/>
      <c r="R414" s="13"/>
    </row>
    <row r="415" spans="1:18" ht="15" x14ac:dyDescent="0.2">
      <c r="A415" s="321">
        <f>IF(TOTALCO!A942="", "",TOTALCO!A942)</f>
        <v>25</v>
      </c>
      <c r="B415" s="4" t="str">
        <f>IF(TOTALCO!B942="", "",TOTALCO!B942)</f>
        <v xml:space="preserve">  456-EXCESS FACILITIES CHARGES</v>
      </c>
      <c r="C415" s="4" t="str">
        <f>IF(TOTALCO!C942="", "",TOTALCO!C942)</f>
        <v>DIR456FAC</v>
      </c>
      <c r="D415" s="12">
        <f ca="1">IF(TOTALCO!D942="", "",TOTALCO!D942)</f>
        <v>32021.28999999995</v>
      </c>
      <c r="E415" s="12" t="str">
        <f>IF(TOTALCO!E942="", "",TOTALCO!E942)</f>
        <v/>
      </c>
      <c r="F415" s="12">
        <f ca="1">IF(TOTALCO!F942="", "",TOTALCO!F942)</f>
        <v>30678.048313890475</v>
      </c>
      <c r="G415" s="12" t="str">
        <f>IF(TOTALCO!G942="", "",TOTALCO!G942)</f>
        <v/>
      </c>
      <c r="H415" s="12">
        <f ca="1">IF(TOTALCO!H942="", "",TOTALCO!H942)</f>
        <v>1343.2416861094771</v>
      </c>
      <c r="I415" s="12">
        <f ca="1">IF(TOTALCO!I942="", "",TOTALCO!I942)</f>
        <v>0</v>
      </c>
      <c r="J415" s="12" t="str">
        <f>IF(TOTALCO!J942="", "",TOTALCO!J942)</f>
        <v/>
      </c>
      <c r="K415" s="12" t="str">
        <f>IF(TOTALCO!K942="", "",TOTALCO!K942)</f>
        <v/>
      </c>
      <c r="L415" s="12">
        <f ca="1">IF(TOTALCO!L942="", "",TOTALCO!L942)</f>
        <v>0</v>
      </c>
      <c r="M415" s="12" t="str">
        <f>IF(TOTALCO!M942="", "",TOTALCO!M942)</f>
        <v/>
      </c>
      <c r="N415" s="12">
        <f ca="1">IF(TOTALCO!N942="", "",TOTALCO!N942)</f>
        <v>0</v>
      </c>
      <c r="O415" s="12">
        <f ca="1">IF(TOTALCO!O942="", "",TOTALCO!O942)</f>
        <v>0</v>
      </c>
      <c r="P415" s="12">
        <f ca="1">IF(TOTALCO!P942="", "",TOTALCO!P942)</f>
        <v>0</v>
      </c>
      <c r="Q415" s="12"/>
      <c r="R415" s="13"/>
    </row>
    <row r="416" spans="1:18" ht="15" x14ac:dyDescent="0.2">
      <c r="A416" s="321">
        <f>IF(TOTALCO!A943="", "",TOTALCO!A943)</f>
        <v>26</v>
      </c>
      <c r="B416" s="4" t="str">
        <f>IF(TOTALCO!B943="", "",TOTALCO!B943)</f>
        <v xml:space="preserve">  456-REFINED COAL EXCLUSIVITY FEE</v>
      </c>
      <c r="C416" s="4" t="str">
        <f>IF(TOTALCO!C943="", "",TOTALCO!C943)</f>
        <v>DIRECT</v>
      </c>
      <c r="D416" s="12">
        <f>IF(TOTALCO!D943="", "",TOTALCO!D943)</f>
        <v>182160.93665792039</v>
      </c>
      <c r="E416" s="12" t="str">
        <f>IF(TOTALCO!E943="", "",TOTALCO!E943)</f>
        <v/>
      </c>
      <c r="F416" s="12">
        <f>IF(TOTALCO!F943="", "",TOTALCO!F943)</f>
        <v>173339.37665792039</v>
      </c>
      <c r="G416" s="12" t="str">
        <f>IF(TOTALCO!G943="", "",TOTALCO!G943)</f>
        <v/>
      </c>
      <c r="H416" s="12">
        <f>IF(TOTALCO!H943="", "",TOTALCO!H943)</f>
        <v>8821.56</v>
      </c>
      <c r="I416" s="12">
        <f>IF(TOTALCO!I943="", "",TOTALCO!I943)</f>
        <v>0</v>
      </c>
      <c r="J416" s="12" t="str">
        <f>IF(TOTALCO!J943="", "",TOTALCO!J943)</f>
        <v/>
      </c>
      <c r="K416" s="12" t="str">
        <f>IF(TOTALCO!K943="", "",TOTALCO!K943)</f>
        <v/>
      </c>
      <c r="L416" s="12">
        <f>IF(TOTALCO!L943="", "",TOTALCO!L943)</f>
        <v>0</v>
      </c>
      <c r="M416" s="12" t="str">
        <f>IF(TOTALCO!M943="", "",TOTALCO!M943)</f>
        <v/>
      </c>
      <c r="N416" s="12">
        <f>IF(TOTALCO!N943="", "",TOTALCO!N943)</f>
        <v>0</v>
      </c>
      <c r="O416" s="12">
        <f>IF(TOTALCO!O943="", "",TOTALCO!O943)</f>
        <v>0</v>
      </c>
      <c r="P416" s="12">
        <f>IF(TOTALCO!P943="", "",TOTALCO!P943)</f>
        <v>0</v>
      </c>
      <c r="Q416" s="12"/>
      <c r="R416" s="13"/>
    </row>
    <row r="417" spans="1:18" ht="15" x14ac:dyDescent="0.2">
      <c r="A417" s="321">
        <f>IF(TOTALCO!A944="", "",TOTALCO!A944)</f>
        <v>27</v>
      </c>
      <c r="B417" s="4" t="str">
        <f>IF(TOTALCO!B944="", "",TOTALCO!B944)</f>
        <v>TOTAL OTHER REVENUES</v>
      </c>
      <c r="C417" s="4" t="str">
        <f>IF(TOTALCO!C944="", "",TOTALCO!C944)</f>
        <v/>
      </c>
      <c r="D417" s="12">
        <f ca="1">IF(TOTALCO!D944="", "",TOTALCO!D944)</f>
        <v>41276285.377801038</v>
      </c>
      <c r="E417" s="12" t="str">
        <f>IF(TOTALCO!E944="", "",TOTALCO!E944)</f>
        <v/>
      </c>
      <c r="F417" s="12">
        <f ca="1">IF(TOTALCO!F944="", "",TOTALCO!F944)</f>
        <v>38850408.842190631</v>
      </c>
      <c r="G417" s="12" t="str">
        <f>IF(TOTALCO!G944="", "",TOTALCO!G944)</f>
        <v/>
      </c>
      <c r="H417" s="12">
        <f ca="1">IF(TOTALCO!H944="", "",TOTALCO!H944)</f>
        <v>2086987.8696688744</v>
      </c>
      <c r="I417" s="12">
        <f ca="1">IF(TOTALCO!I944="", "",TOTALCO!I944)</f>
        <v>338888.66594153404</v>
      </c>
      <c r="J417" s="12" t="str">
        <f>IF(TOTALCO!J944="", "",TOTALCO!J944)</f>
        <v/>
      </c>
      <c r="K417" s="12" t="str">
        <f>IF(TOTALCO!K944="", "",TOTALCO!K944)</f>
        <v/>
      </c>
      <c r="L417" s="12">
        <f ca="1">IF(TOTALCO!L944="", "",TOTALCO!L944)</f>
        <v>129.44575685660729</v>
      </c>
      <c r="M417" s="12" t="str">
        <f>IF(TOTALCO!M944="", "",TOTALCO!M944)</f>
        <v/>
      </c>
      <c r="N417" s="12">
        <f ca="1">IF(TOTALCO!N944="", "",TOTALCO!N944)</f>
        <v>338759.22018467746</v>
      </c>
      <c r="O417" s="12">
        <f ca="1">IF(TOTALCO!O944="", "",TOTALCO!O944)</f>
        <v>254551.52775194545</v>
      </c>
      <c r="P417" s="12">
        <f ca="1">IF(TOTALCO!P944="", "",TOTALCO!P944)</f>
        <v>84207.692432732001</v>
      </c>
      <c r="Q417" s="12"/>
      <c r="R417" s="13"/>
    </row>
    <row r="418" spans="1:18" ht="15" x14ac:dyDescent="0.2">
      <c r="A418" s="321" t="str">
        <f>IF(TOTALCO!A945="", "",TOTALCO!A945)</f>
        <v/>
      </c>
      <c r="B418" s="4" t="str">
        <f>IF(TOTALCO!B945="", "",TOTALCO!B945)</f>
        <v/>
      </c>
      <c r="C418" s="4" t="str">
        <f>IF(TOTALCO!C945="", "",TOTALCO!C945)</f>
        <v/>
      </c>
      <c r="D418" s="12" t="str">
        <f>IF(TOTALCO!D945="", "",TOTALCO!D945)</f>
        <v/>
      </c>
      <c r="E418" s="12" t="str">
        <f>IF(TOTALCO!E945="", "",TOTALCO!E945)</f>
        <v/>
      </c>
      <c r="F418" s="12" t="str">
        <f>IF(TOTALCO!F945="", "",TOTALCO!F945)</f>
        <v/>
      </c>
      <c r="G418" s="12" t="str">
        <f>IF(TOTALCO!G945="", "",TOTALCO!G945)</f>
        <v/>
      </c>
      <c r="H418" s="12" t="str">
        <f>IF(TOTALCO!H945="", "",TOTALCO!H945)</f>
        <v/>
      </c>
      <c r="I418" s="12" t="str">
        <f>IF(TOTALCO!I945="", "",TOTALCO!I945)</f>
        <v/>
      </c>
      <c r="J418" s="12" t="str">
        <f>IF(TOTALCO!J945="", "",TOTALCO!J945)</f>
        <v/>
      </c>
      <c r="K418" s="12" t="str">
        <f>IF(TOTALCO!K945="", "",TOTALCO!K945)</f>
        <v/>
      </c>
      <c r="L418" s="12" t="str">
        <f>IF(TOTALCO!L945="", "",TOTALCO!L945)</f>
        <v/>
      </c>
      <c r="M418" s="12" t="str">
        <f>IF(TOTALCO!M945="", "",TOTALCO!M945)</f>
        <v/>
      </c>
      <c r="N418" s="12" t="str">
        <f>IF(TOTALCO!N945="", "",TOTALCO!N945)</f>
        <v/>
      </c>
      <c r="O418" s="12" t="str">
        <f>IF(TOTALCO!O945="", "",TOTALCO!O945)</f>
        <v/>
      </c>
      <c r="P418" s="12" t="str">
        <f>IF(TOTALCO!P945="", "",TOTALCO!P945)</f>
        <v/>
      </c>
      <c r="Q418" s="12"/>
      <c r="R418" s="13"/>
    </row>
    <row r="419" spans="1:18" ht="15" x14ac:dyDescent="0.2">
      <c r="A419" s="321">
        <f>IF(TOTALCO!A946="", "",TOTALCO!A946)</f>
        <v>28</v>
      </c>
      <c r="B419" s="4" t="str">
        <f>IF(TOTALCO!B946="", "",TOTALCO!B946)</f>
        <v>TOTAL OPERATING REVENUES</v>
      </c>
      <c r="C419" s="4" t="str">
        <f>IF(TOTALCO!C946="", "",TOTALCO!C946)</f>
        <v/>
      </c>
      <c r="D419" s="12">
        <f ca="1">IF(TOTALCO!D946="", "",TOTALCO!D946)</f>
        <v>1736120504.5603518</v>
      </c>
      <c r="E419" s="12" t="str">
        <f>IF(TOTALCO!E946="", "",TOTALCO!E946)</f>
        <v/>
      </c>
      <c r="F419" s="12">
        <f ca="1">IF(TOTALCO!F946="", "",TOTALCO!F946)</f>
        <v>1637069309.6055508</v>
      </c>
      <c r="G419" s="12" t="str">
        <f>IF(TOTALCO!G946="", "",TOTALCO!G946)</f>
        <v/>
      </c>
      <c r="H419" s="12">
        <f ca="1">IF(TOTALCO!H946="", "",TOTALCO!H946)</f>
        <v>73646268.174997061</v>
      </c>
      <c r="I419" s="12">
        <f ca="1">IF(TOTALCO!I946="", "",TOTALCO!I946)</f>
        <v>25404926.779804032</v>
      </c>
      <c r="J419" s="12" t="str">
        <f>IF(TOTALCO!J946="", "",TOTALCO!J946)</f>
        <v/>
      </c>
      <c r="K419" s="12" t="str">
        <f>IF(TOTALCO!K946="", "",TOTALCO!K946)</f>
        <v/>
      </c>
      <c r="L419" s="12">
        <f ca="1">IF(TOTALCO!L946="", "",TOTALCO!L946)</f>
        <v>172.13271890353676</v>
      </c>
      <c r="M419" s="12" t="str">
        <f>IF(TOTALCO!M946="", "",TOTALCO!M946)</f>
        <v/>
      </c>
      <c r="N419" s="12">
        <f ca="1">IF(TOTALCO!N946="", "",TOTALCO!N946)</f>
        <v>25404754.64708513</v>
      </c>
      <c r="O419" s="12">
        <f ca="1">IF(TOTALCO!O946="", "",TOTALCO!O946)</f>
        <v>12946042.706812311</v>
      </c>
      <c r="P419" s="12">
        <f ca="1">IF(TOTALCO!P946="", "",TOTALCO!P946)</f>
        <v>12458711.940272819</v>
      </c>
      <c r="Q419" s="12"/>
      <c r="R419" s="13"/>
    </row>
    <row r="420" spans="1:18" ht="15" x14ac:dyDescent="0.2">
      <c r="A420" s="321" t="str">
        <f>IF(TOTALCO!A947="", "",TOTALCO!A947)</f>
        <v/>
      </c>
      <c r="B420" s="4" t="str">
        <f>IF(TOTALCO!B947="", "",TOTALCO!B947)</f>
        <v/>
      </c>
      <c r="C420" s="4" t="str">
        <f>IF(TOTALCO!C947="", "",TOTALCO!C947)</f>
        <v/>
      </c>
      <c r="D420" s="12" t="str">
        <f>IF(TOTALCO!D947="", "",TOTALCO!D947)</f>
        <v/>
      </c>
      <c r="E420" s="12" t="str">
        <f>IF(TOTALCO!E947="", "",TOTALCO!E947)</f>
        <v/>
      </c>
      <c r="F420" s="12" t="str">
        <f>IF(TOTALCO!F947="", "",TOTALCO!F947)</f>
        <v/>
      </c>
      <c r="G420" s="12" t="str">
        <f>IF(TOTALCO!G947="", "",TOTALCO!G947)</f>
        <v/>
      </c>
      <c r="H420" s="12" t="str">
        <f>IF(TOTALCO!H947="", "",TOTALCO!H947)</f>
        <v/>
      </c>
      <c r="I420" s="12" t="str">
        <f>IF(TOTALCO!I947="", "",TOTALCO!I947)</f>
        <v/>
      </c>
      <c r="J420" s="12" t="str">
        <f>IF(TOTALCO!J947="", "",TOTALCO!J947)</f>
        <v/>
      </c>
      <c r="K420" s="12" t="str">
        <f>IF(TOTALCO!K947="", "",TOTALCO!K947)</f>
        <v/>
      </c>
      <c r="L420" s="12" t="str">
        <f>IF(TOTALCO!L947="", "",TOTALCO!L947)</f>
        <v/>
      </c>
      <c r="M420" s="12" t="str">
        <f>IF(TOTALCO!M947="", "",TOTALCO!M947)</f>
        <v/>
      </c>
      <c r="N420" s="12" t="str">
        <f>IF(TOTALCO!N947="", "",TOTALCO!N947)</f>
        <v/>
      </c>
      <c r="O420" s="12" t="str">
        <f>IF(TOTALCO!O947="", "",TOTALCO!O947)</f>
        <v/>
      </c>
      <c r="P420" s="12" t="str">
        <f>IF(TOTALCO!P947="", "",TOTALCO!P947)</f>
        <v/>
      </c>
      <c r="Q420" s="12"/>
      <c r="R420" s="13"/>
    </row>
    <row r="421" spans="1:18" ht="15" x14ac:dyDescent="0.2">
      <c r="A421" s="321" t="str">
        <f>IF(TOTALCO!A948="", "",TOTALCO!A948)</f>
        <v/>
      </c>
      <c r="B421" s="4" t="str">
        <f>IF(TOTALCO!B948="", "",TOTALCO!B948)</f>
        <v/>
      </c>
      <c r="C421" s="4" t="str">
        <f>IF(TOTALCO!C948="", "",TOTALCO!C948)</f>
        <v/>
      </c>
      <c r="D421" s="12" t="str">
        <f>IF(TOTALCO!D948="", "",TOTALCO!D948)</f>
        <v/>
      </c>
      <c r="E421" s="12" t="str">
        <f>IF(TOTALCO!E948="", "",TOTALCO!E948)</f>
        <v/>
      </c>
      <c r="F421" s="12" t="str">
        <f>IF(TOTALCO!F948="", "",TOTALCO!F948)</f>
        <v/>
      </c>
      <c r="G421" s="12" t="str">
        <f>IF(TOTALCO!G948="", "",TOTALCO!G948)</f>
        <v/>
      </c>
      <c r="H421" s="12" t="str">
        <f>IF(TOTALCO!H948="", "",TOTALCO!H948)</f>
        <v/>
      </c>
      <c r="I421" s="12" t="str">
        <f>IF(TOTALCO!I948="", "",TOTALCO!I948)</f>
        <v/>
      </c>
      <c r="J421" s="12" t="str">
        <f>IF(TOTALCO!J948="", "",TOTALCO!J948)</f>
        <v/>
      </c>
      <c r="K421" s="12" t="str">
        <f>IF(TOTALCO!K948="", "",TOTALCO!K948)</f>
        <v/>
      </c>
      <c r="L421" s="12" t="str">
        <f>IF(TOTALCO!L948="", "",TOTALCO!L948)</f>
        <v/>
      </c>
      <c r="M421" s="12" t="str">
        <f>IF(TOTALCO!M948="", "",TOTALCO!M948)</f>
        <v/>
      </c>
      <c r="N421" s="12" t="str">
        <f>IF(TOTALCO!N948="", "",TOTALCO!N948)</f>
        <v/>
      </c>
      <c r="O421" s="12" t="str">
        <f>IF(TOTALCO!O948="", "",TOTALCO!O948)</f>
        <v/>
      </c>
      <c r="P421" s="12" t="str">
        <f>IF(TOTALCO!P948="", "",TOTALCO!P948)</f>
        <v/>
      </c>
      <c r="Q421" s="12"/>
      <c r="R421" s="13"/>
    </row>
    <row r="422" spans="1:18" ht="15" x14ac:dyDescent="0.2">
      <c r="A422" s="321" t="str">
        <f>IF(TOTALCO!A949="", "",TOTALCO!A949)</f>
        <v/>
      </c>
      <c r="B422" s="4" t="str">
        <f>IF(TOTALCO!B949="", "",TOTALCO!B949)</f>
        <v>OPERATION &amp; MAINTENANCE EXP</v>
      </c>
      <c r="C422" s="4" t="str">
        <f>IF(TOTALCO!C949="", "",TOTALCO!C949)</f>
        <v/>
      </c>
      <c r="D422" s="12" t="str">
        <f>IF(TOTALCO!D949="", "",TOTALCO!D949)</f>
        <v/>
      </c>
      <c r="E422" s="12" t="str">
        <f>IF(TOTALCO!E949="", "",TOTALCO!E949)</f>
        <v/>
      </c>
      <c r="F422" s="12" t="str">
        <f>IF(TOTALCO!F949="", "",TOTALCO!F949)</f>
        <v/>
      </c>
      <c r="G422" s="12" t="str">
        <f>IF(TOTALCO!G949="", "",TOTALCO!G949)</f>
        <v/>
      </c>
      <c r="H422" s="12" t="str">
        <f>IF(TOTALCO!H949="", "",TOTALCO!H949)</f>
        <v/>
      </c>
      <c r="I422" s="12" t="str">
        <f>IF(TOTALCO!I949="", "",TOTALCO!I949)</f>
        <v/>
      </c>
      <c r="J422" s="12" t="str">
        <f>IF(TOTALCO!J949="", "",TOTALCO!J949)</f>
        <v/>
      </c>
      <c r="K422" s="12" t="str">
        <f>IF(TOTALCO!K949="", "",TOTALCO!K949)</f>
        <v/>
      </c>
      <c r="L422" s="12" t="str">
        <f>IF(TOTALCO!L949="", "",TOTALCO!L949)</f>
        <v/>
      </c>
      <c r="M422" s="12" t="str">
        <f>IF(TOTALCO!M949="", "",TOTALCO!M949)</f>
        <v/>
      </c>
      <c r="N422" s="12" t="str">
        <f>IF(TOTALCO!N949="", "",TOTALCO!N949)</f>
        <v/>
      </c>
      <c r="O422" s="12" t="str">
        <f>IF(TOTALCO!O949="", "",TOTALCO!O949)</f>
        <v/>
      </c>
      <c r="P422" s="12" t="str">
        <f>IF(TOTALCO!P949="", "",TOTALCO!P949)</f>
        <v/>
      </c>
      <c r="Q422" s="12"/>
      <c r="R422" s="13"/>
    </row>
    <row r="423" spans="1:18" ht="15" x14ac:dyDescent="0.2">
      <c r="A423" s="321" t="str">
        <f>IF(TOTALCO!A950="", "",TOTALCO!A950)</f>
        <v/>
      </c>
      <c r="B423" s="4" t="str">
        <f>IF(TOTALCO!B950="", "",TOTALCO!B950)</f>
        <v/>
      </c>
      <c r="C423" s="4" t="str">
        <f>IF(TOTALCO!C950="", "",TOTALCO!C950)</f>
        <v/>
      </c>
      <c r="D423" s="12" t="str">
        <f>IF(TOTALCO!D950="", "",TOTALCO!D950)</f>
        <v/>
      </c>
      <c r="E423" s="12" t="str">
        <f>IF(TOTALCO!E950="", "",TOTALCO!E950)</f>
        <v/>
      </c>
      <c r="F423" s="12" t="str">
        <f>IF(TOTALCO!F950="", "",TOTALCO!F950)</f>
        <v/>
      </c>
      <c r="G423" s="12" t="str">
        <f>IF(TOTALCO!G950="", "",TOTALCO!G950)</f>
        <v/>
      </c>
      <c r="H423" s="12" t="str">
        <f>IF(TOTALCO!H950="", "",TOTALCO!H950)</f>
        <v/>
      </c>
      <c r="I423" s="12" t="str">
        <f>IF(TOTALCO!I950="", "",TOTALCO!I950)</f>
        <v/>
      </c>
      <c r="J423" s="12" t="str">
        <f>IF(TOTALCO!J950="", "",TOTALCO!J950)</f>
        <v/>
      </c>
      <c r="K423" s="12" t="str">
        <f>IF(TOTALCO!K950="", "",TOTALCO!K950)</f>
        <v/>
      </c>
      <c r="L423" s="12" t="str">
        <f>IF(TOTALCO!L950="", "",TOTALCO!L950)</f>
        <v/>
      </c>
      <c r="M423" s="12" t="str">
        <f>IF(TOTALCO!M950="", "",TOTALCO!M950)</f>
        <v/>
      </c>
      <c r="N423" s="12" t="str">
        <f>IF(TOTALCO!N950="", "",TOTALCO!N950)</f>
        <v/>
      </c>
      <c r="O423" s="12" t="str">
        <f>IF(TOTALCO!O950="", "",TOTALCO!O950)</f>
        <v/>
      </c>
      <c r="P423" s="12" t="str">
        <f>IF(TOTALCO!P950="", "",TOTALCO!P950)</f>
        <v/>
      </c>
      <c r="Q423" s="12"/>
      <c r="R423" s="13"/>
    </row>
    <row r="424" spans="1:18" ht="15" x14ac:dyDescent="0.2">
      <c r="A424" s="321" t="str">
        <f>IF(TOTALCO!A951="", "",TOTALCO!A951)</f>
        <v/>
      </c>
      <c r="B424" s="4" t="str">
        <f>IF(TOTALCO!B951="", "",TOTALCO!B951)</f>
        <v>PRODUCTION EXPENSE-STEAM</v>
      </c>
      <c r="C424" s="4" t="str">
        <f>IF(TOTALCO!C951="", "",TOTALCO!C951)</f>
        <v/>
      </c>
      <c r="D424" s="12" t="str">
        <f>IF(TOTALCO!D951="", "",TOTALCO!D951)</f>
        <v/>
      </c>
      <c r="E424" s="12" t="str">
        <f>IF(TOTALCO!E951="", "",TOTALCO!E951)</f>
        <v/>
      </c>
      <c r="F424" s="12" t="str">
        <f>IF(TOTALCO!F951="", "",TOTALCO!F951)</f>
        <v/>
      </c>
      <c r="G424" s="12" t="str">
        <f>IF(TOTALCO!G951="", "",TOTALCO!G951)</f>
        <v/>
      </c>
      <c r="H424" s="12" t="str">
        <f>IF(TOTALCO!H951="", "",TOTALCO!H951)</f>
        <v/>
      </c>
      <c r="I424" s="12" t="str">
        <f>IF(TOTALCO!I951="", "",TOTALCO!I951)</f>
        <v/>
      </c>
      <c r="J424" s="12" t="str">
        <f>IF(TOTALCO!J951="", "",TOTALCO!J951)</f>
        <v/>
      </c>
      <c r="K424" s="12" t="str">
        <f>IF(TOTALCO!K951="", "",TOTALCO!K951)</f>
        <v/>
      </c>
      <c r="L424" s="12" t="str">
        <f>IF(TOTALCO!L951="", "",TOTALCO!L951)</f>
        <v/>
      </c>
      <c r="M424" s="12" t="str">
        <f>IF(TOTALCO!M951="", "",TOTALCO!M951)</f>
        <v/>
      </c>
      <c r="N424" s="12" t="str">
        <f>IF(TOTALCO!N951="", "",TOTALCO!N951)</f>
        <v/>
      </c>
      <c r="O424" s="12" t="str">
        <f>IF(TOTALCO!O951="", "",TOTALCO!O951)</f>
        <v/>
      </c>
      <c r="P424" s="12" t="str">
        <f>IF(TOTALCO!P951="", "",TOTALCO!P951)</f>
        <v/>
      </c>
      <c r="Q424" s="12"/>
      <c r="R424" s="13"/>
    </row>
    <row r="425" spans="1:18" ht="15" x14ac:dyDescent="0.2">
      <c r="A425" s="321">
        <f>IF(TOTALCO!A952="", "",TOTALCO!A952)</f>
        <v>1</v>
      </c>
      <c r="B425" s="4" t="str">
        <f>IF(TOTALCO!B952="", "",TOTALCO!B952)</f>
        <v xml:space="preserve">  500-SUPERV &amp; ENGINEERING</v>
      </c>
      <c r="C425" s="4" t="str">
        <f>IF(TOTALCO!C952="", "",TOTALCO!C952)</f>
        <v>STMPLT</v>
      </c>
      <c r="D425" s="12">
        <f ca="1">IF(TOTALCO!D952="", "",TOTALCO!D952)</f>
        <v>9342388</v>
      </c>
      <c r="E425" s="12" t="str">
        <f>IF(TOTALCO!E952="", "",TOTALCO!E952)</f>
        <v/>
      </c>
      <c r="F425" s="12">
        <f ca="1">IF(TOTALCO!F952="", "",TOTALCO!F952)</f>
        <v>8739190.3417711351</v>
      </c>
      <c r="G425" s="12" t="str">
        <f>IF(TOTALCO!G952="", "",TOTALCO!G952)</f>
        <v/>
      </c>
      <c r="H425" s="12">
        <f ca="1">IF(TOTALCO!H952="", "",TOTALCO!H952)</f>
        <v>407342.7714028997</v>
      </c>
      <c r="I425" s="12">
        <f ca="1">IF(TOTALCO!I952="", "",TOTALCO!I952)</f>
        <v>195854.88682596516</v>
      </c>
      <c r="J425" s="12" t="str">
        <f>IF(TOTALCO!J952="", "",TOTALCO!J952)</f>
        <v/>
      </c>
      <c r="K425" s="12" t="str">
        <f>IF(TOTALCO!K952="", "",TOTALCO!K952)</f>
        <v/>
      </c>
      <c r="L425" s="12">
        <f ca="1">IF(TOTALCO!L952="", "",TOTALCO!L952)</f>
        <v>27.897991285818815</v>
      </c>
      <c r="M425" s="12" t="str">
        <f>IF(TOTALCO!M952="", "",TOTALCO!M952)</f>
        <v/>
      </c>
      <c r="N425" s="12">
        <f ca="1">IF(TOTALCO!N952="", "",TOTALCO!N952)</f>
        <v>195826.98883467936</v>
      </c>
      <c r="O425" s="12">
        <f ca="1">IF(TOTALCO!O952="", "",TOTALCO!O952)</f>
        <v>99317.975905774802</v>
      </c>
      <c r="P425" s="12">
        <f ca="1">IF(TOTALCO!P952="", "",TOTALCO!P952)</f>
        <v>96509.012928904544</v>
      </c>
      <c r="Q425" s="12"/>
      <c r="R425" s="13"/>
    </row>
    <row r="426" spans="1:18" ht="15" x14ac:dyDescent="0.2">
      <c r="A426" s="321">
        <f>IF(TOTALCO!A953="", "",TOTALCO!A953)</f>
        <v>2</v>
      </c>
      <c r="B426" s="4" t="str">
        <f>IF(TOTALCO!B953="", "",TOTALCO!B953)</f>
        <v xml:space="preserve">  501-FUEL</v>
      </c>
      <c r="C426" s="4" t="str">
        <f>IF(TOTALCO!C953="", "",TOTALCO!C953)</f>
        <v>ENERGY</v>
      </c>
      <c r="D426" s="12">
        <f ca="1">IF(TOTALCO!D953="", "",TOTALCO!D953)</f>
        <v>302423708.23587358</v>
      </c>
      <c r="E426" s="12" t="str">
        <f>IF(TOTALCO!E953="", "",TOTALCO!E953)</f>
        <v/>
      </c>
      <c r="F426" s="12">
        <f ca="1">IF(TOTALCO!F953="", "",TOTALCO!F953)</f>
        <v>284611742.74677902</v>
      </c>
      <c r="G426" s="12" t="str">
        <f>IF(TOTALCO!G953="", "",TOTALCO!G953)</f>
        <v/>
      </c>
      <c r="H426" s="12">
        <f ca="1">IF(TOTALCO!H953="", "",TOTALCO!H953)</f>
        <v>11576701.157290943</v>
      </c>
      <c r="I426" s="12">
        <f ca="1">IF(TOTALCO!I953="", "",TOTALCO!I953)</f>
        <v>6235264.3318035975</v>
      </c>
      <c r="J426" s="12" t="str">
        <f>IF(TOTALCO!J953="", "",TOTALCO!J953)</f>
        <v/>
      </c>
      <c r="K426" s="12" t="str">
        <f>IF(TOTALCO!K953="", "",TOTALCO!K953)</f>
        <v/>
      </c>
      <c r="L426" s="12">
        <f ca="1">IF(TOTALCO!L953="", "",TOTALCO!L953)</f>
        <v>1286.9586913488438</v>
      </c>
      <c r="M426" s="12" t="str">
        <f>IF(TOTALCO!M953="", "",TOTALCO!M953)</f>
        <v/>
      </c>
      <c r="N426" s="12">
        <f ca="1">IF(TOTALCO!N953="", "",TOTALCO!N953)</f>
        <v>6233977.3731122483</v>
      </c>
      <c r="O426" s="12">
        <f ca="1">IF(TOTALCO!O953="", "",TOTALCO!O953)</f>
        <v>3156939.0350974482</v>
      </c>
      <c r="P426" s="12">
        <f ca="1">IF(TOTALCO!P953="", "",TOTALCO!P953)</f>
        <v>3077038.3380147996</v>
      </c>
      <c r="Q426" s="12"/>
      <c r="R426" s="13"/>
    </row>
    <row r="427" spans="1:18" ht="15" x14ac:dyDescent="0.2">
      <c r="A427" s="321">
        <f>IF(TOTALCO!A954="", "",TOTALCO!A954)</f>
        <v>3</v>
      </c>
      <c r="B427" s="4" t="str">
        <f>IF(TOTALCO!B954="", "",TOTALCO!B954)</f>
        <v xml:space="preserve">  502-STEAM EXPENSES</v>
      </c>
      <c r="C427" s="4" t="str">
        <f>IF(TOTALCO!C954="", "",TOTALCO!C954)</f>
        <v>STMPLT</v>
      </c>
      <c r="D427" s="12">
        <f ca="1">IF(TOTALCO!D954="", "",TOTALCO!D954)</f>
        <v>23034843.999999888</v>
      </c>
      <c r="E427" s="12" t="str">
        <f>IF(TOTALCO!E954="", "",TOTALCO!E954)</f>
        <v/>
      </c>
      <c r="F427" s="12">
        <f ca="1">IF(TOTALCO!F954="", "",TOTALCO!F954)</f>
        <v>21547583.573814724</v>
      </c>
      <c r="G427" s="12" t="str">
        <f>IF(TOTALCO!G954="", "",TOTALCO!G954)</f>
        <v/>
      </c>
      <c r="H427" s="12">
        <f ca="1">IF(TOTALCO!H954="", "",TOTALCO!H954)</f>
        <v>1004355.3311844263</v>
      </c>
      <c r="I427" s="12">
        <f ca="1">IF(TOTALCO!I954="", "",TOTALCO!I954)</f>
        <v>482905.09500073653</v>
      </c>
      <c r="J427" s="12" t="str">
        <f>IF(TOTALCO!J954="", "",TOTALCO!J954)</f>
        <v/>
      </c>
      <c r="K427" s="12" t="str">
        <f>IF(TOTALCO!K954="", "",TOTALCO!K954)</f>
        <v/>
      </c>
      <c r="L427" s="12">
        <f ca="1">IF(TOTALCO!L954="", "",TOTALCO!L954)</f>
        <v>68.786040269596242</v>
      </c>
      <c r="M427" s="12" t="str">
        <f>IF(TOTALCO!M954="", "",TOTALCO!M954)</f>
        <v/>
      </c>
      <c r="N427" s="12">
        <f ca="1">IF(TOTALCO!N954="", "",TOTALCO!N954)</f>
        <v>482836.30896046694</v>
      </c>
      <c r="O427" s="12">
        <f ca="1">IF(TOTALCO!O954="", "",TOTALCO!O954)</f>
        <v>244881.08194449538</v>
      </c>
      <c r="P427" s="12">
        <f ca="1">IF(TOTALCO!P954="", "",TOTALCO!P954)</f>
        <v>237955.22701597156</v>
      </c>
      <c r="Q427" s="12"/>
      <c r="R427" s="13"/>
    </row>
    <row r="428" spans="1:18" ht="15" x14ac:dyDescent="0.2">
      <c r="A428" s="321">
        <f>IF(TOTALCO!A955="", "",TOTALCO!A955)</f>
        <v>4</v>
      </c>
      <c r="B428" s="4" t="str">
        <f>IF(TOTALCO!B955="", "",TOTALCO!B955)</f>
        <v xml:space="preserve">  504-STEAM TRANSFERRED-CREDIT</v>
      </c>
      <c r="C428" s="4" t="str">
        <f>IF(TOTALCO!C955="", "",TOTALCO!C955)</f>
        <v>STMPLT</v>
      </c>
      <c r="D428" s="12">
        <f ca="1">IF(TOTALCO!D955="", "",TOTALCO!D955)</f>
        <v>0</v>
      </c>
      <c r="E428" s="12" t="str">
        <f>IF(TOTALCO!E955="", "",TOTALCO!E955)</f>
        <v/>
      </c>
      <c r="F428" s="12">
        <f ca="1">IF(TOTALCO!F955="", "",TOTALCO!F955)</f>
        <v>0</v>
      </c>
      <c r="G428" s="12" t="str">
        <f>IF(TOTALCO!G955="", "",TOTALCO!G955)</f>
        <v/>
      </c>
      <c r="H428" s="12">
        <f ca="1">IF(TOTALCO!H955="", "",TOTALCO!H955)</f>
        <v>0</v>
      </c>
      <c r="I428" s="12">
        <f ca="1">IF(TOTALCO!I955="", "",TOTALCO!I955)</f>
        <v>0</v>
      </c>
      <c r="J428" s="12" t="str">
        <f>IF(TOTALCO!J955="", "",TOTALCO!J955)</f>
        <v/>
      </c>
      <c r="K428" s="12" t="str">
        <f>IF(TOTALCO!K955="", "",TOTALCO!K955)</f>
        <v/>
      </c>
      <c r="L428" s="12">
        <f ca="1">IF(TOTALCO!L955="", "",TOTALCO!L955)</f>
        <v>0</v>
      </c>
      <c r="M428" s="12" t="str">
        <f>IF(TOTALCO!M955="", "",TOTALCO!M955)</f>
        <v/>
      </c>
      <c r="N428" s="12">
        <f ca="1">IF(TOTALCO!N955="", "",TOTALCO!N955)</f>
        <v>0</v>
      </c>
      <c r="O428" s="12">
        <f ca="1">IF(TOTALCO!O955="", "",TOTALCO!O955)</f>
        <v>0</v>
      </c>
      <c r="P428" s="12">
        <f ca="1">IF(TOTALCO!P955="", "",TOTALCO!P955)</f>
        <v>0</v>
      </c>
      <c r="Q428" s="12"/>
      <c r="R428" s="13"/>
    </row>
    <row r="429" spans="1:18" ht="15" x14ac:dyDescent="0.2">
      <c r="A429" s="321">
        <f>IF(TOTALCO!A956="", "",TOTALCO!A956)</f>
        <v>5</v>
      </c>
      <c r="B429" s="4" t="str">
        <f>IF(TOTALCO!B956="", "",TOTALCO!B956)</f>
        <v xml:space="preserve">  505-ELECTRIC EXPENSES</v>
      </c>
      <c r="C429" s="4" t="str">
        <f>IF(TOTALCO!C956="", "",TOTALCO!C956)</f>
        <v>STMPLT</v>
      </c>
      <c r="D429" s="12">
        <f ca="1">IF(TOTALCO!D956="", "",TOTALCO!D956)</f>
        <v>8766250</v>
      </c>
      <c r="E429" s="12" t="str">
        <f>IF(TOTALCO!E956="", "",TOTALCO!E956)</f>
        <v/>
      </c>
      <c r="F429" s="12">
        <f ca="1">IF(TOTALCO!F956="", "",TOTALCO!F956)</f>
        <v>8200251.0850064466</v>
      </c>
      <c r="G429" s="12" t="str">
        <f>IF(TOTALCO!G956="", "",TOTALCO!G956)</f>
        <v/>
      </c>
      <c r="H429" s="12">
        <f ca="1">IF(TOTALCO!H956="", "",TOTALCO!H956)</f>
        <v>382222.25086462579</v>
      </c>
      <c r="I429" s="12">
        <f ca="1">IF(TOTALCO!I956="", "",TOTALCO!I956)</f>
        <v>183776.6641289269</v>
      </c>
      <c r="J429" s="12" t="str">
        <f>IF(TOTALCO!J956="", "",TOTALCO!J956)</f>
        <v/>
      </c>
      <c r="K429" s="12" t="str">
        <f>IF(TOTALCO!K956="", "",TOTALCO!K956)</f>
        <v/>
      </c>
      <c r="L429" s="12">
        <f ca="1">IF(TOTALCO!L956="", "",TOTALCO!L956)</f>
        <v>26.177543269377079</v>
      </c>
      <c r="M429" s="12" t="str">
        <f>IF(TOTALCO!M956="", "",TOTALCO!M956)</f>
        <v/>
      </c>
      <c r="N429" s="12">
        <f ca="1">IF(TOTALCO!N956="", "",TOTALCO!N956)</f>
        <v>183750.48658565752</v>
      </c>
      <c r="O429" s="12">
        <f ca="1">IF(TOTALCO!O956="", "",TOTALCO!O956)</f>
        <v>93193.111470429008</v>
      </c>
      <c r="P429" s="12">
        <f ca="1">IF(TOTALCO!P956="", "",TOTALCO!P956)</f>
        <v>90557.375115228511</v>
      </c>
      <c r="Q429" s="12"/>
      <c r="R429" s="13"/>
    </row>
    <row r="430" spans="1:18" ht="15" x14ac:dyDescent="0.2">
      <c r="A430" s="321">
        <f>IF(TOTALCO!A957="", "",TOTALCO!A957)</f>
        <v>6</v>
      </c>
      <c r="B430" s="4" t="str">
        <f>IF(TOTALCO!B957="", "",TOTALCO!B957)</f>
        <v xml:space="preserve">  506-MISC STEAM POWER EXP</v>
      </c>
      <c r="C430" s="4" t="str">
        <f>IF(TOTALCO!C957="", "",TOTALCO!C957)</f>
        <v>STMPLT</v>
      </c>
      <c r="D430" s="12">
        <f ca="1">IF(TOTALCO!D957="", "",TOTALCO!D957)</f>
        <v>26177884.999999996</v>
      </c>
      <c r="E430" s="12" t="str">
        <f>IF(TOTALCO!E957="", "",TOTALCO!E957)</f>
        <v/>
      </c>
      <c r="F430" s="12">
        <f ca="1">IF(TOTALCO!F957="", "",TOTALCO!F957)</f>
        <v>24487691.986245427</v>
      </c>
      <c r="G430" s="12" t="str">
        <f>IF(TOTALCO!G957="", "",TOTALCO!G957)</f>
        <v/>
      </c>
      <c r="H430" s="12">
        <f ca="1">IF(TOTALCO!H957="", "",TOTALCO!H957)</f>
        <v>1141396.8490033166</v>
      </c>
      <c r="I430" s="12">
        <f ca="1">IF(TOTALCO!I957="", "",TOTALCO!I957)</f>
        <v>548796.16475125332</v>
      </c>
      <c r="J430" s="12" t="str">
        <f>IF(TOTALCO!J957="", "",TOTALCO!J957)</f>
        <v/>
      </c>
      <c r="K430" s="12" t="str">
        <f>IF(TOTALCO!K957="", "",TOTALCO!K957)</f>
        <v/>
      </c>
      <c r="L430" s="12">
        <f ca="1">IF(TOTALCO!L957="", "",TOTALCO!L957)</f>
        <v>78.171705950466531</v>
      </c>
      <c r="M430" s="12" t="str">
        <f>IF(TOTALCO!M957="", "",TOTALCO!M957)</f>
        <v/>
      </c>
      <c r="N430" s="12">
        <f ca="1">IF(TOTALCO!N957="", "",TOTALCO!N957)</f>
        <v>548717.99304530281</v>
      </c>
      <c r="O430" s="12">
        <f ca="1">IF(TOTALCO!O957="", "",TOTALCO!O957)</f>
        <v>278294.43089862505</v>
      </c>
      <c r="P430" s="12">
        <f ca="1">IF(TOTALCO!P957="", "",TOTALCO!P957)</f>
        <v>270423.56214667775</v>
      </c>
      <c r="Q430" s="12"/>
      <c r="R430" s="13"/>
    </row>
    <row r="431" spans="1:18" ht="15" x14ac:dyDescent="0.2">
      <c r="A431" s="321">
        <f>IF(TOTALCO!A958="", "",TOTALCO!A958)</f>
        <v>7</v>
      </c>
      <c r="B431" s="4" t="str">
        <f>IF(TOTALCO!B958="", "",TOTALCO!B958)</f>
        <v xml:space="preserve">  507-RENTS</v>
      </c>
      <c r="C431" s="4" t="str">
        <f>IF(TOTALCO!C958="", "",TOTALCO!C958)</f>
        <v>STMPLT</v>
      </c>
      <c r="D431" s="12">
        <f ca="1">IF(TOTALCO!D958="", "",TOTALCO!D958)</f>
        <v>0</v>
      </c>
      <c r="E431" s="12" t="str">
        <f>IF(TOTALCO!E958="", "",TOTALCO!E958)</f>
        <v/>
      </c>
      <c r="F431" s="12">
        <f ca="1">IF(TOTALCO!F958="", "",TOTALCO!F958)</f>
        <v>0</v>
      </c>
      <c r="G431" s="12" t="str">
        <f>IF(TOTALCO!G958="", "",TOTALCO!G958)</f>
        <v/>
      </c>
      <c r="H431" s="12">
        <f ca="1">IF(TOTALCO!H958="", "",TOTALCO!H958)</f>
        <v>0</v>
      </c>
      <c r="I431" s="12">
        <f ca="1">IF(TOTALCO!I958="", "",TOTALCO!I958)</f>
        <v>0</v>
      </c>
      <c r="J431" s="12" t="str">
        <f>IF(TOTALCO!J958="", "",TOTALCO!J958)</f>
        <v/>
      </c>
      <c r="K431" s="12" t="str">
        <f>IF(TOTALCO!K958="", "",TOTALCO!K958)</f>
        <v/>
      </c>
      <c r="L431" s="12">
        <f ca="1">IF(TOTALCO!L958="", "",TOTALCO!L958)</f>
        <v>0</v>
      </c>
      <c r="M431" s="12" t="str">
        <f>IF(TOTALCO!M958="", "",TOTALCO!M958)</f>
        <v/>
      </c>
      <c r="N431" s="12">
        <f ca="1">IF(TOTALCO!N958="", "",TOTALCO!N958)</f>
        <v>0</v>
      </c>
      <c r="O431" s="12">
        <f ca="1">IF(TOTALCO!O958="", "",TOTALCO!O958)</f>
        <v>0</v>
      </c>
      <c r="P431" s="12">
        <f ca="1">IF(TOTALCO!P958="", "",TOTALCO!P958)</f>
        <v>0</v>
      </c>
      <c r="Q431" s="12"/>
      <c r="R431" s="13"/>
    </row>
    <row r="432" spans="1:18" ht="15" x14ac:dyDescent="0.2">
      <c r="A432" s="321">
        <f>IF(TOTALCO!A959="", "",TOTALCO!A959)</f>
        <v>8</v>
      </c>
      <c r="B432" s="4" t="str">
        <f>IF(TOTALCO!B959="", "",TOTALCO!B959)</f>
        <v xml:space="preserve">  509-ALLOWANCES</v>
      </c>
      <c r="C432" s="4" t="str">
        <f>IF(TOTALCO!C959="", "",TOTALCO!C959)</f>
        <v>STMPLT</v>
      </c>
      <c r="D432" s="12">
        <f ca="1">IF(TOTALCO!D959="", "",TOTALCO!D959)</f>
        <v>5000</v>
      </c>
      <c r="E432" s="12" t="str">
        <f>IF(TOTALCO!E959="", "",TOTALCO!E959)</f>
        <v/>
      </c>
      <c r="F432" s="12">
        <f ca="1">IF(TOTALCO!F959="", "",TOTALCO!F959)</f>
        <v>4677.1715870562939</v>
      </c>
      <c r="G432" s="12" t="str">
        <f>IF(TOTALCO!G959="", "",TOTALCO!G959)</f>
        <v/>
      </c>
      <c r="H432" s="12">
        <f ca="1">IF(TOTALCO!H959="", "",TOTALCO!H959)</f>
        <v>218.00784307122532</v>
      </c>
      <c r="I432" s="12">
        <f ca="1">IF(TOTALCO!I959="", "",TOTALCO!I959)</f>
        <v>104.82056987248076</v>
      </c>
      <c r="J432" s="12" t="str">
        <f>IF(TOTALCO!J959="", "",TOTALCO!J959)</f>
        <v/>
      </c>
      <c r="K432" s="12" t="str">
        <f>IF(TOTALCO!K959="", "",TOTALCO!K959)</f>
        <v/>
      </c>
      <c r="L432" s="12">
        <f ca="1">IF(TOTALCO!L959="", "",TOTALCO!L959)</f>
        <v>1.4930867400186556E-2</v>
      </c>
      <c r="M432" s="12" t="str">
        <f>IF(TOTALCO!M959="", "",TOTALCO!M959)</f>
        <v/>
      </c>
      <c r="N432" s="12">
        <f ca="1">IF(TOTALCO!N959="", "",TOTALCO!N959)</f>
        <v>104.80563900508058</v>
      </c>
      <c r="O432" s="12">
        <f ca="1">IF(TOTALCO!O959="", "",TOTALCO!O959)</f>
        <v>53.154491071113085</v>
      </c>
      <c r="P432" s="12">
        <f ca="1">IF(TOTALCO!P959="", "",TOTALCO!P959)</f>
        <v>51.651147933967493</v>
      </c>
      <c r="Q432" s="12"/>
      <c r="R432" s="13"/>
    </row>
    <row r="433" spans="1:18" ht="15" x14ac:dyDescent="0.2">
      <c r="A433" s="321">
        <f>IF(TOTALCO!A960="", "",TOTALCO!A960)</f>
        <v>9</v>
      </c>
      <c r="B433" s="4" t="str">
        <f>IF(TOTALCO!B960="", "",TOTALCO!B960)</f>
        <v xml:space="preserve">    TOTAL STEAM OPERATIONS</v>
      </c>
      <c r="C433" s="4" t="str">
        <f>IF(TOTALCO!C960="", "",TOTALCO!C960)</f>
        <v/>
      </c>
      <c r="D433" s="12">
        <f ca="1">IF(TOTALCO!D960="", "",TOTALCO!D960)</f>
        <v>369750075.23587352</v>
      </c>
      <c r="E433" s="12" t="str">
        <f>IF(TOTALCO!E960="", "",TOTALCO!E960)</f>
        <v/>
      </c>
      <c r="F433" s="12">
        <f ca="1">IF(TOTALCO!F960="", "",TOTALCO!F960)</f>
        <v>347591136.90520388</v>
      </c>
      <c r="G433" s="12" t="str">
        <f>IF(TOTALCO!G960="", "",TOTALCO!G960)</f>
        <v/>
      </c>
      <c r="H433" s="12">
        <f ca="1">IF(TOTALCO!H960="", "",TOTALCO!H960)</f>
        <v>14512236.367589282</v>
      </c>
      <c r="I433" s="12">
        <f ca="1">IF(TOTALCO!I960="", "",TOTALCO!I960)</f>
        <v>7646701.9630803512</v>
      </c>
      <c r="J433" s="12" t="str">
        <f>IF(TOTALCO!J960="", "",TOTALCO!J960)</f>
        <v/>
      </c>
      <c r="K433" s="12" t="str">
        <f>IF(TOTALCO!K960="", "",TOTALCO!K960)</f>
        <v/>
      </c>
      <c r="L433" s="12">
        <f ca="1">IF(TOTALCO!L960="", "",TOTALCO!L960)</f>
        <v>1488.0069029915026</v>
      </c>
      <c r="M433" s="12" t="str">
        <f>IF(TOTALCO!M960="", "",TOTALCO!M960)</f>
        <v/>
      </c>
      <c r="N433" s="12">
        <f ca="1">IF(TOTALCO!N960="", "",TOTALCO!N960)</f>
        <v>7645213.9561773594</v>
      </c>
      <c r="O433" s="12">
        <f ca="1">IF(TOTALCO!O960="", "",TOTALCO!O960)</f>
        <v>3872678.7898078435</v>
      </c>
      <c r="P433" s="12">
        <f ca="1">IF(TOTALCO!P960="", "",TOTALCO!P960)</f>
        <v>3772535.1663695159</v>
      </c>
      <c r="Q433" s="12"/>
      <c r="R433" s="13"/>
    </row>
    <row r="434" spans="1:18" ht="15" x14ac:dyDescent="0.2">
      <c r="A434" s="321">
        <f>IF(TOTALCO!A961="", "",TOTALCO!A961)</f>
        <v>10</v>
      </c>
      <c r="B434" s="4" t="str">
        <f>IF(TOTALCO!B961="", "",TOTALCO!B961)</f>
        <v xml:space="preserve">  510-SUPERV &amp; ENGINEERING</v>
      </c>
      <c r="C434" s="4" t="str">
        <f>IF(TOTALCO!C961="", "",TOTALCO!C961)</f>
        <v>STMPLT</v>
      </c>
      <c r="D434" s="12">
        <f ca="1">IF(TOTALCO!D961="", "",TOTALCO!D961)</f>
        <v>10248227</v>
      </c>
      <c r="E434" s="12" t="str">
        <f>IF(TOTALCO!E961="", "",TOTALCO!E961)</f>
        <v/>
      </c>
      <c r="F434" s="12">
        <f ca="1">IF(TOTALCO!F961="", "",TOTALCO!F961)</f>
        <v>9552185.9570964426</v>
      </c>
      <c r="G434" s="12" t="str">
        <f>IF(TOTALCO!G961="", "",TOTALCO!G961)</f>
        <v/>
      </c>
      <c r="H434" s="12">
        <f ca="1">IF(TOTALCO!H961="", "",TOTALCO!H961)</f>
        <v>469988.19337618008</v>
      </c>
      <c r="I434" s="12">
        <f ca="1">IF(TOTALCO!I961="", "",TOTALCO!I961)</f>
        <v>226052.84952737793</v>
      </c>
      <c r="J434" s="12" t="str">
        <f>IF(TOTALCO!J961="", "",TOTALCO!J961)</f>
        <v/>
      </c>
      <c r="K434" s="12" t="str">
        <f>IF(TOTALCO!K961="", "",TOTALCO!K961)</f>
        <v/>
      </c>
      <c r="L434" s="12">
        <f ca="1">IF(TOTALCO!L961="", "",TOTALCO!L961)</f>
        <v>27.698517710777676</v>
      </c>
      <c r="M434" s="12" t="str">
        <f>IF(TOTALCO!M961="", "",TOTALCO!M961)</f>
        <v/>
      </c>
      <c r="N434" s="12">
        <f ca="1">IF(TOTALCO!N961="", "",TOTALCO!N961)</f>
        <v>226025.15100966714</v>
      </c>
      <c r="O434" s="12">
        <f ca="1">IF(TOTALCO!O961="", "",TOTALCO!O961)</f>
        <v>114633.63980451407</v>
      </c>
      <c r="P434" s="12">
        <f ca="1">IF(TOTALCO!P961="", "",TOTALCO!P961)</f>
        <v>111391.51120515306</v>
      </c>
      <c r="Q434" s="12"/>
      <c r="R434" s="13"/>
    </row>
    <row r="435" spans="1:18" ht="15" x14ac:dyDescent="0.2">
      <c r="A435" s="321">
        <f>IF(TOTALCO!A962="", "",TOTALCO!A962)</f>
        <v>11</v>
      </c>
      <c r="B435" s="4" t="str">
        <f>IF(TOTALCO!B962="", "",TOTALCO!B962)</f>
        <v xml:space="preserve">  511-STRUCTURES</v>
      </c>
      <c r="C435" s="4" t="str">
        <f>IF(TOTALCO!C962="", "",TOTALCO!C962)</f>
        <v>STMPLT</v>
      </c>
      <c r="D435" s="12">
        <f ca="1">IF(TOTALCO!D962="", "",TOTALCO!D962)</f>
        <v>7254445</v>
      </c>
      <c r="E435" s="12" t="str">
        <f>IF(TOTALCO!E962="", "",TOTALCO!E962)</f>
        <v/>
      </c>
      <c r="F435" s="12">
        <f ca="1">IF(TOTALCO!F962="", "",TOTALCO!F962)</f>
        <v>6796823.8746169377</v>
      </c>
      <c r="G435" s="12" t="str">
        <f>IF(TOTALCO!G962="", "",TOTALCO!G962)</f>
        <v/>
      </c>
      <c r="H435" s="12">
        <f ca="1">IF(TOTALCO!H962="", "",TOTALCO!H962)</f>
        <v>309034.11994899227</v>
      </c>
      <c r="I435" s="12">
        <f ca="1">IF(TOTALCO!I962="", "",TOTALCO!I962)</f>
        <v>148587.00543406958</v>
      </c>
      <c r="J435" s="12" t="str">
        <f>IF(TOTALCO!J962="", "",TOTALCO!J962)</f>
        <v/>
      </c>
      <c r="K435" s="12" t="str">
        <f>IF(TOTALCO!K962="", "",TOTALCO!K962)</f>
        <v/>
      </c>
      <c r="L435" s="12">
        <f ca="1">IF(TOTALCO!L962="", "",TOTALCO!L962)</f>
        <v>21.16505260585631</v>
      </c>
      <c r="M435" s="12" t="str">
        <f>IF(TOTALCO!M962="", "",TOTALCO!M962)</f>
        <v/>
      </c>
      <c r="N435" s="12">
        <f ca="1">IF(TOTALCO!N962="", "",TOTALCO!N962)</f>
        <v>148565.84038146373</v>
      </c>
      <c r="O435" s="12">
        <f ca="1">IF(TOTALCO!O962="", "",TOTALCO!O962)</f>
        <v>75348.442230728746</v>
      </c>
      <c r="P435" s="12">
        <f ca="1">IF(TOTALCO!P962="", "",TOTALCO!P962)</f>
        <v>73217.398150734982</v>
      </c>
      <c r="Q435" s="12"/>
      <c r="R435" s="13"/>
    </row>
    <row r="436" spans="1:18" ht="15" x14ac:dyDescent="0.2">
      <c r="A436" s="321">
        <f>IF(TOTALCO!A963="", "",TOTALCO!A963)</f>
        <v>12</v>
      </c>
      <c r="B436" s="4" t="str">
        <f>IF(TOTALCO!B963="", "",TOTALCO!B963)</f>
        <v xml:space="preserve">  512-BOILER PLANT</v>
      </c>
      <c r="C436" s="4" t="str">
        <f>IF(TOTALCO!C963="", "",TOTALCO!C963)</f>
        <v>ENERGY</v>
      </c>
      <c r="D436" s="12">
        <f ca="1">IF(TOTALCO!D963="", "",TOTALCO!D963)</f>
        <v>50079708.999999993</v>
      </c>
      <c r="E436" s="12" t="str">
        <f>IF(TOTALCO!E963="", "",TOTALCO!E963)</f>
        <v/>
      </c>
      <c r="F436" s="12">
        <f ca="1">IF(TOTALCO!F963="", "",TOTALCO!F963)</f>
        <v>46616865.654066198</v>
      </c>
      <c r="G436" s="12" t="str">
        <f>IF(TOTALCO!G963="", "",TOTALCO!G963)</f>
        <v/>
      </c>
      <c r="H436" s="12">
        <f ca="1">IF(TOTALCO!H963="", "",TOTALCO!H963)</f>
        <v>2253545.4302766044</v>
      </c>
      <c r="I436" s="12">
        <f ca="1">IF(TOTALCO!I963="", "",TOTALCO!I963)</f>
        <v>1209297.9156571913</v>
      </c>
      <c r="J436" s="12" t="str">
        <f>IF(TOTALCO!J963="", "",TOTALCO!J963)</f>
        <v/>
      </c>
      <c r="K436" s="12" t="str">
        <f>IF(TOTALCO!K963="", "",TOTALCO!K963)</f>
        <v/>
      </c>
      <c r="L436" s="12">
        <f ca="1">IF(TOTALCO!L963="", "",TOTALCO!L963)</f>
        <v>146.80724969491325</v>
      </c>
      <c r="M436" s="12" t="str">
        <f>IF(TOTALCO!M963="", "",TOTALCO!M963)</f>
        <v/>
      </c>
      <c r="N436" s="12">
        <f ca="1">IF(TOTALCO!N963="", "",TOTALCO!N963)</f>
        <v>1209151.1084074965</v>
      </c>
      <c r="O436" s="12">
        <f ca="1">IF(TOTALCO!O963="", "",TOTALCO!O963)</f>
        <v>612323.38084564626</v>
      </c>
      <c r="P436" s="12">
        <f ca="1">IF(TOTALCO!P963="", "",TOTALCO!P963)</f>
        <v>596827.72756185022</v>
      </c>
      <c r="Q436" s="12"/>
      <c r="R436" s="13"/>
    </row>
    <row r="437" spans="1:18" ht="15" x14ac:dyDescent="0.2">
      <c r="A437" s="321">
        <f>IF(TOTALCO!A964="", "",TOTALCO!A964)</f>
        <v>13</v>
      </c>
      <c r="B437" s="4" t="str">
        <f>IF(TOTALCO!B964="", "",TOTALCO!B964)</f>
        <v xml:space="preserve">  513-ELECTRIC PLANT</v>
      </c>
      <c r="C437" s="4" t="str">
        <f>IF(TOTALCO!C964="", "",TOTALCO!C964)</f>
        <v>ENERGY</v>
      </c>
      <c r="D437" s="12">
        <f ca="1">IF(TOTALCO!D964="", "",TOTALCO!D964)</f>
        <v>10224294.000000002</v>
      </c>
      <c r="E437" s="12" t="str">
        <f>IF(TOTALCO!E964="", "",TOTALCO!E964)</f>
        <v/>
      </c>
      <c r="F437" s="12">
        <f ca="1">IF(TOTALCO!F964="", "",TOTALCO!F964)</f>
        <v>9170674.2072980218</v>
      </c>
      <c r="G437" s="12" t="str">
        <f>IF(TOTALCO!G964="", "",TOTALCO!G964)</f>
        <v/>
      </c>
      <c r="H437" s="12">
        <f ca="1">IF(TOTALCO!H964="", "",TOTALCO!H964)</f>
        <v>685691.47975179495</v>
      </c>
      <c r="I437" s="12">
        <f ca="1">IF(TOTALCO!I964="", "",TOTALCO!I964)</f>
        <v>367928.31295018457</v>
      </c>
      <c r="J437" s="12" t="str">
        <f>IF(TOTALCO!J964="", "",TOTALCO!J964)</f>
        <v/>
      </c>
      <c r="K437" s="12" t="str">
        <f>IF(TOTALCO!K964="", "",TOTALCO!K964)</f>
        <v/>
      </c>
      <c r="L437" s="12">
        <f ca="1">IF(TOTALCO!L964="", "",TOTALCO!L964)</f>
        <v>17.108841158265435</v>
      </c>
      <c r="M437" s="12" t="str">
        <f>IF(TOTALCO!M964="", "",TOTALCO!M964)</f>
        <v/>
      </c>
      <c r="N437" s="12">
        <f ca="1">IF(TOTALCO!N964="", "",TOTALCO!N964)</f>
        <v>367911.20410902629</v>
      </c>
      <c r="O437" s="12">
        <f ca="1">IF(TOTALCO!O964="", "",TOTALCO!O964)</f>
        <v>186313.05118492246</v>
      </c>
      <c r="P437" s="12">
        <f ca="1">IF(TOTALCO!P964="", "",TOTALCO!P964)</f>
        <v>181598.15292410384</v>
      </c>
      <c r="Q437" s="12"/>
      <c r="R437" s="13"/>
    </row>
    <row r="438" spans="1:18" ht="15" x14ac:dyDescent="0.2">
      <c r="A438" s="321">
        <f>IF(TOTALCO!A965="", "",TOTALCO!A965)</f>
        <v>14</v>
      </c>
      <c r="B438" s="4" t="str">
        <f>IF(TOTALCO!B965="", "",TOTALCO!B965)</f>
        <v xml:space="preserve">  514-MISC STEAM PLANT</v>
      </c>
      <c r="C438" s="4" t="str">
        <f>IF(TOTALCO!C965="", "",TOTALCO!C965)</f>
        <v>STMPLT</v>
      </c>
      <c r="D438" s="12">
        <f ca="1">IF(TOTALCO!D965="", "",TOTALCO!D965)</f>
        <v>2670339.9999999902</v>
      </c>
      <c r="E438" s="12" t="str">
        <f>IF(TOTALCO!E965="", "",TOTALCO!E965)</f>
        <v/>
      </c>
      <c r="F438" s="12">
        <f ca="1">IF(TOTALCO!F965="", "",TOTALCO!F965)</f>
        <v>2538463.7061900683</v>
      </c>
      <c r="G438" s="12" t="str">
        <f>IF(TOTALCO!G965="", "",TOTALCO!G965)</f>
        <v/>
      </c>
      <c r="H438" s="12">
        <f ca="1">IF(TOTALCO!H965="", "",TOTALCO!H965)</f>
        <v>89056.802973354192</v>
      </c>
      <c r="I438" s="12">
        <f ca="1">IF(TOTALCO!I965="", "",TOTALCO!I965)</f>
        <v>42819.490836567718</v>
      </c>
      <c r="J438" s="12" t="str">
        <f>IF(TOTALCO!J965="", "",TOTALCO!J965)</f>
        <v/>
      </c>
      <c r="K438" s="12" t="str">
        <f>IF(TOTALCO!K965="", "",TOTALCO!K965)</f>
        <v/>
      </c>
      <c r="L438" s="12">
        <f ca="1">IF(TOTALCO!L965="", "",TOTALCO!L965)</f>
        <v>6.0993003625345104</v>
      </c>
      <c r="M438" s="12" t="str">
        <f>IF(TOTALCO!M965="", "",TOTALCO!M965)</f>
        <v/>
      </c>
      <c r="N438" s="12">
        <f ca="1">IF(TOTALCO!N965="", "",TOTALCO!N965)</f>
        <v>42813.391536205185</v>
      </c>
      <c r="O438" s="12">
        <f ca="1">IF(TOTALCO!O965="", "",TOTALCO!O965)</f>
        <v>21713.755669434624</v>
      </c>
      <c r="P438" s="12">
        <f ca="1">IF(TOTALCO!P965="", "",TOTALCO!P965)</f>
        <v>21099.635866770561</v>
      </c>
      <c r="Q438" s="12"/>
      <c r="R438" s="13"/>
    </row>
    <row r="439" spans="1:18" ht="15" x14ac:dyDescent="0.2">
      <c r="A439" s="321">
        <f>IF(TOTALCO!A966="", "",TOTALCO!A966)</f>
        <v>15</v>
      </c>
      <c r="B439" s="4" t="str">
        <f>IF(TOTALCO!B966="", "",TOTALCO!B966)</f>
        <v xml:space="preserve">    TOTAL STEAM MAINTENANCE</v>
      </c>
      <c r="C439" s="4" t="str">
        <f>IF(TOTALCO!C966="", "",TOTALCO!C966)</f>
        <v/>
      </c>
      <c r="D439" s="12">
        <f ca="1">IF(TOTALCO!D966="", "",TOTALCO!D966)</f>
        <v>80477014.99999997</v>
      </c>
      <c r="E439" s="12" t="str">
        <f>IF(TOTALCO!E966="", "",TOTALCO!E966)</f>
        <v/>
      </c>
      <c r="F439" s="12">
        <f ca="1">IF(TOTALCO!F966="", "",TOTALCO!F966)</f>
        <v>74675013.399267659</v>
      </c>
      <c r="G439" s="12" t="str">
        <f>IF(TOTALCO!G966="", "",TOTALCO!G966)</f>
        <v/>
      </c>
      <c r="H439" s="12">
        <f ca="1">IF(TOTALCO!H966="", "",TOTALCO!H966)</f>
        <v>3807316.026326926</v>
      </c>
      <c r="I439" s="12">
        <f ca="1">IF(TOTALCO!I966="", "",TOTALCO!I966)</f>
        <v>1994685.5744053912</v>
      </c>
      <c r="J439" s="12" t="str">
        <f>IF(TOTALCO!J966="", "",TOTALCO!J966)</f>
        <v/>
      </c>
      <c r="K439" s="12" t="str">
        <f>IF(TOTALCO!K966="", "",TOTALCO!K966)</f>
        <v/>
      </c>
      <c r="L439" s="12">
        <f ca="1">IF(TOTALCO!L966="", "",TOTALCO!L966)</f>
        <v>218.87896153234715</v>
      </c>
      <c r="M439" s="12" t="str">
        <f>IF(TOTALCO!M966="", "",TOTALCO!M966)</f>
        <v/>
      </c>
      <c r="N439" s="12">
        <f ca="1">IF(TOTALCO!N966="", "",TOTALCO!N966)</f>
        <v>1994466.6954438589</v>
      </c>
      <c r="O439" s="12">
        <f ca="1">IF(TOTALCO!O966="", "",TOTALCO!O966)</f>
        <v>1010332.2697352462</v>
      </c>
      <c r="P439" s="12">
        <f ca="1">IF(TOTALCO!P966="", "",TOTALCO!P966)</f>
        <v>984134.42570861266</v>
      </c>
      <c r="Q439" s="12"/>
      <c r="R439" s="13"/>
    </row>
    <row r="440" spans="1:18" ht="15" x14ac:dyDescent="0.2">
      <c r="A440" s="321" t="str">
        <f>IF(TOTALCO!A967="", "",TOTALCO!A967)</f>
        <v/>
      </c>
      <c r="B440" s="4" t="str">
        <f>IF(TOTALCO!B967="", "",TOTALCO!B967)</f>
        <v/>
      </c>
      <c r="C440" s="4" t="str">
        <f>IF(TOTALCO!C967="", "",TOTALCO!C967)</f>
        <v/>
      </c>
      <c r="D440" s="12" t="str">
        <f>IF(TOTALCO!D967="", "",TOTALCO!D967)</f>
        <v/>
      </c>
      <c r="E440" s="12" t="str">
        <f>IF(TOTALCO!E967="", "",TOTALCO!E967)</f>
        <v/>
      </c>
      <c r="F440" s="12" t="str">
        <f>IF(TOTALCO!F967="", "",TOTALCO!F967)</f>
        <v/>
      </c>
      <c r="G440" s="12" t="str">
        <f>IF(TOTALCO!G967="", "",TOTALCO!G967)</f>
        <v/>
      </c>
      <c r="H440" s="12" t="str">
        <f>IF(TOTALCO!H967="", "",TOTALCO!H967)</f>
        <v/>
      </c>
      <c r="I440" s="12" t="str">
        <f>IF(TOTALCO!I967="", "",TOTALCO!I967)</f>
        <v/>
      </c>
      <c r="J440" s="12" t="str">
        <f>IF(TOTALCO!J967="", "",TOTALCO!J967)</f>
        <v/>
      </c>
      <c r="K440" s="12" t="str">
        <f>IF(TOTALCO!K967="", "",TOTALCO!K967)</f>
        <v/>
      </c>
      <c r="L440" s="12" t="str">
        <f>IF(TOTALCO!L967="", "",TOTALCO!L967)</f>
        <v/>
      </c>
      <c r="M440" s="12" t="str">
        <f>IF(TOTALCO!M967="", "",TOTALCO!M967)</f>
        <v/>
      </c>
      <c r="N440" s="12" t="str">
        <f>IF(TOTALCO!N967="", "",TOTALCO!N967)</f>
        <v/>
      </c>
      <c r="O440" s="12" t="str">
        <f>IF(TOTALCO!O967="", "",TOTALCO!O967)</f>
        <v/>
      </c>
      <c r="P440" s="12" t="str">
        <f>IF(TOTALCO!P967="", "",TOTALCO!P967)</f>
        <v/>
      </c>
      <c r="Q440" s="12"/>
      <c r="R440" s="13"/>
    </row>
    <row r="441" spans="1:18" ht="15" x14ac:dyDescent="0.2">
      <c r="A441" s="321">
        <f>IF(TOTALCO!A968="", "",TOTALCO!A968)</f>
        <v>16</v>
      </c>
      <c r="B441" s="4" t="str">
        <f>IF(TOTALCO!B968="", "",TOTALCO!B968)</f>
        <v>TOTAL STEAM GENERATION</v>
      </c>
      <c r="C441" s="4" t="str">
        <f>IF(TOTALCO!C968="", "",TOTALCO!C968)</f>
        <v/>
      </c>
      <c r="D441" s="12">
        <f ca="1">IF(TOTALCO!D968="", "",TOTALCO!D968)</f>
        <v>450227090.23587346</v>
      </c>
      <c r="E441" s="12" t="str">
        <f>IF(TOTALCO!E968="", "",TOTALCO!E968)</f>
        <v/>
      </c>
      <c r="F441" s="12">
        <f ca="1">IF(TOTALCO!F968="", "",TOTALCO!F968)</f>
        <v>422266150.30447155</v>
      </c>
      <c r="G441" s="12" t="str">
        <f>IF(TOTALCO!G968="", "",TOTALCO!G968)</f>
        <v/>
      </c>
      <c r="H441" s="12">
        <f ca="1">IF(TOTALCO!H968="", "",TOTALCO!H968)</f>
        <v>18319552.393916208</v>
      </c>
      <c r="I441" s="12">
        <f ca="1">IF(TOTALCO!I968="", "",TOTALCO!I968)</f>
        <v>9641387.5374857429</v>
      </c>
      <c r="J441" s="12" t="str">
        <f>IF(TOTALCO!J968="", "",TOTALCO!J968)</f>
        <v/>
      </c>
      <c r="K441" s="12" t="str">
        <f>IF(TOTALCO!K968="", "",TOTALCO!K968)</f>
        <v/>
      </c>
      <c r="L441" s="12">
        <f ca="1">IF(TOTALCO!L968="", "",TOTALCO!L968)</f>
        <v>1706.8858645238497</v>
      </c>
      <c r="M441" s="12" t="str">
        <f>IF(TOTALCO!M968="", "",TOTALCO!M968)</f>
        <v/>
      </c>
      <c r="N441" s="12">
        <f ca="1">IF(TOTALCO!N968="", "",TOTALCO!N968)</f>
        <v>9639680.6516212188</v>
      </c>
      <c r="O441" s="12">
        <f ca="1">IF(TOTALCO!O968="", "",TOTALCO!O968)</f>
        <v>4883011.0595430899</v>
      </c>
      <c r="P441" s="12">
        <f ca="1">IF(TOTALCO!P968="", "",TOTALCO!P968)</f>
        <v>4756669.5920781288</v>
      </c>
      <c r="Q441" s="12"/>
      <c r="R441" s="13"/>
    </row>
    <row r="442" spans="1:18" ht="15" x14ac:dyDescent="0.2">
      <c r="A442" s="321" t="str">
        <f>IF(TOTALCO!A969="", "",TOTALCO!A969)</f>
        <v/>
      </c>
      <c r="B442" s="4" t="str">
        <f>IF(TOTALCO!B969="", "",TOTALCO!B969)</f>
        <v/>
      </c>
      <c r="C442" s="4" t="str">
        <f>IF(TOTALCO!C969="", "",TOTALCO!C969)</f>
        <v/>
      </c>
      <c r="D442" s="12" t="str">
        <f>IF(TOTALCO!D969="", "",TOTALCO!D969)</f>
        <v/>
      </c>
      <c r="E442" s="12" t="str">
        <f>IF(TOTALCO!E969="", "",TOTALCO!E969)</f>
        <v/>
      </c>
      <c r="F442" s="12" t="str">
        <f>IF(TOTALCO!F969="", "",TOTALCO!F969)</f>
        <v/>
      </c>
      <c r="G442" s="12" t="str">
        <f>IF(TOTALCO!G969="", "",TOTALCO!G969)</f>
        <v/>
      </c>
      <c r="H442" s="12" t="str">
        <f>IF(TOTALCO!H969="", "",TOTALCO!H969)</f>
        <v/>
      </c>
      <c r="I442" s="12" t="str">
        <f>IF(TOTALCO!I969="", "",TOTALCO!I969)</f>
        <v/>
      </c>
      <c r="J442" s="12" t="str">
        <f>IF(TOTALCO!J969="", "",TOTALCO!J969)</f>
        <v/>
      </c>
      <c r="K442" s="12" t="str">
        <f>IF(TOTALCO!K969="", "",TOTALCO!K969)</f>
        <v/>
      </c>
      <c r="L442" s="12" t="str">
        <f>IF(TOTALCO!L969="", "",TOTALCO!L969)</f>
        <v/>
      </c>
      <c r="M442" s="12" t="str">
        <f>IF(TOTALCO!M969="", "",TOTALCO!M969)</f>
        <v/>
      </c>
      <c r="N442" s="12" t="str">
        <f>IF(TOTALCO!N969="", "",TOTALCO!N969)</f>
        <v/>
      </c>
      <c r="O442" s="12" t="str">
        <f>IF(TOTALCO!O969="", "",TOTALCO!O969)</f>
        <v/>
      </c>
      <c r="P442" s="12" t="str">
        <f>IF(TOTALCO!P969="", "",TOTALCO!P969)</f>
        <v/>
      </c>
      <c r="Q442" s="12"/>
      <c r="R442" s="13"/>
    </row>
    <row r="443" spans="1:18" ht="15" x14ac:dyDescent="0.2">
      <c r="A443" s="321" t="str">
        <f>IF(TOTALCO!A970="", "",TOTALCO!A970)</f>
        <v/>
      </c>
      <c r="B443" s="4" t="str">
        <f>IF(TOTALCO!B970="", "",TOTALCO!B970)</f>
        <v>PRODUCTION EXPENSE-HYDRO</v>
      </c>
      <c r="C443" s="4" t="str">
        <f>IF(TOTALCO!C970="", "",TOTALCO!C970)</f>
        <v/>
      </c>
      <c r="D443" s="12" t="str">
        <f>IF(TOTALCO!D970="", "",TOTALCO!D970)</f>
        <v/>
      </c>
      <c r="E443" s="12" t="str">
        <f>IF(TOTALCO!E970="", "",TOTALCO!E970)</f>
        <v/>
      </c>
      <c r="F443" s="12" t="str">
        <f>IF(TOTALCO!F970="", "",TOTALCO!F970)</f>
        <v/>
      </c>
      <c r="G443" s="12" t="str">
        <f>IF(TOTALCO!G970="", "",TOTALCO!G970)</f>
        <v/>
      </c>
      <c r="H443" s="12" t="str">
        <f>IF(TOTALCO!H970="", "",TOTALCO!H970)</f>
        <v/>
      </c>
      <c r="I443" s="12" t="str">
        <f>IF(TOTALCO!I970="", "",TOTALCO!I970)</f>
        <v/>
      </c>
      <c r="J443" s="12" t="str">
        <f>IF(TOTALCO!J970="", "",TOTALCO!J970)</f>
        <v/>
      </c>
      <c r="K443" s="12" t="str">
        <f>IF(TOTALCO!K970="", "",TOTALCO!K970)</f>
        <v/>
      </c>
      <c r="L443" s="12" t="str">
        <f>IF(TOTALCO!L970="", "",TOTALCO!L970)</f>
        <v/>
      </c>
      <c r="M443" s="12" t="str">
        <f>IF(TOTALCO!M970="", "",TOTALCO!M970)</f>
        <v/>
      </c>
      <c r="N443" s="12" t="str">
        <f>IF(TOTALCO!N970="", "",TOTALCO!N970)</f>
        <v/>
      </c>
      <c r="O443" s="12" t="str">
        <f>IF(TOTALCO!O970="", "",TOTALCO!O970)</f>
        <v/>
      </c>
      <c r="P443" s="12" t="str">
        <f>IF(TOTALCO!P970="", "",TOTALCO!P970)</f>
        <v/>
      </c>
      <c r="Q443" s="12"/>
      <c r="R443" s="13"/>
    </row>
    <row r="444" spans="1:18" ht="15" x14ac:dyDescent="0.2">
      <c r="A444" s="321">
        <f>IF(TOTALCO!A971="", "",TOTALCO!A971)</f>
        <v>17</v>
      </c>
      <c r="B444" s="4" t="str">
        <f>IF(TOTALCO!B971="", "",TOTALCO!B971)</f>
        <v xml:space="preserve">  535-SUPERV &amp; ENGINEERING</v>
      </c>
      <c r="C444" s="4" t="str">
        <f>IF(TOTALCO!C971="", "",TOTALCO!C971)</f>
        <v>HYDPLT</v>
      </c>
      <c r="D444" s="12">
        <f ca="1">IF(TOTALCO!D971="", "",TOTALCO!D971)</f>
        <v>0</v>
      </c>
      <c r="E444" s="12" t="str">
        <f>IF(TOTALCO!E971="", "",TOTALCO!E971)</f>
        <v/>
      </c>
      <c r="F444" s="12">
        <f ca="1">IF(TOTALCO!F971="", "",TOTALCO!F971)</f>
        <v>0</v>
      </c>
      <c r="G444" s="12" t="str">
        <f>IF(TOTALCO!G971="", "",TOTALCO!G971)</f>
        <v/>
      </c>
      <c r="H444" s="12">
        <f ca="1">IF(TOTALCO!H971="", "",TOTALCO!H971)</f>
        <v>0</v>
      </c>
      <c r="I444" s="12">
        <f ca="1">IF(TOTALCO!I971="", "",TOTALCO!I971)</f>
        <v>0</v>
      </c>
      <c r="J444" s="12" t="str">
        <f>IF(TOTALCO!J971="", "",TOTALCO!J971)</f>
        <v/>
      </c>
      <c r="K444" s="12" t="str">
        <f>IF(TOTALCO!K971="", "",TOTALCO!K971)</f>
        <v/>
      </c>
      <c r="L444" s="12">
        <f ca="1">IF(TOTALCO!L971="", "",TOTALCO!L971)</f>
        <v>0</v>
      </c>
      <c r="M444" s="12" t="str">
        <f>IF(TOTALCO!M971="", "",TOTALCO!M971)</f>
        <v/>
      </c>
      <c r="N444" s="12">
        <f ca="1">IF(TOTALCO!N971="", "",TOTALCO!N971)</f>
        <v>0</v>
      </c>
      <c r="O444" s="12">
        <f ca="1">IF(TOTALCO!O971="", "",TOTALCO!O971)</f>
        <v>0</v>
      </c>
      <c r="P444" s="12">
        <f ca="1">IF(TOTALCO!P971="", "",TOTALCO!P971)</f>
        <v>0</v>
      </c>
      <c r="Q444" s="12"/>
      <c r="R444" s="13"/>
    </row>
    <row r="445" spans="1:18" ht="15" x14ac:dyDescent="0.2">
      <c r="A445" s="321">
        <f>IF(TOTALCO!A972="", "",TOTALCO!A972)</f>
        <v>18</v>
      </c>
      <c r="B445" s="4" t="str">
        <f>IF(TOTALCO!B972="", "",TOTALCO!B972)</f>
        <v xml:space="preserve">  536-WATER FOR POWER</v>
      </c>
      <c r="C445" s="4" t="str">
        <f>IF(TOTALCO!C972="", "",TOTALCO!C972)</f>
        <v>HYDPLT</v>
      </c>
      <c r="D445" s="12">
        <f ca="1">IF(TOTALCO!D972="", "",TOTALCO!D972)</f>
        <v>0</v>
      </c>
      <c r="E445" s="12" t="str">
        <f>IF(TOTALCO!E972="", "",TOTALCO!E972)</f>
        <v/>
      </c>
      <c r="F445" s="12">
        <f ca="1">IF(TOTALCO!F972="", "",TOTALCO!F972)</f>
        <v>0</v>
      </c>
      <c r="G445" s="12" t="str">
        <f>IF(TOTALCO!G972="", "",TOTALCO!G972)</f>
        <v/>
      </c>
      <c r="H445" s="12">
        <f ca="1">IF(TOTALCO!H972="", "",TOTALCO!H972)</f>
        <v>0</v>
      </c>
      <c r="I445" s="12">
        <f ca="1">IF(TOTALCO!I972="", "",TOTALCO!I972)</f>
        <v>0</v>
      </c>
      <c r="J445" s="12" t="str">
        <f>IF(TOTALCO!J972="", "",TOTALCO!J972)</f>
        <v/>
      </c>
      <c r="K445" s="12" t="str">
        <f>IF(TOTALCO!K972="", "",TOTALCO!K972)</f>
        <v/>
      </c>
      <c r="L445" s="12">
        <f ca="1">IF(TOTALCO!L972="", "",TOTALCO!L972)</f>
        <v>0</v>
      </c>
      <c r="M445" s="12" t="str">
        <f>IF(TOTALCO!M972="", "",TOTALCO!M972)</f>
        <v/>
      </c>
      <c r="N445" s="12">
        <f ca="1">IF(TOTALCO!N972="", "",TOTALCO!N972)</f>
        <v>0</v>
      </c>
      <c r="O445" s="12">
        <f ca="1">IF(TOTALCO!O972="", "",TOTALCO!O972)</f>
        <v>0</v>
      </c>
      <c r="P445" s="12">
        <f ca="1">IF(TOTALCO!P972="", "",TOTALCO!P972)</f>
        <v>0</v>
      </c>
      <c r="Q445" s="12"/>
      <c r="R445" s="13"/>
    </row>
    <row r="446" spans="1:18" ht="15" x14ac:dyDescent="0.2">
      <c r="A446" s="321">
        <f>IF(TOTALCO!A973="", "",TOTALCO!A973)</f>
        <v>19</v>
      </c>
      <c r="B446" s="4" t="str">
        <f>IF(TOTALCO!B973="", "",TOTALCO!B973)</f>
        <v xml:space="preserve">  537-HYDRAULIC EXPENSES</v>
      </c>
      <c r="C446" s="4" t="str">
        <f>IF(TOTALCO!C973="", "",TOTALCO!C973)</f>
        <v>HYDPLT</v>
      </c>
      <c r="D446" s="12">
        <f ca="1">IF(TOTALCO!D973="", "",TOTALCO!D973)</f>
        <v>0</v>
      </c>
      <c r="E446" s="12" t="str">
        <f>IF(TOTALCO!E973="", "",TOTALCO!E973)</f>
        <v/>
      </c>
      <c r="F446" s="12">
        <f ca="1">IF(TOTALCO!F973="", "",TOTALCO!F973)</f>
        <v>0</v>
      </c>
      <c r="G446" s="12" t="str">
        <f>IF(TOTALCO!G973="", "",TOTALCO!G973)</f>
        <v/>
      </c>
      <c r="H446" s="12">
        <f ca="1">IF(TOTALCO!H973="", "",TOTALCO!H973)</f>
        <v>0</v>
      </c>
      <c r="I446" s="12">
        <f ca="1">IF(TOTALCO!I973="", "",TOTALCO!I973)</f>
        <v>0</v>
      </c>
      <c r="J446" s="12" t="str">
        <f>IF(TOTALCO!J973="", "",TOTALCO!J973)</f>
        <v/>
      </c>
      <c r="K446" s="12" t="str">
        <f>IF(TOTALCO!K973="", "",TOTALCO!K973)</f>
        <v/>
      </c>
      <c r="L446" s="12">
        <f ca="1">IF(TOTALCO!L973="", "",TOTALCO!L973)</f>
        <v>0</v>
      </c>
      <c r="M446" s="12" t="str">
        <f>IF(TOTALCO!M973="", "",TOTALCO!M973)</f>
        <v/>
      </c>
      <c r="N446" s="12">
        <f ca="1">IF(TOTALCO!N973="", "",TOTALCO!N973)</f>
        <v>0</v>
      </c>
      <c r="O446" s="12">
        <f ca="1">IF(TOTALCO!O973="", "",TOTALCO!O973)</f>
        <v>0</v>
      </c>
      <c r="P446" s="12">
        <f ca="1">IF(TOTALCO!P973="", "",TOTALCO!P973)</f>
        <v>0</v>
      </c>
      <c r="Q446" s="12"/>
      <c r="R446" s="13"/>
    </row>
    <row r="447" spans="1:18" ht="15" x14ac:dyDescent="0.2">
      <c r="A447" s="321">
        <f>IF(TOTALCO!A974="", "",TOTALCO!A974)</f>
        <v>20</v>
      </c>
      <c r="B447" s="4" t="str">
        <f>IF(TOTALCO!B974="", "",TOTALCO!B974)</f>
        <v xml:space="preserve">  538-ELECTRIC EXPENSES</v>
      </c>
      <c r="C447" s="4" t="str">
        <f>IF(TOTALCO!C974="", "",TOTALCO!C974)</f>
        <v>HYDPLT</v>
      </c>
      <c r="D447" s="12">
        <f ca="1">IF(TOTALCO!D974="", "",TOTALCO!D974)</f>
        <v>0</v>
      </c>
      <c r="E447" s="12" t="str">
        <f>IF(TOTALCO!E974="", "",TOTALCO!E974)</f>
        <v/>
      </c>
      <c r="F447" s="12">
        <f ca="1">IF(TOTALCO!F974="", "",TOTALCO!F974)</f>
        <v>0</v>
      </c>
      <c r="G447" s="12" t="str">
        <f>IF(TOTALCO!G974="", "",TOTALCO!G974)</f>
        <v/>
      </c>
      <c r="H447" s="12">
        <f ca="1">IF(TOTALCO!H974="", "",TOTALCO!H974)</f>
        <v>0</v>
      </c>
      <c r="I447" s="12">
        <f ca="1">IF(TOTALCO!I974="", "",TOTALCO!I974)</f>
        <v>0</v>
      </c>
      <c r="J447" s="12" t="str">
        <f>IF(TOTALCO!J974="", "",TOTALCO!J974)</f>
        <v/>
      </c>
      <c r="K447" s="12" t="str">
        <f>IF(TOTALCO!K974="", "",TOTALCO!K974)</f>
        <v/>
      </c>
      <c r="L447" s="12">
        <f ca="1">IF(TOTALCO!L974="", "",TOTALCO!L974)</f>
        <v>0</v>
      </c>
      <c r="M447" s="12" t="str">
        <f>IF(TOTALCO!M974="", "",TOTALCO!M974)</f>
        <v/>
      </c>
      <c r="N447" s="12">
        <f ca="1">IF(TOTALCO!N974="", "",TOTALCO!N974)</f>
        <v>0</v>
      </c>
      <c r="O447" s="12">
        <f ca="1">IF(TOTALCO!O974="", "",TOTALCO!O974)</f>
        <v>0</v>
      </c>
      <c r="P447" s="12">
        <f ca="1">IF(TOTALCO!P974="", "",TOTALCO!P974)</f>
        <v>0</v>
      </c>
      <c r="Q447" s="12"/>
      <c r="R447" s="13"/>
    </row>
    <row r="448" spans="1:18" ht="15" x14ac:dyDescent="0.2">
      <c r="A448" s="321">
        <f>IF(TOTALCO!A975="", "",TOTALCO!A975)</f>
        <v>21</v>
      </c>
      <c r="B448" s="4" t="str">
        <f>IF(TOTALCO!B975="", "",TOTALCO!B975)</f>
        <v xml:space="preserve">  539-MISC HYDRO POWER GENER</v>
      </c>
      <c r="C448" s="4" t="str">
        <f>IF(TOTALCO!C975="", "",TOTALCO!C975)</f>
        <v>HYDPLT</v>
      </c>
      <c r="D448" s="12">
        <f ca="1">IF(TOTALCO!D975="", "",TOTALCO!D975)</f>
        <v>10111.9999999999</v>
      </c>
      <c r="E448" s="12" t="str">
        <f>IF(TOTALCO!E975="", "",TOTALCO!E975)</f>
        <v/>
      </c>
      <c r="F448" s="12">
        <f ca="1">IF(TOTALCO!F975="", "",TOTALCO!F975)</f>
        <v>9475.2207024578693</v>
      </c>
      <c r="G448" s="12" t="str">
        <f>IF(TOTALCO!G975="", "",TOTALCO!G975)</f>
        <v/>
      </c>
      <c r="H448" s="12">
        <f ca="1">IF(TOTALCO!H975="", "",TOTALCO!H975)</f>
        <v>433.0727932887433</v>
      </c>
      <c r="I448" s="12">
        <f ca="1">IF(TOTALCO!I975="", "",TOTALCO!I975)</f>
        <v>203.70650425328751</v>
      </c>
      <c r="J448" s="12" t="str">
        <f>IF(TOTALCO!J975="", "",TOTALCO!J975)</f>
        <v/>
      </c>
      <c r="K448" s="12" t="str">
        <f>IF(TOTALCO!K975="", "",TOTALCO!K975)</f>
        <v/>
      </c>
      <c r="L448" s="12">
        <f ca="1">IF(TOTALCO!L975="", "",TOTALCO!L975)</f>
        <v>3.0353096699797799E-2</v>
      </c>
      <c r="M448" s="12" t="str">
        <f>IF(TOTALCO!M975="", "",TOTALCO!M975)</f>
        <v/>
      </c>
      <c r="N448" s="12">
        <f ca="1">IF(TOTALCO!N975="", "",TOTALCO!N975)</f>
        <v>203.67615115658771</v>
      </c>
      <c r="O448" s="12">
        <f ca="1">IF(TOTALCO!O975="", "",TOTALCO!O975)</f>
        <v>103.29885167273014</v>
      </c>
      <c r="P448" s="12">
        <f ca="1">IF(TOTALCO!P975="", "",TOTALCO!P975)</f>
        <v>100.37729948385757</v>
      </c>
      <c r="Q448" s="12"/>
      <c r="R448" s="13"/>
    </row>
    <row r="449" spans="1:18" ht="15" x14ac:dyDescent="0.2">
      <c r="A449" s="321">
        <f>IF(TOTALCO!A976="", "",TOTALCO!A976)</f>
        <v>22</v>
      </c>
      <c r="B449" s="4" t="str">
        <f>IF(TOTALCO!B976="", "",TOTALCO!B976)</f>
        <v xml:space="preserve">  540-RENTS</v>
      </c>
      <c r="C449" s="4" t="str">
        <f>IF(TOTALCO!C976="", "",TOTALCO!C976)</f>
        <v>HYDPLT</v>
      </c>
      <c r="D449" s="12">
        <f ca="1">IF(TOTALCO!D976="", "",TOTALCO!D976)</f>
        <v>0</v>
      </c>
      <c r="E449" s="12" t="str">
        <f>IF(TOTALCO!E976="", "",TOTALCO!E976)</f>
        <v/>
      </c>
      <c r="F449" s="12">
        <f ca="1">IF(TOTALCO!F976="", "",TOTALCO!F976)</f>
        <v>0</v>
      </c>
      <c r="G449" s="12" t="str">
        <f>IF(TOTALCO!G976="", "",TOTALCO!G976)</f>
        <v/>
      </c>
      <c r="H449" s="12">
        <f ca="1">IF(TOTALCO!H976="", "",TOTALCO!H976)</f>
        <v>0</v>
      </c>
      <c r="I449" s="12">
        <f ca="1">IF(TOTALCO!I976="", "",TOTALCO!I976)</f>
        <v>0</v>
      </c>
      <c r="J449" s="12" t="str">
        <f>IF(TOTALCO!J976="", "",TOTALCO!J976)</f>
        <v/>
      </c>
      <c r="K449" s="12" t="str">
        <f>IF(TOTALCO!K976="", "",TOTALCO!K976)</f>
        <v/>
      </c>
      <c r="L449" s="12">
        <f ca="1">IF(TOTALCO!L976="", "",TOTALCO!L976)</f>
        <v>0</v>
      </c>
      <c r="M449" s="12" t="str">
        <f>IF(TOTALCO!M976="", "",TOTALCO!M976)</f>
        <v/>
      </c>
      <c r="N449" s="12">
        <f ca="1">IF(TOTALCO!N976="", "",TOTALCO!N976)</f>
        <v>0</v>
      </c>
      <c r="O449" s="12">
        <f ca="1">IF(TOTALCO!O976="", "",TOTALCO!O976)</f>
        <v>0</v>
      </c>
      <c r="P449" s="12">
        <f ca="1">IF(TOTALCO!P976="", "",TOTALCO!P976)</f>
        <v>0</v>
      </c>
      <c r="Q449" s="12"/>
      <c r="R449" s="13"/>
    </row>
    <row r="450" spans="1:18" ht="15" x14ac:dyDescent="0.2">
      <c r="A450" s="321">
        <f>IF(TOTALCO!A977="", "",TOTALCO!A977)</f>
        <v>23</v>
      </c>
      <c r="B450" s="4" t="str">
        <f>IF(TOTALCO!B977="", "",TOTALCO!B977)</f>
        <v xml:space="preserve">    TOTAL HYDRO OPERATIONS</v>
      </c>
      <c r="C450" s="4" t="str">
        <f>IF(TOTALCO!C977="", "",TOTALCO!C977)</f>
        <v/>
      </c>
      <c r="D450" s="12">
        <f ca="1">IF(TOTALCO!D977="", "",TOTALCO!D977)</f>
        <v>10111.9999999999</v>
      </c>
      <c r="E450" s="12" t="str">
        <f>IF(TOTALCO!E977="", "",TOTALCO!E977)</f>
        <v/>
      </c>
      <c r="F450" s="12">
        <f ca="1">IF(TOTALCO!F977="", "",TOTALCO!F977)</f>
        <v>9475.2207024578693</v>
      </c>
      <c r="G450" s="12" t="str">
        <f>IF(TOTALCO!G977="", "",TOTALCO!G977)</f>
        <v/>
      </c>
      <c r="H450" s="12">
        <f ca="1">IF(TOTALCO!H977="", "",TOTALCO!H977)</f>
        <v>433.0727932887433</v>
      </c>
      <c r="I450" s="12">
        <f ca="1">IF(TOTALCO!I977="", "",TOTALCO!I977)</f>
        <v>203.70650425328751</v>
      </c>
      <c r="J450" s="12" t="str">
        <f>IF(TOTALCO!J977="", "",TOTALCO!J977)</f>
        <v/>
      </c>
      <c r="K450" s="12" t="str">
        <f>IF(TOTALCO!K977="", "",TOTALCO!K977)</f>
        <v/>
      </c>
      <c r="L450" s="12">
        <f ca="1">IF(TOTALCO!L977="", "",TOTALCO!L977)</f>
        <v>3.0353096699797799E-2</v>
      </c>
      <c r="M450" s="12" t="str">
        <f>IF(TOTALCO!M977="", "",TOTALCO!M977)</f>
        <v/>
      </c>
      <c r="N450" s="12">
        <f ca="1">IF(TOTALCO!N977="", "",TOTALCO!N977)</f>
        <v>203.67615115658771</v>
      </c>
      <c r="O450" s="12">
        <f ca="1">IF(TOTALCO!O977="", "",TOTALCO!O977)</f>
        <v>103.29885167273014</v>
      </c>
      <c r="P450" s="12">
        <f ca="1">IF(TOTALCO!P977="", "",TOTALCO!P977)</f>
        <v>100.37729948385757</v>
      </c>
      <c r="Q450" s="12"/>
      <c r="R450" s="13"/>
    </row>
    <row r="451" spans="1:18" ht="15" x14ac:dyDescent="0.2">
      <c r="A451" s="321">
        <f>IF(TOTALCO!A978="", "",TOTALCO!A978)</f>
        <v>24</v>
      </c>
      <c r="B451" s="4" t="str">
        <f>IF(TOTALCO!B978="", "",TOTALCO!B978)</f>
        <v xml:space="preserve">  541-SUPERV &amp; ENGINEERING</v>
      </c>
      <c r="C451" s="4" t="str">
        <f>IF(TOTALCO!C978="", "",TOTALCO!C978)</f>
        <v>HYDPLT</v>
      </c>
      <c r="D451" s="12">
        <f ca="1">IF(TOTALCO!D978="", "",TOTALCO!D978)</f>
        <v>226739.99999999898</v>
      </c>
      <c r="E451" s="12" t="str">
        <f>IF(TOTALCO!E978="", "",TOTALCO!E978)</f>
        <v/>
      </c>
      <c r="F451" s="12">
        <f ca="1">IF(TOTALCO!F978="", "",TOTALCO!F978)</f>
        <v>212461.5844615614</v>
      </c>
      <c r="G451" s="12" t="str">
        <f>IF(TOTALCO!G978="", "",TOTALCO!G978)</f>
        <v/>
      </c>
      <c r="H451" s="12">
        <f ca="1">IF(TOTALCO!H978="", "",TOTALCO!H978)</f>
        <v>9710.7323131220528</v>
      </c>
      <c r="I451" s="12">
        <f ca="1">IF(TOTALCO!I978="", "",TOTALCO!I978)</f>
        <v>4567.6832253155326</v>
      </c>
      <c r="J451" s="12" t="str">
        <f>IF(TOTALCO!J978="", "",TOTALCO!J978)</f>
        <v/>
      </c>
      <c r="K451" s="12" t="str">
        <f>IF(TOTALCO!K978="", "",TOTALCO!K978)</f>
        <v/>
      </c>
      <c r="L451" s="12">
        <f ca="1">IF(TOTALCO!L978="", "",TOTALCO!L978)</f>
        <v>0.68060335697312024</v>
      </c>
      <c r="M451" s="12" t="str">
        <f>IF(TOTALCO!M978="", "",TOTALCO!M978)</f>
        <v/>
      </c>
      <c r="N451" s="12">
        <f ca="1">IF(TOTALCO!N978="", "",TOTALCO!N978)</f>
        <v>4567.0026219585598</v>
      </c>
      <c r="O451" s="12">
        <f ca="1">IF(TOTALCO!O978="", "",TOTALCO!O978)</f>
        <v>2316.2560945683308</v>
      </c>
      <c r="P451" s="12">
        <f ca="1">IF(TOTALCO!P978="", "",TOTALCO!P978)</f>
        <v>2250.7465273902285</v>
      </c>
      <c r="Q451" s="12"/>
      <c r="R451" s="13"/>
    </row>
    <row r="452" spans="1:18" ht="15" x14ac:dyDescent="0.2">
      <c r="A452" s="321">
        <f>IF(TOTALCO!A979="", "",TOTALCO!A979)</f>
        <v>25</v>
      </c>
      <c r="B452" s="4" t="str">
        <f>IF(TOTALCO!B979="", "",TOTALCO!B979)</f>
        <v xml:space="preserve">  542-STRUCTURES</v>
      </c>
      <c r="C452" s="4" t="str">
        <f>IF(TOTALCO!C979="", "",TOTALCO!C979)</f>
        <v>HYDPLT</v>
      </c>
      <c r="D452" s="12">
        <f ca="1">IF(TOTALCO!D979="", "",TOTALCO!D979)</f>
        <v>225182.99999999901</v>
      </c>
      <c r="E452" s="12" t="str">
        <f>IF(TOTALCO!E979="", "",TOTALCO!E979)</f>
        <v/>
      </c>
      <c r="F452" s="12">
        <f ca="1">IF(TOTALCO!F979="", "",TOTALCO!F979)</f>
        <v>211002.6328561691</v>
      </c>
      <c r="G452" s="12" t="str">
        <f>IF(TOTALCO!G979="", "",TOTALCO!G979)</f>
        <v/>
      </c>
      <c r="H452" s="12">
        <f ca="1">IF(TOTALCO!H979="", "",TOTALCO!H979)</f>
        <v>9644.0497242028887</v>
      </c>
      <c r="I452" s="12">
        <f ca="1">IF(TOTALCO!I979="", "",TOTALCO!I979)</f>
        <v>4536.3174196270065</v>
      </c>
      <c r="J452" s="12" t="str">
        <f>IF(TOTALCO!J979="", "",TOTALCO!J979)</f>
        <v/>
      </c>
      <c r="K452" s="12" t="str">
        <f>IF(TOTALCO!K979="", "",TOTALCO!K979)</f>
        <v/>
      </c>
      <c r="L452" s="12">
        <f ca="1">IF(TOTALCO!L979="", "",TOTALCO!L979)</f>
        <v>0.67592972450065325</v>
      </c>
      <c r="M452" s="12" t="str">
        <f>IF(TOTALCO!M979="", "",TOTALCO!M979)</f>
        <v/>
      </c>
      <c r="N452" s="12">
        <f ca="1">IF(TOTALCO!N979="", "",TOTALCO!N979)</f>
        <v>4535.6414899025058</v>
      </c>
      <c r="O452" s="12">
        <f ca="1">IF(TOTALCO!O979="", "",TOTALCO!O979)</f>
        <v>2300.350604847757</v>
      </c>
      <c r="P452" s="12">
        <f ca="1">IF(TOTALCO!P979="", "",TOTALCO!P979)</f>
        <v>2235.2908850547492</v>
      </c>
      <c r="Q452" s="12"/>
      <c r="R452" s="13"/>
    </row>
    <row r="453" spans="1:18" ht="15" x14ac:dyDescent="0.2">
      <c r="A453" s="321">
        <f>IF(TOTALCO!A980="", "",TOTALCO!A980)</f>
        <v>26</v>
      </c>
      <c r="B453" s="4" t="str">
        <f>IF(TOTALCO!B980="", "",TOTALCO!B980)</f>
        <v xml:space="preserve">  543-RESERV, DAMS &amp; WATERWAY</v>
      </c>
      <c r="C453" s="4" t="str">
        <f>IF(TOTALCO!C980="", "",TOTALCO!C980)</f>
        <v>HYDPLT</v>
      </c>
      <c r="D453" s="12">
        <f ca="1">IF(TOTALCO!D980="", "",TOTALCO!D980)</f>
        <v>33916</v>
      </c>
      <c r="E453" s="12" t="str">
        <f>IF(TOTALCO!E980="", "",TOTALCO!E980)</f>
        <v/>
      </c>
      <c r="F453" s="12">
        <f ca="1">IF(TOTALCO!F980="", "",TOTALCO!F980)</f>
        <v>31780.220069676052</v>
      </c>
      <c r="G453" s="12" t="str">
        <f>IF(TOTALCO!G980="", "",TOTALCO!G980)</f>
        <v/>
      </c>
      <c r="H453" s="12">
        <f ca="1">IF(TOTALCO!H980="", "",TOTALCO!H980)</f>
        <v>1452.541224009213</v>
      </c>
      <c r="I453" s="12">
        <f ca="1">IF(TOTALCO!I980="", "",TOTALCO!I980)</f>
        <v>683.23870631473176</v>
      </c>
      <c r="J453" s="12" t="str">
        <f>IF(TOTALCO!J980="", "",TOTALCO!J980)</f>
        <v/>
      </c>
      <c r="K453" s="12" t="str">
        <f>IF(TOTALCO!K980="", "",TOTALCO!K980)</f>
        <v/>
      </c>
      <c r="L453" s="12">
        <f ca="1">IF(TOTALCO!L980="", "",TOTALCO!L980)</f>
        <v>0.10180534292626112</v>
      </c>
      <c r="M453" s="12" t="str">
        <f>IF(TOTALCO!M980="", "",TOTALCO!M980)</f>
        <v/>
      </c>
      <c r="N453" s="12">
        <f ca="1">IF(TOTALCO!N980="", "",TOTALCO!N980)</f>
        <v>683.13690097180552</v>
      </c>
      <c r="O453" s="12">
        <f ca="1">IF(TOTALCO!O980="", "",TOTALCO!O980)</f>
        <v>346.46794435644284</v>
      </c>
      <c r="P453" s="12">
        <f ca="1">IF(TOTALCO!P980="", "",TOTALCO!P980)</f>
        <v>336.66895661536267</v>
      </c>
      <c r="Q453" s="12"/>
      <c r="R453" s="13"/>
    </row>
    <row r="454" spans="1:18" ht="15" x14ac:dyDescent="0.2">
      <c r="A454" s="321">
        <f>IF(TOTALCO!A981="", "",TOTALCO!A981)</f>
        <v>27</v>
      </c>
      <c r="B454" s="4" t="str">
        <f>IF(TOTALCO!B981="", "",TOTALCO!B981)</f>
        <v xml:space="preserve">  544-ELECTRIC PLANT</v>
      </c>
      <c r="C454" s="4" t="str">
        <f>IF(TOTALCO!C981="", "",TOTALCO!C981)</f>
        <v>ENERGY</v>
      </c>
      <c r="D454" s="12">
        <f ca="1">IF(TOTALCO!D981="", "",TOTALCO!D981)</f>
        <v>44124.000000000007</v>
      </c>
      <c r="E454" s="12" t="str">
        <f>IF(TOTALCO!E981="", "",TOTALCO!E981)</f>
        <v/>
      </c>
      <c r="F454" s="12">
        <f ca="1">IF(TOTALCO!F981="", "",TOTALCO!F981)</f>
        <v>41521.088156924736</v>
      </c>
      <c r="G454" s="12" t="str">
        <f>IF(TOTALCO!G981="", "",TOTALCO!G981)</f>
        <v/>
      </c>
      <c r="H454" s="12">
        <f ca="1">IF(TOTALCO!H981="", "",TOTALCO!H981)</f>
        <v>1693.8710213823108</v>
      </c>
      <c r="I454" s="12">
        <f ca="1">IF(TOTALCO!I981="", "",TOTALCO!I981)</f>
        <v>909.04082169295805</v>
      </c>
      <c r="J454" s="12" t="str">
        <f>IF(TOTALCO!J981="", "",TOTALCO!J981)</f>
        <v/>
      </c>
      <c r="K454" s="12" t="str">
        <f>IF(TOTALCO!K981="", "",TOTALCO!K981)</f>
        <v/>
      </c>
      <c r="L454" s="12">
        <f ca="1">IF(TOTALCO!L981="", "",TOTALCO!L981)</f>
        <v>0.18582570010350019</v>
      </c>
      <c r="M454" s="12" t="str">
        <f>IF(TOTALCO!M981="", "",TOTALCO!M981)</f>
        <v/>
      </c>
      <c r="N454" s="12">
        <f ca="1">IF(TOTALCO!N981="", "",TOTALCO!N981)</f>
        <v>908.85499599285458</v>
      </c>
      <c r="O454" s="12">
        <f ca="1">IF(TOTALCO!O981="", "",TOTALCO!O981)</f>
        <v>460.25112988380135</v>
      </c>
      <c r="P454" s="12">
        <f ca="1">IF(TOTALCO!P981="", "",TOTALCO!P981)</f>
        <v>448.60386610905329</v>
      </c>
      <c r="Q454" s="12"/>
      <c r="R454" s="13"/>
    </row>
    <row r="455" spans="1:18" ht="15" x14ac:dyDescent="0.2">
      <c r="A455" s="321">
        <f>IF(TOTALCO!A982="", "",TOTALCO!A982)</f>
        <v>28</v>
      </c>
      <c r="B455" s="4" t="str">
        <f>IF(TOTALCO!B982="", "",TOTALCO!B982)</f>
        <v xml:space="preserve">  545-MISC HYDRAULIC PLANT</v>
      </c>
      <c r="C455" s="4" t="str">
        <f>IF(TOTALCO!C982="", "",TOTALCO!C982)</f>
        <v>HYDPLT</v>
      </c>
      <c r="D455" s="12">
        <f ca="1">IF(TOTALCO!D982="", "",TOTALCO!D982)</f>
        <v>11143.9999999999</v>
      </c>
      <c r="E455" s="12" t="str">
        <f>IF(TOTALCO!E982="", "",TOTALCO!E982)</f>
        <v/>
      </c>
      <c r="F455" s="12">
        <f ca="1">IF(TOTALCO!F982="", "",TOTALCO!F982)</f>
        <v>10442.232941870114</v>
      </c>
      <c r="G455" s="12" t="str">
        <f>IF(TOTALCO!G982="", "",TOTALCO!G982)</f>
        <v/>
      </c>
      <c r="H455" s="12">
        <f ca="1">IF(TOTALCO!H982="", "",TOTALCO!H982)</f>
        <v>477.27088690761076</v>
      </c>
      <c r="I455" s="12">
        <f ca="1">IF(TOTALCO!I982="", "",TOTALCO!I982)</f>
        <v>224.49617122217546</v>
      </c>
      <c r="J455" s="12" t="str">
        <f>IF(TOTALCO!J982="", "",TOTALCO!J982)</f>
        <v/>
      </c>
      <c r="K455" s="12" t="str">
        <f>IF(TOTALCO!K982="", "",TOTALCO!K982)</f>
        <v/>
      </c>
      <c r="L455" s="12">
        <f ca="1">IF(TOTALCO!L982="", "",TOTALCO!L982)</f>
        <v>3.3450841537039852E-2</v>
      </c>
      <c r="M455" s="12" t="str">
        <f>IF(TOTALCO!M982="", "",TOTALCO!M982)</f>
        <v/>
      </c>
      <c r="N455" s="12">
        <f ca="1">IF(TOTALCO!N982="", "",TOTALCO!N982)</f>
        <v>224.46272038063842</v>
      </c>
      <c r="O455" s="12">
        <f ca="1">IF(TOTALCO!O982="", "",TOTALCO!O982)</f>
        <v>113.84121865515286</v>
      </c>
      <c r="P455" s="12">
        <f ca="1">IF(TOTALCO!P982="", "",TOTALCO!P982)</f>
        <v>110.62150172548554</v>
      </c>
      <c r="Q455" s="12"/>
      <c r="R455" s="13"/>
    </row>
    <row r="456" spans="1:18" ht="15" x14ac:dyDescent="0.2">
      <c r="A456" s="321">
        <f>IF(TOTALCO!A983="", "",TOTALCO!A983)</f>
        <v>29</v>
      </c>
      <c r="B456" s="4" t="str">
        <f>IF(TOTALCO!B983="", "",TOTALCO!B983)</f>
        <v xml:space="preserve">    TOTAL HYDRO MAINTENANCE</v>
      </c>
      <c r="C456" s="4" t="str">
        <f>IF(TOTALCO!C983="", "",TOTALCO!C983)</f>
        <v/>
      </c>
      <c r="D456" s="12">
        <f ca="1">IF(TOTALCO!D983="", "",TOTALCO!D983)</f>
        <v>541106.9999999979</v>
      </c>
      <c r="E456" s="12" t="str">
        <f>IF(TOTALCO!E983="", "",TOTALCO!E983)</f>
        <v/>
      </c>
      <c r="F456" s="12">
        <f ca="1">IF(TOTALCO!F983="", "",TOTALCO!F983)</f>
        <v>507207.75848620146</v>
      </c>
      <c r="G456" s="12" t="str">
        <f>IF(TOTALCO!G983="", "",TOTALCO!G983)</f>
        <v/>
      </c>
      <c r="H456" s="12">
        <f ca="1">IF(TOTALCO!H983="", "",TOTALCO!H983)</f>
        <v>22978.465169624076</v>
      </c>
      <c r="I456" s="12">
        <f ca="1">IF(TOTALCO!I983="", "",TOTALCO!I983)</f>
        <v>10920.776344172406</v>
      </c>
      <c r="J456" s="12" t="str">
        <f>IF(TOTALCO!J983="", "",TOTALCO!J983)</f>
        <v/>
      </c>
      <c r="K456" s="12" t="str">
        <f>IF(TOTALCO!K983="", "",TOTALCO!K983)</f>
        <v/>
      </c>
      <c r="L456" s="12">
        <f ca="1">IF(TOTALCO!L983="", "",TOTALCO!L983)</f>
        <v>1.6776149660405746</v>
      </c>
      <c r="M456" s="12" t="str">
        <f>IF(TOTALCO!M983="", "",TOTALCO!M983)</f>
        <v/>
      </c>
      <c r="N456" s="12">
        <f ca="1">IF(TOTALCO!N983="", "",TOTALCO!N983)</f>
        <v>10919.098729206366</v>
      </c>
      <c r="O456" s="12">
        <f ca="1">IF(TOTALCO!O983="", "",TOTALCO!O983)</f>
        <v>5537.166992311486</v>
      </c>
      <c r="P456" s="12">
        <f ca="1">IF(TOTALCO!P983="", "",TOTALCO!P983)</f>
        <v>5381.9317368948787</v>
      </c>
      <c r="Q456" s="12"/>
      <c r="R456" s="13"/>
    </row>
    <row r="457" spans="1:18" ht="15" x14ac:dyDescent="0.2">
      <c r="A457" s="321" t="str">
        <f>IF(TOTALCO!A984="", "",TOTALCO!A984)</f>
        <v/>
      </c>
      <c r="B457" s="4" t="str">
        <f>IF(TOTALCO!B984="", "",TOTALCO!B984)</f>
        <v/>
      </c>
      <c r="C457" s="4" t="str">
        <f>IF(TOTALCO!C984="", "",TOTALCO!C984)</f>
        <v/>
      </c>
      <c r="D457" s="12" t="str">
        <f>IF(TOTALCO!D984="", "",TOTALCO!D984)</f>
        <v/>
      </c>
      <c r="E457" s="12" t="str">
        <f>IF(TOTALCO!E984="", "",TOTALCO!E984)</f>
        <v/>
      </c>
      <c r="F457" s="12" t="str">
        <f>IF(TOTALCO!F984="", "",TOTALCO!F984)</f>
        <v/>
      </c>
      <c r="G457" s="12" t="str">
        <f>IF(TOTALCO!G984="", "",TOTALCO!G984)</f>
        <v/>
      </c>
      <c r="H457" s="12" t="str">
        <f>IF(TOTALCO!H984="", "",TOTALCO!H984)</f>
        <v/>
      </c>
      <c r="I457" s="12" t="str">
        <f>IF(TOTALCO!I984="", "",TOTALCO!I984)</f>
        <v/>
      </c>
      <c r="J457" s="12" t="str">
        <f>IF(TOTALCO!J984="", "",TOTALCO!J984)</f>
        <v/>
      </c>
      <c r="K457" s="12" t="str">
        <f>IF(TOTALCO!K984="", "",TOTALCO!K984)</f>
        <v/>
      </c>
      <c r="L457" s="12" t="str">
        <f>IF(TOTALCO!L984="", "",TOTALCO!L984)</f>
        <v/>
      </c>
      <c r="M457" s="12" t="str">
        <f>IF(TOTALCO!M984="", "",TOTALCO!M984)</f>
        <v/>
      </c>
      <c r="N457" s="12" t="str">
        <f>IF(TOTALCO!N984="", "",TOTALCO!N984)</f>
        <v/>
      </c>
      <c r="O457" s="12" t="str">
        <f>IF(TOTALCO!O984="", "",TOTALCO!O984)</f>
        <v/>
      </c>
      <c r="P457" s="12" t="str">
        <f>IF(TOTALCO!P984="", "",TOTALCO!P984)</f>
        <v/>
      </c>
      <c r="Q457" s="12"/>
      <c r="R457" s="13"/>
    </row>
    <row r="458" spans="1:18" ht="15" x14ac:dyDescent="0.2">
      <c r="A458" s="321">
        <f>IF(TOTALCO!A985="", "",TOTALCO!A985)</f>
        <v>30</v>
      </c>
      <c r="B458" s="4" t="str">
        <f>IF(TOTALCO!B985="", "",TOTALCO!B985)</f>
        <v>TOTAL HYDRO GENERATION</v>
      </c>
      <c r="C458" s="4" t="str">
        <f>IF(TOTALCO!C985="", "",TOTALCO!C985)</f>
        <v/>
      </c>
      <c r="D458" s="12">
        <f ca="1">IF(TOTALCO!D985="", "",TOTALCO!D985)</f>
        <v>551218.9999999979</v>
      </c>
      <c r="E458" s="12" t="str">
        <f>IF(TOTALCO!E985="", "",TOTALCO!E985)</f>
        <v/>
      </c>
      <c r="F458" s="12">
        <f ca="1">IF(TOTALCO!F985="", "",TOTALCO!F985)</f>
        <v>516682.97918865934</v>
      </c>
      <c r="G458" s="12" t="str">
        <f>IF(TOTALCO!G985="", "",TOTALCO!G985)</f>
        <v/>
      </c>
      <c r="H458" s="12">
        <f ca="1">IF(TOTALCO!H985="", "",TOTALCO!H985)</f>
        <v>23411.537962912818</v>
      </c>
      <c r="I458" s="12">
        <f ca="1">IF(TOTALCO!I985="", "",TOTALCO!I985)</f>
        <v>11124.482848425692</v>
      </c>
      <c r="J458" s="12" t="str">
        <f>IF(TOTALCO!J985="", "",TOTALCO!J985)</f>
        <v/>
      </c>
      <c r="K458" s="12" t="str">
        <f>IF(TOTALCO!K985="", "",TOTALCO!K985)</f>
        <v/>
      </c>
      <c r="L458" s="12">
        <f ca="1">IF(TOTALCO!L985="", "",TOTALCO!L985)</f>
        <v>1.7079680627403724</v>
      </c>
      <c r="M458" s="12" t="str">
        <f>IF(TOTALCO!M985="", "",TOTALCO!M985)</f>
        <v/>
      </c>
      <c r="N458" s="12">
        <f ca="1">IF(TOTALCO!N985="", "",TOTALCO!N985)</f>
        <v>11122.774880362951</v>
      </c>
      <c r="O458" s="12">
        <f ca="1">IF(TOTALCO!O985="", "",TOTALCO!O985)</f>
        <v>5640.465843984216</v>
      </c>
      <c r="P458" s="12">
        <f ca="1">IF(TOTALCO!P985="", "",TOTALCO!P985)</f>
        <v>5482.309036378736</v>
      </c>
      <c r="Q458" s="12"/>
      <c r="R458" s="13"/>
    </row>
    <row r="459" spans="1:18" ht="15" x14ac:dyDescent="0.2">
      <c r="A459" s="321" t="str">
        <f>IF(TOTALCO!A986="", "",TOTALCO!A986)</f>
        <v/>
      </c>
      <c r="B459" s="4" t="str">
        <f>IF(TOTALCO!B986="", "",TOTALCO!B986)</f>
        <v/>
      </c>
      <c r="C459" s="4" t="str">
        <f>IF(TOTALCO!C986="", "",TOTALCO!C986)</f>
        <v/>
      </c>
      <c r="D459" s="12" t="str">
        <f>IF(TOTALCO!D986="", "",TOTALCO!D986)</f>
        <v/>
      </c>
      <c r="E459" s="12" t="str">
        <f>IF(TOTALCO!E986="", "",TOTALCO!E986)</f>
        <v/>
      </c>
      <c r="F459" s="12" t="str">
        <f>IF(TOTALCO!F986="", "",TOTALCO!F986)</f>
        <v/>
      </c>
      <c r="G459" s="12" t="str">
        <f>IF(TOTALCO!G986="", "",TOTALCO!G986)</f>
        <v/>
      </c>
      <c r="H459" s="12" t="str">
        <f>IF(TOTALCO!H986="", "",TOTALCO!H986)</f>
        <v/>
      </c>
      <c r="I459" s="12" t="str">
        <f>IF(TOTALCO!I986="", "",TOTALCO!I986)</f>
        <v/>
      </c>
      <c r="J459" s="12" t="str">
        <f>IF(TOTALCO!J986="", "",TOTALCO!J986)</f>
        <v/>
      </c>
      <c r="K459" s="12" t="str">
        <f>IF(TOTALCO!K986="", "",TOTALCO!K986)</f>
        <v/>
      </c>
      <c r="L459" s="12" t="str">
        <f>IF(TOTALCO!L986="", "",TOTALCO!L986)</f>
        <v/>
      </c>
      <c r="M459" s="12" t="str">
        <f>IF(TOTALCO!M986="", "",TOTALCO!M986)</f>
        <v/>
      </c>
      <c r="N459" s="12" t="str">
        <f>IF(TOTALCO!N986="", "",TOTALCO!N986)</f>
        <v/>
      </c>
      <c r="O459" s="12" t="str">
        <f>IF(TOTALCO!O986="", "",TOTALCO!O986)</f>
        <v/>
      </c>
      <c r="P459" s="12" t="str">
        <f>IF(TOTALCO!P986="", "",TOTALCO!P986)</f>
        <v/>
      </c>
      <c r="Q459" s="12"/>
      <c r="R459" s="13"/>
    </row>
    <row r="460" spans="1:18" ht="15" x14ac:dyDescent="0.2">
      <c r="A460" s="321" t="str">
        <f>IF(TOTALCO!A987="", "",TOTALCO!A987)</f>
        <v/>
      </c>
      <c r="B460" s="4" t="str">
        <f>IF(TOTALCO!B987="", "",TOTALCO!B987)</f>
        <v>PRODUCTION EXPENSE-OTHER</v>
      </c>
      <c r="C460" s="4" t="str">
        <f>IF(TOTALCO!C987="", "",TOTALCO!C987)</f>
        <v/>
      </c>
      <c r="D460" s="12" t="str">
        <f>IF(TOTALCO!D987="", "",TOTALCO!D987)</f>
        <v/>
      </c>
      <c r="E460" s="12" t="str">
        <f>IF(TOTALCO!E987="", "",TOTALCO!E987)</f>
        <v/>
      </c>
      <c r="F460" s="12" t="str">
        <f>IF(TOTALCO!F987="", "",TOTALCO!F987)</f>
        <v/>
      </c>
      <c r="G460" s="12" t="str">
        <f>IF(TOTALCO!G987="", "",TOTALCO!G987)</f>
        <v/>
      </c>
      <c r="H460" s="12" t="str">
        <f>IF(TOTALCO!H987="", "",TOTALCO!H987)</f>
        <v/>
      </c>
      <c r="I460" s="12" t="str">
        <f>IF(TOTALCO!I987="", "",TOTALCO!I987)</f>
        <v/>
      </c>
      <c r="J460" s="12" t="str">
        <f>IF(TOTALCO!J987="", "",TOTALCO!J987)</f>
        <v/>
      </c>
      <c r="K460" s="12" t="str">
        <f>IF(TOTALCO!K987="", "",TOTALCO!K987)</f>
        <v/>
      </c>
      <c r="L460" s="12" t="str">
        <f>IF(TOTALCO!L987="", "",TOTALCO!L987)</f>
        <v/>
      </c>
      <c r="M460" s="12" t="str">
        <f>IF(TOTALCO!M987="", "",TOTALCO!M987)</f>
        <v/>
      </c>
      <c r="N460" s="12" t="str">
        <f>IF(TOTALCO!N987="", "",TOTALCO!N987)</f>
        <v/>
      </c>
      <c r="O460" s="12" t="str">
        <f>IF(TOTALCO!O987="", "",TOTALCO!O987)</f>
        <v/>
      </c>
      <c r="P460" s="12" t="str">
        <f>IF(TOTALCO!P987="", "",TOTALCO!P987)</f>
        <v/>
      </c>
      <c r="Q460" s="12"/>
      <c r="R460" s="13"/>
    </row>
    <row r="461" spans="1:18" ht="15" x14ac:dyDescent="0.2">
      <c r="A461" s="321">
        <f>IF(TOTALCO!A988="", "",TOTALCO!A988)</f>
        <v>31</v>
      </c>
      <c r="B461" s="4" t="str">
        <f>IF(TOTALCO!B988="", "",TOTALCO!B988)</f>
        <v xml:space="preserve">  546-SUPERV &amp; ENGINEERING</v>
      </c>
      <c r="C461" s="4" t="str">
        <f>IF(TOTALCO!C988="", "",TOTALCO!C988)</f>
        <v>OTHPLT</v>
      </c>
      <c r="D461" s="12">
        <f ca="1">IF(TOTALCO!D988="", "",TOTALCO!D988)</f>
        <v>1306825.0000000002</v>
      </c>
      <c r="E461" s="12" t="str">
        <f>IF(TOTALCO!E988="", "",TOTALCO!E988)</f>
        <v/>
      </c>
      <c r="F461" s="12">
        <f ca="1">IF(TOTALCO!F988="", "",TOTALCO!F988)</f>
        <v>1224070.5677148106</v>
      </c>
      <c r="G461" s="12" t="str">
        <f>IF(TOTALCO!G988="", "",TOTALCO!G988)</f>
        <v/>
      </c>
      <c r="H461" s="12">
        <f ca="1">IF(TOTALCO!H988="", "",TOTALCO!H988)</f>
        <v>55834.924534332677</v>
      </c>
      <c r="I461" s="12">
        <f ca="1">IF(TOTALCO!I988="", "",TOTALCO!I988)</f>
        <v>26919.507750856879</v>
      </c>
      <c r="J461" s="12" t="str">
        <f>IF(TOTALCO!J988="", "",TOTALCO!J988)</f>
        <v/>
      </c>
      <c r="K461" s="12" t="str">
        <f>IF(TOTALCO!K988="", "",TOTALCO!K988)</f>
        <v/>
      </c>
      <c r="L461" s="12">
        <f ca="1">IF(TOTALCO!L988="", "",TOTALCO!L988)</f>
        <v>3.9138466411531185</v>
      </c>
      <c r="M461" s="12" t="str">
        <f>IF(TOTALCO!M988="", "",TOTALCO!M988)</f>
        <v/>
      </c>
      <c r="N461" s="12">
        <f ca="1">IF(TOTALCO!N988="", "",TOTALCO!N988)</f>
        <v>26915.593904215726</v>
      </c>
      <c r="O461" s="12">
        <f ca="1">IF(TOTALCO!O988="", "",TOTALCO!O988)</f>
        <v>13650.837010649648</v>
      </c>
      <c r="P461" s="12">
        <f ca="1">IF(TOTALCO!P988="", "",TOTALCO!P988)</f>
        <v>13264.756893566077</v>
      </c>
      <c r="Q461" s="12"/>
      <c r="R461" s="13"/>
    </row>
    <row r="462" spans="1:18" ht="15" x14ac:dyDescent="0.2">
      <c r="A462" s="321">
        <f>IF(TOTALCO!A989="", "",TOTALCO!A989)</f>
        <v>32</v>
      </c>
      <c r="B462" s="4" t="str">
        <f>IF(TOTALCO!B989="", "",TOTALCO!B989)</f>
        <v xml:space="preserve">  547-FUEL</v>
      </c>
      <c r="C462" s="4" t="str">
        <f>IF(TOTALCO!C989="", "",TOTALCO!C989)</f>
        <v>ENERGY</v>
      </c>
      <c r="D462" s="12">
        <f ca="1">IF(TOTALCO!D989="", "",TOTALCO!D989)</f>
        <v>125544025.15006199</v>
      </c>
      <c r="E462" s="12" t="str">
        <f>IF(TOTALCO!E989="", "",TOTALCO!E989)</f>
        <v/>
      </c>
      <c r="F462" s="12">
        <f ca="1">IF(TOTALCO!F989="", "",TOTALCO!F989)</f>
        <v>118138077.59565996</v>
      </c>
      <c r="G462" s="12" t="str">
        <f>IF(TOTALCO!G989="", "",TOTALCO!G989)</f>
        <v/>
      </c>
      <c r="H462" s="12">
        <f ca="1">IF(TOTALCO!H989="", "",TOTALCO!H989)</f>
        <v>4819494.7445694413</v>
      </c>
      <c r="I462" s="12">
        <f ca="1">IF(TOTALCO!I989="", "",TOTALCO!I989)</f>
        <v>2586452.8098326023</v>
      </c>
      <c r="J462" s="12" t="str">
        <f>IF(TOTALCO!J989="", "",TOTALCO!J989)</f>
        <v/>
      </c>
      <c r="K462" s="12" t="str">
        <f>IF(TOTALCO!K989="", "",TOTALCO!K989)</f>
        <v/>
      </c>
      <c r="L462" s="12">
        <f ca="1">IF(TOTALCO!L989="", "",TOTALCO!L989)</f>
        <v>528.72147510021091</v>
      </c>
      <c r="M462" s="12" t="str">
        <f>IF(TOTALCO!M989="", "",TOTALCO!M989)</f>
        <v/>
      </c>
      <c r="N462" s="12">
        <f ca="1">IF(TOTALCO!N989="", "",TOTALCO!N989)</f>
        <v>2585924.0883575021</v>
      </c>
      <c r="O462" s="12">
        <f ca="1">IF(TOTALCO!O989="", "",TOTALCO!O989)</f>
        <v>1309531.7610705376</v>
      </c>
      <c r="P462" s="12">
        <f ca="1">IF(TOTALCO!P989="", "",TOTALCO!P989)</f>
        <v>1276392.3272869645</v>
      </c>
      <c r="Q462" s="12"/>
      <c r="R462" s="13"/>
    </row>
    <row r="463" spans="1:18" ht="15" x14ac:dyDescent="0.2">
      <c r="A463" s="321">
        <f>IF(TOTALCO!A990="", "",TOTALCO!A990)</f>
        <v>33</v>
      </c>
      <c r="B463" s="4" t="str">
        <f>IF(TOTALCO!B990="", "",TOTALCO!B990)</f>
        <v xml:space="preserve">  548-GENERATION EXPENSES</v>
      </c>
      <c r="C463" s="4" t="str">
        <f>IF(TOTALCO!C990="", "",TOTALCO!C990)</f>
        <v>OTHPLT</v>
      </c>
      <c r="D463" s="12">
        <f ca="1">IF(TOTALCO!D990="", "",TOTALCO!D990)</f>
        <v>631118.00000000012</v>
      </c>
      <c r="E463" s="12" t="str">
        <f>IF(TOTALCO!E990="", "",TOTALCO!E990)</f>
        <v/>
      </c>
      <c r="F463" s="12">
        <f ca="1">IF(TOTALCO!F990="", "",TOTALCO!F990)</f>
        <v>591152.578619965</v>
      </c>
      <c r="G463" s="12" t="str">
        <f>IF(TOTALCO!G990="", "",TOTALCO!G990)</f>
        <v/>
      </c>
      <c r="H463" s="12">
        <f ca="1">IF(TOTALCO!H990="", "",TOTALCO!H990)</f>
        <v>26964.915656081703</v>
      </c>
      <c r="I463" s="12">
        <f ca="1">IF(TOTALCO!I990="", "",TOTALCO!I990)</f>
        <v>13000.505723953314</v>
      </c>
      <c r="J463" s="12" t="str">
        <f>IF(TOTALCO!J990="", "",TOTALCO!J990)</f>
        <v/>
      </c>
      <c r="K463" s="12" t="str">
        <f>IF(TOTALCO!K990="", "",TOTALCO!K990)</f>
        <v/>
      </c>
      <c r="L463" s="12">
        <f ca="1">IF(TOTALCO!L990="", "",TOTALCO!L990)</f>
        <v>1.8901529007107101</v>
      </c>
      <c r="M463" s="12" t="str">
        <f>IF(TOTALCO!M990="", "",TOTALCO!M990)</f>
        <v/>
      </c>
      <c r="N463" s="12">
        <f ca="1">IF(TOTALCO!N990="", "",TOTALCO!N990)</f>
        <v>12998.615571052604</v>
      </c>
      <c r="O463" s="12">
        <f ca="1">IF(TOTALCO!O990="", "",TOTALCO!O990)</f>
        <v>6592.5345417230192</v>
      </c>
      <c r="P463" s="12">
        <f ca="1">IF(TOTALCO!P990="", "",TOTALCO!P990)</f>
        <v>6406.0810293295854</v>
      </c>
      <c r="Q463" s="12"/>
      <c r="R463" s="13"/>
    </row>
    <row r="464" spans="1:18" ht="15" x14ac:dyDescent="0.2">
      <c r="A464" s="321">
        <f>IF(TOTALCO!A991="", "",TOTALCO!A991)</f>
        <v>34</v>
      </c>
      <c r="B464" s="4" t="str">
        <f>IF(TOTALCO!B991="", "",TOTALCO!B991)</f>
        <v xml:space="preserve">  549-MISC OTH POWER GENER</v>
      </c>
      <c r="C464" s="4" t="str">
        <f>IF(TOTALCO!C991="", "",TOTALCO!C991)</f>
        <v>OTHPLT</v>
      </c>
      <c r="D464" s="12">
        <f ca="1">IF(TOTALCO!D991="", "",TOTALCO!D991)</f>
        <v>4610326</v>
      </c>
      <c r="E464" s="12" t="str">
        <f>IF(TOTALCO!E991="", "",TOTALCO!E991)</f>
        <v/>
      </c>
      <c r="F464" s="12">
        <f ca="1">IF(TOTALCO!F991="", "",TOTALCO!F991)</f>
        <v>4321192.5429301104</v>
      </c>
      <c r="G464" s="12" t="str">
        <f>IF(TOTALCO!G991="", "",TOTALCO!G991)</f>
        <v/>
      </c>
      <c r="H464" s="12">
        <f ca="1">IF(TOTALCO!H991="", "",TOTALCO!H991)</f>
        <v>195080.12211615677</v>
      </c>
      <c r="I464" s="12">
        <f ca="1">IF(TOTALCO!I991="", "",TOTALCO!I991)</f>
        <v>94053.334953732861</v>
      </c>
      <c r="J464" s="12" t="str">
        <f>IF(TOTALCO!J991="", "",TOTALCO!J991)</f>
        <v/>
      </c>
      <c r="K464" s="12" t="str">
        <f>IF(TOTALCO!K991="", "",TOTALCO!K991)</f>
        <v/>
      </c>
      <c r="L464" s="12">
        <f ca="1">IF(TOTALCO!L991="", "",TOTALCO!L991)</f>
        <v>13.674482182394259</v>
      </c>
      <c r="M464" s="12" t="str">
        <f>IF(TOTALCO!M991="", "",TOTALCO!M991)</f>
        <v/>
      </c>
      <c r="N464" s="12">
        <f ca="1">IF(TOTALCO!N991="", "",TOTALCO!N991)</f>
        <v>94039.660471550465</v>
      </c>
      <c r="O464" s="12">
        <f ca="1">IF(TOTALCO!O991="", "",TOTALCO!O991)</f>
        <v>47694.287638694899</v>
      </c>
      <c r="P464" s="12">
        <f ca="1">IF(TOTALCO!P991="", "",TOTALCO!P991)</f>
        <v>46345.372832855566</v>
      </c>
      <c r="Q464" s="12"/>
      <c r="R464" s="13"/>
    </row>
    <row r="465" spans="1:18" ht="15" x14ac:dyDescent="0.2">
      <c r="A465" s="321">
        <f>IF(TOTALCO!A992="", "",TOTALCO!A992)</f>
        <v>35</v>
      </c>
      <c r="B465" s="4" t="str">
        <f>IF(TOTALCO!B992="", "",TOTALCO!B992)</f>
        <v xml:space="preserve">  550-RENTS</v>
      </c>
      <c r="C465" s="4" t="str">
        <f>IF(TOTALCO!C992="", "",TOTALCO!C992)</f>
        <v>OTHPLT</v>
      </c>
      <c r="D465" s="12">
        <f ca="1">IF(TOTALCO!D992="", "",TOTALCO!D992)</f>
        <v>10000</v>
      </c>
      <c r="E465" s="12" t="str">
        <f>IF(TOTALCO!E992="", "",TOTALCO!E992)</f>
        <v/>
      </c>
      <c r="F465" s="12">
        <f ca="1">IF(TOTALCO!F992="", "",TOTALCO!F992)</f>
        <v>9366.7519959811798</v>
      </c>
      <c r="G465" s="12" t="str">
        <f>IF(TOTALCO!G992="", "",TOTALCO!G992)</f>
        <v/>
      </c>
      <c r="H465" s="12">
        <f ca="1">IF(TOTALCO!H992="", "",TOTALCO!H992)</f>
        <v>427.25632379494328</v>
      </c>
      <c r="I465" s="12">
        <f ca="1">IF(TOTALCO!I992="", "",TOTALCO!I992)</f>
        <v>205.99168022387755</v>
      </c>
      <c r="J465" s="12" t="str">
        <f>IF(TOTALCO!J992="", "",TOTALCO!J992)</f>
        <v/>
      </c>
      <c r="K465" s="12" t="str">
        <f>IF(TOTALCO!K992="", "",TOTALCO!K992)</f>
        <v/>
      </c>
      <c r="L465" s="12">
        <f ca="1">IF(TOTALCO!L992="", "",TOTALCO!L992)</f>
        <v>2.9949278909977374E-2</v>
      </c>
      <c r="M465" s="12" t="str">
        <f>IF(TOTALCO!M992="", "",TOTALCO!M992)</f>
        <v/>
      </c>
      <c r="N465" s="12">
        <f ca="1">IF(TOTALCO!N992="", "",TOTALCO!N992)</f>
        <v>205.96173094496757</v>
      </c>
      <c r="O465" s="12">
        <f ca="1">IF(TOTALCO!O992="", "",TOTALCO!O992)</f>
        <v>104.45803386566409</v>
      </c>
      <c r="P465" s="12">
        <f ca="1">IF(TOTALCO!P992="", "",TOTALCO!P992)</f>
        <v>101.50369707930348</v>
      </c>
      <c r="Q465" s="12"/>
      <c r="R465" s="13"/>
    </row>
    <row r="466" spans="1:18" ht="15" x14ac:dyDescent="0.2">
      <c r="A466" s="321">
        <f>IF(TOTALCO!A993="", "",TOTALCO!A993)</f>
        <v>36</v>
      </c>
      <c r="B466" s="4" t="str">
        <f>IF(TOTALCO!B993="", "",TOTALCO!B993)</f>
        <v xml:space="preserve">    TOTAL OTHER OPERATIONS</v>
      </c>
      <c r="C466" s="4" t="str">
        <f>IF(TOTALCO!C993="", "",TOTALCO!C993)</f>
        <v/>
      </c>
      <c r="D466" s="12">
        <f ca="1">IF(TOTALCO!D993="", "",TOTALCO!D993)</f>
        <v>132102294.15006201</v>
      </c>
      <c r="E466" s="12" t="str">
        <f>IF(TOTALCO!E993="", "",TOTALCO!E993)</f>
        <v/>
      </c>
      <c r="F466" s="12">
        <f ca="1">IF(TOTALCO!F993="", "",TOTALCO!F993)</f>
        <v>124283860.03692083</v>
      </c>
      <c r="G466" s="12" t="str">
        <f>IF(TOTALCO!G993="", "",TOTALCO!G993)</f>
        <v/>
      </c>
      <c r="H466" s="12">
        <f ca="1">IF(TOTALCO!H993="", "",TOTALCO!H993)</f>
        <v>5097801.9631998073</v>
      </c>
      <c r="I466" s="12">
        <f ca="1">IF(TOTALCO!I993="", "",TOTALCO!I993)</f>
        <v>2720632.1499413699</v>
      </c>
      <c r="J466" s="12" t="str">
        <f>IF(TOTALCO!J993="", "",TOTALCO!J993)</f>
        <v/>
      </c>
      <c r="K466" s="12" t="str">
        <f>IF(TOTALCO!K993="", "",TOTALCO!K993)</f>
        <v/>
      </c>
      <c r="L466" s="12">
        <f ca="1">IF(TOTALCO!L993="", "",TOTALCO!L993)</f>
        <v>548.22990610337899</v>
      </c>
      <c r="M466" s="12" t="str">
        <f>IF(TOTALCO!M993="", "",TOTALCO!M993)</f>
        <v/>
      </c>
      <c r="N466" s="12">
        <f ca="1">IF(TOTALCO!N993="", "",TOTALCO!N993)</f>
        <v>2720083.9200352663</v>
      </c>
      <c r="O466" s="12">
        <f ca="1">IF(TOTALCO!O993="", "",TOTALCO!O993)</f>
        <v>1377573.878295471</v>
      </c>
      <c r="P466" s="12">
        <f ca="1">IF(TOTALCO!P993="", "",TOTALCO!P993)</f>
        <v>1342510.0417397954</v>
      </c>
      <c r="Q466" s="12"/>
      <c r="R466" s="13"/>
    </row>
    <row r="467" spans="1:18" ht="15" x14ac:dyDescent="0.2">
      <c r="A467" s="321">
        <f>IF(TOTALCO!A994="", "",TOTALCO!A994)</f>
        <v>37</v>
      </c>
      <c r="B467" s="4" t="str">
        <f>IF(TOTALCO!B994="", "",TOTALCO!B994)</f>
        <v xml:space="preserve">  551-SUPERV &amp; ENGINEERING</v>
      </c>
      <c r="C467" s="4" t="str">
        <f>IF(TOTALCO!C994="", "",TOTALCO!C994)</f>
        <v>OTHPLT</v>
      </c>
      <c r="D467" s="12">
        <f ca="1">IF(TOTALCO!D994="", "",TOTALCO!D994)</f>
        <v>451273</v>
      </c>
      <c r="E467" s="12" t="str">
        <f>IF(TOTALCO!E994="", "",TOTALCO!E994)</f>
        <v/>
      </c>
      <c r="F467" s="12">
        <f ca="1">IF(TOTALCO!F994="", "",TOTALCO!F994)</f>
        <v>397057.98145704041</v>
      </c>
      <c r="G467" s="12" t="str">
        <f>IF(TOTALCO!G994="", "",TOTALCO!G994)</f>
        <v/>
      </c>
      <c r="H467" s="12">
        <f ca="1">IF(TOTALCO!H994="", "",TOTALCO!H994)</f>
        <v>36566.665563520117</v>
      </c>
      <c r="I467" s="12">
        <f ca="1">IF(TOTALCO!I994="", "",TOTALCO!I994)</f>
        <v>17648.352979439507</v>
      </c>
      <c r="J467" s="12" t="str">
        <f>IF(TOTALCO!J994="", "",TOTALCO!J994)</f>
        <v/>
      </c>
      <c r="K467" s="12" t="str">
        <f>IF(TOTALCO!K994="", "",TOTALCO!K994)</f>
        <v/>
      </c>
      <c r="L467" s="12">
        <f ca="1">IF(TOTALCO!L994="", "",TOTALCO!L994)</f>
        <v>1.1034477489238546</v>
      </c>
      <c r="M467" s="12" t="str">
        <f>IF(TOTALCO!M994="", "",TOTALCO!M994)</f>
        <v/>
      </c>
      <c r="N467" s="12">
        <f ca="1">IF(TOTALCO!N994="", "",TOTALCO!N994)</f>
        <v>17647.249531690584</v>
      </c>
      <c r="O467" s="12">
        <f ca="1">IF(TOTALCO!O994="", "",TOTALCO!O994)</f>
        <v>8950.1917698958878</v>
      </c>
      <c r="P467" s="12">
        <f ca="1">IF(TOTALCO!P994="", "",TOTALCO!P994)</f>
        <v>8697.0577617946965</v>
      </c>
      <c r="Q467" s="12"/>
      <c r="R467" s="13"/>
    </row>
    <row r="468" spans="1:18" ht="15" x14ac:dyDescent="0.2">
      <c r="A468" s="321">
        <f>IF(TOTALCO!A995="", "",TOTALCO!A995)</f>
        <v>38</v>
      </c>
      <c r="B468" s="4" t="str">
        <f>IF(TOTALCO!B995="", "",TOTALCO!B995)</f>
        <v xml:space="preserve">  552-STRUCTURES</v>
      </c>
      <c r="C468" s="4" t="str">
        <f>IF(TOTALCO!C995="", "",TOTALCO!C995)</f>
        <v>OTHPLT</v>
      </c>
      <c r="D468" s="12">
        <f ca="1">IF(TOTALCO!D995="", "",TOTALCO!D995)</f>
        <v>756752.00000000012</v>
      </c>
      <c r="E468" s="12" t="str">
        <f>IF(TOTALCO!E995="", "",TOTALCO!E995)</f>
        <v/>
      </c>
      <c r="F468" s="12">
        <f ca="1">IF(TOTALCO!F995="", "",TOTALCO!F995)</f>
        <v>703350.82093671313</v>
      </c>
      <c r="G468" s="12" t="str">
        <f>IF(TOTALCO!G995="", "",TOTALCO!G995)</f>
        <v/>
      </c>
      <c r="H468" s="12">
        <f ca="1">IF(TOTALCO!H995="", "",TOTALCO!H995)</f>
        <v>36030.10401627313</v>
      </c>
      <c r="I468" s="12">
        <f ca="1">IF(TOTALCO!I995="", "",TOTALCO!I995)</f>
        <v>17371.075047013783</v>
      </c>
      <c r="J468" s="12" t="str">
        <f>IF(TOTALCO!J995="", "",TOTALCO!J995)</f>
        <v/>
      </c>
      <c r="K468" s="12" t="str">
        <f>IF(TOTALCO!K995="", "",TOTALCO!K995)</f>
        <v/>
      </c>
      <c r="L468" s="12">
        <f ca="1">IF(TOTALCO!L995="", "",TOTALCO!L995)</f>
        <v>2.5255931258181907</v>
      </c>
      <c r="M468" s="12" t="str">
        <f>IF(TOTALCO!M995="", "",TOTALCO!M995)</f>
        <v/>
      </c>
      <c r="N468" s="12">
        <f ca="1">IF(TOTALCO!N995="", "",TOTALCO!N995)</f>
        <v>17368.549453887965</v>
      </c>
      <c r="O468" s="12">
        <f ca="1">IF(TOTALCO!O995="", "",TOTALCO!O995)</f>
        <v>8808.8428793427775</v>
      </c>
      <c r="P468" s="12">
        <f ca="1">IF(TOTALCO!P995="", "",TOTALCO!P995)</f>
        <v>8559.7065745451873</v>
      </c>
      <c r="Q468" s="12"/>
      <c r="R468" s="13"/>
    </row>
    <row r="469" spans="1:18" ht="15" x14ac:dyDescent="0.2">
      <c r="A469" s="321">
        <f>IF(TOTALCO!A996="", "",TOTALCO!A996)</f>
        <v>39</v>
      </c>
      <c r="B469" s="4" t="str">
        <f>IF(TOTALCO!B996="", "",TOTALCO!B996)</f>
        <v xml:space="preserve">  553-GENERATING &amp; ELECT PLT</v>
      </c>
      <c r="C469" s="4" t="str">
        <f>IF(TOTALCO!C996="", "",TOTALCO!C996)</f>
        <v>OTHPLT</v>
      </c>
      <c r="D469" s="12">
        <f ca="1">IF(TOTALCO!D996="", "",TOTALCO!D996)</f>
        <v>5849513.9999999991</v>
      </c>
      <c r="E469" s="12" t="str">
        <f>IF(TOTALCO!E996="", "",TOTALCO!E996)</f>
        <v/>
      </c>
      <c r="F469" s="12">
        <f ca="1">IF(TOTALCO!F996="", "",TOTALCO!F996)</f>
        <v>5367859.6583237741</v>
      </c>
      <c r="G469" s="12" t="str">
        <f>IF(TOTALCO!G996="", "",TOTALCO!G996)</f>
        <v/>
      </c>
      <c r="H469" s="12">
        <f ca="1">IF(TOTALCO!H996="", "",TOTALCO!H996)</f>
        <v>324881.55363874929</v>
      </c>
      <c r="I469" s="12">
        <f ca="1">IF(TOTALCO!I996="", "",TOTALCO!I996)</f>
        <v>156772.78803747642</v>
      </c>
      <c r="J469" s="12" t="str">
        <f>IF(TOTALCO!J996="", "",TOTALCO!J996)</f>
        <v/>
      </c>
      <c r="K469" s="12" t="str">
        <f>IF(TOTALCO!K996="", "",TOTALCO!K996)</f>
        <v/>
      </c>
      <c r="L469" s="12">
        <f ca="1">IF(TOTALCO!L996="", "",TOTALCO!L996)</f>
        <v>11.878921557193035</v>
      </c>
      <c r="M469" s="12" t="str">
        <f>IF(TOTALCO!M996="", "",TOTALCO!M996)</f>
        <v/>
      </c>
      <c r="N469" s="12">
        <f ca="1">IF(TOTALCO!N996="", "",TOTALCO!N996)</f>
        <v>156760.90911591923</v>
      </c>
      <c r="O469" s="12">
        <f ca="1">IF(TOTALCO!O996="", "",TOTALCO!O996)</f>
        <v>79504.752062985528</v>
      </c>
      <c r="P469" s="12">
        <f ca="1">IF(TOTALCO!P996="", "",TOTALCO!P996)</f>
        <v>77256.157052933704</v>
      </c>
      <c r="Q469" s="12"/>
      <c r="R469" s="13"/>
    </row>
    <row r="470" spans="1:18" ht="15" x14ac:dyDescent="0.2">
      <c r="A470" s="321">
        <f>IF(TOTALCO!A997="", "",TOTALCO!A997)</f>
        <v>40</v>
      </c>
      <c r="B470" s="4" t="str">
        <f>IF(TOTALCO!B997="", "",TOTALCO!B997)</f>
        <v xml:space="preserve">  554-MISC OTH POWER GEN PLT</v>
      </c>
      <c r="C470" s="4" t="str">
        <f>IF(TOTALCO!C997="", "",TOTALCO!C997)</f>
        <v>OTHPLT</v>
      </c>
      <c r="D470" s="12">
        <f ca="1">IF(TOTALCO!D997="", "",TOTALCO!D997)</f>
        <v>6111967.0000000009</v>
      </c>
      <c r="E470" s="12" t="str">
        <f>IF(TOTALCO!E997="", "",TOTALCO!E997)</f>
        <v/>
      </c>
      <c r="F470" s="12">
        <f ca="1">IF(TOTALCO!F997="", "",TOTALCO!F997)</f>
        <v>5523369.2117370889</v>
      </c>
      <c r="G470" s="12" t="str">
        <f>IF(TOTALCO!G997="", "",TOTALCO!G997)</f>
        <v/>
      </c>
      <c r="H470" s="12">
        <f ca="1">IF(TOTALCO!H997="", "",TOTALCO!H997)</f>
        <v>397015.2678414426</v>
      </c>
      <c r="I470" s="12">
        <f ca="1">IF(TOTALCO!I997="", "",TOTALCO!I997)</f>
        <v>191582.52042146918</v>
      </c>
      <c r="J470" s="12" t="str">
        <f>IF(TOTALCO!J997="", "",TOTALCO!J997)</f>
        <v/>
      </c>
      <c r="K470" s="12" t="str">
        <f>IF(TOTALCO!K997="", "",TOTALCO!K997)</f>
        <v/>
      </c>
      <c r="L470" s="12">
        <f ca="1">IF(TOTALCO!L997="", "",TOTALCO!L997)</f>
        <v>14.410902521367349</v>
      </c>
      <c r="M470" s="12" t="str">
        <f>IF(TOTALCO!M997="", "",TOTALCO!M997)</f>
        <v/>
      </c>
      <c r="N470" s="12">
        <f ca="1">IF(TOTALCO!N997="", "",TOTALCO!N997)</f>
        <v>191568.10951894781</v>
      </c>
      <c r="O470" s="12">
        <f ca="1">IF(TOTALCO!O997="", "",TOTALCO!O997)</f>
        <v>97157.991340917302</v>
      </c>
      <c r="P470" s="12">
        <f ca="1">IF(TOTALCO!P997="", "",TOTALCO!P997)</f>
        <v>94410.118178030505</v>
      </c>
      <c r="Q470" s="12"/>
      <c r="R470" s="13"/>
    </row>
    <row r="471" spans="1:18" ht="15" x14ac:dyDescent="0.2">
      <c r="A471" s="321">
        <f>IF(TOTALCO!A998="", "",TOTALCO!A998)</f>
        <v>41</v>
      </c>
      <c r="B471" s="4" t="str">
        <f>IF(TOTALCO!B998="", "",TOTALCO!B998)</f>
        <v xml:space="preserve">    TOTAL OTHER MAINTENANCE</v>
      </c>
      <c r="C471" s="4" t="str">
        <f>IF(TOTALCO!C998="", "",TOTALCO!C998)</f>
        <v/>
      </c>
      <c r="D471" s="12">
        <f ca="1">IF(TOTALCO!D998="", "",TOTALCO!D998)</f>
        <v>13169506</v>
      </c>
      <c r="E471" s="12" t="str">
        <f>IF(TOTALCO!E998="", "",TOTALCO!E998)</f>
        <v/>
      </c>
      <c r="F471" s="12">
        <f ca="1">IF(TOTALCO!F998="", "",TOTALCO!F998)</f>
        <v>11991637.672454616</v>
      </c>
      <c r="G471" s="12" t="str">
        <f>IF(TOTALCO!G998="", "",TOTALCO!G998)</f>
        <v/>
      </c>
      <c r="H471" s="12">
        <f ca="1">IF(TOTALCO!H998="", "",TOTALCO!H998)</f>
        <v>794493.5910599851</v>
      </c>
      <c r="I471" s="12">
        <f ca="1">IF(TOTALCO!I998="", "",TOTALCO!I998)</f>
        <v>383374.73648539884</v>
      </c>
      <c r="J471" s="12" t="str">
        <f>IF(TOTALCO!J998="", "",TOTALCO!J998)</f>
        <v/>
      </c>
      <c r="K471" s="12" t="str">
        <f>IF(TOTALCO!K998="", "",TOTALCO!K998)</f>
        <v/>
      </c>
      <c r="L471" s="12">
        <f ca="1">IF(TOTALCO!L998="", "",TOTALCO!L998)</f>
        <v>29.918864953302432</v>
      </c>
      <c r="M471" s="12" t="str">
        <f>IF(TOTALCO!M998="", "",TOTALCO!M998)</f>
        <v/>
      </c>
      <c r="N471" s="12">
        <f ca="1">IF(TOTALCO!N998="", "",TOTALCO!N998)</f>
        <v>383344.81762044557</v>
      </c>
      <c r="O471" s="12">
        <f ca="1">IF(TOTALCO!O998="", "",TOTALCO!O998)</f>
        <v>194421.77805314149</v>
      </c>
      <c r="P471" s="12">
        <f ca="1">IF(TOTALCO!P998="", "",TOTALCO!P998)</f>
        <v>188923.03956730408</v>
      </c>
      <c r="Q471" s="12"/>
      <c r="R471" s="13"/>
    </row>
    <row r="472" spans="1:18" ht="15" x14ac:dyDescent="0.2">
      <c r="A472" s="321" t="str">
        <f>IF(TOTALCO!A999="", "",TOTALCO!A999)</f>
        <v/>
      </c>
      <c r="B472" s="4" t="str">
        <f>IF(TOTALCO!B999="", "",TOTALCO!B999)</f>
        <v/>
      </c>
      <c r="C472" s="4" t="str">
        <f>IF(TOTALCO!C999="", "",TOTALCO!C999)</f>
        <v/>
      </c>
      <c r="D472" s="12" t="str">
        <f>IF(TOTALCO!D999="", "",TOTALCO!D999)</f>
        <v/>
      </c>
      <c r="E472" s="12" t="str">
        <f>IF(TOTALCO!E999="", "",TOTALCO!E999)</f>
        <v/>
      </c>
      <c r="F472" s="12" t="str">
        <f>IF(TOTALCO!F999="", "",TOTALCO!F999)</f>
        <v/>
      </c>
      <c r="G472" s="12" t="str">
        <f>IF(TOTALCO!G999="", "",TOTALCO!G999)</f>
        <v/>
      </c>
      <c r="H472" s="12" t="str">
        <f>IF(TOTALCO!H999="", "",TOTALCO!H999)</f>
        <v/>
      </c>
      <c r="I472" s="12" t="str">
        <f>IF(TOTALCO!I999="", "",TOTALCO!I999)</f>
        <v/>
      </c>
      <c r="J472" s="12" t="str">
        <f>IF(TOTALCO!J999="", "",TOTALCO!J999)</f>
        <v/>
      </c>
      <c r="K472" s="12" t="str">
        <f>IF(TOTALCO!K999="", "",TOTALCO!K999)</f>
        <v/>
      </c>
      <c r="L472" s="12" t="str">
        <f>IF(TOTALCO!L999="", "",TOTALCO!L999)</f>
        <v/>
      </c>
      <c r="M472" s="12" t="str">
        <f>IF(TOTALCO!M999="", "",TOTALCO!M999)</f>
        <v/>
      </c>
      <c r="N472" s="12" t="str">
        <f>IF(TOTALCO!N999="", "",TOTALCO!N999)</f>
        <v/>
      </c>
      <c r="O472" s="12" t="str">
        <f>IF(TOTALCO!O999="", "",TOTALCO!O999)</f>
        <v/>
      </c>
      <c r="P472" s="12" t="str">
        <f>IF(TOTALCO!P999="", "",TOTALCO!P999)</f>
        <v/>
      </c>
      <c r="Q472" s="12"/>
      <c r="R472" s="13"/>
    </row>
    <row r="473" spans="1:18" ht="15" x14ac:dyDescent="0.2">
      <c r="A473" s="321">
        <f>IF(TOTALCO!A1000="", "",TOTALCO!A1000)</f>
        <v>42</v>
      </c>
      <c r="B473" s="4" t="str">
        <f>IF(TOTALCO!B1000="", "",TOTALCO!B1000)</f>
        <v>TOTAL OTHER GENERATION</v>
      </c>
      <c r="C473" s="4" t="str">
        <f>IF(TOTALCO!C1000="", "",TOTALCO!C1000)</f>
        <v/>
      </c>
      <c r="D473" s="12">
        <f ca="1">IF(TOTALCO!D1000="", "",TOTALCO!D1000)</f>
        <v>145271800.15006199</v>
      </c>
      <c r="E473" s="12" t="str">
        <f>IF(TOTALCO!E1000="", "",TOTALCO!E1000)</f>
        <v/>
      </c>
      <c r="F473" s="12">
        <f ca="1">IF(TOTALCO!F1000="", "",TOTALCO!F1000)</f>
        <v>136275497.70937544</v>
      </c>
      <c r="G473" s="12" t="str">
        <f>IF(TOTALCO!G1000="", "",TOTALCO!G1000)</f>
        <v/>
      </c>
      <c r="H473" s="12">
        <f ca="1">IF(TOTALCO!H1000="", "",TOTALCO!H1000)</f>
        <v>5892295.554259792</v>
      </c>
      <c r="I473" s="12">
        <f ca="1">IF(TOTALCO!I1000="", "",TOTALCO!I1000)</f>
        <v>3104006.8864267687</v>
      </c>
      <c r="J473" s="12" t="str">
        <f>IF(TOTALCO!J1000="", "",TOTALCO!J1000)</f>
        <v/>
      </c>
      <c r="K473" s="12" t="str">
        <f>IF(TOTALCO!K1000="", "",TOTALCO!K1000)</f>
        <v/>
      </c>
      <c r="L473" s="12">
        <f ca="1">IF(TOTALCO!L1000="", "",TOTALCO!L1000)</f>
        <v>578.14877105668143</v>
      </c>
      <c r="M473" s="12" t="str">
        <f>IF(TOTALCO!M1000="", "",TOTALCO!M1000)</f>
        <v/>
      </c>
      <c r="N473" s="12">
        <f ca="1">IF(TOTALCO!N1000="", "",TOTALCO!N1000)</f>
        <v>3103428.7376557118</v>
      </c>
      <c r="O473" s="12">
        <f ca="1">IF(TOTALCO!O1000="", "",TOTALCO!O1000)</f>
        <v>1571995.6563486124</v>
      </c>
      <c r="P473" s="12">
        <f ca="1">IF(TOTALCO!P1000="", "",TOTALCO!P1000)</f>
        <v>1531433.0813070994</v>
      </c>
      <c r="Q473" s="12"/>
      <c r="R473" s="13"/>
    </row>
    <row r="474" spans="1:18" ht="15" x14ac:dyDescent="0.2">
      <c r="A474" s="321" t="str">
        <f>IF(TOTALCO!A1001="", "",TOTALCO!A1001)</f>
        <v/>
      </c>
      <c r="B474" s="4" t="str">
        <f>IF(TOTALCO!B1001="", "",TOTALCO!B1001)</f>
        <v/>
      </c>
      <c r="C474" s="4" t="str">
        <f>IF(TOTALCO!C1001="", "",TOTALCO!C1001)</f>
        <v/>
      </c>
      <c r="D474" s="12" t="str">
        <f>IF(TOTALCO!D1001="", "",TOTALCO!D1001)</f>
        <v/>
      </c>
      <c r="E474" s="12" t="str">
        <f>IF(TOTALCO!E1001="", "",TOTALCO!E1001)</f>
        <v/>
      </c>
      <c r="F474" s="12" t="str">
        <f>IF(TOTALCO!F1001="", "",TOTALCO!F1001)</f>
        <v/>
      </c>
      <c r="G474" s="12" t="str">
        <f>IF(TOTALCO!G1001="", "",TOTALCO!G1001)</f>
        <v/>
      </c>
      <c r="H474" s="12" t="str">
        <f>IF(TOTALCO!H1001="", "",TOTALCO!H1001)</f>
        <v/>
      </c>
      <c r="I474" s="12" t="str">
        <f>IF(TOTALCO!I1001="", "",TOTALCO!I1001)</f>
        <v/>
      </c>
      <c r="J474" s="12" t="str">
        <f>IF(TOTALCO!J1001="", "",TOTALCO!J1001)</f>
        <v/>
      </c>
      <c r="K474" s="12" t="str">
        <f>IF(TOTALCO!K1001="", "",TOTALCO!K1001)</f>
        <v/>
      </c>
      <c r="L474" s="12" t="str">
        <f>IF(TOTALCO!L1001="", "",TOTALCO!L1001)</f>
        <v/>
      </c>
      <c r="M474" s="12" t="str">
        <f>IF(TOTALCO!M1001="", "",TOTALCO!M1001)</f>
        <v/>
      </c>
      <c r="N474" s="12" t="str">
        <f>IF(TOTALCO!N1001="", "",TOTALCO!N1001)</f>
        <v/>
      </c>
      <c r="O474" s="12" t="str">
        <f>IF(TOTALCO!O1001="", "",TOTALCO!O1001)</f>
        <v/>
      </c>
      <c r="P474" s="12" t="str">
        <f>IF(TOTALCO!P1001="", "",TOTALCO!P1001)</f>
        <v/>
      </c>
      <c r="Q474" s="12"/>
      <c r="R474" s="13"/>
    </row>
    <row r="475" spans="1:18" ht="15" x14ac:dyDescent="0.2">
      <c r="A475" s="321" t="str">
        <f>IF(TOTALCO!A1002="", "",TOTALCO!A1002)</f>
        <v/>
      </c>
      <c r="B475" s="4" t="str">
        <f>IF(TOTALCO!B1002="", "",TOTALCO!B1002)</f>
        <v>OPERATION &amp; MAINT EXP CON'T</v>
      </c>
      <c r="C475" s="4" t="str">
        <f>IF(TOTALCO!C1002="", "",TOTALCO!C1002)</f>
        <v/>
      </c>
      <c r="D475" s="12" t="str">
        <f>IF(TOTALCO!D1002="", "",TOTALCO!D1002)</f>
        <v/>
      </c>
      <c r="E475" s="12" t="str">
        <f>IF(TOTALCO!E1002="", "",TOTALCO!E1002)</f>
        <v/>
      </c>
      <c r="F475" s="12" t="str">
        <f>IF(TOTALCO!F1002="", "",TOTALCO!F1002)</f>
        <v/>
      </c>
      <c r="G475" s="12" t="str">
        <f>IF(TOTALCO!G1002="", "",TOTALCO!G1002)</f>
        <v/>
      </c>
      <c r="H475" s="12" t="str">
        <f>IF(TOTALCO!H1002="", "",TOTALCO!H1002)</f>
        <v/>
      </c>
      <c r="I475" s="12" t="str">
        <f>IF(TOTALCO!I1002="", "",TOTALCO!I1002)</f>
        <v/>
      </c>
      <c r="J475" s="12" t="str">
        <f>IF(TOTALCO!J1002="", "",TOTALCO!J1002)</f>
        <v/>
      </c>
      <c r="K475" s="12" t="str">
        <f>IF(TOTALCO!K1002="", "",TOTALCO!K1002)</f>
        <v/>
      </c>
      <c r="L475" s="12" t="str">
        <f>IF(TOTALCO!L1002="", "",TOTALCO!L1002)</f>
        <v/>
      </c>
      <c r="M475" s="12" t="str">
        <f>IF(TOTALCO!M1002="", "",TOTALCO!M1002)</f>
        <v/>
      </c>
      <c r="N475" s="12" t="str">
        <f>IF(TOTALCO!N1002="", "",TOTALCO!N1002)</f>
        <v/>
      </c>
      <c r="O475" s="12" t="str">
        <f>IF(TOTALCO!O1002="", "",TOTALCO!O1002)</f>
        <v/>
      </c>
      <c r="P475" s="12" t="str">
        <f>IF(TOTALCO!P1002="", "",TOTALCO!P1002)</f>
        <v/>
      </c>
      <c r="Q475" s="12"/>
      <c r="R475" s="13"/>
    </row>
    <row r="476" spans="1:18" ht="15" x14ac:dyDescent="0.2">
      <c r="A476" s="321" t="str">
        <f>IF(TOTALCO!A1003="", "",TOTALCO!A1003)</f>
        <v/>
      </c>
      <c r="B476" s="4" t="str">
        <f>IF(TOTALCO!B1003="", "",TOTALCO!B1003)</f>
        <v/>
      </c>
      <c r="C476" s="4" t="str">
        <f>IF(TOTALCO!C1003="", "",TOTALCO!C1003)</f>
        <v/>
      </c>
      <c r="D476" s="12" t="str">
        <f>IF(TOTALCO!D1003="", "",TOTALCO!D1003)</f>
        <v/>
      </c>
      <c r="E476" s="12" t="str">
        <f>IF(TOTALCO!E1003="", "",TOTALCO!E1003)</f>
        <v/>
      </c>
      <c r="F476" s="12" t="str">
        <f>IF(TOTALCO!F1003="", "",TOTALCO!F1003)</f>
        <v/>
      </c>
      <c r="G476" s="12" t="str">
        <f>IF(TOTALCO!G1003="", "",TOTALCO!G1003)</f>
        <v/>
      </c>
      <c r="H476" s="12" t="str">
        <f>IF(TOTALCO!H1003="", "",TOTALCO!H1003)</f>
        <v/>
      </c>
      <c r="I476" s="12" t="str">
        <f>IF(TOTALCO!I1003="", "",TOTALCO!I1003)</f>
        <v/>
      </c>
      <c r="J476" s="12" t="str">
        <f>IF(TOTALCO!J1003="", "",TOTALCO!J1003)</f>
        <v/>
      </c>
      <c r="K476" s="12" t="str">
        <f>IF(TOTALCO!K1003="", "",TOTALCO!K1003)</f>
        <v/>
      </c>
      <c r="L476" s="12" t="str">
        <f>IF(TOTALCO!L1003="", "",TOTALCO!L1003)</f>
        <v/>
      </c>
      <c r="M476" s="12" t="str">
        <f>IF(TOTALCO!M1003="", "",TOTALCO!M1003)</f>
        <v/>
      </c>
      <c r="N476" s="12" t="str">
        <f>IF(TOTALCO!N1003="", "",TOTALCO!N1003)</f>
        <v/>
      </c>
      <c r="O476" s="12" t="str">
        <f>IF(TOTALCO!O1003="", "",TOTALCO!O1003)</f>
        <v/>
      </c>
      <c r="P476" s="12" t="str">
        <f>IF(TOTALCO!P1003="", "",TOTALCO!P1003)</f>
        <v/>
      </c>
      <c r="Q476" s="12"/>
      <c r="R476" s="13"/>
    </row>
    <row r="477" spans="1:18" ht="15" x14ac:dyDescent="0.2">
      <c r="A477" s="321" t="str">
        <f>IF(TOTALCO!A1004="", "",TOTALCO!A1004)</f>
        <v/>
      </c>
      <c r="B477" s="4" t="str">
        <f>IF(TOTALCO!B1004="", "",TOTALCO!B1004)</f>
        <v>555-PURCHASED POWER</v>
      </c>
      <c r="C477" s="4" t="str">
        <f>IF(TOTALCO!C1004="", "",TOTALCO!C1004)</f>
        <v/>
      </c>
      <c r="D477" s="12" t="str">
        <f>IF(TOTALCO!D1004="", "",TOTALCO!D1004)</f>
        <v/>
      </c>
      <c r="E477" s="12" t="str">
        <f>IF(TOTALCO!E1004="", "",TOTALCO!E1004)</f>
        <v/>
      </c>
      <c r="F477" s="12" t="str">
        <f>IF(TOTALCO!F1004="", "",TOTALCO!F1004)</f>
        <v/>
      </c>
      <c r="G477" s="12" t="str">
        <f>IF(TOTALCO!G1004="", "",TOTALCO!G1004)</f>
        <v/>
      </c>
      <c r="H477" s="12" t="str">
        <f>IF(TOTALCO!H1004="", "",TOTALCO!H1004)</f>
        <v/>
      </c>
      <c r="I477" s="12" t="str">
        <f>IF(TOTALCO!I1004="", "",TOTALCO!I1004)</f>
        <v/>
      </c>
      <c r="J477" s="12" t="str">
        <f>IF(TOTALCO!J1004="", "",TOTALCO!J1004)</f>
        <v/>
      </c>
      <c r="K477" s="12" t="str">
        <f>IF(TOTALCO!K1004="", "",TOTALCO!K1004)</f>
        <v/>
      </c>
      <c r="L477" s="12" t="str">
        <f>IF(TOTALCO!L1004="", "",TOTALCO!L1004)</f>
        <v/>
      </c>
      <c r="M477" s="12" t="str">
        <f>IF(TOTALCO!M1004="", "",TOTALCO!M1004)</f>
        <v/>
      </c>
      <c r="N477" s="12" t="str">
        <f>IF(TOTALCO!N1004="", "",TOTALCO!N1004)</f>
        <v/>
      </c>
      <c r="O477" s="12" t="str">
        <f>IF(TOTALCO!O1004="", "",TOTALCO!O1004)</f>
        <v/>
      </c>
      <c r="P477" s="12" t="str">
        <f>IF(TOTALCO!P1004="", "",TOTALCO!P1004)</f>
        <v/>
      </c>
      <c r="Q477" s="12"/>
      <c r="R477" s="13"/>
    </row>
    <row r="478" spans="1:18" ht="15" x14ac:dyDescent="0.2">
      <c r="A478" s="321">
        <f>IF(TOTALCO!A1005="", "",TOTALCO!A1005)</f>
        <v>43</v>
      </c>
      <c r="B478" s="4" t="str">
        <f>IF(TOTALCO!B1005="", "",TOTALCO!B1005)</f>
        <v xml:space="preserve">  CAPACITY COMPONENT</v>
      </c>
      <c r="C478" s="4" t="str">
        <f>IF(TOTALCO!C1005="", "",TOTALCO!C1005)</f>
        <v>DEMPROD</v>
      </c>
      <c r="D478" s="12">
        <f ca="1">IF(TOTALCO!D1005="", "",TOTALCO!D1005)</f>
        <v>12110282.927543651</v>
      </c>
      <c r="E478" s="12" t="str">
        <f>IF(TOTALCO!E1005="", "",TOTALCO!E1005)</f>
        <v/>
      </c>
      <c r="F478" s="12">
        <f ca="1">IF(TOTALCO!F1005="", "",TOTALCO!F1005)</f>
        <v>11352373.353743056</v>
      </c>
      <c r="G478" s="12" t="str">
        <f>IF(TOTALCO!G1005="", "",TOTALCO!G1005)</f>
        <v/>
      </c>
      <c r="H478" s="12">
        <f ca="1">IF(TOTALCO!H1005="", "",TOTALCO!H1005)</f>
        <v>519839.14678637625</v>
      </c>
      <c r="I478" s="12">
        <f ca="1">IF(TOTALCO!I1005="", "",TOTALCO!I1005)</f>
        <v>238070.42701421806</v>
      </c>
      <c r="J478" s="12" t="str">
        <f>IF(TOTALCO!J1005="", "",TOTALCO!J1005)</f>
        <v/>
      </c>
      <c r="K478" s="12" t="str">
        <f>IF(TOTALCO!K1005="", "",TOTALCO!K1005)</f>
        <v/>
      </c>
      <c r="L478" s="12">
        <f ca="1">IF(TOTALCO!L1005="", "",TOTALCO!L1005)</f>
        <v>36.439536989609856</v>
      </c>
      <c r="M478" s="12" t="str">
        <f>IF(TOTALCO!M1005="", "",TOTALCO!M1005)</f>
        <v/>
      </c>
      <c r="N478" s="12">
        <f ca="1">IF(TOTALCO!N1005="", "",TOTALCO!N1005)</f>
        <v>238033.98747722845</v>
      </c>
      <c r="O478" s="12">
        <f ca="1">IF(TOTALCO!O1005="", "",TOTALCO!O1005)</f>
        <v>120724.18604657747</v>
      </c>
      <c r="P478" s="12">
        <f ca="1">IF(TOTALCO!P1005="", "",TOTALCO!P1005)</f>
        <v>117309.801430651</v>
      </c>
      <c r="Q478" s="12"/>
      <c r="R478" s="13"/>
    </row>
    <row r="479" spans="1:18" ht="15" x14ac:dyDescent="0.2">
      <c r="A479" s="321">
        <f>IF(TOTALCO!A1006="", "",TOTALCO!A1006)</f>
        <v>44</v>
      </c>
      <c r="B479" s="4" t="str">
        <f>IF(TOTALCO!B1006="", "",TOTALCO!B1006)</f>
        <v xml:space="preserve">  ENERGY COMPONENT</v>
      </c>
      <c r="C479" s="4" t="str">
        <f>IF(TOTALCO!C1006="", "",TOTALCO!C1006)</f>
        <v>ENERGY</v>
      </c>
      <c r="D479" s="12">
        <f ca="1">IF(TOTALCO!D1006="", "",TOTALCO!D1006)</f>
        <v>45925913.256247364</v>
      </c>
      <c r="E479" s="12" t="str">
        <f>IF(TOTALCO!E1006="", "",TOTALCO!E1006)</f>
        <v/>
      </c>
      <c r="F479" s="12">
        <f ca="1">IF(TOTALCO!F1006="", "",TOTALCO!F1006)</f>
        <v>43216705.035806477</v>
      </c>
      <c r="G479" s="12" t="str">
        <f>IF(TOTALCO!G1006="", "",TOTALCO!G1006)</f>
        <v/>
      </c>
      <c r="H479" s="12">
        <f ca="1">IF(TOTALCO!H1006="", "",TOTALCO!H1006)</f>
        <v>1763044.456424511</v>
      </c>
      <c r="I479" s="12">
        <f ca="1">IF(TOTALCO!I1006="", "",TOTALCO!I1006)</f>
        <v>946163.76401637716</v>
      </c>
      <c r="J479" s="12" t="str">
        <f>IF(TOTALCO!J1006="", "",TOTALCO!J1006)</f>
        <v/>
      </c>
      <c r="K479" s="12" t="str">
        <f>IF(TOTALCO!K1006="", "",TOTALCO!K1006)</f>
        <v/>
      </c>
      <c r="L479" s="12">
        <f ca="1">IF(TOTALCO!L1006="", "",TOTALCO!L1006)</f>
        <v>193.41435463092165</v>
      </c>
      <c r="M479" s="12" t="str">
        <f>IF(TOTALCO!M1006="", "",TOTALCO!M1006)</f>
        <v/>
      </c>
      <c r="N479" s="12">
        <f ca="1">IF(TOTALCO!N1006="", "",TOTALCO!N1006)</f>
        <v>945970.34966174618</v>
      </c>
      <c r="O479" s="12">
        <f ca="1">IF(TOTALCO!O1006="", "",TOTALCO!O1006)</f>
        <v>479046.62920708233</v>
      </c>
      <c r="P479" s="12">
        <f ca="1">IF(TOTALCO!P1006="", "",TOTALCO!P1006)</f>
        <v>466923.72045466385</v>
      </c>
      <c r="Q479" s="12"/>
      <c r="R479" s="13"/>
    </row>
    <row r="480" spans="1:18" ht="15" x14ac:dyDescent="0.2">
      <c r="A480" s="321">
        <f>IF(TOTALCO!A1007="", "",TOTALCO!A1007)</f>
        <v>45</v>
      </c>
      <c r="B480" s="4" t="str">
        <f>IF(TOTALCO!B1007="", "",TOTALCO!B1007)</f>
        <v xml:space="preserve">    TOTAL ACCT 555</v>
      </c>
      <c r="C480" s="4" t="str">
        <f>IF(TOTALCO!C1007="", "",TOTALCO!C1007)</f>
        <v/>
      </c>
      <c r="D480" s="12">
        <f ca="1">IF(TOTALCO!D1007="", "",TOTALCO!D1007)</f>
        <v>58036196.183791012</v>
      </c>
      <c r="E480" s="12" t="str">
        <f>IF(TOTALCO!E1007="", "",TOTALCO!E1007)</f>
        <v/>
      </c>
      <c r="F480" s="12">
        <f ca="1">IF(TOTALCO!F1007="", "",TOTALCO!F1007)</f>
        <v>54569078.389549531</v>
      </c>
      <c r="G480" s="12" t="str">
        <f>IF(TOTALCO!G1007="", "",TOTALCO!G1007)</f>
        <v/>
      </c>
      <c r="H480" s="12">
        <f ca="1">IF(TOTALCO!H1007="", "",TOTALCO!H1007)</f>
        <v>2282883.6032108874</v>
      </c>
      <c r="I480" s="12">
        <f ca="1">IF(TOTALCO!I1007="", "",TOTALCO!I1007)</f>
        <v>1184234.1910305952</v>
      </c>
      <c r="J480" s="12" t="str">
        <f>IF(TOTALCO!J1007="", "",TOTALCO!J1007)</f>
        <v/>
      </c>
      <c r="K480" s="12" t="str">
        <f>IF(TOTALCO!K1007="", "",TOTALCO!K1007)</f>
        <v/>
      </c>
      <c r="L480" s="12">
        <f ca="1">IF(TOTALCO!L1007="", "",TOTALCO!L1007)</f>
        <v>229.8538916205315</v>
      </c>
      <c r="M480" s="12" t="str">
        <f>IF(TOTALCO!M1007="", "",TOTALCO!M1007)</f>
        <v/>
      </c>
      <c r="N480" s="12">
        <f ca="1">IF(TOTALCO!N1007="", "",TOTALCO!N1007)</f>
        <v>1184004.3371389746</v>
      </c>
      <c r="O480" s="12">
        <f ca="1">IF(TOTALCO!O1007="", "",TOTALCO!O1007)</f>
        <v>599770.81525365985</v>
      </c>
      <c r="P480" s="12">
        <f ca="1">IF(TOTALCO!P1007="", "",TOTALCO!P1007)</f>
        <v>584233.52188531484</v>
      </c>
      <c r="Q480" s="12"/>
      <c r="R480" s="13"/>
    </row>
    <row r="481" spans="1:18" ht="15" x14ac:dyDescent="0.2">
      <c r="A481" s="321" t="str">
        <f>IF(TOTALCO!A1008="", "",TOTALCO!A1008)</f>
        <v/>
      </c>
      <c r="B481" s="4" t="str">
        <f>IF(TOTALCO!B1008="", "",TOTALCO!B1008)</f>
        <v/>
      </c>
      <c r="C481" s="4" t="str">
        <f>IF(TOTALCO!C1008="", "",TOTALCO!C1008)</f>
        <v/>
      </c>
      <c r="D481" s="12" t="str">
        <f>IF(TOTALCO!D1008="", "",TOTALCO!D1008)</f>
        <v/>
      </c>
      <c r="E481" s="12" t="str">
        <f>IF(TOTALCO!E1008="", "",TOTALCO!E1008)</f>
        <v/>
      </c>
      <c r="F481" s="12" t="str">
        <f>IF(TOTALCO!F1008="", "",TOTALCO!F1008)</f>
        <v/>
      </c>
      <c r="G481" s="12" t="str">
        <f>IF(TOTALCO!G1008="", "",TOTALCO!G1008)</f>
        <v/>
      </c>
      <c r="H481" s="12" t="str">
        <f>IF(TOTALCO!H1008="", "",TOTALCO!H1008)</f>
        <v/>
      </c>
      <c r="I481" s="12" t="str">
        <f>IF(TOTALCO!I1008="", "",TOTALCO!I1008)</f>
        <v/>
      </c>
      <c r="J481" s="12" t="str">
        <f>IF(TOTALCO!J1008="", "",TOTALCO!J1008)</f>
        <v/>
      </c>
      <c r="K481" s="12" t="str">
        <f>IF(TOTALCO!K1008="", "",TOTALCO!K1008)</f>
        <v/>
      </c>
      <c r="L481" s="12" t="str">
        <f>IF(TOTALCO!L1008="", "",TOTALCO!L1008)</f>
        <v/>
      </c>
      <c r="M481" s="12" t="str">
        <f>IF(TOTALCO!M1008="", "",TOTALCO!M1008)</f>
        <v/>
      </c>
      <c r="N481" s="12" t="str">
        <f>IF(TOTALCO!N1008="", "",TOTALCO!N1008)</f>
        <v/>
      </c>
      <c r="O481" s="12" t="str">
        <f>IF(TOTALCO!O1008="", "",TOTALCO!O1008)</f>
        <v/>
      </c>
      <c r="P481" s="12" t="str">
        <f>IF(TOTALCO!P1008="", "",TOTALCO!P1008)</f>
        <v/>
      </c>
      <c r="Q481" s="12"/>
      <c r="R481" s="13"/>
    </row>
    <row r="482" spans="1:18" ht="15" x14ac:dyDescent="0.2">
      <c r="A482" s="321">
        <f>IF(TOTALCO!A1009="", "",TOTALCO!A1009)</f>
        <v>46</v>
      </c>
      <c r="B482" s="4" t="str">
        <f>IF(TOTALCO!B1009="", "",TOTALCO!B1009)</f>
        <v>556-SYSTEM CONTROL &amp; DISP</v>
      </c>
      <c r="C482" s="4" t="str">
        <f>IF(TOTALCO!C1009="", "",TOTALCO!C1009)</f>
        <v>DEMPROD</v>
      </c>
      <c r="D482" s="12">
        <f ca="1">IF(TOTALCO!D1009="", "",TOTALCO!D1009)</f>
        <v>1832258</v>
      </c>
      <c r="E482" s="12" t="str">
        <f>IF(TOTALCO!E1009="", "",TOTALCO!E1009)</f>
        <v/>
      </c>
      <c r="F482" s="12">
        <f ca="1">IF(TOTALCO!F1009="", "",TOTALCO!F1009)</f>
        <v>1717588.0217524811</v>
      </c>
      <c r="G482" s="12" t="str">
        <f>IF(TOTALCO!G1009="", "",TOTALCO!G1009)</f>
        <v/>
      </c>
      <c r="H482" s="12">
        <f ca="1">IF(TOTALCO!H1009="", "",TOTALCO!H1009)</f>
        <v>78650.469283933184</v>
      </c>
      <c r="I482" s="12">
        <f ca="1">IF(TOTALCO!I1009="", "",TOTALCO!I1009)</f>
        <v>36019.508963585686</v>
      </c>
      <c r="J482" s="12" t="str">
        <f>IF(TOTALCO!J1009="", "",TOTALCO!J1009)</f>
        <v/>
      </c>
      <c r="K482" s="12" t="str">
        <f>IF(TOTALCO!K1009="", "",TOTALCO!K1009)</f>
        <v/>
      </c>
      <c r="L482" s="12">
        <f ca="1">IF(TOTALCO!L1009="", "",TOTALCO!L1009)</f>
        <v>5.5132182761522799</v>
      </c>
      <c r="M482" s="12" t="str">
        <f>IF(TOTALCO!M1009="", "",TOTALCO!M1009)</f>
        <v/>
      </c>
      <c r="N482" s="12">
        <f ca="1">IF(TOTALCO!N1009="", "",TOTALCO!N1009)</f>
        <v>36013.995745309534</v>
      </c>
      <c r="O482" s="12">
        <f ca="1">IF(TOTALCO!O1009="", "",TOTALCO!O1009)</f>
        <v>18265.292148892502</v>
      </c>
      <c r="P482" s="12">
        <f ca="1">IF(TOTALCO!P1009="", "",TOTALCO!P1009)</f>
        <v>17748.703596417032</v>
      </c>
      <c r="Q482" s="12"/>
      <c r="R482" s="13"/>
    </row>
    <row r="483" spans="1:18" ht="15" x14ac:dyDescent="0.2">
      <c r="A483" s="321">
        <f>IF(TOTALCO!A1010="", "",TOTALCO!A1010)</f>
        <v>47</v>
      </c>
      <c r="B483" s="4" t="str">
        <f>IF(TOTALCO!B1010="", "",TOTALCO!B1010)</f>
        <v>557-OTHER EXPENSES</v>
      </c>
      <c r="C483" s="4" t="str">
        <f>IF(TOTALCO!C1010="", "",TOTALCO!C1010)</f>
        <v>PRODPLT</v>
      </c>
      <c r="D483" s="12">
        <f ca="1">IF(TOTALCO!D1010="", "",TOTALCO!D1010)</f>
        <v>179236.99999999994</v>
      </c>
      <c r="E483" s="12" t="str">
        <f>IF(TOTALCO!E1010="", "",TOTALCO!E1010)</f>
        <v/>
      </c>
      <c r="F483" s="12">
        <f ca="1">IF(TOTALCO!F1010="", "",TOTALCO!F1010)</f>
        <v>167702.50479395982</v>
      </c>
      <c r="G483" s="12" t="str">
        <f>IF(TOTALCO!G1010="", "",TOTALCO!G1010)</f>
        <v/>
      </c>
      <c r="H483" s="12">
        <f ca="1">IF(TOTALCO!H1010="", "",TOTALCO!H1010)</f>
        <v>7788.5705044673759</v>
      </c>
      <c r="I483" s="12">
        <f ca="1">IF(TOTALCO!I1010="", "",TOTALCO!I1010)</f>
        <v>3745.9247015727442</v>
      </c>
      <c r="J483" s="12" t="str">
        <f>IF(TOTALCO!J1010="", "",TOTALCO!J1010)</f>
        <v/>
      </c>
      <c r="K483" s="12" t="str">
        <f>IF(TOTALCO!K1010="", "",TOTALCO!K1010)</f>
        <v/>
      </c>
      <c r="L483" s="12">
        <f ca="1">IF(TOTALCO!L1010="", "",TOTALCO!L1010)</f>
        <v>0.53550651004023309</v>
      </c>
      <c r="M483" s="12" t="str">
        <f>IF(TOTALCO!M1010="", "",TOTALCO!M1010)</f>
        <v/>
      </c>
      <c r="N483" s="12">
        <f ca="1">IF(TOTALCO!N1010="", "",TOTALCO!N1010)</f>
        <v>3745.3891950627039</v>
      </c>
      <c r="O483" s="12">
        <f ca="1">IF(TOTALCO!O1010="", "",TOTALCO!O1010)</f>
        <v>1899.5567263050903</v>
      </c>
      <c r="P483" s="12">
        <f ca="1">IF(TOTALCO!P1010="", "",TOTALCO!P1010)</f>
        <v>1845.8324687576139</v>
      </c>
      <c r="Q483" s="12"/>
      <c r="R483" s="13"/>
    </row>
    <row r="484" spans="1:18" ht="15" x14ac:dyDescent="0.2">
      <c r="A484" s="321" t="str">
        <f>IF(TOTALCO!A1011="", "",TOTALCO!A1011)</f>
        <v/>
      </c>
      <c r="B484" s="4" t="str">
        <f>IF(TOTALCO!B1011="", "",TOTALCO!B1011)</f>
        <v/>
      </c>
      <c r="C484" s="4" t="str">
        <f>IF(TOTALCO!C1011="", "",TOTALCO!C1011)</f>
        <v/>
      </c>
      <c r="D484" s="12" t="str">
        <f>IF(TOTALCO!D1011="", "",TOTALCO!D1011)</f>
        <v/>
      </c>
      <c r="E484" s="12" t="str">
        <f>IF(TOTALCO!E1011="", "",TOTALCO!E1011)</f>
        <v/>
      </c>
      <c r="F484" s="12" t="str">
        <f>IF(TOTALCO!F1011="", "",TOTALCO!F1011)</f>
        <v/>
      </c>
      <c r="G484" s="12" t="str">
        <f>IF(TOTALCO!G1011="", "",TOTALCO!G1011)</f>
        <v/>
      </c>
      <c r="H484" s="12" t="str">
        <f>IF(TOTALCO!H1011="", "",TOTALCO!H1011)</f>
        <v/>
      </c>
      <c r="I484" s="12" t="str">
        <f>IF(TOTALCO!I1011="", "",TOTALCO!I1011)</f>
        <v/>
      </c>
      <c r="J484" s="12" t="str">
        <f>IF(TOTALCO!J1011="", "",TOTALCO!J1011)</f>
        <v/>
      </c>
      <c r="K484" s="12" t="str">
        <f>IF(TOTALCO!K1011="", "",TOTALCO!K1011)</f>
        <v/>
      </c>
      <c r="L484" s="12" t="str">
        <f>IF(TOTALCO!L1011="", "",TOTALCO!L1011)</f>
        <v/>
      </c>
      <c r="M484" s="12" t="str">
        <f>IF(TOTALCO!M1011="", "",TOTALCO!M1011)</f>
        <v/>
      </c>
      <c r="N484" s="12" t="str">
        <f>IF(TOTALCO!N1011="", "",TOTALCO!N1011)</f>
        <v/>
      </c>
      <c r="O484" s="12" t="str">
        <f>IF(TOTALCO!O1011="", "",TOTALCO!O1011)</f>
        <v/>
      </c>
      <c r="P484" s="12" t="str">
        <f>IF(TOTALCO!P1011="", "",TOTALCO!P1011)</f>
        <v/>
      </c>
      <c r="Q484" s="12"/>
      <c r="R484" s="13"/>
    </row>
    <row r="485" spans="1:18" ht="15" x14ac:dyDescent="0.2">
      <c r="A485" s="321">
        <f>IF(TOTALCO!A1012="", "",TOTALCO!A1012)</f>
        <v>48</v>
      </c>
      <c r="B485" s="4" t="str">
        <f>IF(TOTALCO!B1012="", "",TOTALCO!B1012)</f>
        <v>TOTAL PRODUCTION EXPENSES</v>
      </c>
      <c r="C485" s="4" t="str">
        <f>IF(TOTALCO!C1012="", "",TOTALCO!C1012)</f>
        <v/>
      </c>
      <c r="D485" s="12">
        <f ca="1">IF(TOTALCO!D1012="", "",TOTALCO!D1012)</f>
        <v>656097800.56972659</v>
      </c>
      <c r="E485" s="12" t="str">
        <f>IF(TOTALCO!E1012="", "",TOTALCO!E1012)</f>
        <v/>
      </c>
      <c r="F485" s="12">
        <f ca="1">IF(TOTALCO!F1012="", "",TOTALCO!F1012)</f>
        <v>615512699.90913165</v>
      </c>
      <c r="G485" s="12" t="str">
        <f>IF(TOTALCO!G1012="", "",TOTALCO!G1012)</f>
        <v/>
      </c>
      <c r="H485" s="12">
        <f ca="1">IF(TOTALCO!H1012="", "",TOTALCO!H1012)</f>
        <v>26604582.129138205</v>
      </c>
      <c r="I485" s="12">
        <f ca="1">IF(TOTALCO!I1012="", "",TOTALCO!I1012)</f>
        <v>13980518.53145669</v>
      </c>
      <c r="J485" s="12" t="str">
        <f>IF(TOTALCO!J1012="", "",TOTALCO!J1012)</f>
        <v/>
      </c>
      <c r="K485" s="12" t="str">
        <f>IF(TOTALCO!K1012="", "",TOTALCO!K1012)</f>
        <v/>
      </c>
      <c r="L485" s="12">
        <f ca="1">IF(TOTALCO!L1012="", "",TOTALCO!L1012)</f>
        <v>2522.6452200499957</v>
      </c>
      <c r="M485" s="12" t="str">
        <f>IF(TOTALCO!M1012="", "",TOTALCO!M1012)</f>
        <v/>
      </c>
      <c r="N485" s="12">
        <f ca="1">IF(TOTALCO!N1012="", "",TOTALCO!N1012)</f>
        <v>13977995.88623664</v>
      </c>
      <c r="O485" s="12">
        <f ca="1">IF(TOTALCO!O1012="", "",TOTALCO!O1012)</f>
        <v>7080582.8458645437</v>
      </c>
      <c r="P485" s="12">
        <f ca="1">IF(TOTALCO!P1012="", "",TOTALCO!P1012)</f>
        <v>6897413.040372096</v>
      </c>
      <c r="Q485" s="12"/>
      <c r="R485" s="13"/>
    </row>
    <row r="486" spans="1:18" ht="15" x14ac:dyDescent="0.2">
      <c r="A486" s="321" t="str">
        <f>IF(TOTALCO!A1013="", "",TOTALCO!A1013)</f>
        <v/>
      </c>
      <c r="B486" s="4" t="str">
        <f>IF(TOTALCO!B1013="", "",TOTALCO!B1013)</f>
        <v/>
      </c>
      <c r="C486" s="4" t="str">
        <f>IF(TOTALCO!C1013="", "",TOTALCO!C1013)</f>
        <v/>
      </c>
      <c r="D486" s="12" t="str">
        <f>IF(TOTALCO!D1013="", "",TOTALCO!D1013)</f>
        <v/>
      </c>
      <c r="E486" s="12" t="str">
        <f>IF(TOTALCO!E1013="", "",TOTALCO!E1013)</f>
        <v/>
      </c>
      <c r="F486" s="12" t="str">
        <f>IF(TOTALCO!F1013="", "",TOTALCO!F1013)</f>
        <v/>
      </c>
      <c r="G486" s="12" t="str">
        <f>IF(TOTALCO!G1013="", "",TOTALCO!G1013)</f>
        <v/>
      </c>
      <c r="H486" s="12" t="str">
        <f>IF(TOTALCO!H1013="", "",TOTALCO!H1013)</f>
        <v/>
      </c>
      <c r="I486" s="12" t="str">
        <f>IF(TOTALCO!I1013="", "",TOTALCO!I1013)</f>
        <v/>
      </c>
      <c r="J486" s="12" t="str">
        <f>IF(TOTALCO!J1013="", "",TOTALCO!J1013)</f>
        <v/>
      </c>
      <c r="K486" s="12" t="str">
        <f>IF(TOTALCO!K1013="", "",TOTALCO!K1013)</f>
        <v/>
      </c>
      <c r="L486" s="12" t="str">
        <f>IF(TOTALCO!L1013="", "",TOTALCO!L1013)</f>
        <v/>
      </c>
      <c r="M486" s="12" t="str">
        <f>IF(TOTALCO!M1013="", "",TOTALCO!M1013)</f>
        <v/>
      </c>
      <c r="N486" s="12" t="str">
        <f>IF(TOTALCO!N1013="", "",TOTALCO!N1013)</f>
        <v/>
      </c>
      <c r="O486" s="12" t="str">
        <f>IF(TOTALCO!O1013="", "",TOTALCO!O1013)</f>
        <v/>
      </c>
      <c r="P486" s="12" t="str">
        <f>IF(TOTALCO!P1013="", "",TOTALCO!P1013)</f>
        <v/>
      </c>
      <c r="Q486" s="12"/>
      <c r="R486" s="13"/>
    </row>
    <row r="487" spans="1:18" ht="15" x14ac:dyDescent="0.2">
      <c r="A487" s="321" t="str">
        <f>IF(TOTALCO!A1014="", "",TOTALCO!A1014)</f>
        <v/>
      </c>
      <c r="B487" s="4" t="str">
        <f>IF(TOTALCO!B1014="", "",TOTALCO!B1014)</f>
        <v>OPERATION &amp; MAINT EXP CON'T</v>
      </c>
      <c r="C487" s="4" t="str">
        <f>IF(TOTALCO!C1014="", "",TOTALCO!C1014)</f>
        <v/>
      </c>
      <c r="D487" s="12" t="str">
        <f>IF(TOTALCO!D1014="", "",TOTALCO!D1014)</f>
        <v/>
      </c>
      <c r="E487" s="12" t="str">
        <f>IF(TOTALCO!E1014="", "",TOTALCO!E1014)</f>
        <v/>
      </c>
      <c r="F487" s="12" t="str">
        <f>IF(TOTALCO!F1014="", "",TOTALCO!F1014)</f>
        <v/>
      </c>
      <c r="G487" s="12" t="str">
        <f>IF(TOTALCO!G1014="", "",TOTALCO!G1014)</f>
        <v/>
      </c>
      <c r="H487" s="12" t="str">
        <f>IF(TOTALCO!H1014="", "",TOTALCO!H1014)</f>
        <v/>
      </c>
      <c r="I487" s="12" t="str">
        <f>IF(TOTALCO!I1014="", "",TOTALCO!I1014)</f>
        <v/>
      </c>
      <c r="J487" s="12" t="str">
        <f>IF(TOTALCO!J1014="", "",TOTALCO!J1014)</f>
        <v/>
      </c>
      <c r="K487" s="12" t="str">
        <f>IF(TOTALCO!K1014="", "",TOTALCO!K1014)</f>
        <v/>
      </c>
      <c r="L487" s="12" t="str">
        <f>IF(TOTALCO!L1014="", "",TOTALCO!L1014)</f>
        <v/>
      </c>
      <c r="M487" s="12" t="str">
        <f>IF(TOTALCO!M1014="", "",TOTALCO!M1014)</f>
        <v/>
      </c>
      <c r="N487" s="12" t="str">
        <f>IF(TOTALCO!N1014="", "",TOTALCO!N1014)</f>
        <v/>
      </c>
      <c r="O487" s="12" t="str">
        <f>IF(TOTALCO!O1014="", "",TOTALCO!O1014)</f>
        <v/>
      </c>
      <c r="P487" s="12" t="str">
        <f>IF(TOTALCO!P1014="", "",TOTALCO!P1014)</f>
        <v/>
      </c>
      <c r="Q487" s="12"/>
      <c r="R487" s="13"/>
    </row>
    <row r="488" spans="1:18" ht="15" x14ac:dyDescent="0.2">
      <c r="A488" s="321" t="str">
        <f>IF(TOTALCO!A1015="", "",TOTALCO!A1015)</f>
        <v/>
      </c>
      <c r="B488" s="4" t="str">
        <f>IF(TOTALCO!B1015="", "",TOTALCO!B1015)</f>
        <v/>
      </c>
      <c r="C488" s="4" t="str">
        <f>IF(TOTALCO!C1015="", "",TOTALCO!C1015)</f>
        <v/>
      </c>
      <c r="D488" s="12" t="str">
        <f>IF(TOTALCO!D1015="", "",TOTALCO!D1015)</f>
        <v/>
      </c>
      <c r="E488" s="12" t="str">
        <f>IF(TOTALCO!E1015="", "",TOTALCO!E1015)</f>
        <v/>
      </c>
      <c r="F488" s="12" t="str">
        <f>IF(TOTALCO!F1015="", "",TOTALCO!F1015)</f>
        <v/>
      </c>
      <c r="G488" s="12" t="str">
        <f>IF(TOTALCO!G1015="", "",TOTALCO!G1015)</f>
        <v/>
      </c>
      <c r="H488" s="12" t="str">
        <f>IF(TOTALCO!H1015="", "",TOTALCO!H1015)</f>
        <v/>
      </c>
      <c r="I488" s="12" t="str">
        <f>IF(TOTALCO!I1015="", "",TOTALCO!I1015)</f>
        <v/>
      </c>
      <c r="J488" s="12" t="str">
        <f>IF(TOTALCO!J1015="", "",TOTALCO!J1015)</f>
        <v/>
      </c>
      <c r="K488" s="12" t="str">
        <f>IF(TOTALCO!K1015="", "",TOTALCO!K1015)</f>
        <v/>
      </c>
      <c r="L488" s="12" t="str">
        <f>IF(TOTALCO!L1015="", "",TOTALCO!L1015)</f>
        <v/>
      </c>
      <c r="M488" s="12" t="str">
        <f>IF(TOTALCO!M1015="", "",TOTALCO!M1015)</f>
        <v/>
      </c>
      <c r="N488" s="12" t="str">
        <f>IF(TOTALCO!N1015="", "",TOTALCO!N1015)</f>
        <v/>
      </c>
      <c r="O488" s="12" t="str">
        <f>IF(TOTALCO!O1015="", "",TOTALCO!O1015)</f>
        <v/>
      </c>
      <c r="P488" s="12" t="str">
        <f>IF(TOTALCO!P1015="", "",TOTALCO!P1015)</f>
        <v/>
      </c>
      <c r="Q488" s="12"/>
      <c r="R488" s="13"/>
    </row>
    <row r="489" spans="1:18" ht="15" x14ac:dyDescent="0.2">
      <c r="A489" s="321" t="str">
        <f>IF(TOTALCO!A1016="", "",TOTALCO!A1016)</f>
        <v/>
      </c>
      <c r="B489" s="4" t="str">
        <f>IF(TOTALCO!B1016="", "",TOTALCO!B1016)</f>
        <v>TRANSMISSION EXPENSES</v>
      </c>
      <c r="C489" s="4" t="str">
        <f>IF(TOTALCO!C1016="", "",TOTALCO!C1016)</f>
        <v/>
      </c>
      <c r="D489" s="12" t="str">
        <f>IF(TOTALCO!D1016="", "",TOTALCO!D1016)</f>
        <v/>
      </c>
      <c r="E489" s="12" t="str">
        <f>IF(TOTALCO!E1016="", "",TOTALCO!E1016)</f>
        <v/>
      </c>
      <c r="F489" s="12" t="str">
        <f>IF(TOTALCO!F1016="", "",TOTALCO!F1016)</f>
        <v/>
      </c>
      <c r="G489" s="12" t="str">
        <f>IF(TOTALCO!G1016="", "",TOTALCO!G1016)</f>
        <v/>
      </c>
      <c r="H489" s="12" t="str">
        <f>IF(TOTALCO!H1016="", "",TOTALCO!H1016)</f>
        <v/>
      </c>
      <c r="I489" s="12" t="str">
        <f>IF(TOTALCO!I1016="", "",TOTALCO!I1016)</f>
        <v/>
      </c>
      <c r="J489" s="12" t="str">
        <f>IF(TOTALCO!J1016="", "",TOTALCO!J1016)</f>
        <v/>
      </c>
      <c r="K489" s="12" t="str">
        <f>IF(TOTALCO!K1016="", "",TOTALCO!K1016)</f>
        <v/>
      </c>
      <c r="L489" s="12" t="str">
        <f>IF(TOTALCO!L1016="", "",TOTALCO!L1016)</f>
        <v/>
      </c>
      <c r="M489" s="12" t="str">
        <f>IF(TOTALCO!M1016="", "",TOTALCO!M1016)</f>
        <v/>
      </c>
      <c r="N489" s="12" t="str">
        <f>IF(TOTALCO!N1016="", "",TOTALCO!N1016)</f>
        <v/>
      </c>
      <c r="O489" s="12" t="str">
        <f>IF(TOTALCO!O1016="", "",TOTALCO!O1016)</f>
        <v/>
      </c>
      <c r="P489" s="12" t="str">
        <f>IF(TOTALCO!P1016="", "",TOTALCO!P1016)</f>
        <v/>
      </c>
      <c r="Q489" s="12"/>
      <c r="R489" s="13"/>
    </row>
    <row r="490" spans="1:18" ht="15" x14ac:dyDescent="0.2">
      <c r="A490" s="321">
        <f>IF(TOTALCO!A1017="", "",TOTALCO!A1017)</f>
        <v>1</v>
      </c>
      <c r="B490" s="4" t="str">
        <f>IF(TOTALCO!B1017="", "",TOTALCO!B1017)</f>
        <v xml:space="preserve">  560-SUPERV &amp; ENGINEERING</v>
      </c>
      <c r="C490" s="4" t="str">
        <f>IF(TOTALCO!C1017="", "",TOTALCO!C1017)</f>
        <v>LABTROP</v>
      </c>
      <c r="D490" s="12">
        <f ca="1">IF(TOTALCO!D1017="", "",TOTALCO!D1017)</f>
        <v>1937096.9999999998</v>
      </c>
      <c r="E490" s="12" t="str">
        <f>IF(TOTALCO!E1017="", "",TOTALCO!E1017)</f>
        <v/>
      </c>
      <c r="F490" s="12">
        <f ca="1">IF(TOTALCO!F1017="", "",TOTALCO!F1017)</f>
        <v>1754366.16303641</v>
      </c>
      <c r="G490" s="12" t="str">
        <f>IF(TOTALCO!G1017="", "",TOTALCO!G1017)</f>
        <v/>
      </c>
      <c r="H490" s="12">
        <f ca="1">IF(TOTALCO!H1017="", "",TOTALCO!H1017)</f>
        <v>182725.21981173204</v>
      </c>
      <c r="I490" s="12">
        <f ca="1">IF(TOTALCO!I1017="", "",TOTALCO!I1017)</f>
        <v>5.6171518577792261</v>
      </c>
      <c r="J490" s="12" t="str">
        <f>IF(TOTALCO!J1017="", "",TOTALCO!J1017)</f>
        <v/>
      </c>
      <c r="K490" s="12" t="str">
        <f>IF(TOTALCO!K1017="", "",TOTALCO!K1017)</f>
        <v/>
      </c>
      <c r="L490" s="12">
        <f ca="1">IF(TOTALCO!L1017="", "",TOTALCO!L1017)</f>
        <v>5.6171518577792261</v>
      </c>
      <c r="M490" s="12" t="str">
        <f>IF(TOTALCO!M1017="", "",TOTALCO!M1017)</f>
        <v/>
      </c>
      <c r="N490" s="12">
        <f ca="1">IF(TOTALCO!N1017="", "",TOTALCO!N1017)</f>
        <v>0</v>
      </c>
      <c r="O490" s="12">
        <f ca="1">IF(TOTALCO!O1017="", "",TOTALCO!O1017)</f>
        <v>0</v>
      </c>
      <c r="P490" s="12">
        <f ca="1">IF(TOTALCO!P1017="", "",TOTALCO!P1017)</f>
        <v>0</v>
      </c>
      <c r="Q490" s="12"/>
      <c r="R490" s="13"/>
    </row>
    <row r="491" spans="1:18" ht="15" x14ac:dyDescent="0.2">
      <c r="A491" s="321">
        <f>IF(TOTALCO!A1018="", "",TOTALCO!A1018)</f>
        <v>2</v>
      </c>
      <c r="B491" s="4" t="str">
        <f>IF(TOTALCO!B1018="", "",TOTALCO!B1018)</f>
        <v xml:space="preserve">  561-LOAD DISPATCHING</v>
      </c>
      <c r="C491" s="4" t="str">
        <f>IF(TOTALCO!C1018="", "",TOTALCO!C1018)</f>
        <v>TRANPLTXF</v>
      </c>
      <c r="D491" s="12">
        <f ca="1">IF(TOTALCO!D1018="", "",TOTALCO!D1018)</f>
        <v>3722480</v>
      </c>
      <c r="E491" s="12" t="str">
        <f>IF(TOTALCO!E1018="", "",TOTALCO!E1018)</f>
        <v/>
      </c>
      <c r="F491" s="12">
        <f ca="1">IF(TOTALCO!F1018="", "",TOTALCO!F1018)</f>
        <v>3371329.8583291266</v>
      </c>
      <c r="G491" s="12" t="str">
        <f>IF(TOTALCO!G1018="", "",TOTALCO!G1018)</f>
        <v/>
      </c>
      <c r="H491" s="12">
        <f ca="1">IF(TOTALCO!H1018="", "",TOTALCO!H1018)</f>
        <v>351139.3473041238</v>
      </c>
      <c r="I491" s="12">
        <f ca="1">IF(TOTALCO!I1018="", "",TOTALCO!I1018)</f>
        <v>10.794366749597991</v>
      </c>
      <c r="J491" s="12" t="str">
        <f>IF(TOTALCO!J1018="", "",TOTALCO!J1018)</f>
        <v/>
      </c>
      <c r="K491" s="12" t="str">
        <f>IF(TOTALCO!K1018="", "",TOTALCO!K1018)</f>
        <v/>
      </c>
      <c r="L491" s="12">
        <f ca="1">IF(TOTALCO!L1018="", "",TOTALCO!L1018)</f>
        <v>10.794366749597991</v>
      </c>
      <c r="M491" s="12" t="str">
        <f>IF(TOTALCO!M1018="", "",TOTALCO!M1018)</f>
        <v/>
      </c>
      <c r="N491" s="12">
        <f ca="1">IF(TOTALCO!N1018="", "",TOTALCO!N1018)</f>
        <v>0</v>
      </c>
      <c r="O491" s="12">
        <f ca="1">IF(TOTALCO!O1018="", "",TOTALCO!O1018)</f>
        <v>0</v>
      </c>
      <c r="P491" s="12">
        <f ca="1">IF(TOTALCO!P1018="", "",TOTALCO!P1018)</f>
        <v>0</v>
      </c>
      <c r="Q491" s="12"/>
      <c r="R491" s="13"/>
    </row>
    <row r="492" spans="1:18" ht="15" x14ac:dyDescent="0.2">
      <c r="A492" s="321">
        <f>IF(TOTALCO!A1019="", "",TOTALCO!A1019)</f>
        <v>3</v>
      </c>
      <c r="B492" s="4" t="str">
        <f>IF(TOTALCO!B1019="", "",TOTALCO!B1019)</f>
        <v xml:space="preserve">  562-STATION EXPENSES</v>
      </c>
      <c r="C492" s="4" t="str">
        <f>IF(TOTALCO!C1019="", "",TOTALCO!C1019)</f>
        <v>TRANPLTXF</v>
      </c>
      <c r="D492" s="12">
        <f ca="1">IF(TOTALCO!D1019="", "",TOTALCO!D1019)</f>
        <v>1324865</v>
      </c>
      <c r="E492" s="12" t="str">
        <f>IF(TOTALCO!E1019="", "",TOTALCO!E1019)</f>
        <v/>
      </c>
      <c r="F492" s="12">
        <f ca="1">IF(TOTALCO!F1019="", "",TOTALCO!F1019)</f>
        <v>1199887.422566466</v>
      </c>
      <c r="G492" s="12" t="str">
        <f>IF(TOTALCO!G1019="", "",TOTALCO!G1019)</f>
        <v/>
      </c>
      <c r="H492" s="12">
        <f ca="1">IF(TOTALCO!H1019="", "",TOTALCO!H1019)</f>
        <v>124973.73561874827</v>
      </c>
      <c r="I492" s="12">
        <f ca="1">IF(TOTALCO!I1019="", "",TOTALCO!I1019)</f>
        <v>3.8418147857627556</v>
      </c>
      <c r="J492" s="12" t="str">
        <f>IF(TOTALCO!J1019="", "",TOTALCO!J1019)</f>
        <v/>
      </c>
      <c r="K492" s="12" t="str">
        <f>IF(TOTALCO!K1019="", "",TOTALCO!K1019)</f>
        <v/>
      </c>
      <c r="L492" s="12">
        <f ca="1">IF(TOTALCO!L1019="", "",TOTALCO!L1019)</f>
        <v>3.8418147857627556</v>
      </c>
      <c r="M492" s="12" t="str">
        <f>IF(TOTALCO!M1019="", "",TOTALCO!M1019)</f>
        <v/>
      </c>
      <c r="N492" s="12">
        <f ca="1">IF(TOTALCO!N1019="", "",TOTALCO!N1019)</f>
        <v>0</v>
      </c>
      <c r="O492" s="12">
        <f ca="1">IF(TOTALCO!O1019="", "",TOTALCO!O1019)</f>
        <v>0</v>
      </c>
      <c r="P492" s="12">
        <f ca="1">IF(TOTALCO!P1019="", "",TOTALCO!P1019)</f>
        <v>0</v>
      </c>
      <c r="Q492" s="12"/>
      <c r="R492" s="13"/>
    </row>
    <row r="493" spans="1:18" ht="15" x14ac:dyDescent="0.2">
      <c r="A493" s="321">
        <f>IF(TOTALCO!A1020="", "",TOTALCO!A1020)</f>
        <v>4</v>
      </c>
      <c r="B493" s="4" t="str">
        <f>IF(TOTALCO!B1020="", "",TOTALCO!B1020)</f>
        <v xml:space="preserve">  563-OVERHEAD LINE EXPENSES</v>
      </c>
      <c r="C493" s="4" t="str">
        <f>IF(TOTALCO!C1020="", "",TOTALCO!C1020)</f>
        <v>TRANPLTXF</v>
      </c>
      <c r="D493" s="12">
        <f ca="1">IF(TOTALCO!D1020="", "",TOTALCO!D1020)</f>
        <v>975028</v>
      </c>
      <c r="E493" s="12" t="str">
        <f>IF(TOTALCO!E1020="", "",TOTALCO!E1020)</f>
        <v/>
      </c>
      <c r="F493" s="12">
        <f ca="1">IF(TOTALCO!F1020="", "",TOTALCO!F1020)</f>
        <v>883051.35530800209</v>
      </c>
      <c r="G493" s="12" t="str">
        <f>IF(TOTALCO!G1020="", "",TOTALCO!G1020)</f>
        <v/>
      </c>
      <c r="H493" s="12">
        <f ca="1">IF(TOTALCO!H1020="", "",TOTALCO!H1020)</f>
        <v>91973.817326955483</v>
      </c>
      <c r="I493" s="12">
        <f ca="1">IF(TOTALCO!I1020="", "",TOTALCO!I1020)</f>
        <v>2.8273650424252192</v>
      </c>
      <c r="J493" s="12" t="str">
        <f>IF(TOTALCO!J1020="", "",TOTALCO!J1020)</f>
        <v/>
      </c>
      <c r="K493" s="12" t="str">
        <f>IF(TOTALCO!K1020="", "",TOTALCO!K1020)</f>
        <v/>
      </c>
      <c r="L493" s="12">
        <f ca="1">IF(TOTALCO!L1020="", "",TOTALCO!L1020)</f>
        <v>2.8273650424252192</v>
      </c>
      <c r="M493" s="12" t="str">
        <f>IF(TOTALCO!M1020="", "",TOTALCO!M1020)</f>
        <v/>
      </c>
      <c r="N493" s="12">
        <f ca="1">IF(TOTALCO!N1020="", "",TOTALCO!N1020)</f>
        <v>0</v>
      </c>
      <c r="O493" s="12">
        <f ca="1">IF(TOTALCO!O1020="", "",TOTALCO!O1020)</f>
        <v>0</v>
      </c>
      <c r="P493" s="12">
        <f ca="1">IF(TOTALCO!P1020="", "",TOTALCO!P1020)</f>
        <v>0</v>
      </c>
      <c r="Q493" s="12"/>
      <c r="R493" s="13"/>
    </row>
    <row r="494" spans="1:18" ht="15" x14ac:dyDescent="0.2">
      <c r="A494" s="321">
        <f>IF(TOTALCO!A1021="", "",TOTALCO!A1021)</f>
        <v>5</v>
      </c>
      <c r="B494" s="4" t="str">
        <f>IF(TOTALCO!B1021="", "",TOTALCO!B1021)</f>
        <v xml:space="preserve">  564-UNDERGROUND LINE EXP</v>
      </c>
      <c r="C494" s="4" t="str">
        <f>IF(TOTALCO!C1021="", "",TOTALCO!C1021)</f>
        <v>TRANPLTXF</v>
      </c>
      <c r="D494" s="12">
        <f ca="1">IF(TOTALCO!D1021="", "",TOTALCO!D1021)</f>
        <v>0</v>
      </c>
      <c r="E494" s="12" t="str">
        <f>IF(TOTALCO!E1021="", "",TOTALCO!E1021)</f>
        <v/>
      </c>
      <c r="F494" s="12">
        <f ca="1">IF(TOTALCO!F1021="", "",TOTALCO!F1021)</f>
        <v>0</v>
      </c>
      <c r="G494" s="12" t="str">
        <f>IF(TOTALCO!G1021="", "",TOTALCO!G1021)</f>
        <v/>
      </c>
      <c r="H494" s="12">
        <f ca="1">IF(TOTALCO!H1021="", "",TOTALCO!H1021)</f>
        <v>0</v>
      </c>
      <c r="I494" s="12">
        <f ca="1">IF(TOTALCO!I1021="", "",TOTALCO!I1021)</f>
        <v>0</v>
      </c>
      <c r="J494" s="12" t="str">
        <f>IF(TOTALCO!J1021="", "",TOTALCO!J1021)</f>
        <v/>
      </c>
      <c r="K494" s="12" t="str">
        <f>IF(TOTALCO!K1021="", "",TOTALCO!K1021)</f>
        <v/>
      </c>
      <c r="L494" s="12">
        <f ca="1">IF(TOTALCO!L1021="", "",TOTALCO!L1021)</f>
        <v>0</v>
      </c>
      <c r="M494" s="12" t="str">
        <f>IF(TOTALCO!M1021="", "",TOTALCO!M1021)</f>
        <v/>
      </c>
      <c r="N494" s="12">
        <f ca="1">IF(TOTALCO!N1021="", "",TOTALCO!N1021)</f>
        <v>0</v>
      </c>
      <c r="O494" s="12">
        <f ca="1">IF(TOTALCO!O1021="", "",TOTALCO!O1021)</f>
        <v>0</v>
      </c>
      <c r="P494" s="12">
        <f ca="1">IF(TOTALCO!P1021="", "",TOTALCO!P1021)</f>
        <v>0</v>
      </c>
      <c r="Q494" s="12"/>
      <c r="R494" s="13"/>
    </row>
    <row r="495" spans="1:18" ht="15" x14ac:dyDescent="0.2">
      <c r="A495" s="321">
        <f>IF(TOTALCO!A1022="", "",TOTALCO!A1022)</f>
        <v>6</v>
      </c>
      <c r="B495" s="4" t="str">
        <f>IF(TOTALCO!B1022="", "",TOTALCO!B1022)</f>
        <v xml:space="preserve">  565-TRANSM OF ELECT BY OTH</v>
      </c>
      <c r="C495" s="4" t="str">
        <f>IF(TOTALCO!C1022="", "",TOTALCO!C1022)</f>
        <v>TRANPLTXF</v>
      </c>
      <c r="D495" s="12">
        <f ca="1">IF(TOTALCO!D1022="", "",TOTALCO!D1022)</f>
        <v>4099659.0000000005</v>
      </c>
      <c r="E495" s="12" t="str">
        <f>IF(TOTALCO!E1022="", "",TOTALCO!E1022)</f>
        <v/>
      </c>
      <c r="F495" s="12">
        <f ca="1">IF(TOTALCO!F1022="", "",TOTALCO!F1022)</f>
        <v>3712928.6915356778</v>
      </c>
      <c r="G495" s="12" t="str">
        <f>IF(TOTALCO!G1022="", "",TOTALCO!G1022)</f>
        <v/>
      </c>
      <c r="H495" s="12">
        <f ca="1">IF(TOTALCO!H1022="", "",TOTALCO!H1022)</f>
        <v>386718.42036209116</v>
      </c>
      <c r="I495" s="12">
        <f ca="1">IF(TOTALCO!I1022="", "",TOTALCO!I1022)</f>
        <v>11.888102231386105</v>
      </c>
      <c r="J495" s="12" t="str">
        <f>IF(TOTALCO!J1022="", "",TOTALCO!J1022)</f>
        <v/>
      </c>
      <c r="K495" s="12" t="str">
        <f>IF(TOTALCO!K1022="", "",TOTALCO!K1022)</f>
        <v/>
      </c>
      <c r="L495" s="12">
        <f ca="1">IF(TOTALCO!L1022="", "",TOTALCO!L1022)</f>
        <v>11.888102231386105</v>
      </c>
      <c r="M495" s="12" t="str">
        <f>IF(TOTALCO!M1022="", "",TOTALCO!M1022)</f>
        <v/>
      </c>
      <c r="N495" s="12">
        <f ca="1">IF(TOTALCO!N1022="", "",TOTALCO!N1022)</f>
        <v>0</v>
      </c>
      <c r="O495" s="12">
        <f ca="1">IF(TOTALCO!O1022="", "",TOTALCO!O1022)</f>
        <v>0</v>
      </c>
      <c r="P495" s="12">
        <f ca="1">IF(TOTALCO!P1022="", "",TOTALCO!P1022)</f>
        <v>0</v>
      </c>
      <c r="Q495" s="12"/>
      <c r="R495" s="13"/>
    </row>
    <row r="496" spans="1:18" ht="15" x14ac:dyDescent="0.2">
      <c r="A496" s="321">
        <f>IF(TOTALCO!A1023="", "",TOTALCO!A1023)</f>
        <v>7</v>
      </c>
      <c r="B496" s="4" t="str">
        <f>IF(TOTALCO!B1023="", "",TOTALCO!B1023)</f>
        <v xml:space="preserve">  566-MISC TRANSMISSION EXP</v>
      </c>
      <c r="C496" s="4" t="str">
        <f>IF(TOTALCO!C1023="", "",TOTALCO!C1023)</f>
        <v>TRANPLTXF</v>
      </c>
      <c r="D496" s="12">
        <f ca="1">IF(TOTALCO!D1023="", "",TOTALCO!D1023)</f>
        <v>23279803.999999888</v>
      </c>
      <c r="E496" s="12" t="str">
        <f>IF(TOTALCO!E1023="", "",TOTALCO!E1023)</f>
        <v/>
      </c>
      <c r="F496" s="12">
        <f ca="1">IF(TOTALCO!F1023="", "",TOTALCO!F1023)</f>
        <v>21083766.285178017</v>
      </c>
      <c r="G496" s="12" t="str">
        <f>IF(TOTALCO!G1023="", "",TOTALCO!G1023)</f>
        <v/>
      </c>
      <c r="H496" s="12">
        <f ca="1">IF(TOTALCO!H1023="", "",TOTALCO!H1023)</f>
        <v>2195970.2085512592</v>
      </c>
      <c r="I496" s="12">
        <f ca="1">IF(TOTALCO!I1023="", "",TOTALCO!I1023)</f>
        <v>67.506270613880289</v>
      </c>
      <c r="J496" s="12" t="str">
        <f>IF(TOTALCO!J1023="", "",TOTALCO!J1023)</f>
        <v/>
      </c>
      <c r="K496" s="12" t="str">
        <f>IF(TOTALCO!K1023="", "",TOTALCO!K1023)</f>
        <v/>
      </c>
      <c r="L496" s="12">
        <f ca="1">IF(TOTALCO!L1023="", "",TOTALCO!L1023)</f>
        <v>67.506270613880289</v>
      </c>
      <c r="M496" s="12" t="str">
        <f>IF(TOTALCO!M1023="", "",TOTALCO!M1023)</f>
        <v/>
      </c>
      <c r="N496" s="12">
        <f ca="1">IF(TOTALCO!N1023="", "",TOTALCO!N1023)</f>
        <v>0</v>
      </c>
      <c r="O496" s="12">
        <f ca="1">IF(TOTALCO!O1023="", "",TOTALCO!O1023)</f>
        <v>0</v>
      </c>
      <c r="P496" s="12">
        <f ca="1">IF(TOTALCO!P1023="", "",TOTALCO!P1023)</f>
        <v>0</v>
      </c>
      <c r="Q496" s="12"/>
      <c r="R496" s="13"/>
    </row>
    <row r="497" spans="1:18" ht="15" x14ac:dyDescent="0.2">
      <c r="A497" s="321">
        <f>IF(TOTALCO!A1024="", "",TOTALCO!A1024)</f>
        <v>8</v>
      </c>
      <c r="B497" s="4" t="str">
        <f>IF(TOTALCO!B1024="", "",TOTALCO!B1024)</f>
        <v xml:space="preserve">  567-RENTS</v>
      </c>
      <c r="C497" s="4" t="str">
        <f>IF(TOTALCO!C1024="", "",TOTALCO!C1024)</f>
        <v>TRANPLTXF</v>
      </c>
      <c r="D497" s="12">
        <f ca="1">IF(TOTALCO!D1024="", "",TOTALCO!D1024)</f>
        <v>124236.00000000001</v>
      </c>
      <c r="E497" s="12" t="str">
        <f>IF(TOTALCO!E1024="", "",TOTALCO!E1024)</f>
        <v/>
      </c>
      <c r="F497" s="12">
        <f ca="1">IF(TOTALCO!F1024="", "",TOTALCO!F1024)</f>
        <v>112516.53098992538</v>
      </c>
      <c r="G497" s="12" t="str">
        <f>IF(TOTALCO!G1024="", "",TOTALCO!G1024)</f>
        <v/>
      </c>
      <c r="H497" s="12">
        <f ca="1">IF(TOTALCO!H1024="", "",TOTALCO!H1024)</f>
        <v>11719.108753216975</v>
      </c>
      <c r="I497" s="12">
        <f ca="1">IF(TOTALCO!I1024="", "",TOTALCO!I1024)</f>
        <v>0.3602568576602308</v>
      </c>
      <c r="J497" s="12" t="str">
        <f>IF(TOTALCO!J1024="", "",TOTALCO!J1024)</f>
        <v/>
      </c>
      <c r="K497" s="12" t="str">
        <f>IF(TOTALCO!K1024="", "",TOTALCO!K1024)</f>
        <v/>
      </c>
      <c r="L497" s="12">
        <f ca="1">IF(TOTALCO!L1024="", "",TOTALCO!L1024)</f>
        <v>0.3602568576602308</v>
      </c>
      <c r="M497" s="12" t="str">
        <f>IF(TOTALCO!M1024="", "",TOTALCO!M1024)</f>
        <v/>
      </c>
      <c r="N497" s="12">
        <f ca="1">IF(TOTALCO!N1024="", "",TOTALCO!N1024)</f>
        <v>0</v>
      </c>
      <c r="O497" s="12">
        <f ca="1">IF(TOTALCO!O1024="", "",TOTALCO!O1024)</f>
        <v>0</v>
      </c>
      <c r="P497" s="12">
        <f ca="1">IF(TOTALCO!P1024="", "",TOTALCO!P1024)</f>
        <v>0</v>
      </c>
      <c r="Q497" s="12"/>
      <c r="R497" s="13"/>
    </row>
    <row r="498" spans="1:18" ht="15" x14ac:dyDescent="0.2">
      <c r="A498" s="321">
        <f>IF(TOTALCO!A1025="", "",TOTALCO!A1025)</f>
        <v>9</v>
      </c>
      <c r="B498" s="4" t="str">
        <f>IF(TOTALCO!B1025="", "",TOTALCO!B1025)</f>
        <v xml:space="preserve">  575-MISO DAY 1 &amp;2 EXP</v>
      </c>
      <c r="C498" s="4" t="str">
        <f>IF(TOTALCO!C1025="", "",TOTALCO!C1025)</f>
        <v>TRANPLTXF</v>
      </c>
      <c r="D498" s="12">
        <f ca="1">IF(TOTALCO!D1025="", "",TOTALCO!D1025)</f>
        <v>0</v>
      </c>
      <c r="E498" s="12" t="str">
        <f>IF(TOTALCO!E1025="", "",TOTALCO!E1025)</f>
        <v/>
      </c>
      <c r="F498" s="12">
        <f ca="1">IF(TOTALCO!F1025="", "",TOTALCO!F1025)</f>
        <v>0</v>
      </c>
      <c r="G498" s="12" t="str">
        <f>IF(TOTALCO!G1025="", "",TOTALCO!G1025)</f>
        <v/>
      </c>
      <c r="H498" s="12">
        <f ca="1">IF(TOTALCO!H1025="", "",TOTALCO!H1025)</f>
        <v>0</v>
      </c>
      <c r="I498" s="12">
        <f ca="1">IF(TOTALCO!I1025="", "",TOTALCO!I1025)</f>
        <v>0</v>
      </c>
      <c r="J498" s="12" t="str">
        <f>IF(TOTALCO!J1025="", "",TOTALCO!J1025)</f>
        <v/>
      </c>
      <c r="K498" s="12" t="str">
        <f>IF(TOTALCO!K1025="", "",TOTALCO!K1025)</f>
        <v/>
      </c>
      <c r="L498" s="12">
        <f ca="1">IF(TOTALCO!L1025="", "",TOTALCO!L1025)</f>
        <v>0</v>
      </c>
      <c r="M498" s="12" t="str">
        <f>IF(TOTALCO!M1025="", "",TOTALCO!M1025)</f>
        <v/>
      </c>
      <c r="N498" s="12">
        <f ca="1">IF(TOTALCO!N1025="", "",TOTALCO!N1025)</f>
        <v>0</v>
      </c>
      <c r="O498" s="12">
        <f ca="1">IF(TOTALCO!O1025="", "",TOTALCO!O1025)</f>
        <v>0</v>
      </c>
      <c r="P498" s="12">
        <f ca="1">IF(TOTALCO!P1025="", "",TOTALCO!P1025)</f>
        <v>0</v>
      </c>
      <c r="Q498" s="12"/>
      <c r="R498" s="13"/>
    </row>
    <row r="499" spans="1:18" ht="15" x14ac:dyDescent="0.2">
      <c r="A499" s="321">
        <f>IF(TOTALCO!A1026="", "",TOTALCO!A1026)</f>
        <v>10</v>
      </c>
      <c r="B499" s="4" t="str">
        <f>IF(TOTALCO!B1026="", "",TOTALCO!B1026)</f>
        <v xml:space="preserve">    TOTAL TRANSM OPERATIONS</v>
      </c>
      <c r="C499" s="4" t="str">
        <f>IF(TOTALCO!C1026="", "",TOTALCO!C1026)</f>
        <v/>
      </c>
      <c r="D499" s="12">
        <f ca="1">IF(TOTALCO!D1026="", "",TOTALCO!D1026)</f>
        <v>35463168.999999888</v>
      </c>
      <c r="E499" s="12" t="str">
        <f>IF(TOTALCO!E1026="", "",TOTALCO!E1026)</f>
        <v/>
      </c>
      <c r="F499" s="12">
        <f ca="1">IF(TOTALCO!F1026="", "",TOTALCO!F1026)</f>
        <v>32117846.306943625</v>
      </c>
      <c r="G499" s="12" t="str">
        <f>IF(TOTALCO!G1026="", "",TOTALCO!G1026)</f>
        <v/>
      </c>
      <c r="H499" s="12">
        <f ca="1">IF(TOTALCO!H1026="", "",TOTALCO!H1026)</f>
        <v>3345219.8577281269</v>
      </c>
      <c r="I499" s="12">
        <f ca="1">IF(TOTALCO!I1026="", "",TOTALCO!I1026)</f>
        <v>102.83532813849183</v>
      </c>
      <c r="J499" s="12" t="str">
        <f>IF(TOTALCO!J1026="", "",TOTALCO!J1026)</f>
        <v/>
      </c>
      <c r="K499" s="12" t="str">
        <f>IF(TOTALCO!K1026="", "",TOTALCO!K1026)</f>
        <v/>
      </c>
      <c r="L499" s="12">
        <f ca="1">IF(TOTALCO!L1026="", "",TOTALCO!L1026)</f>
        <v>102.83532813849183</v>
      </c>
      <c r="M499" s="12" t="str">
        <f>IF(TOTALCO!M1026="", "",TOTALCO!M1026)</f>
        <v/>
      </c>
      <c r="N499" s="12">
        <f ca="1">IF(TOTALCO!N1026="", "",TOTALCO!N1026)</f>
        <v>0</v>
      </c>
      <c r="O499" s="12">
        <f ca="1">IF(TOTALCO!O1026="", "",TOTALCO!O1026)</f>
        <v>0</v>
      </c>
      <c r="P499" s="12">
        <f ca="1">IF(TOTALCO!P1026="", "",TOTALCO!P1026)</f>
        <v>0</v>
      </c>
      <c r="Q499" s="12"/>
      <c r="R499" s="13"/>
    </row>
    <row r="500" spans="1:18" ht="15" x14ac:dyDescent="0.2">
      <c r="A500" s="321">
        <f>IF(TOTALCO!A1027="", "",TOTALCO!A1027)</f>
        <v>11</v>
      </c>
      <c r="B500" s="4" t="str">
        <f>IF(TOTALCO!B1027="", "",TOTALCO!B1027)</f>
        <v xml:space="preserve">  568-SUPERV &amp; ENGINEERING</v>
      </c>
      <c r="C500" s="4" t="str">
        <f>IF(TOTALCO!C1027="", "",TOTALCO!C1027)</f>
        <v>TRANPLTXF</v>
      </c>
      <c r="D500" s="12">
        <f ca="1">IF(TOTALCO!D1027="", "",TOTALCO!D1027)</f>
        <v>0</v>
      </c>
      <c r="E500" s="12" t="str">
        <f>IF(TOTALCO!E1027="", "",TOTALCO!E1027)</f>
        <v/>
      </c>
      <c r="F500" s="12">
        <f ca="1">IF(TOTALCO!F1027="", "",TOTALCO!F1027)</f>
        <v>0</v>
      </c>
      <c r="G500" s="12" t="str">
        <f>IF(TOTALCO!G1027="", "",TOTALCO!G1027)</f>
        <v/>
      </c>
      <c r="H500" s="12">
        <f ca="1">IF(TOTALCO!H1027="", "",TOTALCO!H1027)</f>
        <v>0</v>
      </c>
      <c r="I500" s="12">
        <f ca="1">IF(TOTALCO!I1027="", "",TOTALCO!I1027)</f>
        <v>0</v>
      </c>
      <c r="J500" s="12" t="str">
        <f>IF(TOTALCO!J1027="", "",TOTALCO!J1027)</f>
        <v/>
      </c>
      <c r="K500" s="12" t="str">
        <f>IF(TOTALCO!K1027="", "",TOTALCO!K1027)</f>
        <v/>
      </c>
      <c r="L500" s="12">
        <f ca="1">IF(TOTALCO!L1027="", "",TOTALCO!L1027)</f>
        <v>0</v>
      </c>
      <c r="M500" s="12" t="str">
        <f>IF(TOTALCO!M1027="", "",TOTALCO!M1027)</f>
        <v/>
      </c>
      <c r="N500" s="12">
        <f ca="1">IF(TOTALCO!N1027="", "",TOTALCO!N1027)</f>
        <v>0</v>
      </c>
      <c r="O500" s="12">
        <f ca="1">IF(TOTALCO!O1027="", "",TOTALCO!O1027)</f>
        <v>0</v>
      </c>
      <c r="P500" s="12">
        <f ca="1">IF(TOTALCO!P1027="", "",TOTALCO!P1027)</f>
        <v>0</v>
      </c>
      <c r="Q500" s="12"/>
      <c r="R500" s="13"/>
    </row>
    <row r="501" spans="1:18" ht="15" x14ac:dyDescent="0.2">
      <c r="A501" s="321">
        <f>IF(TOTALCO!A1028="", "",TOTALCO!A1028)</f>
        <v>12</v>
      </c>
      <c r="B501" s="4" t="str">
        <f>IF(TOTALCO!B1028="", "",TOTALCO!B1028)</f>
        <v xml:space="preserve">  569-MAINT OF STRUCTURES</v>
      </c>
      <c r="C501" s="4" t="str">
        <f>IF(TOTALCO!C1028="", "",TOTALCO!C1028)</f>
        <v>TRANPLTXF</v>
      </c>
      <c r="D501" s="12">
        <f ca="1">IF(TOTALCO!D1028="", "",TOTALCO!D1028)</f>
        <v>0</v>
      </c>
      <c r="E501" s="12" t="str">
        <f>IF(TOTALCO!E1028="", "",TOTALCO!E1028)</f>
        <v/>
      </c>
      <c r="F501" s="12">
        <f ca="1">IF(TOTALCO!F1028="", "",TOTALCO!F1028)</f>
        <v>0</v>
      </c>
      <c r="G501" s="12" t="str">
        <f>IF(TOTALCO!G1028="", "",TOTALCO!G1028)</f>
        <v/>
      </c>
      <c r="H501" s="12">
        <f ca="1">IF(TOTALCO!H1028="", "",TOTALCO!H1028)</f>
        <v>0</v>
      </c>
      <c r="I501" s="12">
        <f ca="1">IF(TOTALCO!I1028="", "",TOTALCO!I1028)</f>
        <v>0</v>
      </c>
      <c r="J501" s="12" t="str">
        <f>IF(TOTALCO!J1028="", "",TOTALCO!J1028)</f>
        <v/>
      </c>
      <c r="K501" s="12" t="str">
        <f>IF(TOTALCO!K1028="", "",TOTALCO!K1028)</f>
        <v/>
      </c>
      <c r="L501" s="12">
        <f ca="1">IF(TOTALCO!L1028="", "",TOTALCO!L1028)</f>
        <v>0</v>
      </c>
      <c r="M501" s="12" t="str">
        <f>IF(TOTALCO!M1028="", "",TOTALCO!M1028)</f>
        <v/>
      </c>
      <c r="N501" s="12">
        <f ca="1">IF(TOTALCO!N1028="", "",TOTALCO!N1028)</f>
        <v>0</v>
      </c>
      <c r="O501" s="12">
        <f ca="1">IF(TOTALCO!O1028="", "",TOTALCO!O1028)</f>
        <v>0</v>
      </c>
      <c r="P501" s="12">
        <f ca="1">IF(TOTALCO!P1028="", "",TOTALCO!P1028)</f>
        <v>0</v>
      </c>
      <c r="Q501" s="12"/>
      <c r="R501" s="13"/>
    </row>
    <row r="502" spans="1:18" ht="15" x14ac:dyDescent="0.2">
      <c r="A502" s="321">
        <f>IF(TOTALCO!A1029="", "",TOTALCO!A1029)</f>
        <v>13</v>
      </c>
      <c r="B502" s="4" t="str">
        <f>IF(TOTALCO!B1029="", "",TOTALCO!B1029)</f>
        <v xml:space="preserve">  570-MAINT OF STATION EQUIP</v>
      </c>
      <c r="C502" s="4" t="str">
        <f>IF(TOTALCO!C1029="", "",TOTALCO!C1029)</f>
        <v>TRANPLTXF</v>
      </c>
      <c r="D502" s="12">
        <f ca="1">IF(TOTALCO!D1029="", "",TOTALCO!D1029)</f>
        <v>1958193.0000000002</v>
      </c>
      <c r="E502" s="12" t="str">
        <f>IF(TOTALCO!E1029="", "",TOTALCO!E1029)</f>
        <v/>
      </c>
      <c r="F502" s="12">
        <f ca="1">IF(TOTALCO!F1029="", "",TOTALCO!F1029)</f>
        <v>1773472.128600043</v>
      </c>
      <c r="G502" s="12" t="str">
        <f>IF(TOTALCO!G1029="", "",TOTALCO!G1029)</f>
        <v/>
      </c>
      <c r="H502" s="12">
        <f ca="1">IF(TOTALCO!H1029="", "",TOTALCO!H1029)</f>
        <v>184715.19307437626</v>
      </c>
      <c r="I502" s="12">
        <f ca="1">IF(TOTALCO!I1029="", "",TOTALCO!I1029)</f>
        <v>5.6783255809287194</v>
      </c>
      <c r="J502" s="12" t="str">
        <f>IF(TOTALCO!J1029="", "",TOTALCO!J1029)</f>
        <v/>
      </c>
      <c r="K502" s="12" t="str">
        <f>IF(TOTALCO!K1029="", "",TOTALCO!K1029)</f>
        <v/>
      </c>
      <c r="L502" s="12">
        <f ca="1">IF(TOTALCO!L1029="", "",TOTALCO!L1029)</f>
        <v>5.6783255809287194</v>
      </c>
      <c r="M502" s="12" t="str">
        <f>IF(TOTALCO!M1029="", "",TOTALCO!M1029)</f>
        <v/>
      </c>
      <c r="N502" s="12">
        <f ca="1">IF(TOTALCO!N1029="", "",TOTALCO!N1029)</f>
        <v>0</v>
      </c>
      <c r="O502" s="12">
        <f ca="1">IF(TOTALCO!O1029="", "",TOTALCO!O1029)</f>
        <v>0</v>
      </c>
      <c r="P502" s="12">
        <f ca="1">IF(TOTALCO!P1029="", "",TOTALCO!P1029)</f>
        <v>0</v>
      </c>
      <c r="Q502" s="12"/>
      <c r="R502" s="13"/>
    </row>
    <row r="503" spans="1:18" ht="15" x14ac:dyDescent="0.2">
      <c r="A503" s="321">
        <f>IF(TOTALCO!A1030="", "",TOTALCO!A1030)</f>
        <v>14</v>
      </c>
      <c r="B503" s="4" t="str">
        <f>IF(TOTALCO!B1030="", "",TOTALCO!B1030)</f>
        <v xml:space="preserve">  571-MAINT OF OH LINES</v>
      </c>
      <c r="C503" s="4" t="str">
        <f>IF(TOTALCO!C1030="", "",TOTALCO!C1030)</f>
        <v>TRANPLTXF</v>
      </c>
      <c r="D503" s="12">
        <f ca="1">IF(TOTALCO!D1030="", "",TOTALCO!D1030)</f>
        <v>13624020</v>
      </c>
      <c r="E503" s="12" t="str">
        <f>IF(TOTALCO!E1030="", "",TOTALCO!E1030)</f>
        <v/>
      </c>
      <c r="F503" s="12">
        <f ca="1">IF(TOTALCO!F1030="", "",TOTALCO!F1030)</f>
        <v>12343781.628258208</v>
      </c>
      <c r="G503" s="12" t="str">
        <f>IF(TOTALCO!G1030="", "",TOTALCO!G1030)</f>
        <v/>
      </c>
      <c r="H503" s="12">
        <f ca="1">IF(TOTALCO!H1030="", "",TOTALCO!H1030)</f>
        <v>1280199.0171727024</v>
      </c>
      <c r="I503" s="12">
        <f ca="1">IF(TOTALCO!I1030="", "",TOTALCO!I1030)</f>
        <v>39.354569090396993</v>
      </c>
      <c r="J503" s="12" t="str">
        <f>IF(TOTALCO!J1030="", "",TOTALCO!J1030)</f>
        <v/>
      </c>
      <c r="K503" s="12" t="str">
        <f>IF(TOTALCO!K1030="", "",TOTALCO!K1030)</f>
        <v/>
      </c>
      <c r="L503" s="12">
        <f ca="1">IF(TOTALCO!L1030="", "",TOTALCO!L1030)</f>
        <v>39.354569090396993</v>
      </c>
      <c r="M503" s="12" t="str">
        <f>IF(TOTALCO!M1030="", "",TOTALCO!M1030)</f>
        <v/>
      </c>
      <c r="N503" s="12">
        <f ca="1">IF(TOTALCO!N1030="", "",TOTALCO!N1030)</f>
        <v>0</v>
      </c>
      <c r="O503" s="12">
        <f ca="1">IF(TOTALCO!O1030="", "",TOTALCO!O1030)</f>
        <v>0</v>
      </c>
      <c r="P503" s="12">
        <f ca="1">IF(TOTALCO!P1030="", "",TOTALCO!P1030)</f>
        <v>0</v>
      </c>
      <c r="Q503" s="12"/>
      <c r="R503" s="13"/>
    </row>
    <row r="504" spans="1:18" ht="15" x14ac:dyDescent="0.2">
      <c r="A504" s="321">
        <f>IF(TOTALCO!A1031="", "",TOTALCO!A1031)</f>
        <v>15</v>
      </c>
      <c r="B504" s="4" t="str">
        <f>IF(TOTALCO!B1031="", "",TOTALCO!B1031)</f>
        <v xml:space="preserve">  572-MAINT OF UG LINES</v>
      </c>
      <c r="C504" s="4" t="str">
        <f>IF(TOTALCO!C1031="", "",TOTALCO!C1031)</f>
        <v>TRANPLTXF</v>
      </c>
      <c r="D504" s="12">
        <f ca="1">IF(TOTALCO!D1031="", "",TOTALCO!D1031)</f>
        <v>0</v>
      </c>
      <c r="E504" s="12" t="str">
        <f>IF(TOTALCO!E1031="", "",TOTALCO!E1031)</f>
        <v/>
      </c>
      <c r="F504" s="12">
        <f ca="1">IF(TOTALCO!F1031="", "",TOTALCO!F1031)</f>
        <v>0</v>
      </c>
      <c r="G504" s="12" t="str">
        <f>IF(TOTALCO!G1031="", "",TOTALCO!G1031)</f>
        <v/>
      </c>
      <c r="H504" s="12">
        <f ca="1">IF(TOTALCO!H1031="", "",TOTALCO!H1031)</f>
        <v>0</v>
      </c>
      <c r="I504" s="12">
        <f ca="1">IF(TOTALCO!I1031="", "",TOTALCO!I1031)</f>
        <v>0</v>
      </c>
      <c r="J504" s="12" t="str">
        <f>IF(TOTALCO!J1031="", "",TOTALCO!J1031)</f>
        <v/>
      </c>
      <c r="K504" s="12" t="str">
        <f>IF(TOTALCO!K1031="", "",TOTALCO!K1031)</f>
        <v/>
      </c>
      <c r="L504" s="12">
        <f ca="1">IF(TOTALCO!L1031="", "",TOTALCO!L1031)</f>
        <v>0</v>
      </c>
      <c r="M504" s="12" t="str">
        <f>IF(TOTALCO!M1031="", "",TOTALCO!M1031)</f>
        <v/>
      </c>
      <c r="N504" s="12">
        <f ca="1">IF(TOTALCO!N1031="", "",TOTALCO!N1031)</f>
        <v>0</v>
      </c>
      <c r="O504" s="12">
        <f ca="1">IF(TOTALCO!O1031="", "",TOTALCO!O1031)</f>
        <v>0</v>
      </c>
      <c r="P504" s="12">
        <f ca="1">IF(TOTALCO!P1031="", "",TOTALCO!P1031)</f>
        <v>0</v>
      </c>
      <c r="Q504" s="12"/>
      <c r="R504" s="13"/>
    </row>
    <row r="505" spans="1:18" ht="15" x14ac:dyDescent="0.2">
      <c r="A505" s="321">
        <f>IF(TOTALCO!A1032="", "",TOTALCO!A1032)</f>
        <v>16</v>
      </c>
      <c r="B505" s="4" t="str">
        <f>IF(TOTALCO!B1032="", "",TOTALCO!B1032)</f>
        <v xml:space="preserve">  573-MAINT OF MISC TRAN PLT</v>
      </c>
      <c r="C505" s="4" t="str">
        <f>IF(TOTALCO!C1032="", "",TOTALCO!C1032)</f>
        <v>TRANPLTXF</v>
      </c>
      <c r="D505" s="12">
        <f ca="1">IF(TOTALCO!D1032="", "",TOTALCO!D1032)</f>
        <v>325694.00000000006</v>
      </c>
      <c r="E505" s="12" t="str">
        <f>IF(TOTALCO!E1032="", "",TOTALCO!E1032)</f>
        <v/>
      </c>
      <c r="F505" s="12">
        <f ca="1">IF(TOTALCO!F1032="", "",TOTALCO!F1032)</f>
        <v>294970.53224695544</v>
      </c>
      <c r="G505" s="12" t="str">
        <f>IF(TOTALCO!G1032="", "",TOTALCO!G1032)</f>
        <v/>
      </c>
      <c r="H505" s="12">
        <f ca="1">IF(TOTALCO!H1032="", "",TOTALCO!H1032)</f>
        <v>30722.523312648907</v>
      </c>
      <c r="I505" s="12">
        <f ca="1">IF(TOTALCO!I1032="", "",TOTALCO!I1032)</f>
        <v>0.94444039568877958</v>
      </c>
      <c r="J505" s="12" t="str">
        <f>IF(TOTALCO!J1032="", "",TOTALCO!J1032)</f>
        <v/>
      </c>
      <c r="K505" s="12" t="str">
        <f>IF(TOTALCO!K1032="", "",TOTALCO!K1032)</f>
        <v/>
      </c>
      <c r="L505" s="12">
        <f ca="1">IF(TOTALCO!L1032="", "",TOTALCO!L1032)</f>
        <v>0.94444039568877958</v>
      </c>
      <c r="M505" s="12" t="str">
        <f>IF(TOTALCO!M1032="", "",TOTALCO!M1032)</f>
        <v/>
      </c>
      <c r="N505" s="12">
        <f ca="1">IF(TOTALCO!N1032="", "",TOTALCO!N1032)</f>
        <v>0</v>
      </c>
      <c r="O505" s="12">
        <f ca="1">IF(TOTALCO!O1032="", "",TOTALCO!O1032)</f>
        <v>0</v>
      </c>
      <c r="P505" s="12">
        <f ca="1">IF(TOTALCO!P1032="", "",TOTALCO!P1032)</f>
        <v>0</v>
      </c>
      <c r="Q505" s="12"/>
      <c r="R505" s="13"/>
    </row>
    <row r="506" spans="1:18" ht="15" x14ac:dyDescent="0.2">
      <c r="A506" s="321">
        <f>IF(TOTALCO!A1033="", "",TOTALCO!A1033)</f>
        <v>17</v>
      </c>
      <c r="B506" s="4" t="str">
        <f>IF(TOTALCO!B1033="", "",TOTALCO!B1033)</f>
        <v xml:space="preserve">    TOTAL TRANSM MAINTENANCE</v>
      </c>
      <c r="C506" s="4" t="str">
        <f>IF(TOTALCO!C1033="", "",TOTALCO!C1033)</f>
        <v/>
      </c>
      <c r="D506" s="12">
        <f ca="1">IF(TOTALCO!D1033="", "",TOTALCO!D1033)</f>
        <v>15907907</v>
      </c>
      <c r="E506" s="12" t="str">
        <f>IF(TOTALCO!E1033="", "",TOTALCO!E1033)</f>
        <v/>
      </c>
      <c r="F506" s="12">
        <f ca="1">IF(TOTALCO!F1033="", "",TOTALCO!F1033)</f>
        <v>14412224.289105205</v>
      </c>
      <c r="G506" s="12" t="str">
        <f>IF(TOTALCO!G1033="", "",TOTALCO!G1033)</f>
        <v/>
      </c>
      <c r="H506" s="12">
        <f ca="1">IF(TOTALCO!H1033="", "",TOTALCO!H1033)</f>
        <v>1495636.7335597277</v>
      </c>
      <c r="I506" s="12">
        <f ca="1">IF(TOTALCO!I1033="", "",TOTALCO!I1033)</f>
        <v>45.977335067014494</v>
      </c>
      <c r="J506" s="12" t="str">
        <f>IF(TOTALCO!J1033="", "",TOTALCO!J1033)</f>
        <v/>
      </c>
      <c r="K506" s="12" t="str">
        <f>IF(TOTALCO!K1033="", "",TOTALCO!K1033)</f>
        <v/>
      </c>
      <c r="L506" s="12">
        <f ca="1">IF(TOTALCO!L1033="", "",TOTALCO!L1033)</f>
        <v>45.977335067014494</v>
      </c>
      <c r="M506" s="12" t="str">
        <f>IF(TOTALCO!M1033="", "",TOTALCO!M1033)</f>
        <v/>
      </c>
      <c r="N506" s="12">
        <f ca="1">IF(TOTALCO!N1033="", "",TOTALCO!N1033)</f>
        <v>0</v>
      </c>
      <c r="O506" s="12">
        <f ca="1">IF(TOTALCO!O1033="", "",TOTALCO!O1033)</f>
        <v>0</v>
      </c>
      <c r="P506" s="12">
        <f ca="1">IF(TOTALCO!P1033="", "",TOTALCO!P1033)</f>
        <v>0</v>
      </c>
      <c r="Q506" s="12"/>
      <c r="R506" s="13"/>
    </row>
    <row r="507" spans="1:18" ht="15" x14ac:dyDescent="0.2">
      <c r="A507" s="321" t="str">
        <f>IF(TOTALCO!A1034="", "",TOTALCO!A1034)</f>
        <v/>
      </c>
      <c r="B507" s="4" t="str">
        <f>IF(TOTALCO!B1034="", "",TOTALCO!B1034)</f>
        <v/>
      </c>
      <c r="C507" s="4" t="str">
        <f>IF(TOTALCO!C1034="", "",TOTALCO!C1034)</f>
        <v/>
      </c>
      <c r="D507" s="12" t="str">
        <f>IF(TOTALCO!D1034="", "",TOTALCO!D1034)</f>
        <v/>
      </c>
      <c r="E507" s="12" t="str">
        <f>IF(TOTALCO!E1034="", "",TOTALCO!E1034)</f>
        <v/>
      </c>
      <c r="F507" s="12" t="str">
        <f>IF(TOTALCO!F1034="", "",TOTALCO!F1034)</f>
        <v/>
      </c>
      <c r="G507" s="12" t="str">
        <f>IF(TOTALCO!G1034="", "",TOTALCO!G1034)</f>
        <v/>
      </c>
      <c r="H507" s="12" t="str">
        <f>IF(TOTALCO!H1034="", "",TOTALCO!H1034)</f>
        <v/>
      </c>
      <c r="I507" s="12" t="str">
        <f>IF(TOTALCO!I1034="", "",TOTALCO!I1034)</f>
        <v/>
      </c>
      <c r="J507" s="12" t="str">
        <f>IF(TOTALCO!J1034="", "",TOTALCO!J1034)</f>
        <v/>
      </c>
      <c r="K507" s="12" t="str">
        <f>IF(TOTALCO!K1034="", "",TOTALCO!K1034)</f>
        <v/>
      </c>
      <c r="L507" s="12" t="str">
        <f>IF(TOTALCO!L1034="", "",TOTALCO!L1034)</f>
        <v/>
      </c>
      <c r="M507" s="12" t="str">
        <f>IF(TOTALCO!M1034="", "",TOTALCO!M1034)</f>
        <v/>
      </c>
      <c r="N507" s="12" t="str">
        <f>IF(TOTALCO!N1034="", "",TOTALCO!N1034)</f>
        <v/>
      </c>
      <c r="O507" s="12" t="str">
        <f>IF(TOTALCO!O1034="", "",TOTALCO!O1034)</f>
        <v/>
      </c>
      <c r="P507" s="12" t="str">
        <f>IF(TOTALCO!P1034="", "",TOTALCO!P1034)</f>
        <v/>
      </c>
      <c r="Q507" s="12"/>
      <c r="R507" s="13"/>
    </row>
    <row r="508" spans="1:18" ht="15" x14ac:dyDescent="0.2">
      <c r="A508" s="321">
        <f>IF(TOTALCO!A1035="", "",TOTALCO!A1035)</f>
        <v>18</v>
      </c>
      <c r="B508" s="4" t="str">
        <f>IF(TOTALCO!B1035="", "",TOTALCO!B1035)</f>
        <v>TOTAL TRANSMISSION EXPENSES</v>
      </c>
      <c r="C508" s="4" t="str">
        <f>IF(TOTALCO!C1035="", "",TOTALCO!C1035)</f>
        <v/>
      </c>
      <c r="D508" s="12">
        <f ca="1">IF(TOTALCO!D1035="", "",TOTALCO!D1035)</f>
        <v>51371075.999999888</v>
      </c>
      <c r="E508" s="12" t="str">
        <f>IF(TOTALCO!E1035="", "",TOTALCO!E1035)</f>
        <v/>
      </c>
      <c r="F508" s="12">
        <f ca="1">IF(TOTALCO!F1035="", "",TOTALCO!F1035)</f>
        <v>46530070.596048832</v>
      </c>
      <c r="G508" s="12" t="str">
        <f>IF(TOTALCO!G1035="", "",TOTALCO!G1035)</f>
        <v/>
      </c>
      <c r="H508" s="12">
        <f ca="1">IF(TOTALCO!H1035="", "",TOTALCO!H1035)</f>
        <v>4840856.5912878551</v>
      </c>
      <c r="I508" s="12">
        <f ca="1">IF(TOTALCO!I1035="", "",TOTALCO!I1035)</f>
        <v>148.81266320550634</v>
      </c>
      <c r="J508" s="12" t="str">
        <f>IF(TOTALCO!J1035="", "",TOTALCO!J1035)</f>
        <v/>
      </c>
      <c r="K508" s="12" t="str">
        <f>IF(TOTALCO!K1035="", "",TOTALCO!K1035)</f>
        <v/>
      </c>
      <c r="L508" s="12">
        <f ca="1">IF(TOTALCO!L1035="", "",TOTALCO!L1035)</f>
        <v>148.81266320550634</v>
      </c>
      <c r="M508" s="12" t="str">
        <f>IF(TOTALCO!M1035="", "",TOTALCO!M1035)</f>
        <v/>
      </c>
      <c r="N508" s="12">
        <f ca="1">IF(TOTALCO!N1035="", "",TOTALCO!N1035)</f>
        <v>0</v>
      </c>
      <c r="O508" s="12">
        <f ca="1">IF(TOTALCO!O1035="", "",TOTALCO!O1035)</f>
        <v>0</v>
      </c>
      <c r="P508" s="12">
        <f ca="1">IF(TOTALCO!P1035="", "",TOTALCO!P1035)</f>
        <v>0</v>
      </c>
      <c r="Q508" s="12"/>
      <c r="R508" s="13"/>
    </row>
    <row r="509" spans="1:18" ht="15" x14ac:dyDescent="0.2">
      <c r="A509" s="321" t="str">
        <f>IF(TOTALCO!A1036="", "",TOTALCO!A1036)</f>
        <v/>
      </c>
      <c r="B509" s="4" t="str">
        <f>IF(TOTALCO!B1036="", "",TOTALCO!B1036)</f>
        <v/>
      </c>
      <c r="C509" s="4" t="str">
        <f>IF(TOTALCO!C1036="", "",TOTALCO!C1036)</f>
        <v/>
      </c>
      <c r="D509" s="12" t="str">
        <f>IF(TOTALCO!D1036="", "",TOTALCO!D1036)</f>
        <v/>
      </c>
      <c r="E509" s="12" t="str">
        <f>IF(TOTALCO!E1036="", "",TOTALCO!E1036)</f>
        <v/>
      </c>
      <c r="F509" s="12" t="str">
        <f>IF(TOTALCO!F1036="", "",TOTALCO!F1036)</f>
        <v/>
      </c>
      <c r="G509" s="12" t="str">
        <f>IF(TOTALCO!G1036="", "",TOTALCO!G1036)</f>
        <v/>
      </c>
      <c r="H509" s="12" t="str">
        <f>IF(TOTALCO!H1036="", "",TOTALCO!H1036)</f>
        <v/>
      </c>
      <c r="I509" s="12" t="str">
        <f>IF(TOTALCO!I1036="", "",TOTALCO!I1036)</f>
        <v/>
      </c>
      <c r="J509" s="12" t="str">
        <f>IF(TOTALCO!J1036="", "",TOTALCO!J1036)</f>
        <v/>
      </c>
      <c r="K509" s="12" t="str">
        <f>IF(TOTALCO!K1036="", "",TOTALCO!K1036)</f>
        <v/>
      </c>
      <c r="L509" s="12" t="str">
        <f>IF(TOTALCO!L1036="", "",TOTALCO!L1036)</f>
        <v/>
      </c>
      <c r="M509" s="12" t="str">
        <f>IF(TOTALCO!M1036="", "",TOTALCO!M1036)</f>
        <v/>
      </c>
      <c r="N509" s="12" t="str">
        <f>IF(TOTALCO!N1036="", "",TOTALCO!N1036)</f>
        <v/>
      </c>
      <c r="O509" s="12" t="str">
        <f>IF(TOTALCO!O1036="", "",TOTALCO!O1036)</f>
        <v/>
      </c>
      <c r="P509" s="12" t="str">
        <f>IF(TOTALCO!P1036="", "",TOTALCO!P1036)</f>
        <v/>
      </c>
      <c r="Q509" s="12"/>
      <c r="R509" s="13"/>
    </row>
    <row r="510" spans="1:18" ht="15" x14ac:dyDescent="0.2">
      <c r="A510" s="321" t="str">
        <f>IF(TOTALCO!A1037="", "",TOTALCO!A1037)</f>
        <v/>
      </c>
      <c r="B510" s="4" t="str">
        <f>IF(TOTALCO!B1037="", "",TOTALCO!B1037)</f>
        <v>DISTRIBUTION EXPENSES</v>
      </c>
      <c r="C510" s="4" t="str">
        <f>IF(TOTALCO!C1037="", "",TOTALCO!C1037)</f>
        <v/>
      </c>
      <c r="D510" s="12" t="str">
        <f>IF(TOTALCO!D1037="", "",TOTALCO!D1037)</f>
        <v/>
      </c>
      <c r="E510" s="12" t="str">
        <f>IF(TOTALCO!E1037="", "",TOTALCO!E1037)</f>
        <v/>
      </c>
      <c r="F510" s="12" t="str">
        <f>IF(TOTALCO!F1037="", "",TOTALCO!F1037)</f>
        <v/>
      </c>
      <c r="G510" s="12" t="str">
        <f>IF(TOTALCO!G1037="", "",TOTALCO!G1037)</f>
        <v/>
      </c>
      <c r="H510" s="12" t="str">
        <f>IF(TOTALCO!H1037="", "",TOTALCO!H1037)</f>
        <v/>
      </c>
      <c r="I510" s="12" t="str">
        <f>IF(TOTALCO!I1037="", "",TOTALCO!I1037)</f>
        <v/>
      </c>
      <c r="J510" s="12" t="str">
        <f>IF(TOTALCO!J1037="", "",TOTALCO!J1037)</f>
        <v/>
      </c>
      <c r="K510" s="12" t="str">
        <f>IF(TOTALCO!K1037="", "",TOTALCO!K1037)</f>
        <v/>
      </c>
      <c r="L510" s="12" t="str">
        <f>IF(TOTALCO!L1037="", "",TOTALCO!L1037)</f>
        <v/>
      </c>
      <c r="M510" s="12" t="str">
        <f>IF(TOTALCO!M1037="", "",TOTALCO!M1037)</f>
        <v/>
      </c>
      <c r="N510" s="12" t="str">
        <f>IF(TOTALCO!N1037="", "",TOTALCO!N1037)</f>
        <v/>
      </c>
      <c r="O510" s="12" t="str">
        <f>IF(TOTALCO!O1037="", "",TOTALCO!O1037)</f>
        <v/>
      </c>
      <c r="P510" s="12" t="str">
        <f>IF(TOTALCO!P1037="", "",TOTALCO!P1037)</f>
        <v/>
      </c>
      <c r="Q510" s="12"/>
      <c r="R510" s="13"/>
    </row>
    <row r="511" spans="1:18" ht="15" x14ac:dyDescent="0.2">
      <c r="A511" s="321">
        <f>IF(TOTALCO!A1038="", "",TOTALCO!A1038)</f>
        <v>19</v>
      </c>
      <c r="B511" s="4" t="str">
        <f>IF(TOTALCO!B1038="", "",TOTALCO!B1038)</f>
        <v xml:space="preserve">  580-SUPERV &amp; ENGINEERING</v>
      </c>
      <c r="C511" s="4" t="str">
        <f>IF(TOTALCO!C1038="", "",TOTALCO!C1038)</f>
        <v>DISTPLT</v>
      </c>
      <c r="D511" s="12">
        <f ca="1">IF(TOTALCO!D1038="", "",TOTALCO!D1038)</f>
        <v>1982552.9999999998</v>
      </c>
      <c r="E511" s="12" t="str">
        <f>IF(TOTALCO!E1038="", "",TOTALCO!E1038)</f>
        <v/>
      </c>
      <c r="F511" s="12">
        <f ca="1">IF(TOTALCO!F1038="", "",TOTALCO!F1038)</f>
        <v>1881057.462340269</v>
      </c>
      <c r="G511" s="12" t="str">
        <f>IF(TOTALCO!G1038="", "",TOTALCO!G1038)</f>
        <v/>
      </c>
      <c r="H511" s="12">
        <f ca="1">IF(TOTALCO!H1038="", "",TOTALCO!H1038)</f>
        <v>97280.098953071531</v>
      </c>
      <c r="I511" s="12">
        <f ca="1">IF(TOTALCO!I1038="", "",TOTALCO!I1038)</f>
        <v>4215.4387066593508</v>
      </c>
      <c r="J511" s="12" t="str">
        <f>IF(TOTALCO!J1038="", "",TOTALCO!J1038)</f>
        <v/>
      </c>
      <c r="K511" s="12" t="str">
        <f>IF(TOTALCO!K1038="", "",TOTALCO!K1038)</f>
        <v/>
      </c>
      <c r="L511" s="12">
        <f ca="1">IF(TOTALCO!L1038="", "",TOTALCO!L1038)</f>
        <v>632.61582303288685</v>
      </c>
      <c r="M511" s="12" t="str">
        <f>IF(TOTALCO!M1038="", "",TOTALCO!M1038)</f>
        <v/>
      </c>
      <c r="N511" s="12">
        <f ca="1">IF(TOTALCO!N1038="", "",TOTALCO!N1038)</f>
        <v>3582.8228836264639</v>
      </c>
      <c r="O511" s="12">
        <f ca="1">IF(TOTALCO!O1038="", "",TOTALCO!O1038)</f>
        <v>3556.5726762378054</v>
      </c>
      <c r="P511" s="12">
        <f ca="1">IF(TOTALCO!P1038="", "",TOTALCO!P1038)</f>
        <v>26.250207388658488</v>
      </c>
      <c r="Q511" s="12"/>
      <c r="R511" s="13"/>
    </row>
    <row r="512" spans="1:18" ht="15" x14ac:dyDescent="0.2">
      <c r="A512" s="321">
        <f>IF(TOTALCO!A1039="", "",TOTALCO!A1039)</f>
        <v>20</v>
      </c>
      <c r="B512" s="4" t="str">
        <f>IF(TOTALCO!B1039="", "",TOTALCO!B1039)</f>
        <v xml:space="preserve">  581-DIST SYSTEM CONTROL</v>
      </c>
      <c r="C512" s="4" t="str">
        <f>IF(TOTALCO!C1039="", "",TOTALCO!C1039)</f>
        <v>PLT3602TOT</v>
      </c>
      <c r="D512" s="12">
        <f ca="1">IF(TOTALCO!D1039="", "",TOTALCO!D1039)</f>
        <v>373694</v>
      </c>
      <c r="E512" s="12" t="str">
        <f>IF(TOTALCO!E1039="", "",TOTALCO!E1039)</f>
        <v/>
      </c>
      <c r="F512" s="12">
        <f ca="1">IF(TOTALCO!F1039="", "",TOTALCO!F1039)</f>
        <v>356108.08935182594</v>
      </c>
      <c r="G512" s="12" t="str">
        <f>IF(TOTALCO!G1039="", "",TOTALCO!G1039)</f>
        <v/>
      </c>
      <c r="H512" s="12">
        <f ca="1">IF(TOTALCO!H1039="", "",TOTALCO!H1039)</f>
        <v>12264.600406201082</v>
      </c>
      <c r="I512" s="12">
        <f ca="1">IF(TOTALCO!I1039="", "",TOTALCO!I1039)</f>
        <v>5321.3102419729858</v>
      </c>
      <c r="J512" s="12" t="str">
        <f>IF(TOTALCO!J1039="", "",TOTALCO!J1039)</f>
        <v/>
      </c>
      <c r="K512" s="12" t="str">
        <f>IF(TOTALCO!K1039="", "",TOTALCO!K1039)</f>
        <v/>
      </c>
      <c r="L512" s="12">
        <f ca="1">IF(TOTALCO!L1039="", "",TOTALCO!L1039)</f>
        <v>696.69622970418629</v>
      </c>
      <c r="M512" s="12" t="str">
        <f>IF(TOTALCO!M1039="", "",TOTALCO!M1039)</f>
        <v/>
      </c>
      <c r="N512" s="12">
        <f ca="1">IF(TOTALCO!N1039="", "",TOTALCO!N1039)</f>
        <v>4624.6140122687993</v>
      </c>
      <c r="O512" s="12">
        <f ca="1">IF(TOTALCO!O1039="", "",TOTALCO!O1039)</f>
        <v>4624.6140122687993</v>
      </c>
      <c r="P512" s="12">
        <f ca="1">IF(TOTALCO!P1039="", "",TOTALCO!P1039)</f>
        <v>0</v>
      </c>
      <c r="Q512" s="12"/>
      <c r="R512" s="13"/>
    </row>
    <row r="513" spans="1:18" ht="15" x14ac:dyDescent="0.2">
      <c r="A513" s="321">
        <f>IF(TOTALCO!A1040="", "",TOTALCO!A1040)</f>
        <v>21</v>
      </c>
      <c r="B513" s="4" t="str">
        <f>IF(TOTALCO!B1040="", "",TOTALCO!B1040)</f>
        <v xml:space="preserve">  582-STATION EXPENSES</v>
      </c>
      <c r="C513" s="4" t="str">
        <f>IF(TOTALCO!C1040="", "",TOTALCO!C1040)</f>
        <v>PLT3602TOT</v>
      </c>
      <c r="D513" s="12">
        <f ca="1">IF(TOTALCO!D1040="", "",TOTALCO!D1040)</f>
        <v>2160725</v>
      </c>
      <c r="E513" s="12" t="str">
        <f>IF(TOTALCO!E1040="", "",TOTALCO!E1040)</f>
        <v/>
      </c>
      <c r="F513" s="12">
        <f ca="1">IF(TOTALCO!F1040="", "",TOTALCO!F1040)</f>
        <v>2059042.0273398131</v>
      </c>
      <c r="G513" s="12" t="str">
        <f>IF(TOTALCO!G1040="", "",TOTALCO!G1040)</f>
        <v/>
      </c>
      <c r="H513" s="12">
        <f ca="1">IF(TOTALCO!H1040="", "",TOTALCO!H1040)</f>
        <v>70914.782449514401</v>
      </c>
      <c r="I513" s="12">
        <f ca="1">IF(TOTALCO!I1040="", "",TOTALCO!I1040)</f>
        <v>30768.190210672579</v>
      </c>
      <c r="J513" s="12" t="str">
        <f>IF(TOTALCO!J1040="", "",TOTALCO!J1040)</f>
        <v/>
      </c>
      <c r="K513" s="12" t="str">
        <f>IF(TOTALCO!K1040="", "",TOTALCO!K1040)</f>
        <v/>
      </c>
      <c r="L513" s="12">
        <f ca="1">IF(TOTALCO!L1040="", "",TOTALCO!L1040)</f>
        <v>4028.3466176271977</v>
      </c>
      <c r="M513" s="12" t="str">
        <f>IF(TOTALCO!M1040="", "",TOTALCO!M1040)</f>
        <v/>
      </c>
      <c r="N513" s="12">
        <f ca="1">IF(TOTALCO!N1040="", "",TOTALCO!N1040)</f>
        <v>26739.843593045382</v>
      </c>
      <c r="O513" s="12">
        <f ca="1">IF(TOTALCO!O1040="", "",TOTALCO!O1040)</f>
        <v>26739.843593045382</v>
      </c>
      <c r="P513" s="12">
        <f ca="1">IF(TOTALCO!P1040="", "",TOTALCO!P1040)</f>
        <v>0</v>
      </c>
      <c r="Q513" s="12"/>
      <c r="R513" s="13"/>
    </row>
    <row r="514" spans="1:18" ht="15" x14ac:dyDescent="0.2">
      <c r="A514" s="321">
        <f>IF(TOTALCO!A1041="", "",TOTALCO!A1041)</f>
        <v>22</v>
      </c>
      <c r="B514" s="4" t="str">
        <f>IF(TOTALCO!B1041="", "",TOTALCO!B1041)</f>
        <v xml:space="preserve">  583-OVERHEAD LINES</v>
      </c>
      <c r="C514" s="4" t="str">
        <f>IF(TOTALCO!C1041="", "",TOTALCO!C1041)</f>
        <v>PLT3645TOT</v>
      </c>
      <c r="D514" s="12">
        <f ca="1">IF(TOTALCO!D1041="", "",TOTALCO!D1041)</f>
        <v>5940957</v>
      </c>
      <c r="E514" s="12" t="str">
        <f>IF(TOTALCO!E1041="", "",TOTALCO!E1041)</f>
        <v/>
      </c>
      <c r="F514" s="12">
        <f ca="1">IF(TOTALCO!F1041="", "",TOTALCO!F1041)</f>
        <v>5524061.9161656247</v>
      </c>
      <c r="G514" s="12" t="str">
        <f>IF(TOTALCO!G1041="", "",TOTALCO!G1041)</f>
        <v/>
      </c>
      <c r="H514" s="12">
        <f ca="1">IF(TOTALCO!H1041="", "",TOTALCO!H1041)</f>
        <v>416239.08494648512</v>
      </c>
      <c r="I514" s="12">
        <f ca="1">IF(TOTALCO!I1041="", "",TOTALCO!I1041)</f>
        <v>655.99888788993178</v>
      </c>
      <c r="J514" s="12" t="str">
        <f>IF(TOTALCO!J1041="", "",TOTALCO!J1041)</f>
        <v/>
      </c>
      <c r="K514" s="12" t="str">
        <f>IF(TOTALCO!K1041="", "",TOTALCO!K1041)</f>
        <v/>
      </c>
      <c r="L514" s="12">
        <f ca="1">IF(TOTALCO!L1041="", "",TOTALCO!L1041)</f>
        <v>655.99888788993178</v>
      </c>
      <c r="M514" s="12" t="str">
        <f>IF(TOTALCO!M1041="", "",TOTALCO!M1041)</f>
        <v/>
      </c>
      <c r="N514" s="12">
        <f ca="1">IF(TOTALCO!N1041="", "",TOTALCO!N1041)</f>
        <v>0</v>
      </c>
      <c r="O514" s="12">
        <f ca="1">IF(TOTALCO!O1041="", "",TOTALCO!O1041)</f>
        <v>0</v>
      </c>
      <c r="P514" s="12">
        <f ca="1">IF(TOTALCO!P1041="", "",TOTALCO!P1041)</f>
        <v>0</v>
      </c>
      <c r="Q514" s="12"/>
      <c r="R514" s="13"/>
    </row>
    <row r="515" spans="1:18" ht="15" x14ac:dyDescent="0.2">
      <c r="A515" s="321">
        <f>IF(TOTALCO!A1042="", "",TOTALCO!A1042)</f>
        <v>23</v>
      </c>
      <c r="B515" s="4" t="str">
        <f>IF(TOTALCO!B1042="", "",TOTALCO!B1042)</f>
        <v xml:space="preserve">  584-UNDERGROUND LINES</v>
      </c>
      <c r="C515" s="4" t="str">
        <f>IF(TOTALCO!C1042="", "",TOTALCO!C1042)</f>
        <v>PLT3667TOT</v>
      </c>
      <c r="D515" s="12">
        <f ca="1">IF(TOTALCO!D1042="", "",TOTALCO!D1042)</f>
        <v>318.99999999999994</v>
      </c>
      <c r="E515" s="12" t="str">
        <f>IF(TOTALCO!E1042="", "",TOTALCO!E1042)</f>
        <v/>
      </c>
      <c r="F515" s="12">
        <f ca="1">IF(TOTALCO!F1042="", "",TOTALCO!F1042)</f>
        <v>311.70848076109758</v>
      </c>
      <c r="G515" s="12" t="str">
        <f>IF(TOTALCO!G1042="", "",TOTALCO!G1042)</f>
        <v/>
      </c>
      <c r="H515" s="12">
        <f ca="1">IF(TOTALCO!H1042="", "",TOTALCO!H1042)</f>
        <v>7.2915192389023762</v>
      </c>
      <c r="I515" s="12">
        <f ca="1">IF(TOTALCO!I1042="", "",TOTALCO!I1042)</f>
        <v>0</v>
      </c>
      <c r="J515" s="12" t="str">
        <f>IF(TOTALCO!J1042="", "",TOTALCO!J1042)</f>
        <v/>
      </c>
      <c r="K515" s="12" t="str">
        <f>IF(TOTALCO!K1042="", "",TOTALCO!K1042)</f>
        <v/>
      </c>
      <c r="L515" s="12">
        <f ca="1">IF(TOTALCO!L1042="", "",TOTALCO!L1042)</f>
        <v>0</v>
      </c>
      <c r="M515" s="12" t="str">
        <f>IF(TOTALCO!M1042="", "",TOTALCO!M1042)</f>
        <v/>
      </c>
      <c r="N515" s="12">
        <f ca="1">IF(TOTALCO!N1042="", "",TOTALCO!N1042)</f>
        <v>0</v>
      </c>
      <c r="O515" s="12">
        <f ca="1">IF(TOTALCO!O1042="", "",TOTALCO!O1042)</f>
        <v>0</v>
      </c>
      <c r="P515" s="12">
        <f ca="1">IF(TOTALCO!P1042="", "",TOTALCO!P1042)</f>
        <v>0</v>
      </c>
      <c r="Q515" s="12"/>
      <c r="R515" s="13"/>
    </row>
    <row r="516" spans="1:18" ht="15" x14ac:dyDescent="0.2">
      <c r="A516" s="321">
        <f>IF(TOTALCO!A1043="", "",TOTALCO!A1043)</f>
        <v>24</v>
      </c>
      <c r="B516" s="4" t="str">
        <f>IF(TOTALCO!B1043="", "",TOTALCO!B1043)</f>
        <v xml:space="preserve">  585-STREET LIGHTING</v>
      </c>
      <c r="C516" s="4" t="str">
        <f>IF(TOTALCO!C1043="", "",TOTALCO!C1043)</f>
        <v>PLT373TOT</v>
      </c>
      <c r="D516" s="12">
        <f ca="1">IF(TOTALCO!D1043="", "",TOTALCO!D1043)</f>
        <v>0</v>
      </c>
      <c r="E516" s="12" t="str">
        <f>IF(TOTALCO!E1043="", "",TOTALCO!E1043)</f>
        <v/>
      </c>
      <c r="F516" s="12">
        <f ca="1">IF(TOTALCO!F1043="", "",TOTALCO!F1043)</f>
        <v>0</v>
      </c>
      <c r="G516" s="12" t="str">
        <f>IF(TOTALCO!G1043="", "",TOTALCO!G1043)</f>
        <v/>
      </c>
      <c r="H516" s="12">
        <f ca="1">IF(TOTALCO!H1043="", "",TOTALCO!H1043)</f>
        <v>0</v>
      </c>
      <c r="I516" s="12">
        <f ca="1">IF(TOTALCO!I1043="", "",TOTALCO!I1043)</f>
        <v>0</v>
      </c>
      <c r="J516" s="12" t="str">
        <f>IF(TOTALCO!J1043="", "",TOTALCO!J1043)</f>
        <v/>
      </c>
      <c r="K516" s="12" t="str">
        <f>IF(TOTALCO!K1043="", "",TOTALCO!K1043)</f>
        <v/>
      </c>
      <c r="L516" s="12">
        <f ca="1">IF(TOTALCO!L1043="", "",TOTALCO!L1043)</f>
        <v>0</v>
      </c>
      <c r="M516" s="12" t="str">
        <f>IF(TOTALCO!M1043="", "",TOTALCO!M1043)</f>
        <v/>
      </c>
      <c r="N516" s="12">
        <f ca="1">IF(TOTALCO!N1043="", "",TOTALCO!N1043)</f>
        <v>0</v>
      </c>
      <c r="O516" s="12">
        <f ca="1">IF(TOTALCO!O1043="", "",TOTALCO!O1043)</f>
        <v>0</v>
      </c>
      <c r="P516" s="12">
        <f ca="1">IF(TOTALCO!P1043="", "",TOTALCO!P1043)</f>
        <v>0</v>
      </c>
      <c r="Q516" s="12"/>
      <c r="R516" s="13"/>
    </row>
    <row r="517" spans="1:18" ht="15" x14ac:dyDescent="0.2">
      <c r="A517" s="321">
        <f>IF(TOTALCO!A1044="", "",TOTALCO!A1044)</f>
        <v>25</v>
      </c>
      <c r="B517" s="4" t="str">
        <f>IF(TOTALCO!B1044="", "",TOTALCO!B1044)</f>
        <v xml:space="preserve">  586-METERS</v>
      </c>
      <c r="C517" s="4" t="str">
        <f>IF(TOTALCO!C1044="", "",TOTALCO!C1044)</f>
        <v>PLT370TOT</v>
      </c>
      <c r="D517" s="12">
        <f ca="1">IF(TOTALCO!D1044="", "",TOTALCO!D1044)</f>
        <v>9043626.0000000019</v>
      </c>
      <c r="E517" s="12" t="str">
        <f>IF(TOTALCO!E1044="", "",TOTALCO!E1044)</f>
        <v/>
      </c>
      <c r="F517" s="12">
        <f ca="1">IF(TOTALCO!F1044="", "",TOTALCO!F1044)</f>
        <v>8623628.8065359704</v>
      </c>
      <c r="G517" s="12" t="str">
        <f>IF(TOTALCO!G1044="", "",TOTALCO!G1044)</f>
        <v/>
      </c>
      <c r="H517" s="12">
        <f ca="1">IF(TOTALCO!H1044="", "",TOTALCO!H1044)</f>
        <v>414356.36217141163</v>
      </c>
      <c r="I517" s="12">
        <f ca="1">IF(TOTALCO!I1044="", "",TOTALCO!I1044)</f>
        <v>5640.8312926191438</v>
      </c>
      <c r="J517" s="12" t="str">
        <f>IF(TOTALCO!J1044="", "",TOTALCO!J1044)</f>
        <v/>
      </c>
      <c r="K517" s="12" t="str">
        <f>IF(TOTALCO!K1044="", "",TOTALCO!K1044)</f>
        <v/>
      </c>
      <c r="L517" s="12">
        <f ca="1">IF(TOTALCO!L1044="", "",TOTALCO!L1044)</f>
        <v>459.87804760302942</v>
      </c>
      <c r="M517" s="12" t="str">
        <f>IF(TOTALCO!M1044="", "",TOTALCO!M1044)</f>
        <v/>
      </c>
      <c r="N517" s="12">
        <f ca="1">IF(TOTALCO!N1044="", "",TOTALCO!N1044)</f>
        <v>5180.9532450161141</v>
      </c>
      <c r="O517" s="12">
        <f ca="1">IF(TOTALCO!O1044="", "",TOTALCO!O1044)</f>
        <v>2240.2464610647171</v>
      </c>
      <c r="P517" s="12">
        <f ca="1">IF(TOTALCO!P1044="", "",TOTALCO!P1044)</f>
        <v>2940.706783951397</v>
      </c>
      <c r="Q517" s="12"/>
      <c r="R517" s="13"/>
    </row>
    <row r="518" spans="1:18" ht="15" x14ac:dyDescent="0.2">
      <c r="A518" s="321">
        <f>IF(TOTALCO!A1045="", "",TOTALCO!A1045)</f>
        <v>26</v>
      </c>
      <c r="B518" s="4" t="str">
        <f>IF(TOTALCO!B1045="", "",TOTALCO!B1045)</f>
        <v xml:space="preserve">  587-CUSTOMER INSTALLATIONS</v>
      </c>
      <c r="C518" s="4" t="str">
        <f>IF(TOTALCO!C1045="", "",TOTALCO!C1045)</f>
        <v>PLT373TOT</v>
      </c>
      <c r="D518" s="12">
        <f ca="1">IF(TOTALCO!D1045="", "",TOTALCO!D1045)</f>
        <v>0</v>
      </c>
      <c r="E518" s="12" t="str">
        <f>IF(TOTALCO!E1045="", "",TOTALCO!E1045)</f>
        <v/>
      </c>
      <c r="F518" s="12">
        <f ca="1">IF(TOTALCO!F1045="", "",TOTALCO!F1045)</f>
        <v>0</v>
      </c>
      <c r="G518" s="12" t="str">
        <f>IF(TOTALCO!G1045="", "",TOTALCO!G1045)</f>
        <v/>
      </c>
      <c r="H518" s="12">
        <f ca="1">IF(TOTALCO!H1045="", "",TOTALCO!H1045)</f>
        <v>0</v>
      </c>
      <c r="I518" s="12">
        <f ca="1">IF(TOTALCO!I1045="", "",TOTALCO!I1045)</f>
        <v>0</v>
      </c>
      <c r="J518" s="12" t="str">
        <f>IF(TOTALCO!J1045="", "",TOTALCO!J1045)</f>
        <v/>
      </c>
      <c r="K518" s="12" t="str">
        <f>IF(TOTALCO!K1045="", "",TOTALCO!K1045)</f>
        <v/>
      </c>
      <c r="L518" s="12">
        <f ca="1">IF(TOTALCO!L1045="", "",TOTALCO!L1045)</f>
        <v>0</v>
      </c>
      <c r="M518" s="12" t="str">
        <f>IF(TOTALCO!M1045="", "",TOTALCO!M1045)</f>
        <v/>
      </c>
      <c r="N518" s="12">
        <f ca="1">IF(TOTALCO!N1045="", "",TOTALCO!N1045)</f>
        <v>0</v>
      </c>
      <c r="O518" s="12">
        <f ca="1">IF(TOTALCO!O1045="", "",TOTALCO!O1045)</f>
        <v>0</v>
      </c>
      <c r="P518" s="12">
        <f ca="1">IF(TOTALCO!P1045="", "",TOTALCO!P1045)</f>
        <v>0</v>
      </c>
      <c r="Q518" s="12"/>
      <c r="R518" s="13"/>
    </row>
    <row r="519" spans="1:18" ht="15" x14ac:dyDescent="0.2">
      <c r="A519" s="321">
        <f>IF(TOTALCO!A1046="", "",TOTALCO!A1046)</f>
        <v>27</v>
      </c>
      <c r="B519" s="4" t="str">
        <f>IF(TOTALCO!B1046="", "",TOTALCO!B1046)</f>
        <v xml:space="preserve">  588-MISCELLANEOUS EXP</v>
      </c>
      <c r="C519" s="4" t="str">
        <f>IF(TOTALCO!C1046="", "",TOTALCO!C1046)</f>
        <v>DISTPLT</v>
      </c>
      <c r="D519" s="12">
        <f ca="1">IF(TOTALCO!D1046="", "",TOTALCO!D1046)</f>
        <v>7980328.9999999991</v>
      </c>
      <c r="E519" s="12" t="str">
        <f>IF(TOTALCO!E1046="", "",TOTALCO!E1046)</f>
        <v/>
      </c>
      <c r="F519" s="12">
        <f ca="1">IF(TOTALCO!F1046="", "",TOTALCO!F1046)</f>
        <v>7571781.1414779108</v>
      </c>
      <c r="G519" s="12" t="str">
        <f>IF(TOTALCO!G1046="", "",TOTALCO!G1046)</f>
        <v/>
      </c>
      <c r="H519" s="12">
        <f ca="1">IF(TOTALCO!H1046="", "",TOTALCO!H1046)</f>
        <v>391579.5415295664</v>
      </c>
      <c r="I519" s="12">
        <f ca="1">IF(TOTALCO!I1046="", "",TOTALCO!I1046)</f>
        <v>16968.316992522323</v>
      </c>
      <c r="J519" s="12" t="str">
        <f>IF(TOTALCO!J1046="", "",TOTALCO!J1046)</f>
        <v/>
      </c>
      <c r="K519" s="12" t="str">
        <f>IF(TOTALCO!K1046="", "",TOTALCO!K1046)</f>
        <v/>
      </c>
      <c r="L519" s="12">
        <f ca="1">IF(TOTALCO!L1046="", "",TOTALCO!L1046)</f>
        <v>2546.455201151351</v>
      </c>
      <c r="M519" s="12" t="str">
        <f>IF(TOTALCO!M1046="", "",TOTALCO!M1046)</f>
        <v/>
      </c>
      <c r="N519" s="12">
        <f ca="1">IF(TOTALCO!N1046="", "",TOTALCO!N1046)</f>
        <v>14421.861791370973</v>
      </c>
      <c r="O519" s="12">
        <f ca="1">IF(TOTALCO!O1046="", "",TOTALCO!O1046)</f>
        <v>14316.197382258215</v>
      </c>
      <c r="P519" s="12">
        <f ca="1">IF(TOTALCO!P1046="", "",TOTALCO!P1046)</f>
        <v>105.66440911275795</v>
      </c>
      <c r="Q519" s="12"/>
      <c r="R519" s="13"/>
    </row>
    <row r="520" spans="1:18" ht="15" x14ac:dyDescent="0.2">
      <c r="A520" s="321">
        <f>IF(TOTALCO!A1047="", "",TOTALCO!A1047)</f>
        <v>28</v>
      </c>
      <c r="B520" s="4" t="str">
        <f>IF(TOTALCO!B1047="", "",TOTALCO!B1047)</f>
        <v xml:space="preserve">  589-RENTS</v>
      </c>
      <c r="C520" s="4" t="str">
        <f>IF(TOTALCO!C1047="", "",TOTALCO!C1047)</f>
        <v>DISTPLT</v>
      </c>
      <c r="D520" s="12">
        <f ca="1">IF(TOTALCO!D1047="", "",TOTALCO!D1047)</f>
        <v>0</v>
      </c>
      <c r="E520" s="12" t="str">
        <f>IF(TOTALCO!E1047="", "",TOTALCO!E1047)</f>
        <v/>
      </c>
      <c r="F520" s="12">
        <f ca="1">IF(TOTALCO!F1047="", "",TOTALCO!F1047)</f>
        <v>0</v>
      </c>
      <c r="G520" s="12" t="str">
        <f>IF(TOTALCO!G1047="", "",TOTALCO!G1047)</f>
        <v/>
      </c>
      <c r="H520" s="12">
        <f ca="1">IF(TOTALCO!H1047="", "",TOTALCO!H1047)</f>
        <v>0</v>
      </c>
      <c r="I520" s="12">
        <f ca="1">IF(TOTALCO!I1047="", "",TOTALCO!I1047)</f>
        <v>0</v>
      </c>
      <c r="J520" s="12" t="str">
        <f>IF(TOTALCO!J1047="", "",TOTALCO!J1047)</f>
        <v/>
      </c>
      <c r="K520" s="12" t="str">
        <f>IF(TOTALCO!K1047="", "",TOTALCO!K1047)</f>
        <v/>
      </c>
      <c r="L520" s="12">
        <f ca="1">IF(TOTALCO!L1047="", "",TOTALCO!L1047)</f>
        <v>0</v>
      </c>
      <c r="M520" s="12" t="str">
        <f>IF(TOTALCO!M1047="", "",TOTALCO!M1047)</f>
        <v/>
      </c>
      <c r="N520" s="12">
        <f ca="1">IF(TOTALCO!N1047="", "",TOTALCO!N1047)</f>
        <v>0</v>
      </c>
      <c r="O520" s="12">
        <f ca="1">IF(TOTALCO!O1047="", "",TOTALCO!O1047)</f>
        <v>0</v>
      </c>
      <c r="P520" s="12">
        <f ca="1">IF(TOTALCO!P1047="", "",TOTALCO!P1047)</f>
        <v>0</v>
      </c>
      <c r="Q520" s="12"/>
      <c r="R520" s="13"/>
    </row>
    <row r="521" spans="1:18" ht="15" x14ac:dyDescent="0.2">
      <c r="A521" s="321">
        <f>IF(TOTALCO!A1048="", "",TOTALCO!A1048)</f>
        <v>29</v>
      </c>
      <c r="B521" s="4" t="str">
        <f>IF(TOTALCO!B1048="", "",TOTALCO!B1048)</f>
        <v xml:space="preserve">    TOTAL DISTR OPERATIONS</v>
      </c>
      <c r="C521" s="4" t="str">
        <f>IF(TOTALCO!C1048="", "",TOTALCO!C1048)</f>
        <v/>
      </c>
      <c r="D521" s="12">
        <f ca="1">IF(TOTALCO!D1048="", "",TOTALCO!D1048)</f>
        <v>27482203</v>
      </c>
      <c r="E521" s="12" t="str">
        <f>IF(TOTALCO!E1048="", "",TOTALCO!E1048)</f>
        <v/>
      </c>
      <c r="F521" s="12">
        <f ca="1">IF(TOTALCO!F1048="", "",TOTALCO!F1048)</f>
        <v>26015991.151692174</v>
      </c>
      <c r="G521" s="12" t="str">
        <f>IF(TOTALCO!G1048="", "",TOTALCO!G1048)</f>
        <v/>
      </c>
      <c r="H521" s="12">
        <f ca="1">IF(TOTALCO!H1048="", "",TOTALCO!H1048)</f>
        <v>1402641.7619754891</v>
      </c>
      <c r="I521" s="12">
        <f ca="1">IF(TOTALCO!I1048="", "",TOTALCO!I1048)</f>
        <v>63570.086332336316</v>
      </c>
      <c r="J521" s="12" t="str">
        <f>IF(TOTALCO!J1048="", "",TOTALCO!J1048)</f>
        <v/>
      </c>
      <c r="K521" s="12" t="str">
        <f>IF(TOTALCO!K1048="", "",TOTALCO!K1048)</f>
        <v/>
      </c>
      <c r="L521" s="12">
        <f ca="1">IF(TOTALCO!L1048="", "",TOTALCO!L1048)</f>
        <v>9019.9908070085839</v>
      </c>
      <c r="M521" s="12" t="str">
        <f>IF(TOTALCO!M1048="", "",TOTALCO!M1048)</f>
        <v/>
      </c>
      <c r="N521" s="12">
        <f ca="1">IF(TOTALCO!N1048="", "",TOTALCO!N1048)</f>
        <v>54550.095525327728</v>
      </c>
      <c r="O521" s="12">
        <f ca="1">IF(TOTALCO!O1048="", "",TOTALCO!O1048)</f>
        <v>51477.474124874912</v>
      </c>
      <c r="P521" s="12">
        <f ca="1">IF(TOTALCO!P1048="", "",TOTALCO!P1048)</f>
        <v>3072.6214004528133</v>
      </c>
      <c r="Q521" s="12"/>
      <c r="R521" s="13"/>
    </row>
    <row r="522" spans="1:18" ht="15" x14ac:dyDescent="0.2">
      <c r="A522" s="321">
        <f>IF(TOTALCO!A1049="", "",TOTALCO!A1049)</f>
        <v>30</v>
      </c>
      <c r="B522" s="4" t="str">
        <f>IF(TOTALCO!B1049="", "",TOTALCO!B1049)</f>
        <v xml:space="preserve">  590-SUPERV &amp; ENGINEERING</v>
      </c>
      <c r="C522" s="4" t="str">
        <f>IF(TOTALCO!C1049="", "",TOTALCO!C1049)</f>
        <v>DISTPLT</v>
      </c>
      <c r="D522" s="12">
        <f ca="1">IF(TOTALCO!D1049="", "",TOTALCO!D1049)</f>
        <v>77819.999999999985</v>
      </c>
      <c r="E522" s="12" t="str">
        <f>IF(TOTALCO!E1049="", "",TOTALCO!E1049)</f>
        <v/>
      </c>
      <c r="F522" s="12">
        <f ca="1">IF(TOTALCO!F1049="", "",TOTALCO!F1049)</f>
        <v>73836.054682684262</v>
      </c>
      <c r="G522" s="12" t="str">
        <f>IF(TOTALCO!G1049="", "",TOTALCO!G1049)</f>
        <v/>
      </c>
      <c r="H522" s="12">
        <f ca="1">IF(TOTALCO!H1049="", "",TOTALCO!H1049)</f>
        <v>3818.4791531565747</v>
      </c>
      <c r="I522" s="12">
        <f ca="1">IF(TOTALCO!I1049="", "",TOTALCO!I1049)</f>
        <v>165.46616415915776</v>
      </c>
      <c r="J522" s="12" t="str">
        <f>IF(TOTALCO!J1049="", "",TOTALCO!J1049)</f>
        <v/>
      </c>
      <c r="K522" s="12" t="str">
        <f>IF(TOTALCO!K1049="", "",TOTALCO!K1049)</f>
        <v/>
      </c>
      <c r="L522" s="12">
        <f ca="1">IF(TOTALCO!L1049="", "",TOTALCO!L1049)</f>
        <v>24.831701018040505</v>
      </c>
      <c r="M522" s="12" t="str">
        <f>IF(TOTALCO!M1049="", "",TOTALCO!M1049)</f>
        <v/>
      </c>
      <c r="N522" s="12">
        <f ca="1">IF(TOTALCO!N1049="", "",TOTALCO!N1049)</f>
        <v>140.63446314111727</v>
      </c>
      <c r="O522" s="12">
        <f ca="1">IF(TOTALCO!O1049="", "",TOTALCO!O1049)</f>
        <v>139.60407901570653</v>
      </c>
      <c r="P522" s="12">
        <f ca="1">IF(TOTALCO!P1049="", "",TOTALCO!P1049)</f>
        <v>1.0303841254107222</v>
      </c>
      <c r="Q522" s="12"/>
      <c r="R522" s="13"/>
    </row>
    <row r="523" spans="1:18" ht="15" x14ac:dyDescent="0.2">
      <c r="A523" s="321">
        <f>IF(TOTALCO!A1050="", "",TOTALCO!A1050)</f>
        <v>31</v>
      </c>
      <c r="B523" s="4" t="str">
        <f>IF(TOTALCO!B1050="", "",TOTALCO!B1050)</f>
        <v xml:space="preserve">  591-MAINT OF STRUCTURES</v>
      </c>
      <c r="C523" s="4" t="str">
        <f>IF(TOTALCO!C1050="", "",TOTALCO!C1050)</f>
        <v>PLT3602TOT</v>
      </c>
      <c r="D523" s="12">
        <f ca="1">IF(TOTALCO!D1050="", "",TOTALCO!D1050)</f>
        <v>0</v>
      </c>
      <c r="E523" s="12" t="str">
        <f>IF(TOTALCO!E1050="", "",TOTALCO!E1050)</f>
        <v/>
      </c>
      <c r="F523" s="12">
        <f ca="1">IF(TOTALCO!F1050="", "",TOTALCO!F1050)</f>
        <v>0</v>
      </c>
      <c r="G523" s="12" t="str">
        <f>IF(TOTALCO!G1050="", "",TOTALCO!G1050)</f>
        <v/>
      </c>
      <c r="H523" s="12">
        <f ca="1">IF(TOTALCO!H1050="", "",TOTALCO!H1050)</f>
        <v>0</v>
      </c>
      <c r="I523" s="12">
        <f ca="1">IF(TOTALCO!I1050="", "",TOTALCO!I1050)</f>
        <v>0</v>
      </c>
      <c r="J523" s="12" t="str">
        <f>IF(TOTALCO!J1050="", "",TOTALCO!J1050)</f>
        <v/>
      </c>
      <c r="K523" s="12" t="str">
        <f>IF(TOTALCO!K1050="", "",TOTALCO!K1050)</f>
        <v/>
      </c>
      <c r="L523" s="12">
        <f ca="1">IF(TOTALCO!L1050="", "",TOTALCO!L1050)</f>
        <v>0</v>
      </c>
      <c r="M523" s="12" t="str">
        <f>IF(TOTALCO!M1050="", "",TOTALCO!M1050)</f>
        <v/>
      </c>
      <c r="N523" s="12">
        <f ca="1">IF(TOTALCO!N1050="", "",TOTALCO!N1050)</f>
        <v>0</v>
      </c>
      <c r="O523" s="12">
        <f ca="1">IF(TOTALCO!O1050="", "",TOTALCO!O1050)</f>
        <v>0</v>
      </c>
      <c r="P523" s="12">
        <f ca="1">IF(TOTALCO!P1050="", "",TOTALCO!P1050)</f>
        <v>0</v>
      </c>
      <c r="Q523" s="12"/>
      <c r="R523" s="13"/>
    </row>
    <row r="524" spans="1:18" ht="15" x14ac:dyDescent="0.2">
      <c r="A524" s="321">
        <f>IF(TOTALCO!A1051="", "",TOTALCO!A1051)</f>
        <v>32</v>
      </c>
      <c r="B524" s="4" t="str">
        <f>IF(TOTALCO!B1051="", "",TOTALCO!B1051)</f>
        <v xml:space="preserve">  592-MAINT OF STATION EQUIP</v>
      </c>
      <c r="C524" s="4" t="str">
        <f>IF(TOTALCO!C1051="", "",TOTALCO!C1051)</f>
        <v>PLT3602TOT</v>
      </c>
      <c r="D524" s="12">
        <f ca="1">IF(TOTALCO!D1051="", "",TOTALCO!D1051)</f>
        <v>1261918</v>
      </c>
      <c r="E524" s="12" t="str">
        <f>IF(TOTALCO!E1051="", "",TOTALCO!E1051)</f>
        <v/>
      </c>
      <c r="F524" s="12">
        <f ca="1">IF(TOTALCO!F1051="", "",TOTALCO!F1051)</f>
        <v>1202532.5745092977</v>
      </c>
      <c r="G524" s="12" t="str">
        <f>IF(TOTALCO!G1051="", "",TOTALCO!G1051)</f>
        <v/>
      </c>
      <c r="H524" s="12">
        <f ca="1">IF(TOTALCO!H1051="", "",TOTALCO!H1051)</f>
        <v>41416.024917158044</v>
      </c>
      <c r="I524" s="12">
        <f ca="1">IF(TOTALCO!I1051="", "",TOTALCO!I1051)</f>
        <v>17969.400573544306</v>
      </c>
      <c r="J524" s="12" t="str">
        <f>IF(TOTALCO!J1051="", "",TOTALCO!J1051)</f>
        <v/>
      </c>
      <c r="K524" s="12" t="str">
        <f>IF(TOTALCO!K1051="", "",TOTALCO!K1051)</f>
        <v/>
      </c>
      <c r="L524" s="12">
        <f ca="1">IF(TOTALCO!L1051="", "",TOTALCO!L1051)</f>
        <v>2352.6562181781014</v>
      </c>
      <c r="M524" s="12" t="str">
        <f>IF(TOTALCO!M1051="", "",TOTALCO!M1051)</f>
        <v/>
      </c>
      <c r="N524" s="12">
        <f ca="1">IF(TOTALCO!N1051="", "",TOTALCO!N1051)</f>
        <v>15616.744355366205</v>
      </c>
      <c r="O524" s="12">
        <f ca="1">IF(TOTALCO!O1051="", "",TOTALCO!O1051)</f>
        <v>15616.744355366205</v>
      </c>
      <c r="P524" s="12">
        <f ca="1">IF(TOTALCO!P1051="", "",TOTALCO!P1051)</f>
        <v>0</v>
      </c>
      <c r="Q524" s="12"/>
      <c r="R524" s="13"/>
    </row>
    <row r="525" spans="1:18" ht="15" x14ac:dyDescent="0.2">
      <c r="A525" s="321">
        <f>IF(TOTALCO!A1052="", "",TOTALCO!A1052)</f>
        <v>33</v>
      </c>
      <c r="B525" s="4" t="str">
        <f>IF(TOTALCO!B1052="", "",TOTALCO!B1052)</f>
        <v xml:space="preserve">  593-MAINT OF OH LINES</v>
      </c>
      <c r="C525" s="4" t="str">
        <f>IF(TOTALCO!C1052="", "",TOTALCO!C1052)</f>
        <v>PLT3645TOT</v>
      </c>
      <c r="D525" s="12">
        <f ca="1">IF(TOTALCO!D1052="", "",TOTALCO!D1052)</f>
        <v>32497874</v>
      </c>
      <c r="E525" s="12" t="str">
        <f>IF(TOTALCO!E1052="", "",TOTALCO!E1052)</f>
        <v/>
      </c>
      <c r="F525" s="12">
        <f ca="1">IF(TOTALCO!F1052="", "",TOTALCO!F1052)</f>
        <v>30520616.680119868</v>
      </c>
      <c r="G525" s="12" t="str">
        <f>IF(TOTALCO!G1052="", "",TOTALCO!G1052)</f>
        <v/>
      </c>
      <c r="H525" s="12">
        <f ca="1">IF(TOTALCO!H1052="", "",TOTALCO!H1052)</f>
        <v>1974146.036842243</v>
      </c>
      <c r="I525" s="12">
        <f ca="1">IF(TOTALCO!I1052="", "",TOTALCO!I1052)</f>
        <v>3111.2830378899366</v>
      </c>
      <c r="J525" s="12" t="str">
        <f>IF(TOTALCO!J1052="", "",TOTALCO!J1052)</f>
        <v/>
      </c>
      <c r="K525" s="12" t="str">
        <f>IF(TOTALCO!K1052="", "",TOTALCO!K1052)</f>
        <v/>
      </c>
      <c r="L525" s="12">
        <f ca="1">IF(TOTALCO!L1052="", "",TOTALCO!L1052)</f>
        <v>3111.2830378899366</v>
      </c>
      <c r="M525" s="12" t="str">
        <f>IF(TOTALCO!M1052="", "",TOTALCO!M1052)</f>
        <v/>
      </c>
      <c r="N525" s="12">
        <f ca="1">IF(TOTALCO!N1052="", "",TOTALCO!N1052)</f>
        <v>0</v>
      </c>
      <c r="O525" s="12">
        <f ca="1">IF(TOTALCO!O1052="", "",TOTALCO!O1052)</f>
        <v>0</v>
      </c>
      <c r="P525" s="12">
        <f ca="1">IF(TOTALCO!P1052="", "",TOTALCO!P1052)</f>
        <v>0</v>
      </c>
      <c r="Q525" s="12"/>
      <c r="R525" s="13"/>
    </row>
    <row r="526" spans="1:18" ht="15" x14ac:dyDescent="0.2">
      <c r="A526" s="321">
        <f>IF(TOTALCO!A1053="", "",TOTALCO!A1053)</f>
        <v>34</v>
      </c>
      <c r="B526" s="4" t="str">
        <f>IF(TOTALCO!B1053="", "",TOTALCO!B1053)</f>
        <v xml:space="preserve">  594-MAINT OF UG LINES</v>
      </c>
      <c r="C526" s="4" t="str">
        <f>IF(TOTALCO!C1053="", "",TOTALCO!C1053)</f>
        <v>PLT3667TOT</v>
      </c>
      <c r="D526" s="12">
        <f ca="1">IF(TOTALCO!D1053="", "",TOTALCO!D1053)</f>
        <v>676994</v>
      </c>
      <c r="E526" s="12" t="str">
        <f>IF(TOTALCO!E1053="", "",TOTALCO!E1053)</f>
        <v/>
      </c>
      <c r="F526" s="12">
        <f ca="1">IF(TOTALCO!F1053="", "",TOTALCO!F1053)</f>
        <v>661519.65901059099</v>
      </c>
      <c r="G526" s="12" t="str">
        <f>IF(TOTALCO!G1053="", "",TOTALCO!G1053)</f>
        <v/>
      </c>
      <c r="H526" s="12">
        <f ca="1">IF(TOTALCO!H1053="", "",TOTALCO!H1053)</f>
        <v>15474.340989409015</v>
      </c>
      <c r="I526" s="12">
        <f ca="1">IF(TOTALCO!I1053="", "",TOTALCO!I1053)</f>
        <v>0</v>
      </c>
      <c r="J526" s="12" t="str">
        <f>IF(TOTALCO!J1053="", "",TOTALCO!J1053)</f>
        <v/>
      </c>
      <c r="K526" s="12" t="str">
        <f>IF(TOTALCO!K1053="", "",TOTALCO!K1053)</f>
        <v/>
      </c>
      <c r="L526" s="12">
        <f ca="1">IF(TOTALCO!L1053="", "",TOTALCO!L1053)</f>
        <v>0</v>
      </c>
      <c r="M526" s="12" t="str">
        <f>IF(TOTALCO!M1053="", "",TOTALCO!M1053)</f>
        <v/>
      </c>
      <c r="N526" s="12">
        <f ca="1">IF(TOTALCO!N1053="", "",TOTALCO!N1053)</f>
        <v>0</v>
      </c>
      <c r="O526" s="12">
        <f ca="1">IF(TOTALCO!O1053="", "",TOTALCO!O1053)</f>
        <v>0</v>
      </c>
      <c r="P526" s="12">
        <f ca="1">IF(TOTALCO!P1053="", "",TOTALCO!P1053)</f>
        <v>0</v>
      </c>
      <c r="Q526" s="12"/>
      <c r="R526" s="13"/>
    </row>
    <row r="527" spans="1:18" ht="15" x14ac:dyDescent="0.2">
      <c r="A527" s="321">
        <f>IF(TOTALCO!A1054="", "",TOTALCO!A1054)</f>
        <v>35</v>
      </c>
      <c r="B527" s="4" t="str">
        <f>IF(TOTALCO!B1054="", "",TOTALCO!B1054)</f>
        <v xml:space="preserve">  595-MAINT OF LINE TRANSF</v>
      </c>
      <c r="C527" s="4" t="str">
        <f>IF(TOTALCO!C1054="", "",TOTALCO!C1054)</f>
        <v>PLT368TOT</v>
      </c>
      <c r="D527" s="12">
        <f ca="1">IF(TOTALCO!D1054="", "",TOTALCO!D1054)</f>
        <v>112703.00000000001</v>
      </c>
      <c r="E527" s="12" t="str">
        <f>IF(TOTALCO!E1054="", "",TOTALCO!E1054)</f>
        <v/>
      </c>
      <c r="F527" s="12">
        <f ca="1">IF(TOTALCO!F1054="", "",TOTALCO!F1054)</f>
        <v>108845.99817529762</v>
      </c>
      <c r="G527" s="12" t="str">
        <f>IF(TOTALCO!G1054="", "",TOTALCO!G1054)</f>
        <v/>
      </c>
      <c r="H527" s="12">
        <f ca="1">IF(TOTALCO!H1054="", "",TOTALCO!H1054)</f>
        <v>3855.9258185727995</v>
      </c>
      <c r="I527" s="12">
        <f ca="1">IF(TOTALCO!I1054="", "",TOTALCO!I1054)</f>
        <v>1.0760061295968077</v>
      </c>
      <c r="J527" s="12" t="str">
        <f>IF(TOTALCO!J1054="", "",TOTALCO!J1054)</f>
        <v/>
      </c>
      <c r="K527" s="12" t="str">
        <f>IF(TOTALCO!K1054="", "",TOTALCO!K1054)</f>
        <v/>
      </c>
      <c r="L527" s="12">
        <f ca="1">IF(TOTALCO!L1054="", "",TOTALCO!L1054)</f>
        <v>1.0760061295968077</v>
      </c>
      <c r="M527" s="12" t="str">
        <f>IF(TOTALCO!M1054="", "",TOTALCO!M1054)</f>
        <v/>
      </c>
      <c r="N527" s="12">
        <f ca="1">IF(TOTALCO!N1054="", "",TOTALCO!N1054)</f>
        <v>0</v>
      </c>
      <c r="O527" s="12">
        <f ca="1">IF(TOTALCO!O1054="", "",TOTALCO!O1054)</f>
        <v>0</v>
      </c>
      <c r="P527" s="12">
        <f ca="1">IF(TOTALCO!P1054="", "",TOTALCO!P1054)</f>
        <v>0</v>
      </c>
      <c r="Q527" s="12"/>
      <c r="R527" s="13"/>
    </row>
    <row r="528" spans="1:18" ht="15" x14ac:dyDescent="0.2">
      <c r="A528" s="321">
        <f>IF(TOTALCO!A1055="", "",TOTALCO!A1055)</f>
        <v>36</v>
      </c>
      <c r="B528" s="4" t="str">
        <f>IF(TOTALCO!B1055="", "",TOTALCO!B1055)</f>
        <v xml:space="preserve">  596-MAINT OF ST LIGHTING</v>
      </c>
      <c r="C528" s="4" t="str">
        <f>IF(TOTALCO!C1055="", "",TOTALCO!C1055)</f>
        <v>PLT373TOT</v>
      </c>
      <c r="D528" s="12">
        <f ca="1">IF(TOTALCO!D1055="", "",TOTALCO!D1055)</f>
        <v>0</v>
      </c>
      <c r="E528" s="12" t="str">
        <f>IF(TOTALCO!E1055="", "",TOTALCO!E1055)</f>
        <v/>
      </c>
      <c r="F528" s="12">
        <f ca="1">IF(TOTALCO!F1055="", "",TOTALCO!F1055)</f>
        <v>0</v>
      </c>
      <c r="G528" s="12" t="str">
        <f>IF(TOTALCO!G1055="", "",TOTALCO!G1055)</f>
        <v/>
      </c>
      <c r="H528" s="12">
        <f ca="1">IF(TOTALCO!H1055="", "",TOTALCO!H1055)</f>
        <v>0</v>
      </c>
      <c r="I528" s="12">
        <f ca="1">IF(TOTALCO!I1055="", "",TOTALCO!I1055)</f>
        <v>0</v>
      </c>
      <c r="J528" s="12" t="str">
        <f>IF(TOTALCO!J1055="", "",TOTALCO!J1055)</f>
        <v/>
      </c>
      <c r="K528" s="12" t="str">
        <f>IF(TOTALCO!K1055="", "",TOTALCO!K1055)</f>
        <v/>
      </c>
      <c r="L528" s="12">
        <f ca="1">IF(TOTALCO!L1055="", "",TOTALCO!L1055)</f>
        <v>0</v>
      </c>
      <c r="M528" s="12" t="str">
        <f>IF(TOTALCO!M1055="", "",TOTALCO!M1055)</f>
        <v/>
      </c>
      <c r="N528" s="12">
        <f ca="1">IF(TOTALCO!N1055="", "",TOTALCO!N1055)</f>
        <v>0</v>
      </c>
      <c r="O528" s="12">
        <f ca="1">IF(TOTALCO!O1055="", "",TOTALCO!O1055)</f>
        <v>0</v>
      </c>
      <c r="P528" s="12">
        <f ca="1">IF(TOTALCO!P1055="", "",TOTALCO!P1055)</f>
        <v>0</v>
      </c>
      <c r="Q528" s="12"/>
      <c r="R528" s="13"/>
    </row>
    <row r="529" spans="1:18" ht="15" x14ac:dyDescent="0.2">
      <c r="A529" s="321">
        <f>IF(TOTALCO!A1056="", "",TOTALCO!A1056)</f>
        <v>37</v>
      </c>
      <c r="B529" s="4" t="str">
        <f>IF(TOTALCO!B1056="", "",TOTALCO!B1056)</f>
        <v xml:space="preserve">  597-MAINT OF METERS</v>
      </c>
      <c r="C529" s="4" t="str">
        <f>IF(TOTALCO!C1056="", "",TOTALCO!C1056)</f>
        <v>PLT370TOT</v>
      </c>
      <c r="D529" s="12">
        <f ca="1">IF(TOTALCO!D1056="", "",TOTALCO!D1056)</f>
        <v>0</v>
      </c>
      <c r="E529" s="12" t="str">
        <f>IF(TOTALCO!E1056="", "",TOTALCO!E1056)</f>
        <v/>
      </c>
      <c r="F529" s="12">
        <f ca="1">IF(TOTALCO!F1056="", "",TOTALCO!F1056)</f>
        <v>0</v>
      </c>
      <c r="G529" s="12" t="str">
        <f>IF(TOTALCO!G1056="", "",TOTALCO!G1056)</f>
        <v/>
      </c>
      <c r="H529" s="12">
        <f ca="1">IF(TOTALCO!H1056="", "",TOTALCO!H1056)</f>
        <v>0</v>
      </c>
      <c r="I529" s="12">
        <f ca="1">IF(TOTALCO!I1056="", "",TOTALCO!I1056)</f>
        <v>0</v>
      </c>
      <c r="J529" s="12" t="str">
        <f>IF(TOTALCO!J1056="", "",TOTALCO!J1056)</f>
        <v/>
      </c>
      <c r="K529" s="12" t="str">
        <f>IF(TOTALCO!K1056="", "",TOTALCO!K1056)</f>
        <v/>
      </c>
      <c r="L529" s="12">
        <f ca="1">IF(TOTALCO!L1056="", "",TOTALCO!L1056)</f>
        <v>0</v>
      </c>
      <c r="M529" s="12" t="str">
        <f>IF(TOTALCO!M1056="", "",TOTALCO!M1056)</f>
        <v/>
      </c>
      <c r="N529" s="12">
        <f ca="1">IF(TOTALCO!N1056="", "",TOTALCO!N1056)</f>
        <v>0</v>
      </c>
      <c r="O529" s="12">
        <f ca="1">IF(TOTALCO!O1056="", "",TOTALCO!O1056)</f>
        <v>0</v>
      </c>
      <c r="P529" s="12">
        <f ca="1">IF(TOTALCO!P1056="", "",TOTALCO!P1056)</f>
        <v>0</v>
      </c>
      <c r="Q529" s="12"/>
      <c r="R529" s="13"/>
    </row>
    <row r="530" spans="1:18" ht="15" x14ac:dyDescent="0.2">
      <c r="A530" s="321">
        <f>IF(TOTALCO!A1057="", "",TOTALCO!A1057)</f>
        <v>38</v>
      </c>
      <c r="B530" s="4" t="str">
        <f>IF(TOTALCO!B1057="", "",TOTALCO!B1057)</f>
        <v xml:space="preserve">  598-MISCELLANEOUS</v>
      </c>
      <c r="C530" s="4" t="str">
        <f>IF(TOTALCO!C1057="", "",TOTALCO!C1057)</f>
        <v>DISTPLT</v>
      </c>
      <c r="D530" s="12">
        <f ca="1">IF(TOTALCO!D1057="", "",TOTALCO!D1057)</f>
        <v>352608</v>
      </c>
      <c r="E530" s="12" t="str">
        <f>IF(TOTALCO!E1057="", "",TOTALCO!E1057)</f>
        <v/>
      </c>
      <c r="F530" s="12">
        <f ca="1">IF(TOTALCO!F1057="", "",TOTALCO!F1057)</f>
        <v>334556.45810269768</v>
      </c>
      <c r="G530" s="12" t="str">
        <f>IF(TOTALCO!G1057="", "",TOTALCO!G1057)</f>
        <v/>
      </c>
      <c r="H530" s="12">
        <f ca="1">IF(TOTALCO!H1057="", "",TOTALCO!H1057)</f>
        <v>17301.80284292256</v>
      </c>
      <c r="I530" s="12">
        <f ca="1">IF(TOTALCO!I1057="", "",TOTALCO!I1057)</f>
        <v>749.73905437975191</v>
      </c>
      <c r="J530" s="12" t="str">
        <f>IF(TOTALCO!J1057="", "",TOTALCO!J1057)</f>
        <v/>
      </c>
      <c r="K530" s="12" t="str">
        <f>IF(TOTALCO!K1057="", "",TOTALCO!K1057)</f>
        <v/>
      </c>
      <c r="L530" s="12">
        <f ca="1">IF(TOTALCO!L1057="", "",TOTALCO!L1057)</f>
        <v>112.51421784334651</v>
      </c>
      <c r="M530" s="12" t="str">
        <f>IF(TOTALCO!M1057="", "",TOTALCO!M1057)</f>
        <v/>
      </c>
      <c r="N530" s="12">
        <f ca="1">IF(TOTALCO!N1057="", "",TOTALCO!N1057)</f>
        <v>637.22483653640541</v>
      </c>
      <c r="O530" s="12">
        <f ca="1">IF(TOTALCO!O1057="", "",TOTALCO!O1057)</f>
        <v>632.55609218157599</v>
      </c>
      <c r="P530" s="12">
        <f ca="1">IF(TOTALCO!P1057="", "",TOTALCO!P1057)</f>
        <v>4.6687443548294008</v>
      </c>
      <c r="Q530" s="12"/>
      <c r="R530" s="13"/>
    </row>
    <row r="531" spans="1:18" ht="15" x14ac:dyDescent="0.2">
      <c r="A531" s="321">
        <f>IF(TOTALCO!A1058="", "",TOTALCO!A1058)</f>
        <v>39</v>
      </c>
      <c r="B531" s="4" t="str">
        <f>IF(TOTALCO!B1058="", "",TOTALCO!B1058)</f>
        <v xml:space="preserve">    TOTAL DISTR MAINTENANCE</v>
      </c>
      <c r="C531" s="4" t="str">
        <f>IF(TOTALCO!C1058="", "",TOTALCO!C1058)</f>
        <v/>
      </c>
      <c r="D531" s="12">
        <f ca="1">IF(TOTALCO!D1058="", "",TOTALCO!D1058)</f>
        <v>34979917.000000007</v>
      </c>
      <c r="E531" s="12" t="str">
        <f>IF(TOTALCO!E1058="", "",TOTALCO!E1058)</f>
        <v/>
      </c>
      <c r="F531" s="12">
        <f ca="1">IF(TOTALCO!F1058="", "",TOTALCO!F1058)</f>
        <v>32901907.424600437</v>
      </c>
      <c r="G531" s="12" t="str">
        <f>IF(TOTALCO!G1058="", "",TOTALCO!G1058)</f>
        <v/>
      </c>
      <c r="H531" s="12">
        <f ca="1">IF(TOTALCO!H1058="", "",TOTALCO!H1058)</f>
        <v>2056012.6105634619</v>
      </c>
      <c r="I531" s="12">
        <f ca="1">IF(TOTALCO!I1058="", "",TOTALCO!I1058)</f>
        <v>21996.96483610275</v>
      </c>
      <c r="J531" s="12" t="str">
        <f>IF(TOTALCO!J1058="", "",TOTALCO!J1058)</f>
        <v/>
      </c>
      <c r="K531" s="12" t="str">
        <f>IF(TOTALCO!K1058="", "",TOTALCO!K1058)</f>
        <v/>
      </c>
      <c r="L531" s="12">
        <f ca="1">IF(TOTALCO!L1058="", "",TOTALCO!L1058)</f>
        <v>5602.3611810590219</v>
      </c>
      <c r="M531" s="12" t="str">
        <f>IF(TOTALCO!M1058="", "",TOTALCO!M1058)</f>
        <v/>
      </c>
      <c r="N531" s="12">
        <f ca="1">IF(TOTALCO!N1058="", "",TOTALCO!N1058)</f>
        <v>16394.603655043727</v>
      </c>
      <c r="O531" s="12">
        <f ca="1">IF(TOTALCO!O1058="", "",TOTALCO!O1058)</f>
        <v>16388.904526563489</v>
      </c>
      <c r="P531" s="12">
        <f ca="1">IF(TOTALCO!P1058="", "",TOTALCO!P1058)</f>
        <v>5.6991284802401232</v>
      </c>
      <c r="Q531" s="12"/>
      <c r="R531" s="13"/>
    </row>
    <row r="532" spans="1:18" ht="15" x14ac:dyDescent="0.2">
      <c r="A532" s="321" t="str">
        <f>IF(TOTALCO!A1059="", "",TOTALCO!A1059)</f>
        <v/>
      </c>
      <c r="B532" s="4" t="str">
        <f>IF(TOTALCO!B1059="", "",TOTALCO!B1059)</f>
        <v/>
      </c>
      <c r="C532" s="4" t="str">
        <f>IF(TOTALCO!C1059="", "",TOTALCO!C1059)</f>
        <v/>
      </c>
      <c r="D532" s="12" t="str">
        <f>IF(TOTALCO!D1059="", "",TOTALCO!D1059)</f>
        <v/>
      </c>
      <c r="E532" s="12" t="str">
        <f>IF(TOTALCO!E1059="", "",TOTALCO!E1059)</f>
        <v/>
      </c>
      <c r="F532" s="12" t="str">
        <f>IF(TOTALCO!F1059="", "",TOTALCO!F1059)</f>
        <v/>
      </c>
      <c r="G532" s="12" t="str">
        <f>IF(TOTALCO!G1059="", "",TOTALCO!G1059)</f>
        <v/>
      </c>
      <c r="H532" s="12" t="str">
        <f>IF(TOTALCO!H1059="", "",TOTALCO!H1059)</f>
        <v/>
      </c>
      <c r="I532" s="12" t="str">
        <f>IF(TOTALCO!I1059="", "",TOTALCO!I1059)</f>
        <v/>
      </c>
      <c r="J532" s="12" t="str">
        <f>IF(TOTALCO!J1059="", "",TOTALCO!J1059)</f>
        <v/>
      </c>
      <c r="K532" s="12" t="str">
        <f>IF(TOTALCO!K1059="", "",TOTALCO!K1059)</f>
        <v/>
      </c>
      <c r="L532" s="12" t="str">
        <f>IF(TOTALCO!L1059="", "",TOTALCO!L1059)</f>
        <v/>
      </c>
      <c r="M532" s="12" t="str">
        <f>IF(TOTALCO!M1059="", "",TOTALCO!M1059)</f>
        <v/>
      </c>
      <c r="N532" s="12" t="str">
        <f>IF(TOTALCO!N1059="", "",TOTALCO!N1059)</f>
        <v/>
      </c>
      <c r="O532" s="12" t="str">
        <f>IF(TOTALCO!O1059="", "",TOTALCO!O1059)</f>
        <v/>
      </c>
      <c r="P532" s="12" t="str">
        <f>IF(TOTALCO!P1059="", "",TOTALCO!P1059)</f>
        <v/>
      </c>
      <c r="Q532" s="12"/>
      <c r="R532" s="13"/>
    </row>
    <row r="533" spans="1:18" ht="15" x14ac:dyDescent="0.2">
      <c r="A533" s="321">
        <f>IF(TOTALCO!A1060="", "",TOTALCO!A1060)</f>
        <v>40</v>
      </c>
      <c r="B533" s="4" t="str">
        <f>IF(TOTALCO!B1060="", "",TOTALCO!B1060)</f>
        <v>TOTAL DISTRIBUTION EXPENSES</v>
      </c>
      <c r="C533" s="4" t="str">
        <f>IF(TOTALCO!C1060="", "",TOTALCO!C1060)</f>
        <v/>
      </c>
      <c r="D533" s="12">
        <f ca="1">IF(TOTALCO!D1060="", "",TOTALCO!D1060)</f>
        <v>62462120.000000007</v>
      </c>
      <c r="E533" s="12" t="str">
        <f>IF(TOTALCO!E1060="", "",TOTALCO!E1060)</f>
        <v/>
      </c>
      <c r="F533" s="12">
        <f ca="1">IF(TOTALCO!F1060="", "",TOTALCO!F1060)</f>
        <v>58917898.576292612</v>
      </c>
      <c r="G533" s="12" t="str">
        <f>IF(TOTALCO!G1060="", "",TOTALCO!G1060)</f>
        <v/>
      </c>
      <c r="H533" s="12">
        <f ca="1">IF(TOTALCO!H1060="", "",TOTALCO!H1060)</f>
        <v>3458654.3725389512</v>
      </c>
      <c r="I533" s="12">
        <f ca="1">IF(TOTALCO!I1060="", "",TOTALCO!I1060)</f>
        <v>85567.051168439051</v>
      </c>
      <c r="J533" s="12" t="str">
        <f>IF(TOTALCO!J1060="", "",TOTALCO!J1060)</f>
        <v/>
      </c>
      <c r="K533" s="12" t="str">
        <f>IF(TOTALCO!K1060="", "",TOTALCO!K1060)</f>
        <v/>
      </c>
      <c r="L533" s="12">
        <f ca="1">IF(TOTALCO!L1060="", "",TOTALCO!L1060)</f>
        <v>14622.351988067607</v>
      </c>
      <c r="M533" s="12" t="str">
        <f>IF(TOTALCO!M1060="", "",TOTALCO!M1060)</f>
        <v/>
      </c>
      <c r="N533" s="12">
        <f ca="1">IF(TOTALCO!N1060="", "",TOTALCO!N1060)</f>
        <v>70944.699180371448</v>
      </c>
      <c r="O533" s="12">
        <f ca="1">IF(TOTALCO!O1060="", "",TOTALCO!O1060)</f>
        <v>67866.378651438397</v>
      </c>
      <c r="P533" s="12">
        <f ca="1">IF(TOTALCO!P1060="", "",TOTALCO!P1060)</f>
        <v>3078.3205289330535</v>
      </c>
      <c r="Q533" s="12"/>
      <c r="R533" s="13"/>
    </row>
    <row r="534" spans="1:18" ht="15" x14ac:dyDescent="0.2">
      <c r="A534" s="321" t="str">
        <f>IF(TOTALCO!A1061="", "",TOTALCO!A1061)</f>
        <v/>
      </c>
      <c r="B534" s="4" t="str">
        <f>IF(TOTALCO!B1061="", "",TOTALCO!B1061)</f>
        <v/>
      </c>
      <c r="C534" s="4" t="str">
        <f>IF(TOTALCO!C1061="", "",TOTALCO!C1061)</f>
        <v/>
      </c>
      <c r="D534" s="12" t="str">
        <f>IF(TOTALCO!D1061="", "",TOTALCO!D1061)</f>
        <v/>
      </c>
      <c r="E534" s="12" t="str">
        <f>IF(TOTALCO!E1061="", "",TOTALCO!E1061)</f>
        <v/>
      </c>
      <c r="F534" s="12" t="str">
        <f>IF(TOTALCO!F1061="", "",TOTALCO!F1061)</f>
        <v/>
      </c>
      <c r="G534" s="12" t="str">
        <f>IF(TOTALCO!G1061="", "",TOTALCO!G1061)</f>
        <v/>
      </c>
      <c r="H534" s="12" t="str">
        <f>IF(TOTALCO!H1061="", "",TOTALCO!H1061)</f>
        <v/>
      </c>
      <c r="I534" s="12" t="str">
        <f>IF(TOTALCO!I1061="", "",TOTALCO!I1061)</f>
        <v/>
      </c>
      <c r="J534" s="12" t="str">
        <f>IF(TOTALCO!J1061="", "",TOTALCO!J1061)</f>
        <v/>
      </c>
      <c r="K534" s="12" t="str">
        <f>IF(TOTALCO!K1061="", "",TOTALCO!K1061)</f>
        <v/>
      </c>
      <c r="L534" s="12" t="str">
        <f>IF(TOTALCO!L1061="", "",TOTALCO!L1061)</f>
        <v/>
      </c>
      <c r="M534" s="12" t="str">
        <f>IF(TOTALCO!M1061="", "",TOTALCO!M1061)</f>
        <v/>
      </c>
      <c r="N534" s="12" t="str">
        <f>IF(TOTALCO!N1061="", "",TOTALCO!N1061)</f>
        <v/>
      </c>
      <c r="O534" s="12" t="str">
        <f>IF(TOTALCO!O1061="", "",TOTALCO!O1061)</f>
        <v/>
      </c>
      <c r="P534" s="12" t="str">
        <f>IF(TOTALCO!P1061="", "",TOTALCO!P1061)</f>
        <v/>
      </c>
      <c r="Q534" s="12"/>
      <c r="R534" s="13"/>
    </row>
    <row r="535" spans="1:18" ht="15" x14ac:dyDescent="0.2">
      <c r="A535" s="321" t="str">
        <f>IF(TOTALCO!A1062="", "",TOTALCO!A1062)</f>
        <v/>
      </c>
      <c r="B535" s="4" t="str">
        <f>IF(TOTALCO!B1062="", "",TOTALCO!B1062)</f>
        <v/>
      </c>
      <c r="C535" s="4" t="str">
        <f>IF(TOTALCO!C1062="", "",TOTALCO!C1062)</f>
        <v/>
      </c>
      <c r="D535" s="12" t="str">
        <f>IF(TOTALCO!D1062="", "",TOTALCO!D1062)</f>
        <v/>
      </c>
      <c r="E535" s="12" t="str">
        <f>IF(TOTALCO!E1062="", "",TOTALCO!E1062)</f>
        <v/>
      </c>
      <c r="F535" s="12" t="str">
        <f>IF(TOTALCO!F1062="", "",TOTALCO!F1062)</f>
        <v/>
      </c>
      <c r="G535" s="12" t="str">
        <f>IF(TOTALCO!G1062="", "",TOTALCO!G1062)</f>
        <v/>
      </c>
      <c r="H535" s="12" t="str">
        <f>IF(TOTALCO!H1062="", "",TOTALCO!H1062)</f>
        <v/>
      </c>
      <c r="I535" s="12" t="str">
        <f>IF(TOTALCO!I1062="", "",TOTALCO!I1062)</f>
        <v/>
      </c>
      <c r="J535" s="12" t="str">
        <f>IF(TOTALCO!J1062="", "",TOTALCO!J1062)</f>
        <v/>
      </c>
      <c r="K535" s="12" t="str">
        <f>IF(TOTALCO!K1062="", "",TOTALCO!K1062)</f>
        <v/>
      </c>
      <c r="L535" s="12" t="str">
        <f>IF(TOTALCO!L1062="", "",TOTALCO!L1062)</f>
        <v/>
      </c>
      <c r="M535" s="12" t="str">
        <f>IF(TOTALCO!M1062="", "",TOTALCO!M1062)</f>
        <v/>
      </c>
      <c r="N535" s="12" t="str">
        <f>IF(TOTALCO!N1062="", "",TOTALCO!N1062)</f>
        <v/>
      </c>
      <c r="O535" s="12" t="str">
        <f>IF(TOTALCO!O1062="", "",TOTALCO!O1062)</f>
        <v/>
      </c>
      <c r="P535" s="12" t="str">
        <f>IF(TOTALCO!P1062="", "",TOTALCO!P1062)</f>
        <v/>
      </c>
      <c r="Q535" s="12"/>
      <c r="R535" s="13"/>
    </row>
    <row r="536" spans="1:18" ht="15" x14ac:dyDescent="0.2">
      <c r="A536" s="321" t="str">
        <f>IF(TOTALCO!A1063="", "",TOTALCO!A1063)</f>
        <v/>
      </c>
      <c r="B536" s="4" t="str">
        <f>IF(TOTALCO!B1063="", "",TOTALCO!B1063)</f>
        <v>OPERATION &amp; MAINT EXP CON'T</v>
      </c>
      <c r="C536" s="4" t="str">
        <f>IF(TOTALCO!C1063="", "",TOTALCO!C1063)</f>
        <v/>
      </c>
      <c r="D536" s="12" t="str">
        <f>IF(TOTALCO!D1063="", "",TOTALCO!D1063)</f>
        <v/>
      </c>
      <c r="E536" s="12" t="str">
        <f>IF(TOTALCO!E1063="", "",TOTALCO!E1063)</f>
        <v/>
      </c>
      <c r="F536" s="12" t="str">
        <f>IF(TOTALCO!F1063="", "",TOTALCO!F1063)</f>
        <v/>
      </c>
      <c r="G536" s="12" t="str">
        <f>IF(TOTALCO!G1063="", "",TOTALCO!G1063)</f>
        <v/>
      </c>
      <c r="H536" s="12" t="str">
        <f>IF(TOTALCO!H1063="", "",TOTALCO!H1063)</f>
        <v/>
      </c>
      <c r="I536" s="12" t="str">
        <f>IF(TOTALCO!I1063="", "",TOTALCO!I1063)</f>
        <v/>
      </c>
      <c r="J536" s="12" t="str">
        <f>IF(TOTALCO!J1063="", "",TOTALCO!J1063)</f>
        <v/>
      </c>
      <c r="K536" s="12" t="str">
        <f>IF(TOTALCO!K1063="", "",TOTALCO!K1063)</f>
        <v/>
      </c>
      <c r="L536" s="12" t="str">
        <f>IF(TOTALCO!L1063="", "",TOTALCO!L1063)</f>
        <v/>
      </c>
      <c r="M536" s="12" t="str">
        <f>IF(TOTALCO!M1063="", "",TOTALCO!M1063)</f>
        <v/>
      </c>
      <c r="N536" s="12" t="str">
        <f>IF(TOTALCO!N1063="", "",TOTALCO!N1063)</f>
        <v/>
      </c>
      <c r="O536" s="12" t="str">
        <f>IF(TOTALCO!O1063="", "",TOTALCO!O1063)</f>
        <v/>
      </c>
      <c r="P536" s="12" t="str">
        <f>IF(TOTALCO!P1063="", "",TOTALCO!P1063)</f>
        <v/>
      </c>
      <c r="Q536" s="12"/>
      <c r="R536" s="13"/>
    </row>
    <row r="537" spans="1:18" ht="15" x14ac:dyDescent="0.2">
      <c r="A537" s="321" t="str">
        <f>IF(TOTALCO!A1064="", "",TOTALCO!A1064)</f>
        <v/>
      </c>
      <c r="B537" s="4" t="str">
        <f>IF(TOTALCO!B1064="", "",TOTALCO!B1064)</f>
        <v/>
      </c>
      <c r="C537" s="4" t="str">
        <f>IF(TOTALCO!C1064="", "",TOTALCO!C1064)</f>
        <v/>
      </c>
      <c r="D537" s="12" t="str">
        <f>IF(TOTALCO!D1064="", "",TOTALCO!D1064)</f>
        <v/>
      </c>
      <c r="E537" s="12" t="str">
        <f>IF(TOTALCO!E1064="", "",TOTALCO!E1064)</f>
        <v/>
      </c>
      <c r="F537" s="12" t="str">
        <f>IF(TOTALCO!F1064="", "",TOTALCO!F1064)</f>
        <v/>
      </c>
      <c r="G537" s="12" t="str">
        <f>IF(TOTALCO!G1064="", "",TOTALCO!G1064)</f>
        <v/>
      </c>
      <c r="H537" s="12" t="str">
        <f>IF(TOTALCO!H1064="", "",TOTALCO!H1064)</f>
        <v/>
      </c>
      <c r="I537" s="12" t="str">
        <f>IF(TOTALCO!I1064="", "",TOTALCO!I1064)</f>
        <v/>
      </c>
      <c r="J537" s="12" t="str">
        <f>IF(TOTALCO!J1064="", "",TOTALCO!J1064)</f>
        <v/>
      </c>
      <c r="K537" s="12" t="str">
        <f>IF(TOTALCO!K1064="", "",TOTALCO!K1064)</f>
        <v/>
      </c>
      <c r="L537" s="12" t="str">
        <f>IF(TOTALCO!L1064="", "",TOTALCO!L1064)</f>
        <v/>
      </c>
      <c r="M537" s="12" t="str">
        <f>IF(TOTALCO!M1064="", "",TOTALCO!M1064)</f>
        <v/>
      </c>
      <c r="N537" s="12" t="str">
        <f>IF(TOTALCO!N1064="", "",TOTALCO!N1064)</f>
        <v/>
      </c>
      <c r="O537" s="12" t="str">
        <f>IF(TOTALCO!O1064="", "",TOTALCO!O1064)</f>
        <v/>
      </c>
      <c r="P537" s="12" t="str">
        <f>IF(TOTALCO!P1064="", "",TOTALCO!P1064)</f>
        <v/>
      </c>
      <c r="Q537" s="12"/>
      <c r="R537" s="13"/>
    </row>
    <row r="538" spans="1:18" ht="15" x14ac:dyDescent="0.2">
      <c r="A538" s="321" t="str">
        <f>IF(TOTALCO!A1065="", "",TOTALCO!A1065)</f>
        <v/>
      </c>
      <c r="B538" s="4" t="str">
        <f>IF(TOTALCO!B1065="", "",TOTALCO!B1065)</f>
        <v>CUSTOMER ACCOUNTING EXPENSES</v>
      </c>
      <c r="C538" s="4" t="str">
        <f>IF(TOTALCO!C1065="", "",TOTALCO!C1065)</f>
        <v/>
      </c>
      <c r="D538" s="12" t="str">
        <f>IF(TOTALCO!D1065="", "",TOTALCO!D1065)</f>
        <v/>
      </c>
      <c r="E538" s="12" t="str">
        <f>IF(TOTALCO!E1065="", "",TOTALCO!E1065)</f>
        <v/>
      </c>
      <c r="F538" s="12" t="str">
        <f>IF(TOTALCO!F1065="", "",TOTALCO!F1065)</f>
        <v/>
      </c>
      <c r="G538" s="12" t="str">
        <f>IF(TOTALCO!G1065="", "",TOTALCO!G1065)</f>
        <v/>
      </c>
      <c r="H538" s="12" t="str">
        <f>IF(TOTALCO!H1065="", "",TOTALCO!H1065)</f>
        <v/>
      </c>
      <c r="I538" s="12" t="str">
        <f>IF(TOTALCO!I1065="", "",TOTALCO!I1065)</f>
        <v/>
      </c>
      <c r="J538" s="12" t="str">
        <f>IF(TOTALCO!J1065="", "",TOTALCO!J1065)</f>
        <v/>
      </c>
      <c r="K538" s="12" t="str">
        <f>IF(TOTALCO!K1065="", "",TOTALCO!K1065)</f>
        <v/>
      </c>
      <c r="L538" s="12" t="str">
        <f>IF(TOTALCO!L1065="", "",TOTALCO!L1065)</f>
        <v/>
      </c>
      <c r="M538" s="12" t="str">
        <f>IF(TOTALCO!M1065="", "",TOTALCO!M1065)</f>
        <v/>
      </c>
      <c r="N538" s="12" t="str">
        <f>IF(TOTALCO!N1065="", "",TOTALCO!N1065)</f>
        <v/>
      </c>
      <c r="O538" s="12" t="str">
        <f>IF(TOTALCO!O1065="", "",TOTALCO!O1065)</f>
        <v/>
      </c>
      <c r="P538" s="12" t="str">
        <f>IF(TOTALCO!P1065="", "",TOTALCO!P1065)</f>
        <v/>
      </c>
      <c r="Q538" s="12"/>
      <c r="R538" s="13"/>
    </row>
    <row r="539" spans="1:18" ht="15" x14ac:dyDescent="0.2">
      <c r="A539" s="321">
        <f>IF(TOTALCO!A1066="", "",TOTALCO!A1066)</f>
        <v>1</v>
      </c>
      <c r="B539" s="4" t="str">
        <f>IF(TOTALCO!B1066="", "",TOTALCO!B1066)</f>
        <v xml:space="preserve">  901-SUPERVISION</v>
      </c>
      <c r="C539" s="4" t="str">
        <f>IF(TOTALCO!C1066="", "",TOTALCO!C1066)</f>
        <v>LABCA</v>
      </c>
      <c r="D539" s="12">
        <f ca="1">IF(TOTALCO!D1066="", "",TOTALCO!D1066)</f>
        <v>4201987.9999999898</v>
      </c>
      <c r="E539" s="12" t="str">
        <f>IF(TOTALCO!E1066="", "",TOTALCO!E1066)</f>
        <v/>
      </c>
      <c r="F539" s="12">
        <f ca="1">IF(TOTALCO!F1066="", "",TOTALCO!F1066)</f>
        <v>3992022.870045648</v>
      </c>
      <c r="G539" s="12" t="str">
        <f>IF(TOTALCO!G1066="", "",TOTALCO!G1066)</f>
        <v/>
      </c>
      <c r="H539" s="12">
        <f ca="1">IF(TOTALCO!H1066="", "",TOTALCO!H1066)</f>
        <v>208763.62067979472</v>
      </c>
      <c r="I539" s="12">
        <f ca="1">IF(TOTALCO!I1066="", "",TOTALCO!I1066)</f>
        <v>1201.5092745468774</v>
      </c>
      <c r="J539" s="12" t="str">
        <f>IF(TOTALCO!J1066="", "",TOTALCO!J1066)</f>
        <v/>
      </c>
      <c r="K539" s="12" t="str">
        <f>IF(TOTALCO!K1066="", "",TOTALCO!K1066)</f>
        <v/>
      </c>
      <c r="L539" s="12">
        <f ca="1">IF(TOTALCO!L1066="", "",TOTALCO!L1066)</f>
        <v>27.684545496471824</v>
      </c>
      <c r="M539" s="12" t="str">
        <f>IF(TOTALCO!M1066="", "",TOTALCO!M1066)</f>
        <v/>
      </c>
      <c r="N539" s="12">
        <f ca="1">IF(TOTALCO!N1066="", "",TOTALCO!N1066)</f>
        <v>1173.8247290504055</v>
      </c>
      <c r="O539" s="12">
        <f ca="1">IF(TOTALCO!O1066="", "",TOTALCO!O1066)</f>
        <v>470.63727344002098</v>
      </c>
      <c r="P539" s="12">
        <f ca="1">IF(TOTALCO!P1066="", "",TOTALCO!P1066)</f>
        <v>703.1874556103844</v>
      </c>
      <c r="Q539" s="12"/>
      <c r="R539" s="13"/>
    </row>
    <row r="540" spans="1:18" ht="15" x14ac:dyDescent="0.2">
      <c r="A540" s="321">
        <f>IF(TOTALCO!A1067="", "",TOTALCO!A1067)</f>
        <v>2</v>
      </c>
      <c r="B540" s="4" t="str">
        <f>IF(TOTALCO!B1067="", "",TOTALCO!B1067)</f>
        <v xml:space="preserve">  902-METER READING</v>
      </c>
      <c r="C540" s="4" t="str">
        <f>IF(TOTALCO!C1067="", "",TOTALCO!C1067)</f>
        <v>CUST902</v>
      </c>
      <c r="D540" s="12">
        <f ca="1">IF(TOTALCO!D1067="", "",TOTALCO!D1067)</f>
        <v>9154025</v>
      </c>
      <c r="E540" s="12" t="str">
        <f>IF(TOTALCO!E1067="", "",TOTALCO!E1067)</f>
        <v/>
      </c>
      <c r="F540" s="12">
        <f ca="1">IF(TOTALCO!F1067="", "",TOTALCO!F1067)</f>
        <v>8696616.2571072802</v>
      </c>
      <c r="G540" s="12" t="str">
        <f>IF(TOTALCO!G1067="", "",TOTALCO!G1067)</f>
        <v/>
      </c>
      <c r="H540" s="12">
        <f ca="1">IF(TOTALCO!H1067="", "",TOTALCO!H1067)</f>
        <v>454791.25661314657</v>
      </c>
      <c r="I540" s="12">
        <f ca="1">IF(TOTALCO!I1067="", "",TOTALCO!I1067)</f>
        <v>2617.4862795738595</v>
      </c>
      <c r="J540" s="12" t="str">
        <f>IF(TOTALCO!J1067="", "",TOTALCO!J1067)</f>
        <v/>
      </c>
      <c r="K540" s="12" t="str">
        <f>IF(TOTALCO!K1067="", "",TOTALCO!K1067)</f>
        <v/>
      </c>
      <c r="L540" s="12">
        <f ca="1">IF(TOTALCO!L1067="", "",TOTALCO!L1067)</f>
        <v>60.310743768982938</v>
      </c>
      <c r="M540" s="12" t="str">
        <f>IF(TOTALCO!M1067="", "",TOTALCO!M1067)</f>
        <v/>
      </c>
      <c r="N540" s="12">
        <f ca="1">IF(TOTALCO!N1067="", "",TOTALCO!N1067)</f>
        <v>2557.1755358048767</v>
      </c>
      <c r="O540" s="12">
        <f ca="1">IF(TOTALCO!O1067="", "",TOTALCO!O1067)</f>
        <v>1025.2826440727099</v>
      </c>
      <c r="P540" s="12">
        <f ca="1">IF(TOTALCO!P1067="", "",TOTALCO!P1067)</f>
        <v>1531.8928917321668</v>
      </c>
      <c r="Q540" s="12"/>
      <c r="R540" s="13"/>
    </row>
    <row r="541" spans="1:18" ht="15" x14ac:dyDescent="0.2">
      <c r="A541" s="321">
        <f>IF(TOTALCO!A1068="", "",TOTALCO!A1068)</f>
        <v>3</v>
      </c>
      <c r="B541" s="4" t="str">
        <f>IF(TOTALCO!B1068="", "",TOTALCO!B1068)</f>
        <v xml:space="preserve">  903-CUSTOMER RECORDS</v>
      </c>
      <c r="C541" s="4" t="str">
        <f>IF(TOTALCO!C1068="", "",TOTALCO!C1068)</f>
        <v>CUST903</v>
      </c>
      <c r="D541" s="12">
        <f ca="1">IF(TOTALCO!D1068="", "",TOTALCO!D1068)</f>
        <v>21135404</v>
      </c>
      <c r="E541" s="12" t="str">
        <f>IF(TOTALCO!E1068="", "",TOTALCO!E1068)</f>
        <v/>
      </c>
      <c r="F541" s="12">
        <f ca="1">IF(TOTALCO!F1068="", "",TOTALCO!F1068)</f>
        <v>20079309.159296617</v>
      </c>
      <c r="G541" s="12" t="str">
        <f>IF(TOTALCO!G1068="", "",TOTALCO!G1068)</f>
        <v/>
      </c>
      <c r="H541" s="12">
        <f ca="1">IF(TOTALCO!H1068="", "",TOTALCO!H1068)</f>
        <v>1050051.4193686957</v>
      </c>
      <c r="I541" s="12">
        <f ca="1">IF(TOTALCO!I1068="", "",TOTALCO!I1068)</f>
        <v>6043.4213346861598</v>
      </c>
      <c r="J541" s="12" t="str">
        <f>IF(TOTALCO!J1068="", "",TOTALCO!J1068)</f>
        <v/>
      </c>
      <c r="K541" s="12" t="str">
        <f>IF(TOTALCO!K1068="", "",TOTALCO!K1068)</f>
        <v/>
      </c>
      <c r="L541" s="12">
        <f ca="1">IF(TOTALCO!L1068="", "",TOTALCO!L1068)</f>
        <v>139.24933950889769</v>
      </c>
      <c r="M541" s="12" t="str">
        <f>IF(TOTALCO!M1068="", "",TOTALCO!M1068)</f>
        <v/>
      </c>
      <c r="N541" s="12">
        <f ca="1">IF(TOTALCO!N1068="", "",TOTALCO!N1068)</f>
        <v>5904.171995177262</v>
      </c>
      <c r="O541" s="12">
        <f ca="1">IF(TOTALCO!O1068="", "",TOTALCO!O1068)</f>
        <v>2367.2387716512608</v>
      </c>
      <c r="P541" s="12">
        <f ca="1">IF(TOTALCO!P1068="", "",TOTALCO!P1068)</f>
        <v>3536.9332235260013</v>
      </c>
      <c r="Q541" s="12"/>
      <c r="R541" s="13"/>
    </row>
    <row r="542" spans="1:18" ht="15" x14ac:dyDescent="0.2">
      <c r="A542" s="321">
        <f>IF(TOTALCO!A1069="", "",TOTALCO!A1069)</f>
        <v>4</v>
      </c>
      <c r="B542" s="4" t="str">
        <f>IF(TOTALCO!B1069="", "",TOTALCO!B1069)</f>
        <v xml:space="preserve">  904-UNCOLLECTIBLE ACCOUNTS</v>
      </c>
      <c r="C542" s="4" t="str">
        <f>IF(TOTALCO!C1069="", "",TOTALCO!C1069)</f>
        <v>CUST904</v>
      </c>
      <c r="D542" s="12">
        <f ca="1">IF(TOTALCO!D1069="", "",TOTALCO!D1069)</f>
        <v>5155113.129999999</v>
      </c>
      <c r="E542" s="12" t="str">
        <f>IF(TOTALCO!E1069="", "",TOTALCO!E1069)</f>
        <v/>
      </c>
      <c r="F542" s="12">
        <f ca="1">IF(TOTALCO!F1069="", "",TOTALCO!F1069)</f>
        <v>4897522.1996428007</v>
      </c>
      <c r="G542" s="12" t="str">
        <f>IF(TOTALCO!G1069="", "",TOTALCO!G1069)</f>
        <v/>
      </c>
      <c r="H542" s="12">
        <f ca="1">IF(TOTALCO!H1069="", "",TOTALCO!H1069)</f>
        <v>256116.88611027732</v>
      </c>
      <c r="I542" s="12">
        <f ca="1">IF(TOTALCO!I1069="", "",TOTALCO!I1069)</f>
        <v>1474.0442469215513</v>
      </c>
      <c r="J542" s="12" t="str">
        <f>IF(TOTALCO!J1069="", "",TOTALCO!J1069)</f>
        <v/>
      </c>
      <c r="K542" s="12" t="str">
        <f>IF(TOTALCO!K1069="", "",TOTALCO!K1069)</f>
        <v/>
      </c>
      <c r="L542" s="12">
        <f ca="1">IF(TOTALCO!L1069="", "",TOTALCO!L1069)</f>
        <v>33.964153154874452</v>
      </c>
      <c r="M542" s="12" t="str">
        <f>IF(TOTALCO!M1069="", "",TOTALCO!M1069)</f>
        <v/>
      </c>
      <c r="N542" s="12">
        <f ca="1">IF(TOTALCO!N1069="", "",TOTALCO!N1069)</f>
        <v>1440.080093766677</v>
      </c>
      <c r="O542" s="12">
        <f ca="1">IF(TOTALCO!O1069="", "",TOTALCO!O1069)</f>
        <v>577.3906036328658</v>
      </c>
      <c r="P542" s="12">
        <f ca="1">IF(TOTALCO!P1069="", "",TOTALCO!P1069)</f>
        <v>862.6894901338112</v>
      </c>
      <c r="Q542" s="12"/>
      <c r="R542" s="13"/>
    </row>
    <row r="543" spans="1:18" ht="15" x14ac:dyDescent="0.2">
      <c r="A543" s="321">
        <f>IF(TOTALCO!A1070="", "",TOTALCO!A1070)</f>
        <v>5</v>
      </c>
      <c r="B543" s="4" t="str">
        <f>IF(TOTALCO!B1070="", "",TOTALCO!B1070)</f>
        <v xml:space="preserve">  905-MISCELLANEOUS</v>
      </c>
      <c r="C543" s="4" t="str">
        <f>IF(TOTALCO!C1070="", "",TOTALCO!C1070)</f>
        <v>EXP9024CA</v>
      </c>
      <c r="D543" s="12">
        <f ca="1">IF(TOTALCO!D1070="", "",TOTALCO!D1070)</f>
        <v>0</v>
      </c>
      <c r="E543" s="12" t="str">
        <f>IF(TOTALCO!E1070="", "",TOTALCO!E1070)</f>
        <v/>
      </c>
      <c r="F543" s="12">
        <f ca="1">IF(TOTALCO!F1070="", "",TOTALCO!F1070)</f>
        <v>0</v>
      </c>
      <c r="G543" s="12" t="str">
        <f>IF(TOTALCO!G1070="", "",TOTALCO!G1070)</f>
        <v/>
      </c>
      <c r="H543" s="12">
        <f ca="1">IF(TOTALCO!H1070="", "",TOTALCO!H1070)</f>
        <v>0</v>
      </c>
      <c r="I543" s="12">
        <f ca="1">IF(TOTALCO!I1070="", "",TOTALCO!I1070)</f>
        <v>0</v>
      </c>
      <c r="J543" s="12" t="str">
        <f>IF(TOTALCO!J1070="", "",TOTALCO!J1070)</f>
        <v/>
      </c>
      <c r="K543" s="12" t="str">
        <f>IF(TOTALCO!K1070="", "",TOTALCO!K1070)</f>
        <v/>
      </c>
      <c r="L543" s="12">
        <f ca="1">IF(TOTALCO!L1070="", "",TOTALCO!L1070)</f>
        <v>0</v>
      </c>
      <c r="M543" s="12" t="str">
        <f>IF(TOTALCO!M1070="", "",TOTALCO!M1070)</f>
        <v/>
      </c>
      <c r="N543" s="12">
        <f ca="1">IF(TOTALCO!N1070="", "",TOTALCO!N1070)</f>
        <v>0</v>
      </c>
      <c r="O543" s="12">
        <f ca="1">IF(TOTALCO!O1070="", "",TOTALCO!O1070)</f>
        <v>0</v>
      </c>
      <c r="P543" s="12">
        <f ca="1">IF(TOTALCO!P1070="", "",TOTALCO!P1070)</f>
        <v>0</v>
      </c>
      <c r="Q543" s="12"/>
      <c r="R543" s="13"/>
    </row>
    <row r="544" spans="1:18" ht="15" x14ac:dyDescent="0.2">
      <c r="A544" s="321">
        <f>IF(TOTALCO!A1071="", "",TOTALCO!A1071)</f>
        <v>6</v>
      </c>
      <c r="B544" s="4" t="str">
        <f>IF(TOTALCO!B1071="", "",TOTALCO!B1071)</f>
        <v>TOTAL CUSTOMER ACCOUNTS</v>
      </c>
      <c r="C544" s="4" t="str">
        <f>IF(TOTALCO!C1071="", "",TOTALCO!C1071)</f>
        <v/>
      </c>
      <c r="D544" s="12">
        <f ca="1">IF(TOTALCO!D1071="", "",TOTALCO!D1071)</f>
        <v>39646530.129999988</v>
      </c>
      <c r="E544" s="12" t="str">
        <f>IF(TOTALCO!E1071="", "",TOTALCO!E1071)</f>
        <v/>
      </c>
      <c r="F544" s="12">
        <f ca="1">IF(TOTALCO!F1071="", "",TOTALCO!F1071)</f>
        <v>37665470.486092344</v>
      </c>
      <c r="G544" s="12" t="str">
        <f>IF(TOTALCO!G1071="", "",TOTALCO!G1071)</f>
        <v/>
      </c>
      <c r="H544" s="12">
        <f ca="1">IF(TOTALCO!H1071="", "",TOTALCO!H1071)</f>
        <v>1969723.1827719144</v>
      </c>
      <c r="I544" s="12">
        <f ca="1">IF(TOTALCO!I1071="", "",TOTALCO!I1071)</f>
        <v>11336.461135728447</v>
      </c>
      <c r="J544" s="12" t="str">
        <f>IF(TOTALCO!J1071="", "",TOTALCO!J1071)</f>
        <v/>
      </c>
      <c r="K544" s="12" t="str">
        <f>IF(TOTALCO!K1071="", "",TOTALCO!K1071)</f>
        <v/>
      </c>
      <c r="L544" s="12">
        <f ca="1">IF(TOTALCO!L1071="", "",TOTALCO!L1071)</f>
        <v>261.20878192922692</v>
      </c>
      <c r="M544" s="12" t="str">
        <f>IF(TOTALCO!M1071="", "",TOTALCO!M1071)</f>
        <v/>
      </c>
      <c r="N544" s="12">
        <f ca="1">IF(TOTALCO!N1071="", "",TOTALCO!N1071)</f>
        <v>11075.25235379922</v>
      </c>
      <c r="O544" s="12">
        <f ca="1">IF(TOTALCO!O1071="", "",TOTALCO!O1071)</f>
        <v>4440.5492927968571</v>
      </c>
      <c r="P544" s="12">
        <f ca="1">IF(TOTALCO!P1071="", "",TOTALCO!P1071)</f>
        <v>6634.703061002363</v>
      </c>
      <c r="Q544" s="12"/>
      <c r="R544" s="13"/>
    </row>
    <row r="545" spans="1:18" ht="15" x14ac:dyDescent="0.2">
      <c r="A545" s="321" t="str">
        <f>IF(TOTALCO!A1072="", "",TOTALCO!A1072)</f>
        <v/>
      </c>
      <c r="B545" s="4" t="str">
        <f>IF(TOTALCO!B1072="", "",TOTALCO!B1072)</f>
        <v/>
      </c>
      <c r="C545" s="4" t="str">
        <f>IF(TOTALCO!C1072="", "",TOTALCO!C1072)</f>
        <v/>
      </c>
      <c r="D545" s="12" t="str">
        <f>IF(TOTALCO!D1072="", "",TOTALCO!D1072)</f>
        <v/>
      </c>
      <c r="E545" s="12" t="str">
        <f>IF(TOTALCO!E1072="", "",TOTALCO!E1072)</f>
        <v/>
      </c>
      <c r="F545" s="12" t="str">
        <f>IF(TOTALCO!F1072="", "",TOTALCO!F1072)</f>
        <v/>
      </c>
      <c r="G545" s="12" t="str">
        <f>IF(TOTALCO!G1072="", "",TOTALCO!G1072)</f>
        <v/>
      </c>
      <c r="H545" s="12" t="str">
        <f>IF(TOTALCO!H1072="", "",TOTALCO!H1072)</f>
        <v/>
      </c>
      <c r="I545" s="12" t="str">
        <f>IF(TOTALCO!I1072="", "",TOTALCO!I1072)</f>
        <v/>
      </c>
      <c r="J545" s="12" t="str">
        <f>IF(TOTALCO!J1072="", "",TOTALCO!J1072)</f>
        <v/>
      </c>
      <c r="K545" s="12" t="str">
        <f>IF(TOTALCO!K1072="", "",TOTALCO!K1072)</f>
        <v/>
      </c>
      <c r="L545" s="12" t="str">
        <f>IF(TOTALCO!L1072="", "",TOTALCO!L1072)</f>
        <v/>
      </c>
      <c r="M545" s="12" t="str">
        <f>IF(TOTALCO!M1072="", "",TOTALCO!M1072)</f>
        <v/>
      </c>
      <c r="N545" s="12" t="str">
        <f>IF(TOTALCO!N1072="", "",TOTALCO!N1072)</f>
        <v/>
      </c>
      <c r="O545" s="12" t="str">
        <f>IF(TOTALCO!O1072="", "",TOTALCO!O1072)</f>
        <v/>
      </c>
      <c r="P545" s="12" t="str">
        <f>IF(TOTALCO!P1072="", "",TOTALCO!P1072)</f>
        <v/>
      </c>
      <c r="Q545" s="12"/>
      <c r="R545" s="13"/>
    </row>
    <row r="546" spans="1:18" ht="15" x14ac:dyDescent="0.2">
      <c r="A546" s="321" t="str">
        <f>IF(TOTALCO!A1073="", "",TOTALCO!A1073)</f>
        <v/>
      </c>
      <c r="B546" s="4" t="str">
        <f>IF(TOTALCO!B1073="", "",TOTALCO!B1073)</f>
        <v>CUSTOMER SERVICES</v>
      </c>
      <c r="C546" s="4" t="str">
        <f>IF(TOTALCO!C1073="", "",TOTALCO!C1073)</f>
        <v/>
      </c>
      <c r="D546" s="12" t="str">
        <f>IF(TOTALCO!D1073="", "",TOTALCO!D1073)</f>
        <v/>
      </c>
      <c r="E546" s="12" t="str">
        <f>IF(TOTALCO!E1073="", "",TOTALCO!E1073)</f>
        <v/>
      </c>
      <c r="F546" s="12" t="str">
        <f>IF(TOTALCO!F1073="", "",TOTALCO!F1073)</f>
        <v/>
      </c>
      <c r="G546" s="12" t="str">
        <f>IF(TOTALCO!G1073="", "",TOTALCO!G1073)</f>
        <v/>
      </c>
      <c r="H546" s="12" t="str">
        <f>IF(TOTALCO!H1073="", "",TOTALCO!H1073)</f>
        <v/>
      </c>
      <c r="I546" s="12" t="str">
        <f>IF(TOTALCO!I1073="", "",TOTALCO!I1073)</f>
        <v/>
      </c>
      <c r="J546" s="12" t="str">
        <f>IF(TOTALCO!J1073="", "",TOTALCO!J1073)</f>
        <v/>
      </c>
      <c r="K546" s="12" t="str">
        <f>IF(TOTALCO!K1073="", "",TOTALCO!K1073)</f>
        <v/>
      </c>
      <c r="L546" s="12" t="str">
        <f>IF(TOTALCO!L1073="", "",TOTALCO!L1073)</f>
        <v/>
      </c>
      <c r="M546" s="12" t="str">
        <f>IF(TOTALCO!M1073="", "",TOTALCO!M1073)</f>
        <v/>
      </c>
      <c r="N546" s="12" t="str">
        <f>IF(TOTALCO!N1073="", "",TOTALCO!N1073)</f>
        <v/>
      </c>
      <c r="O546" s="12" t="str">
        <f>IF(TOTALCO!O1073="", "",TOTALCO!O1073)</f>
        <v/>
      </c>
      <c r="P546" s="12" t="str">
        <f>IF(TOTALCO!P1073="", "",TOTALCO!P1073)</f>
        <v/>
      </c>
      <c r="Q546" s="12"/>
      <c r="R546" s="13"/>
    </row>
    <row r="547" spans="1:18" ht="15" x14ac:dyDescent="0.2">
      <c r="A547" s="321">
        <f>IF(TOTALCO!A1074="", "",TOTALCO!A1074)</f>
        <v>7</v>
      </c>
      <c r="B547" s="4" t="str">
        <f>IF(TOTALCO!B1074="", "",TOTALCO!B1074)</f>
        <v xml:space="preserve">  907-SUPERVISION</v>
      </c>
      <c r="C547" s="4" t="str">
        <f>IF(TOTALCO!C1074="", "",TOTALCO!C1074)</f>
        <v>LABSA</v>
      </c>
      <c r="D547" s="12">
        <f ca="1">IF(TOTALCO!D1074="", "",TOTALCO!D1074)</f>
        <v>656372.99999999988</v>
      </c>
      <c r="E547" s="12" t="str">
        <f>IF(TOTALCO!E1074="", "",TOTALCO!E1074)</f>
        <v/>
      </c>
      <c r="F547" s="12">
        <f ca="1">IF(TOTALCO!F1074="", "",TOTALCO!F1074)</f>
        <v>648022.61544354004</v>
      </c>
      <c r="G547" s="12" t="str">
        <f>IF(TOTALCO!G1074="", "",TOTALCO!G1074)</f>
        <v/>
      </c>
      <c r="H547" s="12">
        <f ca="1">IF(TOTALCO!H1074="", "",TOTALCO!H1074)</f>
        <v>8349.4938804423928</v>
      </c>
      <c r="I547" s="12">
        <f ca="1">IF(TOTALCO!I1074="", "",TOTALCO!I1074)</f>
        <v>0.89067601754176917</v>
      </c>
      <c r="J547" s="12" t="str">
        <f>IF(TOTALCO!J1074="", "",TOTALCO!J1074)</f>
        <v/>
      </c>
      <c r="K547" s="12" t="str">
        <f>IF(TOTALCO!K1074="", "",TOTALCO!K1074)</f>
        <v/>
      </c>
      <c r="L547" s="12">
        <f ca="1">IF(TOTALCO!L1074="", "",TOTALCO!L1074)</f>
        <v>0.89067601754176917</v>
      </c>
      <c r="M547" s="12" t="str">
        <f>IF(TOTALCO!M1074="", "",TOTALCO!M1074)</f>
        <v/>
      </c>
      <c r="N547" s="12">
        <f ca="1">IF(TOTALCO!N1074="", "",TOTALCO!N1074)</f>
        <v>0</v>
      </c>
      <c r="O547" s="12">
        <f ca="1">IF(TOTALCO!O1074="", "",TOTALCO!O1074)</f>
        <v>0</v>
      </c>
      <c r="P547" s="12">
        <f ca="1">IF(TOTALCO!P1074="", "",TOTALCO!P1074)</f>
        <v>0</v>
      </c>
      <c r="Q547" s="12"/>
      <c r="R547" s="13"/>
    </row>
    <row r="548" spans="1:18" ht="15" x14ac:dyDescent="0.2">
      <c r="A548" s="321">
        <f>IF(TOTALCO!A1075="", "",TOTALCO!A1075)</f>
        <v>8</v>
      </c>
      <c r="B548" s="4" t="str">
        <f>IF(TOTALCO!B1075="", "",TOTALCO!B1075)</f>
        <v xml:space="preserve">  908-CUSTOMER ASSISTANCE</v>
      </c>
      <c r="C548" s="4" t="str">
        <f>IF(TOTALCO!C1075="", "",TOTALCO!C1075)</f>
        <v>CUST908</v>
      </c>
      <c r="D548" s="12">
        <f ca="1">IF(TOTALCO!D1075="", "",TOTALCO!D1075)</f>
        <v>8346211.9999999991</v>
      </c>
      <c r="E548" s="12" t="str">
        <f>IF(TOTALCO!E1075="", "",TOTALCO!E1075)</f>
        <v/>
      </c>
      <c r="F548" s="12">
        <f ca="1">IF(TOTALCO!F1075="", "",TOTALCO!F1075)</f>
        <v>8346211.9999999991</v>
      </c>
      <c r="G548" s="12" t="str">
        <f>IF(TOTALCO!G1075="", "",TOTALCO!G1075)</f>
        <v/>
      </c>
      <c r="H548" s="12">
        <f ca="1">IF(TOTALCO!H1075="", "",TOTALCO!H1075)</f>
        <v>0</v>
      </c>
      <c r="I548" s="12">
        <f ca="1">IF(TOTALCO!I1075="", "",TOTALCO!I1075)</f>
        <v>0</v>
      </c>
      <c r="J548" s="12" t="str">
        <f>IF(TOTALCO!J1075="", "",TOTALCO!J1075)</f>
        <v/>
      </c>
      <c r="K548" s="12" t="str">
        <f>IF(TOTALCO!K1075="", "",TOTALCO!K1075)</f>
        <v/>
      </c>
      <c r="L548" s="12">
        <f ca="1">IF(TOTALCO!L1075="", "",TOTALCO!L1075)</f>
        <v>0</v>
      </c>
      <c r="M548" s="12" t="str">
        <f>IF(TOTALCO!M1075="", "",TOTALCO!M1075)</f>
        <v/>
      </c>
      <c r="N548" s="12">
        <f ca="1">IF(TOTALCO!N1075="", "",TOTALCO!N1075)</f>
        <v>0</v>
      </c>
      <c r="O548" s="12">
        <f ca="1">IF(TOTALCO!O1075="", "",TOTALCO!O1075)</f>
        <v>0</v>
      </c>
      <c r="P548" s="12">
        <f ca="1">IF(TOTALCO!P1075="", "",TOTALCO!P1075)</f>
        <v>0</v>
      </c>
      <c r="Q548" s="12"/>
      <c r="R548" s="13"/>
    </row>
    <row r="549" spans="1:18" ht="15" x14ac:dyDescent="0.2">
      <c r="A549" s="321">
        <f>IF(TOTALCO!A1076="", "",TOTALCO!A1076)</f>
        <v>9</v>
      </c>
      <c r="B549" s="4" t="str">
        <f>IF(TOTALCO!B1076="", "",TOTALCO!B1076)</f>
        <v xml:space="preserve">  909-INFORMATION &amp; INSTRUCT</v>
      </c>
      <c r="C549" s="4" t="str">
        <f>IF(TOTALCO!C1076="", "",TOTALCO!C1076)</f>
        <v>CUST909</v>
      </c>
      <c r="D549" s="12">
        <f ca="1">IF(TOTALCO!D1076="", "",TOTALCO!D1076)</f>
        <v>1859152</v>
      </c>
      <c r="E549" s="12" t="str">
        <f>IF(TOTALCO!E1076="", "",TOTALCO!E1076)</f>
        <v/>
      </c>
      <c r="F549" s="12">
        <f ca="1">IF(TOTALCO!F1076="", "",TOTALCO!F1076)</f>
        <v>1764188.3321898093</v>
      </c>
      <c r="G549" s="12" t="str">
        <f>IF(TOTALCO!G1076="", "",TOTALCO!G1076)</f>
        <v/>
      </c>
      <c r="H549" s="12">
        <f ca="1">IF(TOTALCO!H1076="", "",TOTALCO!H1076)</f>
        <v>94953.538712436683</v>
      </c>
      <c r="I549" s="12">
        <f ca="1">IF(TOTALCO!I1076="", "",TOTALCO!I1076)</f>
        <v>10.129097754055758</v>
      </c>
      <c r="J549" s="12" t="str">
        <f>IF(TOTALCO!J1076="", "",TOTALCO!J1076)</f>
        <v/>
      </c>
      <c r="K549" s="12" t="str">
        <f>IF(TOTALCO!K1076="", "",TOTALCO!K1076)</f>
        <v/>
      </c>
      <c r="L549" s="12">
        <f ca="1">IF(TOTALCO!L1076="", "",TOTALCO!L1076)</f>
        <v>10.129097754055758</v>
      </c>
      <c r="M549" s="12" t="str">
        <f>IF(TOTALCO!M1076="", "",TOTALCO!M1076)</f>
        <v/>
      </c>
      <c r="N549" s="12">
        <f ca="1">IF(TOTALCO!N1076="", "",TOTALCO!N1076)</f>
        <v>0</v>
      </c>
      <c r="O549" s="12">
        <f ca="1">IF(TOTALCO!O1076="", "",TOTALCO!O1076)</f>
        <v>0</v>
      </c>
      <c r="P549" s="12">
        <f ca="1">IF(TOTALCO!P1076="", "",TOTALCO!P1076)</f>
        <v>0</v>
      </c>
      <c r="Q549" s="12"/>
      <c r="R549" s="13"/>
    </row>
    <row r="550" spans="1:18" ht="15" x14ac:dyDescent="0.2">
      <c r="A550" s="321">
        <f>IF(TOTALCO!A1077="", "",TOTALCO!A1077)</f>
        <v>10</v>
      </c>
      <c r="B550" s="4" t="str">
        <f>IF(TOTALCO!B1077="", "",TOTALCO!B1077)</f>
        <v xml:space="preserve">  910-MISCELLANEOUS</v>
      </c>
      <c r="C550" s="4" t="str">
        <f>IF(TOTALCO!C1077="", "",TOTALCO!C1077)</f>
        <v>EXP9089CS</v>
      </c>
      <c r="D550" s="12">
        <f ca="1">IF(TOTALCO!D1077="", "",TOTALCO!D1077)</f>
        <v>1520197.99999999</v>
      </c>
      <c r="E550" s="12" t="str">
        <f>IF(TOTALCO!E1077="", "",TOTALCO!E1077)</f>
        <v/>
      </c>
      <c r="F550" s="12">
        <f ca="1">IF(TOTALCO!F1077="", "",TOTALCO!F1077)</f>
        <v>1506052.1471055988</v>
      </c>
      <c r="G550" s="12" t="str">
        <f>IF(TOTALCO!G1077="", "",TOTALCO!G1077)</f>
        <v/>
      </c>
      <c r="H550" s="12">
        <f ca="1">IF(TOTALCO!H1077="", "",TOTALCO!H1077)</f>
        <v>14144.344057063316</v>
      </c>
      <c r="I550" s="12">
        <f ca="1">IF(TOTALCO!I1077="", "",TOTALCO!I1077)</f>
        <v>1.50883732785229</v>
      </c>
      <c r="J550" s="12" t="str">
        <f>IF(TOTALCO!J1077="", "",TOTALCO!J1077)</f>
        <v/>
      </c>
      <c r="K550" s="12" t="str">
        <f>IF(TOTALCO!K1077="", "",TOTALCO!K1077)</f>
        <v/>
      </c>
      <c r="L550" s="12">
        <f ca="1">IF(TOTALCO!L1077="", "",TOTALCO!L1077)</f>
        <v>1.50883732785229</v>
      </c>
      <c r="M550" s="12" t="str">
        <f>IF(TOTALCO!M1077="", "",TOTALCO!M1077)</f>
        <v/>
      </c>
      <c r="N550" s="12">
        <f ca="1">IF(TOTALCO!N1077="", "",TOTALCO!N1077)</f>
        <v>0</v>
      </c>
      <c r="O550" s="12">
        <f ca="1">IF(TOTALCO!O1077="", "",TOTALCO!O1077)</f>
        <v>0</v>
      </c>
      <c r="P550" s="12">
        <f ca="1">IF(TOTALCO!P1077="", "",TOTALCO!P1077)</f>
        <v>0</v>
      </c>
      <c r="Q550" s="12"/>
      <c r="R550" s="13"/>
    </row>
    <row r="551" spans="1:18" ht="15" x14ac:dyDescent="0.2">
      <c r="A551" s="321">
        <f>IF(TOTALCO!A1078="", "",TOTALCO!A1078)</f>
        <v>11</v>
      </c>
      <c r="B551" s="4" t="str">
        <f>IF(TOTALCO!B1078="", "",TOTALCO!B1078)</f>
        <v>TOTAL CUSTOMER SERVICE</v>
      </c>
      <c r="C551" s="4" t="str">
        <f>IF(TOTALCO!C1078="", "",TOTALCO!C1078)</f>
        <v/>
      </c>
      <c r="D551" s="12">
        <f ca="1">IF(TOTALCO!D1078="", "",TOTALCO!D1078)</f>
        <v>12381934.999999989</v>
      </c>
      <c r="E551" s="12" t="str">
        <f>IF(TOTALCO!E1078="", "",TOTALCO!E1078)</f>
        <v/>
      </c>
      <c r="F551" s="12">
        <f ca="1">IF(TOTALCO!F1078="", "",TOTALCO!F1078)</f>
        <v>12264475.094738947</v>
      </c>
      <c r="G551" s="12" t="str">
        <f>IF(TOTALCO!G1078="", "",TOTALCO!G1078)</f>
        <v/>
      </c>
      <c r="H551" s="12">
        <f ca="1">IF(TOTALCO!H1078="", "",TOTALCO!H1078)</f>
        <v>117447.37664994238</v>
      </c>
      <c r="I551" s="12">
        <f ca="1">IF(TOTALCO!I1078="", "",TOTALCO!I1078)</f>
        <v>12.528611099449819</v>
      </c>
      <c r="J551" s="12" t="str">
        <f>IF(TOTALCO!J1078="", "",TOTALCO!J1078)</f>
        <v/>
      </c>
      <c r="K551" s="12" t="str">
        <f>IF(TOTALCO!K1078="", "",TOTALCO!K1078)</f>
        <v/>
      </c>
      <c r="L551" s="12">
        <f ca="1">IF(TOTALCO!L1078="", "",TOTALCO!L1078)</f>
        <v>12.528611099449819</v>
      </c>
      <c r="M551" s="12" t="str">
        <f>IF(TOTALCO!M1078="", "",TOTALCO!M1078)</f>
        <v/>
      </c>
      <c r="N551" s="12">
        <f ca="1">IF(TOTALCO!N1078="", "",TOTALCO!N1078)</f>
        <v>0</v>
      </c>
      <c r="O551" s="12">
        <f ca="1">IF(TOTALCO!O1078="", "",TOTALCO!O1078)</f>
        <v>0</v>
      </c>
      <c r="P551" s="12">
        <f ca="1">IF(TOTALCO!P1078="", "",TOTALCO!P1078)</f>
        <v>0</v>
      </c>
      <c r="Q551" s="12"/>
      <c r="R551" s="13"/>
    </row>
    <row r="552" spans="1:18" ht="15" x14ac:dyDescent="0.2">
      <c r="A552" s="321" t="str">
        <f>IF(TOTALCO!A1079="", "",TOTALCO!A1079)</f>
        <v/>
      </c>
      <c r="B552" s="4" t="str">
        <f>IF(TOTALCO!B1079="", "",TOTALCO!B1079)</f>
        <v/>
      </c>
      <c r="C552" s="4" t="str">
        <f>IF(TOTALCO!C1079="", "",TOTALCO!C1079)</f>
        <v/>
      </c>
      <c r="D552" s="12" t="str">
        <f>IF(TOTALCO!D1079="", "",TOTALCO!D1079)</f>
        <v/>
      </c>
      <c r="E552" s="12" t="str">
        <f>IF(TOTALCO!E1079="", "",TOTALCO!E1079)</f>
        <v/>
      </c>
      <c r="F552" s="12" t="str">
        <f>IF(TOTALCO!F1079="", "",TOTALCO!F1079)</f>
        <v/>
      </c>
      <c r="G552" s="12" t="str">
        <f>IF(TOTALCO!G1079="", "",TOTALCO!G1079)</f>
        <v/>
      </c>
      <c r="H552" s="12" t="str">
        <f>IF(TOTALCO!H1079="", "",TOTALCO!H1079)</f>
        <v/>
      </c>
      <c r="I552" s="12" t="str">
        <f>IF(TOTALCO!I1079="", "",TOTALCO!I1079)</f>
        <v/>
      </c>
      <c r="J552" s="12" t="str">
        <f>IF(TOTALCO!J1079="", "",TOTALCO!J1079)</f>
        <v/>
      </c>
      <c r="K552" s="12" t="str">
        <f>IF(TOTALCO!K1079="", "",TOTALCO!K1079)</f>
        <v/>
      </c>
      <c r="L552" s="12" t="str">
        <f>IF(TOTALCO!L1079="", "",TOTALCO!L1079)</f>
        <v/>
      </c>
      <c r="M552" s="12" t="str">
        <f>IF(TOTALCO!M1079="", "",TOTALCO!M1079)</f>
        <v/>
      </c>
      <c r="N552" s="12" t="str">
        <f>IF(TOTALCO!N1079="", "",TOTALCO!N1079)</f>
        <v/>
      </c>
      <c r="O552" s="12" t="str">
        <f>IF(TOTALCO!O1079="", "",TOTALCO!O1079)</f>
        <v/>
      </c>
      <c r="P552" s="12" t="str">
        <f>IF(TOTALCO!P1079="", "",TOTALCO!P1079)</f>
        <v/>
      </c>
      <c r="Q552" s="12"/>
      <c r="R552" s="13"/>
    </row>
    <row r="553" spans="1:18" ht="15" x14ac:dyDescent="0.2">
      <c r="A553" s="321" t="str">
        <f>IF(TOTALCO!A1080="", "",TOTALCO!A1080)</f>
        <v/>
      </c>
      <c r="B553" s="4" t="str">
        <f>IF(TOTALCO!B1080="", "",TOTALCO!B1080)</f>
        <v>SALES EXPENSE</v>
      </c>
      <c r="C553" s="4" t="str">
        <f>IF(TOTALCO!C1080="", "",TOTALCO!C1080)</f>
        <v/>
      </c>
      <c r="D553" s="12" t="str">
        <f>IF(TOTALCO!D1080="", "",TOTALCO!D1080)</f>
        <v/>
      </c>
      <c r="E553" s="12" t="str">
        <f>IF(TOTALCO!E1080="", "",TOTALCO!E1080)</f>
        <v/>
      </c>
      <c r="F553" s="12" t="str">
        <f>IF(TOTALCO!F1080="", "",TOTALCO!F1080)</f>
        <v/>
      </c>
      <c r="G553" s="12" t="str">
        <f>IF(TOTALCO!G1080="", "",TOTALCO!G1080)</f>
        <v/>
      </c>
      <c r="H553" s="12" t="str">
        <f>IF(TOTALCO!H1080="", "",TOTALCO!H1080)</f>
        <v/>
      </c>
      <c r="I553" s="12" t="str">
        <f>IF(TOTALCO!I1080="", "",TOTALCO!I1080)</f>
        <v/>
      </c>
      <c r="J553" s="12" t="str">
        <f>IF(TOTALCO!J1080="", "",TOTALCO!J1080)</f>
        <v/>
      </c>
      <c r="K553" s="12" t="str">
        <f>IF(TOTALCO!K1080="", "",TOTALCO!K1080)</f>
        <v/>
      </c>
      <c r="L553" s="12" t="str">
        <f>IF(TOTALCO!L1080="", "",TOTALCO!L1080)</f>
        <v/>
      </c>
      <c r="M553" s="12" t="str">
        <f>IF(TOTALCO!M1080="", "",TOTALCO!M1080)</f>
        <v/>
      </c>
      <c r="N553" s="12" t="str">
        <f>IF(TOTALCO!N1080="", "",TOTALCO!N1080)</f>
        <v/>
      </c>
      <c r="O553" s="12" t="str">
        <f>IF(TOTALCO!O1080="", "",TOTALCO!O1080)</f>
        <v/>
      </c>
      <c r="P553" s="12" t="str">
        <f>IF(TOTALCO!P1080="", "",TOTALCO!P1080)</f>
        <v/>
      </c>
      <c r="Q553" s="12"/>
      <c r="R553" s="13"/>
    </row>
    <row r="554" spans="1:18" ht="15" x14ac:dyDescent="0.2">
      <c r="A554" s="321">
        <f>IF(TOTALCO!A1081="", "",TOTALCO!A1081)</f>
        <v>12</v>
      </c>
      <c r="B554" s="4" t="str">
        <f>IF(TOTALCO!B1081="", "",TOTALCO!B1081)</f>
        <v xml:space="preserve">  911-SUPERVISION</v>
      </c>
      <c r="C554" s="4" t="str">
        <f>IF(TOTALCO!C1081="", "",TOTALCO!C1081)</f>
        <v>LABSA</v>
      </c>
      <c r="D554" s="12">
        <f ca="1">IF(TOTALCO!D1081="", "",TOTALCO!D1081)</f>
        <v>0</v>
      </c>
      <c r="E554" s="12" t="str">
        <f>IF(TOTALCO!E1081="", "",TOTALCO!E1081)</f>
        <v/>
      </c>
      <c r="F554" s="12">
        <f ca="1">IF(TOTALCO!F1081="", "",TOTALCO!F1081)</f>
        <v>0</v>
      </c>
      <c r="G554" s="12" t="str">
        <f>IF(TOTALCO!G1081="", "",TOTALCO!G1081)</f>
        <v/>
      </c>
      <c r="H554" s="12">
        <f ca="1">IF(TOTALCO!H1081="", "",TOTALCO!H1081)</f>
        <v>0</v>
      </c>
      <c r="I554" s="12">
        <f ca="1">IF(TOTALCO!I1081="", "",TOTALCO!I1081)</f>
        <v>0</v>
      </c>
      <c r="J554" s="12" t="str">
        <f>IF(TOTALCO!J1081="", "",TOTALCO!J1081)</f>
        <v/>
      </c>
      <c r="K554" s="12" t="str">
        <f>IF(TOTALCO!K1081="", "",TOTALCO!K1081)</f>
        <v/>
      </c>
      <c r="L554" s="12">
        <f ca="1">IF(TOTALCO!L1081="", "",TOTALCO!L1081)</f>
        <v>0</v>
      </c>
      <c r="M554" s="12" t="str">
        <f>IF(TOTALCO!M1081="", "",TOTALCO!M1081)</f>
        <v/>
      </c>
      <c r="N554" s="12">
        <f ca="1">IF(TOTALCO!N1081="", "",TOTALCO!N1081)</f>
        <v>0</v>
      </c>
      <c r="O554" s="12">
        <f ca="1">IF(TOTALCO!O1081="", "",TOTALCO!O1081)</f>
        <v>0</v>
      </c>
      <c r="P554" s="12">
        <f ca="1">IF(TOTALCO!P1081="", "",TOTALCO!P1081)</f>
        <v>0</v>
      </c>
      <c r="Q554" s="12"/>
      <c r="R554" s="13"/>
    </row>
    <row r="555" spans="1:18" ht="15" x14ac:dyDescent="0.2">
      <c r="A555" s="321">
        <f>IF(TOTALCO!A1082="", "",TOTALCO!A1082)</f>
        <v>13</v>
      </c>
      <c r="B555" s="4" t="str">
        <f>IF(TOTALCO!B1082="", "",TOTALCO!B1082)</f>
        <v xml:space="preserve">  912-DEMONSTRATING &amp; SELLING</v>
      </c>
      <c r="C555" s="4" t="str">
        <f>IF(TOTALCO!C1082="", "",TOTALCO!C1082)</f>
        <v>CUST912</v>
      </c>
      <c r="D555" s="12">
        <f ca="1">IF(TOTALCO!D1082="", "",TOTALCO!D1082)</f>
        <v>0</v>
      </c>
      <c r="E555" s="12" t="str">
        <f>IF(TOTALCO!E1082="", "",TOTALCO!E1082)</f>
        <v/>
      </c>
      <c r="F555" s="12">
        <f ca="1">IF(TOTALCO!F1082="", "",TOTALCO!F1082)</f>
        <v>0</v>
      </c>
      <c r="G555" s="12" t="str">
        <f>IF(TOTALCO!G1082="", "",TOTALCO!G1082)</f>
        <v/>
      </c>
      <c r="H555" s="12">
        <f ca="1">IF(TOTALCO!H1082="", "",TOTALCO!H1082)</f>
        <v>0</v>
      </c>
      <c r="I555" s="12">
        <f ca="1">IF(TOTALCO!I1082="", "",TOTALCO!I1082)</f>
        <v>0</v>
      </c>
      <c r="J555" s="12" t="str">
        <f>IF(TOTALCO!J1082="", "",TOTALCO!J1082)</f>
        <v/>
      </c>
      <c r="K555" s="12" t="str">
        <f>IF(TOTALCO!K1082="", "",TOTALCO!K1082)</f>
        <v/>
      </c>
      <c r="L555" s="12">
        <f ca="1">IF(TOTALCO!L1082="", "",TOTALCO!L1082)</f>
        <v>0</v>
      </c>
      <c r="M555" s="12" t="str">
        <f>IF(TOTALCO!M1082="", "",TOTALCO!M1082)</f>
        <v/>
      </c>
      <c r="N555" s="12">
        <f ca="1">IF(TOTALCO!N1082="", "",TOTALCO!N1082)</f>
        <v>0</v>
      </c>
      <c r="O555" s="12">
        <f ca="1">IF(TOTALCO!O1082="", "",TOTALCO!O1082)</f>
        <v>0</v>
      </c>
      <c r="P555" s="12">
        <f ca="1">IF(TOTALCO!P1082="", "",TOTALCO!P1082)</f>
        <v>0</v>
      </c>
      <c r="Q555" s="12"/>
      <c r="R555" s="13"/>
    </row>
    <row r="556" spans="1:18" ht="15" x14ac:dyDescent="0.2">
      <c r="A556" s="321">
        <f>IF(TOTALCO!A1083="", "",TOTALCO!A1083)</f>
        <v>14</v>
      </c>
      <c r="B556" s="4" t="str">
        <f>IF(TOTALCO!B1083="", "",TOTALCO!B1083)</f>
        <v xml:space="preserve">  913-ADVERTISING</v>
      </c>
      <c r="C556" s="4" t="str">
        <f>IF(TOTALCO!C1083="", "",TOTALCO!C1083)</f>
        <v>CUST913</v>
      </c>
      <c r="D556" s="12">
        <f ca="1">IF(TOTALCO!D1083="", "",TOTALCO!D1083)</f>
        <v>1044482.0000000001</v>
      </c>
      <c r="E556" s="12" t="str">
        <f>IF(TOTALCO!E1083="", "",TOTALCO!E1083)</f>
        <v/>
      </c>
      <c r="F556" s="12">
        <f ca="1">IF(TOTALCO!F1083="", "",TOTALCO!F1083)</f>
        <v>991130.87987548974</v>
      </c>
      <c r="G556" s="12" t="str">
        <f>IF(TOTALCO!G1083="", "",TOTALCO!G1083)</f>
        <v/>
      </c>
      <c r="H556" s="12">
        <f ca="1">IF(TOTALCO!H1083="", "",TOTALCO!H1083)</f>
        <v>53345.429540695593</v>
      </c>
      <c r="I556" s="12">
        <f ca="1">IF(TOTALCO!I1083="", "",TOTALCO!I1083)</f>
        <v>5.6905838147454677</v>
      </c>
      <c r="J556" s="12" t="str">
        <f>IF(TOTALCO!J1083="", "",TOTALCO!J1083)</f>
        <v/>
      </c>
      <c r="K556" s="12" t="str">
        <f>IF(TOTALCO!K1083="", "",TOTALCO!K1083)</f>
        <v/>
      </c>
      <c r="L556" s="12">
        <f ca="1">IF(TOTALCO!L1083="", "",TOTALCO!L1083)</f>
        <v>5.6905838147454677</v>
      </c>
      <c r="M556" s="12" t="str">
        <f>IF(TOTALCO!M1083="", "",TOTALCO!M1083)</f>
        <v/>
      </c>
      <c r="N556" s="12">
        <f ca="1">IF(TOTALCO!N1083="", "",TOTALCO!N1083)</f>
        <v>0</v>
      </c>
      <c r="O556" s="12">
        <f ca="1">IF(TOTALCO!O1083="", "",TOTALCO!O1083)</f>
        <v>0</v>
      </c>
      <c r="P556" s="12">
        <f ca="1">IF(TOTALCO!P1083="", "",TOTALCO!P1083)</f>
        <v>0</v>
      </c>
      <c r="Q556" s="12"/>
      <c r="R556" s="13"/>
    </row>
    <row r="557" spans="1:18" ht="15" x14ac:dyDescent="0.2">
      <c r="A557" s="321">
        <f>IF(TOTALCO!A1084="", "",TOTALCO!A1084)</f>
        <v>15</v>
      </c>
      <c r="B557" s="4" t="str">
        <f>IF(TOTALCO!B1084="", "",TOTALCO!B1084)</f>
        <v xml:space="preserve">  916-MISCELLANEOUS</v>
      </c>
      <c r="C557" s="4" t="str">
        <f>IF(TOTALCO!C1084="", "",TOTALCO!C1084)</f>
        <v>EXP9123SA</v>
      </c>
      <c r="D557" s="12">
        <f ca="1">IF(TOTALCO!D1084="", "",TOTALCO!D1084)</f>
        <v>0</v>
      </c>
      <c r="E557" s="12" t="str">
        <f>IF(TOTALCO!E1084="", "",TOTALCO!E1084)</f>
        <v/>
      </c>
      <c r="F557" s="12">
        <f ca="1">IF(TOTALCO!F1084="", "",TOTALCO!F1084)</f>
        <v>0</v>
      </c>
      <c r="G557" s="12" t="str">
        <f>IF(TOTALCO!G1084="", "",TOTALCO!G1084)</f>
        <v/>
      </c>
      <c r="H557" s="12">
        <f ca="1">IF(TOTALCO!H1084="", "",TOTALCO!H1084)</f>
        <v>0</v>
      </c>
      <c r="I557" s="12">
        <f ca="1">IF(TOTALCO!I1084="", "",TOTALCO!I1084)</f>
        <v>0</v>
      </c>
      <c r="J557" s="12" t="str">
        <f>IF(TOTALCO!J1084="", "",TOTALCO!J1084)</f>
        <v/>
      </c>
      <c r="K557" s="12" t="str">
        <f>IF(TOTALCO!K1084="", "",TOTALCO!K1084)</f>
        <v/>
      </c>
      <c r="L557" s="12">
        <f ca="1">IF(TOTALCO!L1084="", "",TOTALCO!L1084)</f>
        <v>0</v>
      </c>
      <c r="M557" s="12" t="str">
        <f>IF(TOTALCO!M1084="", "",TOTALCO!M1084)</f>
        <v/>
      </c>
      <c r="N557" s="12">
        <f ca="1">IF(TOTALCO!N1084="", "",TOTALCO!N1084)</f>
        <v>0</v>
      </c>
      <c r="O557" s="12">
        <f ca="1">IF(TOTALCO!O1084="", "",TOTALCO!O1084)</f>
        <v>0</v>
      </c>
      <c r="P557" s="12">
        <f ca="1">IF(TOTALCO!P1084="", "",TOTALCO!P1084)</f>
        <v>0</v>
      </c>
      <c r="Q557" s="12"/>
      <c r="R557" s="13"/>
    </row>
    <row r="558" spans="1:18" ht="15" x14ac:dyDescent="0.2">
      <c r="A558" s="321">
        <f>IF(TOTALCO!A1085="", "",TOTALCO!A1085)</f>
        <v>16</v>
      </c>
      <c r="B558" s="4" t="str">
        <f>IF(TOTALCO!B1085="", "",TOTALCO!B1085)</f>
        <v>TOTAL SALES EXPENSE</v>
      </c>
      <c r="C558" s="4" t="str">
        <f>IF(TOTALCO!C1085="", "",TOTALCO!C1085)</f>
        <v/>
      </c>
      <c r="D558" s="12">
        <f ca="1">IF(TOTALCO!D1085="", "",TOTALCO!D1085)</f>
        <v>1044482.0000000001</v>
      </c>
      <c r="E558" s="12" t="str">
        <f>IF(TOTALCO!E1085="", "",TOTALCO!E1085)</f>
        <v/>
      </c>
      <c r="F558" s="12">
        <f ca="1">IF(TOTALCO!F1085="", "",TOTALCO!F1085)</f>
        <v>991130.87987548974</v>
      </c>
      <c r="G558" s="12" t="str">
        <f>IF(TOTALCO!G1085="", "",TOTALCO!G1085)</f>
        <v/>
      </c>
      <c r="H558" s="12">
        <f ca="1">IF(TOTALCO!H1085="", "",TOTALCO!H1085)</f>
        <v>53345.429540695593</v>
      </c>
      <c r="I558" s="12">
        <f ca="1">IF(TOTALCO!I1085="", "",TOTALCO!I1085)</f>
        <v>5.6905838147454677</v>
      </c>
      <c r="J558" s="12" t="str">
        <f>IF(TOTALCO!J1085="", "",TOTALCO!J1085)</f>
        <v/>
      </c>
      <c r="K558" s="12" t="str">
        <f>IF(TOTALCO!K1085="", "",TOTALCO!K1085)</f>
        <v/>
      </c>
      <c r="L558" s="12">
        <f ca="1">IF(TOTALCO!L1085="", "",TOTALCO!L1085)</f>
        <v>5.6905838147454677</v>
      </c>
      <c r="M558" s="12" t="str">
        <f>IF(TOTALCO!M1085="", "",TOTALCO!M1085)</f>
        <v/>
      </c>
      <c r="N558" s="12">
        <f ca="1">IF(TOTALCO!N1085="", "",TOTALCO!N1085)</f>
        <v>0</v>
      </c>
      <c r="O558" s="12">
        <f ca="1">IF(TOTALCO!O1085="", "",TOTALCO!O1085)</f>
        <v>0</v>
      </c>
      <c r="P558" s="12">
        <f ca="1">IF(TOTALCO!P1085="", "",TOTALCO!P1085)</f>
        <v>0</v>
      </c>
      <c r="Q558" s="12"/>
      <c r="R558" s="13"/>
    </row>
    <row r="559" spans="1:18" ht="15" x14ac:dyDescent="0.2">
      <c r="A559" s="321" t="str">
        <f>IF(TOTALCO!A1086="", "",TOTALCO!A1086)</f>
        <v/>
      </c>
      <c r="B559" s="4" t="str">
        <f>IF(TOTALCO!B1086="", "",TOTALCO!B1086)</f>
        <v/>
      </c>
      <c r="C559" s="4" t="str">
        <f>IF(TOTALCO!C1086="", "",TOTALCO!C1086)</f>
        <v/>
      </c>
      <c r="D559" s="12" t="str">
        <f>IF(TOTALCO!D1086="", "",TOTALCO!D1086)</f>
        <v/>
      </c>
      <c r="E559" s="12" t="str">
        <f>IF(TOTALCO!E1086="", "",TOTALCO!E1086)</f>
        <v/>
      </c>
      <c r="F559" s="12" t="str">
        <f>IF(TOTALCO!F1086="", "",TOTALCO!F1086)</f>
        <v/>
      </c>
      <c r="G559" s="12" t="str">
        <f>IF(TOTALCO!G1086="", "",TOTALCO!G1086)</f>
        <v/>
      </c>
      <c r="H559" s="12" t="str">
        <f>IF(TOTALCO!H1086="", "",TOTALCO!H1086)</f>
        <v/>
      </c>
      <c r="I559" s="12" t="str">
        <f>IF(TOTALCO!I1086="", "",TOTALCO!I1086)</f>
        <v/>
      </c>
      <c r="J559" s="12" t="str">
        <f>IF(TOTALCO!J1086="", "",TOTALCO!J1086)</f>
        <v/>
      </c>
      <c r="K559" s="12" t="str">
        <f>IF(TOTALCO!K1086="", "",TOTALCO!K1086)</f>
        <v/>
      </c>
      <c r="L559" s="12" t="str">
        <f>IF(TOTALCO!L1086="", "",TOTALCO!L1086)</f>
        <v/>
      </c>
      <c r="M559" s="12" t="str">
        <f>IF(TOTALCO!M1086="", "",TOTALCO!M1086)</f>
        <v/>
      </c>
      <c r="N559" s="12" t="str">
        <f>IF(TOTALCO!N1086="", "",TOTALCO!N1086)</f>
        <v/>
      </c>
      <c r="O559" s="12" t="str">
        <f>IF(TOTALCO!O1086="", "",TOTALCO!O1086)</f>
        <v/>
      </c>
      <c r="P559" s="12" t="str">
        <f>IF(TOTALCO!P1086="", "",TOTALCO!P1086)</f>
        <v/>
      </c>
      <c r="Q559" s="12"/>
      <c r="R559" s="13"/>
    </row>
    <row r="560" spans="1:18" ht="15" x14ac:dyDescent="0.2">
      <c r="A560" s="321" t="str">
        <f>IF(TOTALCO!A1087="", "",TOTALCO!A1087)</f>
        <v/>
      </c>
      <c r="B560" s="4" t="str">
        <f>IF(TOTALCO!B1087="", "",TOTALCO!B1087)</f>
        <v>ADMINISTRATIVE &amp; GENERAL</v>
      </c>
      <c r="C560" s="4" t="str">
        <f>IF(TOTALCO!C1087="", "",TOTALCO!C1087)</f>
        <v/>
      </c>
      <c r="D560" s="12" t="str">
        <f>IF(TOTALCO!D1087="", "",TOTALCO!D1087)</f>
        <v/>
      </c>
      <c r="E560" s="12" t="str">
        <f>IF(TOTALCO!E1087="", "",TOTALCO!E1087)</f>
        <v/>
      </c>
      <c r="F560" s="12" t="str">
        <f>IF(TOTALCO!F1087="", "",TOTALCO!F1087)</f>
        <v/>
      </c>
      <c r="G560" s="12" t="str">
        <f>IF(TOTALCO!G1087="", "",TOTALCO!G1087)</f>
        <v/>
      </c>
      <c r="H560" s="12" t="str">
        <f>IF(TOTALCO!H1087="", "",TOTALCO!H1087)</f>
        <v/>
      </c>
      <c r="I560" s="12" t="str">
        <f>IF(TOTALCO!I1087="", "",TOTALCO!I1087)</f>
        <v/>
      </c>
      <c r="J560" s="12" t="str">
        <f>IF(TOTALCO!J1087="", "",TOTALCO!J1087)</f>
        <v/>
      </c>
      <c r="K560" s="12" t="str">
        <f>IF(TOTALCO!K1087="", "",TOTALCO!K1087)</f>
        <v/>
      </c>
      <c r="L560" s="12" t="str">
        <f>IF(TOTALCO!L1087="", "",TOTALCO!L1087)</f>
        <v/>
      </c>
      <c r="M560" s="12" t="str">
        <f>IF(TOTALCO!M1087="", "",TOTALCO!M1087)</f>
        <v/>
      </c>
      <c r="N560" s="12" t="str">
        <f>IF(TOTALCO!N1087="", "",TOTALCO!N1087)</f>
        <v/>
      </c>
      <c r="O560" s="12" t="str">
        <f>IF(TOTALCO!O1087="", "",TOTALCO!O1087)</f>
        <v/>
      </c>
      <c r="P560" s="12" t="str">
        <f>IF(TOTALCO!P1087="", "",TOTALCO!P1087)</f>
        <v/>
      </c>
      <c r="Q560" s="12"/>
      <c r="R560" s="13"/>
    </row>
    <row r="561" spans="1:18" ht="15" x14ac:dyDescent="0.2">
      <c r="A561" s="321" t="str">
        <f>IF(TOTALCO!A1088="", "",TOTALCO!A1088)</f>
        <v/>
      </c>
      <c r="B561" s="4" t="str">
        <f>IF(TOTALCO!B1088="", "",TOTALCO!B1088)</f>
        <v/>
      </c>
      <c r="C561" s="4" t="str">
        <f>IF(TOTALCO!C1088="", "",TOTALCO!C1088)</f>
        <v/>
      </c>
      <c r="D561" s="12" t="str">
        <f>IF(TOTALCO!D1088="", "",TOTALCO!D1088)</f>
        <v/>
      </c>
      <c r="E561" s="12" t="str">
        <f>IF(TOTALCO!E1088="", "",TOTALCO!E1088)</f>
        <v/>
      </c>
      <c r="F561" s="12" t="str">
        <f>IF(TOTALCO!F1088="", "",TOTALCO!F1088)</f>
        <v/>
      </c>
      <c r="G561" s="12" t="str">
        <f>IF(TOTALCO!G1088="", "",TOTALCO!G1088)</f>
        <v/>
      </c>
      <c r="H561" s="12" t="str">
        <f>IF(TOTALCO!H1088="", "",TOTALCO!H1088)</f>
        <v/>
      </c>
      <c r="I561" s="12" t="str">
        <f>IF(TOTALCO!I1088="", "",TOTALCO!I1088)</f>
        <v/>
      </c>
      <c r="J561" s="12" t="str">
        <f>IF(TOTALCO!J1088="", "",TOTALCO!J1088)</f>
        <v/>
      </c>
      <c r="K561" s="12" t="str">
        <f>IF(TOTALCO!K1088="", "",TOTALCO!K1088)</f>
        <v/>
      </c>
      <c r="L561" s="12" t="str">
        <f>IF(TOTALCO!L1088="", "",TOTALCO!L1088)</f>
        <v/>
      </c>
      <c r="M561" s="12" t="str">
        <f>IF(TOTALCO!M1088="", "",TOTALCO!M1088)</f>
        <v/>
      </c>
      <c r="N561" s="12" t="str">
        <f>IF(TOTALCO!N1088="", "",TOTALCO!N1088)</f>
        <v/>
      </c>
      <c r="O561" s="12" t="str">
        <f>IF(TOTALCO!O1088="", "",TOTALCO!O1088)</f>
        <v/>
      </c>
      <c r="P561" s="12" t="str">
        <f>IF(TOTALCO!P1088="", "",TOTALCO!P1088)</f>
        <v/>
      </c>
      <c r="Q561" s="12"/>
      <c r="R561" s="13"/>
    </row>
    <row r="562" spans="1:18" ht="15" x14ac:dyDescent="0.2">
      <c r="A562" s="321" t="str">
        <f>IF(TOTALCO!A1089="", "",TOTALCO!A1089)</f>
        <v/>
      </c>
      <c r="B562" s="4" t="str">
        <f>IF(TOTALCO!B1089="", "",TOTALCO!B1089)</f>
        <v xml:space="preserve"> PLANT COMPONENT</v>
      </c>
      <c r="C562" s="4" t="str">
        <f>IF(TOTALCO!C1089="", "",TOTALCO!C1089)</f>
        <v/>
      </c>
      <c r="D562" s="12" t="str">
        <f>IF(TOTALCO!D1089="", "",TOTALCO!D1089)</f>
        <v/>
      </c>
      <c r="E562" s="12" t="str">
        <f>IF(TOTALCO!E1089="", "",TOTALCO!E1089)</f>
        <v/>
      </c>
      <c r="F562" s="12" t="str">
        <f>IF(TOTALCO!F1089="", "",TOTALCO!F1089)</f>
        <v/>
      </c>
      <c r="G562" s="12" t="str">
        <f>IF(TOTALCO!G1089="", "",TOTALCO!G1089)</f>
        <v/>
      </c>
      <c r="H562" s="12" t="str">
        <f>IF(TOTALCO!H1089="", "",TOTALCO!H1089)</f>
        <v/>
      </c>
      <c r="I562" s="12" t="str">
        <f>IF(TOTALCO!I1089="", "",TOTALCO!I1089)</f>
        <v/>
      </c>
      <c r="J562" s="12" t="str">
        <f>IF(TOTALCO!J1089="", "",TOTALCO!J1089)</f>
        <v/>
      </c>
      <c r="K562" s="12" t="str">
        <f>IF(TOTALCO!K1089="", "",TOTALCO!K1089)</f>
        <v/>
      </c>
      <c r="L562" s="12" t="str">
        <f>IF(TOTALCO!L1089="", "",TOTALCO!L1089)</f>
        <v/>
      </c>
      <c r="M562" s="12" t="str">
        <f>IF(TOTALCO!M1089="", "",TOTALCO!M1089)</f>
        <v/>
      </c>
      <c r="N562" s="12" t="str">
        <f>IF(TOTALCO!N1089="", "",TOTALCO!N1089)</f>
        <v/>
      </c>
      <c r="O562" s="12" t="str">
        <f>IF(TOTALCO!O1089="", "",TOTALCO!O1089)</f>
        <v/>
      </c>
      <c r="P562" s="12" t="str">
        <f>IF(TOTALCO!P1089="", "",TOTALCO!P1089)</f>
        <v/>
      </c>
      <c r="Q562" s="12"/>
      <c r="R562" s="13"/>
    </row>
    <row r="563" spans="1:18" ht="15" x14ac:dyDescent="0.2">
      <c r="A563" s="321">
        <f>IF(TOTALCO!A1090="", "",TOTALCO!A1090)</f>
        <v>17</v>
      </c>
      <c r="B563" s="4" t="str">
        <f>IF(TOTALCO!B1090="", "",TOTALCO!B1090)</f>
        <v xml:space="preserve">  924-PROPERTY INSURANCE</v>
      </c>
      <c r="C563" s="4" t="str">
        <f>IF(TOTALCO!C1090="", "",TOTALCO!C1090)</f>
        <v>PLANT</v>
      </c>
      <c r="D563" s="12">
        <f ca="1">IF(TOTALCO!D1090="", "",TOTALCO!D1090)</f>
        <v>6197669.9999999991</v>
      </c>
      <c r="E563" s="12" t="str">
        <f>IF(TOTALCO!E1090="", "",TOTALCO!E1090)</f>
        <v/>
      </c>
      <c r="F563" s="12">
        <f ca="1">IF(TOTALCO!F1090="", "",TOTALCO!F1090)</f>
        <v>5794662.0943426983</v>
      </c>
      <c r="G563" s="12" t="str">
        <f>IF(TOTALCO!G1090="", "",TOTALCO!G1090)</f>
        <v/>
      </c>
      <c r="H563" s="12">
        <f ca="1">IF(TOTALCO!H1090="", "",TOTALCO!H1090)</f>
        <v>312832.84873409127</v>
      </c>
      <c r="I563" s="12">
        <f ca="1">IF(TOTALCO!I1090="", "",TOTALCO!I1090)</f>
        <v>90175.056923210082</v>
      </c>
      <c r="J563" s="12" t="str">
        <f>IF(TOTALCO!J1090="", "",TOTALCO!J1090)</f>
        <v/>
      </c>
      <c r="K563" s="12" t="str">
        <f>IF(TOTALCO!K1090="", "",TOTALCO!K1090)</f>
        <v/>
      </c>
      <c r="L563" s="12">
        <f ca="1">IF(TOTALCO!L1090="", "",TOTALCO!L1090)</f>
        <v>425.92249209822216</v>
      </c>
      <c r="M563" s="12" t="str">
        <f>IF(TOTALCO!M1090="", "",TOTALCO!M1090)</f>
        <v/>
      </c>
      <c r="N563" s="12">
        <f ca="1">IF(TOTALCO!N1090="", "",TOTALCO!N1090)</f>
        <v>89749.134431111859</v>
      </c>
      <c r="O563" s="12">
        <f ca="1">IF(TOTALCO!O1090="", "",TOTALCO!O1090)</f>
        <v>46647.821212931638</v>
      </c>
      <c r="P563" s="12">
        <f ca="1">IF(TOTALCO!P1090="", "",TOTALCO!P1090)</f>
        <v>43101.313218180228</v>
      </c>
      <c r="Q563" s="12"/>
      <c r="R563" s="13"/>
    </row>
    <row r="564" spans="1:18" ht="15" x14ac:dyDescent="0.2">
      <c r="A564" s="321">
        <f>IF(TOTALCO!A1091="", "",TOTALCO!A1091)</f>
        <v>18</v>
      </c>
      <c r="B564" s="4" t="str">
        <f>IF(TOTALCO!B1091="", "",TOTALCO!B1091)</f>
        <v xml:space="preserve">     TOTAL NET PLT COMPONENT</v>
      </c>
      <c r="C564" s="4" t="str">
        <f>IF(TOTALCO!C1091="", "",TOTALCO!C1091)</f>
        <v/>
      </c>
      <c r="D564" s="12">
        <f ca="1">IF(TOTALCO!D1091="", "",TOTALCO!D1091)</f>
        <v>6197669.9999999991</v>
      </c>
      <c r="E564" s="12" t="str">
        <f>IF(TOTALCO!E1091="", "",TOTALCO!E1091)</f>
        <v/>
      </c>
      <c r="F564" s="12">
        <f ca="1">IF(TOTALCO!F1091="", "",TOTALCO!F1091)</f>
        <v>5794662.0943426983</v>
      </c>
      <c r="G564" s="12" t="str">
        <f>IF(TOTALCO!G1091="", "",TOTALCO!G1091)</f>
        <v/>
      </c>
      <c r="H564" s="12">
        <f ca="1">IF(TOTALCO!H1091="", "",TOTALCO!H1091)</f>
        <v>312832.84873409127</v>
      </c>
      <c r="I564" s="12">
        <f ca="1">IF(TOTALCO!I1091="", "",TOTALCO!I1091)</f>
        <v>90175.056923210082</v>
      </c>
      <c r="J564" s="12" t="str">
        <f>IF(TOTALCO!J1091="", "",TOTALCO!J1091)</f>
        <v/>
      </c>
      <c r="K564" s="12" t="str">
        <f>IF(TOTALCO!K1091="", "",TOTALCO!K1091)</f>
        <v/>
      </c>
      <c r="L564" s="12">
        <f ca="1">IF(TOTALCO!L1091="", "",TOTALCO!L1091)</f>
        <v>425.92249209822216</v>
      </c>
      <c r="M564" s="12" t="str">
        <f>IF(TOTALCO!M1091="", "",TOTALCO!M1091)</f>
        <v/>
      </c>
      <c r="N564" s="12">
        <f ca="1">IF(TOTALCO!N1091="", "",TOTALCO!N1091)</f>
        <v>89749.134431111859</v>
      </c>
      <c r="O564" s="12">
        <f ca="1">IF(TOTALCO!O1091="", "",TOTALCO!O1091)</f>
        <v>46647.821212931638</v>
      </c>
      <c r="P564" s="12">
        <f ca="1">IF(TOTALCO!P1091="", "",TOTALCO!P1091)</f>
        <v>43101.313218180228</v>
      </c>
      <c r="Q564" s="12"/>
      <c r="R564" s="13"/>
    </row>
    <row r="565" spans="1:18" ht="15" x14ac:dyDescent="0.2">
      <c r="A565" s="321" t="str">
        <f>IF(TOTALCO!A1092="", "",TOTALCO!A1092)</f>
        <v/>
      </c>
      <c r="B565" s="4" t="str">
        <f>IF(TOTALCO!B1092="", "",TOTALCO!B1092)</f>
        <v/>
      </c>
      <c r="C565" s="4" t="str">
        <f>IF(TOTALCO!C1092="", "",TOTALCO!C1092)</f>
        <v/>
      </c>
      <c r="D565" s="12" t="str">
        <f>IF(TOTALCO!D1092="", "",TOTALCO!D1092)</f>
        <v/>
      </c>
      <c r="E565" s="12" t="str">
        <f>IF(TOTALCO!E1092="", "",TOTALCO!E1092)</f>
        <v/>
      </c>
      <c r="F565" s="12" t="str">
        <f>IF(TOTALCO!F1092="", "",TOTALCO!F1092)</f>
        <v/>
      </c>
      <c r="G565" s="12" t="str">
        <f>IF(TOTALCO!G1092="", "",TOTALCO!G1092)</f>
        <v/>
      </c>
      <c r="H565" s="12" t="str">
        <f>IF(TOTALCO!H1092="", "",TOTALCO!H1092)</f>
        <v/>
      </c>
      <c r="I565" s="12" t="str">
        <f>IF(TOTALCO!I1092="", "",TOTALCO!I1092)</f>
        <v/>
      </c>
      <c r="J565" s="12" t="str">
        <f>IF(TOTALCO!J1092="", "",TOTALCO!J1092)</f>
        <v/>
      </c>
      <c r="K565" s="12" t="str">
        <f>IF(TOTALCO!K1092="", "",TOTALCO!K1092)</f>
        <v/>
      </c>
      <c r="L565" s="12" t="str">
        <f>IF(TOTALCO!L1092="", "",TOTALCO!L1092)</f>
        <v/>
      </c>
      <c r="M565" s="12" t="str">
        <f>IF(TOTALCO!M1092="", "",TOTALCO!M1092)</f>
        <v/>
      </c>
      <c r="N565" s="12" t="str">
        <f>IF(TOTALCO!N1092="", "",TOTALCO!N1092)</f>
        <v/>
      </c>
      <c r="O565" s="12" t="str">
        <f>IF(TOTALCO!O1092="", "",TOTALCO!O1092)</f>
        <v/>
      </c>
      <c r="P565" s="12" t="str">
        <f>IF(TOTALCO!P1092="", "",TOTALCO!P1092)</f>
        <v/>
      </c>
      <c r="Q565" s="12"/>
      <c r="R565" s="13"/>
    </row>
    <row r="566" spans="1:18" ht="15" x14ac:dyDescent="0.2">
      <c r="A566" s="321" t="str">
        <f>IF(TOTALCO!A1093="", "",TOTALCO!A1093)</f>
        <v/>
      </c>
      <c r="B566" s="4" t="str">
        <f>IF(TOTALCO!B1093="", "",TOTALCO!B1093)</f>
        <v xml:space="preserve"> LABOR COMPONENT</v>
      </c>
      <c r="C566" s="4" t="str">
        <f>IF(TOTALCO!C1093="", "",TOTALCO!C1093)</f>
        <v/>
      </c>
      <c r="D566" s="12" t="str">
        <f>IF(TOTALCO!D1093="", "",TOTALCO!D1093)</f>
        <v/>
      </c>
      <c r="E566" s="12" t="str">
        <f>IF(TOTALCO!E1093="", "",TOTALCO!E1093)</f>
        <v/>
      </c>
      <c r="F566" s="12" t="str">
        <f>IF(TOTALCO!F1093="", "",TOTALCO!F1093)</f>
        <v/>
      </c>
      <c r="G566" s="12" t="str">
        <f>IF(TOTALCO!G1093="", "",TOTALCO!G1093)</f>
        <v/>
      </c>
      <c r="H566" s="12" t="str">
        <f>IF(TOTALCO!H1093="", "",TOTALCO!H1093)</f>
        <v/>
      </c>
      <c r="I566" s="12" t="str">
        <f>IF(TOTALCO!I1093="", "",TOTALCO!I1093)</f>
        <v/>
      </c>
      <c r="J566" s="12" t="str">
        <f>IF(TOTALCO!J1093="", "",TOTALCO!J1093)</f>
        <v/>
      </c>
      <c r="K566" s="12" t="str">
        <f>IF(TOTALCO!K1093="", "",TOTALCO!K1093)</f>
        <v/>
      </c>
      <c r="L566" s="12" t="str">
        <f>IF(TOTALCO!L1093="", "",TOTALCO!L1093)</f>
        <v/>
      </c>
      <c r="M566" s="12" t="str">
        <f>IF(TOTALCO!M1093="", "",TOTALCO!M1093)</f>
        <v/>
      </c>
      <c r="N566" s="12" t="str">
        <f>IF(TOTALCO!N1093="", "",TOTALCO!N1093)</f>
        <v/>
      </c>
      <c r="O566" s="12" t="str">
        <f>IF(TOTALCO!O1093="", "",TOTALCO!O1093)</f>
        <v/>
      </c>
      <c r="P566" s="12" t="str">
        <f>IF(TOTALCO!P1093="", "",TOTALCO!P1093)</f>
        <v/>
      </c>
      <c r="Q566" s="12"/>
      <c r="R566" s="13"/>
    </row>
    <row r="567" spans="1:18" ht="15" x14ac:dyDescent="0.2">
      <c r="A567" s="321">
        <f>IF(TOTALCO!A1094="", "",TOTALCO!A1094)</f>
        <v>19</v>
      </c>
      <c r="B567" s="4" t="str">
        <f>IF(TOTALCO!B1094="", "",TOTALCO!B1094)</f>
        <v xml:space="preserve">  920-ADMIN &amp; GENERAL EXP</v>
      </c>
      <c r="C567" s="4" t="str">
        <f>IF(TOTALCO!C1094="", "",TOTALCO!C1094)</f>
        <v>LABOR</v>
      </c>
      <c r="D567" s="12">
        <f ca="1">IF(TOTALCO!D1094="", "",TOTALCO!D1094)</f>
        <v>37810561</v>
      </c>
      <c r="E567" s="12" t="str">
        <f>IF(TOTALCO!E1094="", "",TOTALCO!E1094)</f>
        <v/>
      </c>
      <c r="F567" s="12">
        <f ca="1">IF(TOTALCO!F1094="", "",TOTALCO!F1094)</f>
        <v>35567474.142870426</v>
      </c>
      <c r="G567" s="12" t="str">
        <f>IF(TOTALCO!G1094="", "",TOTALCO!G1094)</f>
        <v/>
      </c>
      <c r="H567" s="12">
        <f ca="1">IF(TOTALCO!H1094="", "",TOTALCO!H1094)</f>
        <v>1790246.7089033977</v>
      </c>
      <c r="I567" s="12">
        <f ca="1">IF(TOTALCO!I1094="", "",TOTALCO!I1094)</f>
        <v>452840.14822617621</v>
      </c>
      <c r="J567" s="12" t="str">
        <f>IF(TOTALCO!J1094="", "",TOTALCO!J1094)</f>
        <v/>
      </c>
      <c r="K567" s="12" t="str">
        <f>IF(TOTALCO!K1094="", "",TOTALCO!K1094)</f>
        <v/>
      </c>
      <c r="L567" s="12">
        <f ca="1">IF(TOTALCO!L1094="", "",TOTALCO!L1094)</f>
        <v>2547.7456213728874</v>
      </c>
      <c r="M567" s="12" t="str">
        <f>IF(TOTALCO!M1094="", "",TOTALCO!M1094)</f>
        <v/>
      </c>
      <c r="N567" s="12">
        <f ca="1">IF(TOTALCO!N1094="", "",TOTALCO!N1094)</f>
        <v>450292.40260480333</v>
      </c>
      <c r="O567" s="12">
        <f ca="1">IF(TOTALCO!O1094="", "",TOTALCO!O1094)</f>
        <v>234728.29387499052</v>
      </c>
      <c r="P567" s="12">
        <f ca="1">IF(TOTALCO!P1094="", "",TOTALCO!P1094)</f>
        <v>215564.10872981284</v>
      </c>
      <c r="Q567" s="12"/>
      <c r="R567" s="13"/>
    </row>
    <row r="568" spans="1:18" ht="15" x14ac:dyDescent="0.2">
      <c r="A568" s="321">
        <f>IF(TOTALCO!A1095="", "",TOTALCO!A1095)</f>
        <v>20</v>
      </c>
      <c r="B568" s="4" t="str">
        <f>IF(TOTALCO!B1095="", "",TOTALCO!B1095)</f>
        <v xml:space="preserve">  921-OFFICE SUPPLIES &amp; EXP</v>
      </c>
      <c r="C568" s="4" t="str">
        <f>IF(TOTALCO!C1095="", "",TOTALCO!C1095)</f>
        <v>LABOR</v>
      </c>
      <c r="D568" s="12">
        <f ca="1">IF(TOTALCO!D1095="", "",TOTALCO!D1095)</f>
        <v>10355241</v>
      </c>
      <c r="E568" s="12" t="str">
        <f>IF(TOTALCO!E1095="", "",TOTALCO!E1095)</f>
        <v/>
      </c>
      <c r="F568" s="12">
        <f ca="1">IF(TOTALCO!F1095="", "",TOTALCO!F1095)</f>
        <v>9740923.0852377899</v>
      </c>
      <c r="G568" s="12" t="str">
        <f>IF(TOTALCO!G1095="", "",TOTALCO!G1095)</f>
        <v/>
      </c>
      <c r="H568" s="12">
        <f ca="1">IF(TOTALCO!H1095="", "",TOTALCO!H1095)</f>
        <v>490297.83292957564</v>
      </c>
      <c r="I568" s="12">
        <f ca="1">IF(TOTALCO!I1095="", "",TOTALCO!I1095)</f>
        <v>124020.08183263343</v>
      </c>
      <c r="J568" s="12" t="str">
        <f>IF(TOTALCO!J1095="", "",TOTALCO!J1095)</f>
        <v/>
      </c>
      <c r="K568" s="12" t="str">
        <f>IF(TOTALCO!K1095="", "",TOTALCO!K1095)</f>
        <v/>
      </c>
      <c r="L568" s="12">
        <f ca="1">IF(TOTALCO!L1095="", "",TOTALCO!L1095)</f>
        <v>697.75531540013378</v>
      </c>
      <c r="M568" s="12" t="str">
        <f>IF(TOTALCO!M1095="", "",TOTALCO!M1095)</f>
        <v/>
      </c>
      <c r="N568" s="12">
        <f ca="1">IF(TOTALCO!N1095="", "",TOTALCO!N1095)</f>
        <v>123322.32651723329</v>
      </c>
      <c r="O568" s="12">
        <f ca="1">IF(TOTALCO!O1095="", "",TOTALCO!O1095)</f>
        <v>64285.426830729935</v>
      </c>
      <c r="P568" s="12">
        <f ca="1">IF(TOTALCO!P1095="", "",TOTALCO!P1095)</f>
        <v>59036.899686503355</v>
      </c>
      <c r="Q568" s="12"/>
      <c r="R568" s="13"/>
    </row>
    <row r="569" spans="1:18" ht="15" x14ac:dyDescent="0.2">
      <c r="A569" s="321">
        <f>IF(TOTALCO!A1096="", "",TOTALCO!A1096)</f>
        <v>21</v>
      </c>
      <c r="B569" s="4" t="str">
        <f>IF(TOTALCO!B1096="", "",TOTALCO!B1096)</f>
        <v xml:space="preserve">  922-ADMIN EXP TRANSF-CRED</v>
      </c>
      <c r="C569" s="4" t="str">
        <f>IF(TOTALCO!C1096="", "",TOTALCO!C1096)</f>
        <v>LABOR</v>
      </c>
      <c r="D569" s="12">
        <f ca="1">IF(TOTALCO!D1096="", "",TOTALCO!D1096)</f>
        <v>-6153656.9999999991</v>
      </c>
      <c r="E569" s="12" t="str">
        <f>IF(TOTALCO!E1096="", "",TOTALCO!E1096)</f>
        <v/>
      </c>
      <c r="F569" s="12">
        <f ca="1">IF(TOTALCO!F1096="", "",TOTALCO!F1096)</f>
        <v>-5788595.3141926024</v>
      </c>
      <c r="G569" s="12" t="str">
        <f>IF(TOTALCO!G1096="", "",TOTALCO!G1096)</f>
        <v/>
      </c>
      <c r="H569" s="12">
        <f ca="1">IF(TOTALCO!H1096="", "",TOTALCO!H1096)</f>
        <v>-291362.09303983499</v>
      </c>
      <c r="I569" s="12">
        <f ca="1">IF(TOTALCO!I1096="", "",TOTALCO!I1096)</f>
        <v>-73699.592767561597</v>
      </c>
      <c r="J569" s="12" t="str">
        <f>IF(TOTALCO!J1096="", "",TOTALCO!J1096)</f>
        <v/>
      </c>
      <c r="K569" s="12" t="str">
        <f>IF(TOTALCO!K1096="", "",TOTALCO!K1096)</f>
        <v/>
      </c>
      <c r="L569" s="12">
        <f ca="1">IF(TOTALCO!L1096="", "",TOTALCO!L1096)</f>
        <v>-414.64480458728497</v>
      </c>
      <c r="M569" s="12" t="str">
        <f>IF(TOTALCO!M1096="", "",TOTALCO!M1096)</f>
        <v/>
      </c>
      <c r="N569" s="12">
        <f ca="1">IF(TOTALCO!N1096="", "",TOTALCO!N1096)</f>
        <v>-73284.947962974315</v>
      </c>
      <c r="O569" s="12">
        <f ca="1">IF(TOTALCO!O1096="", "",TOTALCO!O1096)</f>
        <v>-38201.956556579324</v>
      </c>
      <c r="P569" s="12">
        <f ca="1">IF(TOTALCO!P1096="", "",TOTALCO!P1096)</f>
        <v>-35082.991406394998</v>
      </c>
      <c r="Q569" s="12"/>
      <c r="R569" s="13"/>
    </row>
    <row r="570" spans="1:18" ht="15" x14ac:dyDescent="0.2">
      <c r="A570" s="321">
        <f>IF(TOTALCO!A1097="", "",TOTALCO!A1097)</f>
        <v>22</v>
      </c>
      <c r="B570" s="4" t="str">
        <f>IF(TOTALCO!B1097="", "",TOTALCO!B1097)</f>
        <v xml:space="preserve">  923-OUTSIDE SERVICES</v>
      </c>
      <c r="C570" s="4" t="str">
        <f>IF(TOTALCO!C1097="", "",TOTALCO!C1097)</f>
        <v>LABOR</v>
      </c>
      <c r="D570" s="12">
        <f ca="1">IF(TOTALCO!D1097="", "",TOTALCO!D1097)</f>
        <v>22071002.999999996</v>
      </c>
      <c r="E570" s="12" t="str">
        <f>IF(TOTALCO!E1097="", "",TOTALCO!E1097)</f>
        <v/>
      </c>
      <c r="F570" s="12">
        <f ca="1">IF(TOTALCO!F1097="", "",TOTALCO!F1097)</f>
        <v>20761655.149991442</v>
      </c>
      <c r="G570" s="12" t="str">
        <f>IF(TOTALCO!G1097="", "",TOTALCO!G1097)</f>
        <v/>
      </c>
      <c r="H570" s="12">
        <f ca="1">IF(TOTALCO!H1097="", "",TOTALCO!H1097)</f>
        <v>1045013.3359022897</v>
      </c>
      <c r="I570" s="12">
        <f ca="1">IF(TOTALCO!I1097="", "",TOTALCO!I1097)</f>
        <v>264334.51410626731</v>
      </c>
      <c r="J570" s="12" t="str">
        <f>IF(TOTALCO!J1097="", "",TOTALCO!J1097)</f>
        <v/>
      </c>
      <c r="K570" s="12" t="str">
        <f>IF(TOTALCO!K1097="", "",TOTALCO!K1097)</f>
        <v/>
      </c>
      <c r="L570" s="12">
        <f ca="1">IF(TOTALCO!L1097="", "",TOTALCO!L1097)</f>
        <v>1487.1850553224497</v>
      </c>
      <c r="M570" s="12" t="str">
        <f>IF(TOTALCO!M1097="", "",TOTALCO!M1097)</f>
        <v/>
      </c>
      <c r="N570" s="12">
        <f ca="1">IF(TOTALCO!N1097="", "",TOTALCO!N1097)</f>
        <v>262847.32905094489</v>
      </c>
      <c r="O570" s="12">
        <f ca="1">IF(TOTALCO!O1097="", "",TOTALCO!O1097)</f>
        <v>137016.97994641756</v>
      </c>
      <c r="P570" s="12">
        <f ca="1">IF(TOTALCO!P1097="", "",TOTALCO!P1097)</f>
        <v>125830.34910452731</v>
      </c>
      <c r="Q570" s="12"/>
      <c r="R570" s="13"/>
    </row>
    <row r="571" spans="1:18" ht="15" x14ac:dyDescent="0.2">
      <c r="A571" s="321">
        <f>IF(TOTALCO!A1098="", "",TOTALCO!A1098)</f>
        <v>23</v>
      </c>
      <c r="B571" s="4" t="str">
        <f>IF(TOTALCO!B1098="", "",TOTALCO!B1098)</f>
        <v xml:space="preserve">  925-INJURIES &amp; DAMAGES</v>
      </c>
      <c r="C571" s="4" t="str">
        <f>IF(TOTALCO!C1098="", "",TOTALCO!C1098)</f>
        <v>LABOR</v>
      </c>
      <c r="D571" s="12">
        <f ca="1">IF(TOTALCO!D1098="", "",TOTALCO!D1098)</f>
        <v>5008424.9999999991</v>
      </c>
      <c r="E571" s="12" t="str">
        <f>IF(TOTALCO!E1098="", "",TOTALCO!E1098)</f>
        <v/>
      </c>
      <c r="F571" s="12">
        <f ca="1">IF(TOTALCO!F1098="", "",TOTALCO!F1098)</f>
        <v>4711303.4552437821</v>
      </c>
      <c r="G571" s="12" t="str">
        <f>IF(TOTALCO!G1098="", "",TOTALCO!G1098)</f>
        <v/>
      </c>
      <c r="H571" s="12">
        <f ca="1">IF(TOTALCO!H1098="", "",TOTALCO!H1098)</f>
        <v>237137.8825360327</v>
      </c>
      <c r="I571" s="12">
        <f ca="1">IF(TOTALCO!I1098="", "",TOTALCO!I1098)</f>
        <v>59983.66222018464</v>
      </c>
      <c r="J571" s="12" t="str">
        <f>IF(TOTALCO!J1098="", "",TOTALCO!J1098)</f>
        <v/>
      </c>
      <c r="K571" s="12" t="str">
        <f>IF(TOTALCO!K1098="", "",TOTALCO!K1098)</f>
        <v/>
      </c>
      <c r="L571" s="12">
        <f ca="1">IF(TOTALCO!L1098="", "",TOTALCO!L1098)</f>
        <v>337.47695157774842</v>
      </c>
      <c r="M571" s="12" t="str">
        <f>IF(TOTALCO!M1098="", "",TOTALCO!M1098)</f>
        <v/>
      </c>
      <c r="N571" s="12">
        <f ca="1">IF(TOTALCO!N1098="", "",TOTALCO!N1098)</f>
        <v>59646.185268606889</v>
      </c>
      <c r="O571" s="12">
        <f ca="1">IF(TOTALCO!O1098="", "",TOTALCO!O1098)</f>
        <v>31092.346269362399</v>
      </c>
      <c r="P571" s="12">
        <f ca="1">IF(TOTALCO!P1098="", "",TOTALCO!P1098)</f>
        <v>28553.838999244494</v>
      </c>
      <c r="Q571" s="12"/>
      <c r="R571" s="13"/>
    </row>
    <row r="572" spans="1:18" ht="15" x14ac:dyDescent="0.2">
      <c r="A572" s="321">
        <f>IF(TOTALCO!A1099="", "",TOTALCO!A1099)</f>
        <v>24</v>
      </c>
      <c r="B572" s="4" t="str">
        <f>IF(TOTALCO!B1099="", "",TOTALCO!B1099)</f>
        <v xml:space="preserve">  926-PENSIONS &amp; BENEFITS</v>
      </c>
      <c r="C572" s="4" t="str">
        <f>IF(TOTALCO!C1099="", "",TOTALCO!C1099)</f>
        <v>LABOR</v>
      </c>
      <c r="D572" s="12">
        <f ca="1">IF(TOTALCO!D1099="", "",TOTALCO!D1099)</f>
        <v>30445135</v>
      </c>
      <c r="E572" s="12" t="str">
        <f>IF(TOTALCO!E1099="", "",TOTALCO!E1099)</f>
        <v/>
      </c>
      <c r="F572" s="12">
        <f ca="1">IF(TOTALCO!F1099="", "",TOTALCO!F1099)</f>
        <v>28638997.233833671</v>
      </c>
      <c r="G572" s="12" t="str">
        <f>IF(TOTALCO!G1099="", "",TOTALCO!G1099)</f>
        <v/>
      </c>
      <c r="H572" s="12">
        <f ca="1">IF(TOTALCO!H1099="", "",TOTALCO!H1099)</f>
        <v>1441510.0250924509</v>
      </c>
      <c r="I572" s="12">
        <f ca="1">IF(TOTALCO!I1099="", "",TOTALCO!I1099)</f>
        <v>364627.74107387476</v>
      </c>
      <c r="J572" s="12" t="str">
        <f>IF(TOTALCO!J1099="", "",TOTALCO!J1099)</f>
        <v/>
      </c>
      <c r="K572" s="12" t="str">
        <f>IF(TOTALCO!K1099="", "",TOTALCO!K1099)</f>
        <v/>
      </c>
      <c r="L572" s="12">
        <f ca="1">IF(TOTALCO!L1099="", "",TOTALCO!L1099)</f>
        <v>2051.4495774965212</v>
      </c>
      <c r="M572" s="12" t="str">
        <f>IF(TOTALCO!M1099="", "",TOTALCO!M1099)</f>
        <v/>
      </c>
      <c r="N572" s="12">
        <f ca="1">IF(TOTALCO!N1099="", "",TOTALCO!N1099)</f>
        <v>362576.29149637825</v>
      </c>
      <c r="O572" s="12">
        <f ca="1">IF(TOTALCO!O1099="", "",TOTALCO!O1099)</f>
        <v>189003.66475238916</v>
      </c>
      <c r="P572" s="12">
        <f ca="1">IF(TOTALCO!P1099="", "",TOTALCO!P1099)</f>
        <v>173572.62674398909</v>
      </c>
      <c r="Q572" s="12"/>
      <c r="R572" s="13"/>
    </row>
    <row r="573" spans="1:18" ht="15" x14ac:dyDescent="0.2">
      <c r="A573" s="321">
        <f>IF(TOTALCO!A1100="", "",TOTALCO!A1100)</f>
        <v>25</v>
      </c>
      <c r="B573" s="4" t="str">
        <f>IF(TOTALCO!B1100="", "",TOTALCO!B1100)</f>
        <v xml:space="preserve">  926-PENSIONS EXP-DIR KY</v>
      </c>
      <c r="C573" s="4" t="str">
        <f>IF(TOTALCO!C1100="", "",TOTALCO!C1100)</f>
        <v>DIRECT</v>
      </c>
      <c r="D573" s="12">
        <f>IF(TOTALCO!D1100="", "",TOTALCO!D1100)</f>
        <v>0</v>
      </c>
      <c r="E573" s="12" t="str">
        <f>IF(TOTALCO!E1100="", "",TOTALCO!E1100)</f>
        <v/>
      </c>
      <c r="F573" s="12">
        <f>IF(TOTALCO!F1100="", "",TOTALCO!F1100)</f>
        <v>0</v>
      </c>
      <c r="G573" s="12" t="str">
        <f>IF(TOTALCO!G1100="", "",TOTALCO!G1100)</f>
        <v/>
      </c>
      <c r="H573" s="12">
        <f>IF(TOTALCO!H1100="", "",TOTALCO!H1100)</f>
        <v>0</v>
      </c>
      <c r="I573" s="12">
        <f>IF(TOTALCO!I1100="", "",TOTALCO!I1100)</f>
        <v>0</v>
      </c>
      <c r="J573" s="12" t="str">
        <f>IF(TOTALCO!J1100="", "",TOTALCO!J1100)</f>
        <v/>
      </c>
      <c r="K573" s="12" t="str">
        <f>IF(TOTALCO!K1100="", "",TOTALCO!K1100)</f>
        <v/>
      </c>
      <c r="L573" s="12">
        <f>IF(TOTALCO!L1100="", "",TOTALCO!L1100)</f>
        <v>0</v>
      </c>
      <c r="M573" s="12" t="str">
        <f>IF(TOTALCO!M1100="", "",TOTALCO!M1100)</f>
        <v/>
      </c>
      <c r="N573" s="12">
        <f>IF(TOTALCO!N1100="", "",TOTALCO!N1100)</f>
        <v>0</v>
      </c>
      <c r="O573" s="12">
        <f>IF(TOTALCO!O1100="", "",TOTALCO!O1100)</f>
        <v>0</v>
      </c>
      <c r="P573" s="12">
        <f>IF(TOTALCO!P1100="", "",TOTALCO!P1100)</f>
        <v>0</v>
      </c>
      <c r="Q573" s="12"/>
      <c r="R573" s="13"/>
    </row>
    <row r="574" spans="1:18" ht="15" x14ac:dyDescent="0.2">
      <c r="A574" s="321">
        <f>IF(TOTALCO!A1101="", "",TOTALCO!A1101)</f>
        <v>26</v>
      </c>
      <c r="B574" s="4" t="str">
        <f>IF(TOTALCO!B1101="", "",TOTALCO!B1101)</f>
        <v xml:space="preserve">  926-PENSIONS EXP-DIR VA</v>
      </c>
      <c r="C574" s="4" t="str">
        <f>IF(TOTALCO!C1101="", "",TOTALCO!C1101)</f>
        <v>DIRECT</v>
      </c>
      <c r="D574" s="12">
        <f>IF(TOTALCO!D1101="", "",TOTALCO!D1101)</f>
        <v>61680.519244159201</v>
      </c>
      <c r="E574" s="12" t="str">
        <f>IF(TOTALCO!E1101="", "",TOTALCO!E1101)</f>
        <v/>
      </c>
      <c r="F574" s="12">
        <f>IF(TOTALCO!F1101="", "",TOTALCO!F1101)</f>
        <v>0</v>
      </c>
      <c r="G574" s="12" t="str">
        <f>IF(TOTALCO!G1101="", "",TOTALCO!G1101)</f>
        <v/>
      </c>
      <c r="H574" s="12">
        <f>IF(TOTALCO!H1101="", "",TOTALCO!H1101)</f>
        <v>61680.519244159201</v>
      </c>
      <c r="I574" s="12">
        <f>IF(TOTALCO!I1101="", "",TOTALCO!I1101)</f>
        <v>0</v>
      </c>
      <c r="J574" s="12" t="str">
        <f>IF(TOTALCO!J1101="", "",TOTALCO!J1101)</f>
        <v/>
      </c>
      <c r="K574" s="12" t="str">
        <f>IF(TOTALCO!K1101="", "",TOTALCO!K1101)</f>
        <v/>
      </c>
      <c r="L574" s="12">
        <f>IF(TOTALCO!L1101="", "",TOTALCO!L1101)</f>
        <v>0</v>
      </c>
      <c r="M574" s="12" t="str">
        <f>IF(TOTALCO!M1101="", "",TOTALCO!M1101)</f>
        <v/>
      </c>
      <c r="N574" s="12">
        <f>IF(TOTALCO!N1101="", "",TOTALCO!N1101)</f>
        <v>0</v>
      </c>
      <c r="O574" s="12">
        <f>IF(TOTALCO!O1101="", "",TOTALCO!O1101)</f>
        <v>0</v>
      </c>
      <c r="P574" s="12">
        <f>IF(TOTALCO!P1101="", "",TOTALCO!P1101)</f>
        <v>0</v>
      </c>
      <c r="Q574" s="12"/>
      <c r="R574" s="13"/>
    </row>
    <row r="575" spans="1:18" ht="15" x14ac:dyDescent="0.2">
      <c r="A575" s="321">
        <f>IF(TOTALCO!A1103="", "",TOTALCO!A1103)</f>
        <v>27</v>
      </c>
      <c r="B575" s="4" t="str">
        <f>IF(TOTALCO!B1103="", "",TOTALCO!B1103)</f>
        <v xml:space="preserve">  926-PENSIONS EXP-DIR FERC/TN</v>
      </c>
      <c r="C575" s="4" t="str">
        <f>IF(TOTALCO!C1103="", "",TOTALCO!C1103)</f>
        <v>DIRECT</v>
      </c>
      <c r="D575" s="12">
        <f ca="1">IF(TOTALCO!D1103="", "",TOTALCO!D1103)</f>
        <v>30328.480755840719</v>
      </c>
      <c r="E575" s="12" t="str">
        <f>IF(TOTALCO!E1103="", "",TOTALCO!E1103)</f>
        <v/>
      </c>
      <c r="F575" s="12">
        <f>IF(TOTALCO!F1103="", "",TOTALCO!F1103)</f>
        <v>0</v>
      </c>
      <c r="G575" s="12" t="str">
        <f>IF(TOTALCO!G1103="", "",TOTALCO!G1103)</f>
        <v/>
      </c>
      <c r="H575" s="12">
        <f>IF(TOTALCO!H1103="", "",TOTALCO!H1103)</f>
        <v>0</v>
      </c>
      <c r="I575" s="12">
        <f ca="1">IF(TOTALCO!I1103="", "",TOTALCO!I1103)</f>
        <v>30328.480755840719</v>
      </c>
      <c r="J575" s="12" t="str">
        <f>IF(TOTALCO!J1103="", "",TOTALCO!J1103)</f>
        <v/>
      </c>
      <c r="K575" s="12" t="str">
        <f>IF(TOTALCO!K1103="", "",TOTALCO!K1103)</f>
        <v/>
      </c>
      <c r="L575" s="12">
        <f>IF(TOTALCO!L1103="", "",TOTALCO!L1103)</f>
        <v>44.864616502723003</v>
      </c>
      <c r="M575" s="12" t="str">
        <f>IF(TOTALCO!M1103="", "",TOTALCO!M1103)</f>
        <v/>
      </c>
      <c r="N575" s="12">
        <f ca="1">IF(TOTALCO!N1103="", "",TOTALCO!N1103)</f>
        <v>30283.616139337995</v>
      </c>
      <c r="O575" s="12">
        <f ca="1">IF(TOTALCO!O1103="", "",TOTALCO!O1103)</f>
        <v>15786.234694682606</v>
      </c>
      <c r="P575" s="12">
        <f ca="1">IF(TOTALCO!P1103="", "",TOTALCO!P1103)</f>
        <v>14497.381444655392</v>
      </c>
      <c r="Q575" s="12"/>
      <c r="R575" s="13"/>
    </row>
    <row r="576" spans="1:18" ht="15" x14ac:dyDescent="0.2">
      <c r="A576" s="321">
        <f>IF(TOTALCO!A1104="", "",TOTALCO!A1104)</f>
        <v>28</v>
      </c>
      <c r="B576" s="4" t="str">
        <f>IF(TOTALCO!B1104="", "",TOTALCO!B1104)</f>
        <v xml:space="preserve">  930.1-GEN ADVERTISING EXPENSE</v>
      </c>
      <c r="C576" s="4" t="str">
        <f>IF(TOTALCO!C1104="", "",TOTALCO!C1104)</f>
        <v>LABORXF</v>
      </c>
      <c r="D576" s="12">
        <f ca="1">IF(TOTALCO!D1104="", "",TOTALCO!D1104)</f>
        <v>3317</v>
      </c>
      <c r="E576" s="12" t="str">
        <f>IF(TOTALCO!E1104="", "",TOTALCO!E1104)</f>
        <v/>
      </c>
      <c r="F576" s="12">
        <f ca="1">IF(TOTALCO!F1104="", "",TOTALCO!F1104)</f>
        <v>3157.8282534116129</v>
      </c>
      <c r="G576" s="12" t="str">
        <f>IF(TOTALCO!G1104="", "",TOTALCO!G1104)</f>
        <v/>
      </c>
      <c r="H576" s="12">
        <f ca="1">IF(TOTALCO!H1104="", "",TOTALCO!H1104)</f>
        <v>158.94554713791837</v>
      </c>
      <c r="I576" s="12">
        <f ca="1">IF(TOTALCO!I1104="", "",TOTALCO!I1104)</f>
        <v>0.22619945046870119</v>
      </c>
      <c r="J576" s="12" t="str">
        <f>IF(TOTALCO!J1104="", "",TOTALCO!J1104)</f>
        <v/>
      </c>
      <c r="K576" s="12" t="str">
        <f>IF(TOTALCO!K1104="", "",TOTALCO!K1104)</f>
        <v/>
      </c>
      <c r="L576" s="12">
        <f ca="1">IF(TOTALCO!L1104="", "",TOTALCO!L1104)</f>
        <v>0.22619945046870119</v>
      </c>
      <c r="M576" s="12" t="str">
        <f>IF(TOTALCO!M1104="", "",TOTALCO!M1104)</f>
        <v/>
      </c>
      <c r="N576" s="12">
        <f ca="1">IF(TOTALCO!N1104="", "",TOTALCO!N1104)</f>
        <v>0</v>
      </c>
      <c r="O576" s="12">
        <f ca="1">IF(TOTALCO!O1104="", "",TOTALCO!O1104)</f>
        <v>0</v>
      </c>
      <c r="P576" s="12">
        <f ca="1">IF(TOTALCO!P1104="", "",TOTALCO!P1104)</f>
        <v>0</v>
      </c>
      <c r="Q576" s="12"/>
      <c r="R576" s="13"/>
    </row>
    <row r="577" spans="1:18" ht="15" x14ac:dyDescent="0.2">
      <c r="A577" s="321">
        <f>IF(TOTALCO!A1105="", "",TOTALCO!A1105)</f>
        <v>29</v>
      </c>
      <c r="B577" s="4" t="str">
        <f>IF(TOTALCO!B1105="", "",TOTALCO!B1105)</f>
        <v xml:space="preserve">  930.2-MISC GENERAL EXPENSE</v>
      </c>
      <c r="C577" s="4" t="str">
        <f>IF(TOTALCO!C1105="", "",TOTALCO!C1105)</f>
        <v>LABOR</v>
      </c>
      <c r="D577" s="12">
        <f ca="1">IF(TOTALCO!D1105="", "",TOTALCO!D1105)</f>
        <v>3706329.9999999898</v>
      </c>
      <c r="E577" s="12" t="str">
        <f>IF(TOTALCO!E1105="", "",TOTALCO!E1105)</f>
        <v/>
      </c>
      <c r="F577" s="12">
        <f ca="1">IF(TOTALCO!F1105="", "",TOTALCO!F1105)</f>
        <v>3492531.5799284866</v>
      </c>
      <c r="G577" s="12" t="str">
        <f>IF(TOTALCO!G1105="", "",TOTALCO!G1105)</f>
        <v/>
      </c>
      <c r="H577" s="12">
        <f ca="1">IF(TOTALCO!H1105="", "",TOTALCO!H1105)</f>
        <v>170636.24472908454</v>
      </c>
      <c r="I577" s="12">
        <f ca="1">IF(TOTALCO!I1105="", "",TOTALCO!I1105)</f>
        <v>43162.175342418857</v>
      </c>
      <c r="J577" s="12" t="str">
        <f>IF(TOTALCO!J1105="", "",TOTALCO!J1105)</f>
        <v/>
      </c>
      <c r="K577" s="12" t="str">
        <f>IF(TOTALCO!K1105="", "",TOTALCO!K1105)</f>
        <v/>
      </c>
      <c r="L577" s="12">
        <f ca="1">IF(TOTALCO!L1105="", "",TOTALCO!L1105)</f>
        <v>242.83677953098038</v>
      </c>
      <c r="M577" s="12" t="str">
        <f>IF(TOTALCO!M1105="", "",TOTALCO!M1105)</f>
        <v/>
      </c>
      <c r="N577" s="12">
        <f ca="1">IF(TOTALCO!N1105="", "",TOTALCO!N1105)</f>
        <v>42919.338562887875</v>
      </c>
      <c r="O577" s="12">
        <f ca="1">IF(TOTALCO!O1105="", "",TOTALCO!O1105)</f>
        <v>22372.980438560684</v>
      </c>
      <c r="P577" s="12">
        <f ca="1">IF(TOTALCO!P1105="", "",TOTALCO!P1105)</f>
        <v>20546.358124327187</v>
      </c>
      <c r="Q577" s="12"/>
      <c r="R577" s="13"/>
    </row>
    <row r="578" spans="1:18" ht="15" x14ac:dyDescent="0.2">
      <c r="A578" s="321">
        <f>IF(TOTALCO!A1106="", "",TOTALCO!A1106)</f>
        <v>30</v>
      </c>
      <c r="B578" s="4" t="str">
        <f>IF(TOTALCO!B1106="", "",TOTALCO!B1106)</f>
        <v xml:space="preserve">  931-RENTS</v>
      </c>
      <c r="C578" s="4" t="str">
        <f>IF(TOTALCO!C1106="", "",TOTALCO!C1106)</f>
        <v>LABOR</v>
      </c>
      <c r="D578" s="12">
        <f ca="1">IF(TOTALCO!D1106="", "",TOTALCO!D1106)</f>
        <v>2989606.9999999995</v>
      </c>
      <c r="E578" s="12" t="str">
        <f>IF(TOTALCO!E1106="", "",TOTALCO!E1106)</f>
        <v/>
      </c>
      <c r="F578" s="12">
        <f ca="1">IF(TOTALCO!F1106="", "",TOTALCO!F1106)</f>
        <v>2812250.5156653035</v>
      </c>
      <c r="G578" s="12" t="str">
        <f>IF(TOTALCO!G1106="", "",TOTALCO!G1106)</f>
        <v/>
      </c>
      <c r="H578" s="12">
        <f ca="1">IF(TOTALCO!H1106="", "",TOTALCO!H1106)</f>
        <v>141551.30077717069</v>
      </c>
      <c r="I578" s="12">
        <f ca="1">IF(TOTALCO!I1106="", "",TOTALCO!I1106)</f>
        <v>35805.183557525481</v>
      </c>
      <c r="J578" s="12" t="str">
        <f>IF(TOTALCO!J1106="", "",TOTALCO!J1106)</f>
        <v/>
      </c>
      <c r="K578" s="12" t="str">
        <f>IF(TOTALCO!K1106="", "",TOTALCO!K1106)</f>
        <v/>
      </c>
      <c r="L578" s="12">
        <f ca="1">IF(TOTALCO!L1106="", "",TOTALCO!L1106)</f>
        <v>201.44525609857345</v>
      </c>
      <c r="M578" s="12" t="str">
        <f>IF(TOTALCO!M1106="", "",TOTALCO!M1106)</f>
        <v/>
      </c>
      <c r="N578" s="12">
        <f ca="1">IF(TOTALCO!N1106="", "",TOTALCO!N1106)</f>
        <v>35603.738301426907</v>
      </c>
      <c r="O578" s="12">
        <f ca="1">IF(TOTALCO!O1106="", "",TOTALCO!O1106)</f>
        <v>18559.506442306658</v>
      </c>
      <c r="P578" s="12">
        <f ca="1">IF(TOTALCO!P1106="", "",TOTALCO!P1106)</f>
        <v>17044.231859120249</v>
      </c>
      <c r="Q578" s="12"/>
      <c r="R578" s="13"/>
    </row>
    <row r="579" spans="1:18" ht="15" x14ac:dyDescent="0.2">
      <c r="A579" s="321">
        <f>IF(TOTALCO!A1107="", "",TOTALCO!A1107)</f>
        <v>31</v>
      </c>
      <c r="B579" s="4" t="str">
        <f>IF(TOTALCO!B1107="", "",TOTALCO!B1107)</f>
        <v xml:space="preserve">  935-MAINTENANCE</v>
      </c>
      <c r="C579" s="4" t="str">
        <f>IF(TOTALCO!C1107="", "",TOTALCO!C1107)</f>
        <v>LABOR</v>
      </c>
      <c r="D579" s="12">
        <f ca="1">IF(TOTALCO!D1107="", "",TOTALCO!D1107)</f>
        <v>1398785.9999999898</v>
      </c>
      <c r="E579" s="12" t="str">
        <f>IF(TOTALCO!E1107="", "",TOTALCO!E1107)</f>
        <v/>
      </c>
      <c r="F579" s="12">
        <f ca="1">IF(TOTALCO!F1107="", "",TOTALCO!F1107)</f>
        <v>1315803.933361602</v>
      </c>
      <c r="G579" s="12" t="str">
        <f>IF(TOTALCO!G1107="", "",TOTALCO!G1107)</f>
        <v/>
      </c>
      <c r="H579" s="12">
        <f ca="1">IF(TOTALCO!H1107="", "",TOTALCO!H1107)</f>
        <v>66229.43343686781</v>
      </c>
      <c r="I579" s="12">
        <f ca="1">IF(TOTALCO!I1107="", "",TOTALCO!I1107)</f>
        <v>16752.633201519959</v>
      </c>
      <c r="J579" s="12" t="str">
        <f>IF(TOTALCO!J1107="", "",TOTALCO!J1107)</f>
        <v/>
      </c>
      <c r="K579" s="12" t="str">
        <f>IF(TOTALCO!K1107="", "",TOTALCO!K1107)</f>
        <v/>
      </c>
      <c r="L579" s="12">
        <f ca="1">IF(TOTALCO!L1107="", "",TOTALCO!L1107)</f>
        <v>94.252791084947674</v>
      </c>
      <c r="M579" s="12" t="str">
        <f>IF(TOTALCO!M1107="", "",TOTALCO!M1107)</f>
        <v/>
      </c>
      <c r="N579" s="12">
        <f ca="1">IF(TOTALCO!N1107="", "",TOTALCO!N1107)</f>
        <v>16658.380410435009</v>
      </c>
      <c r="O579" s="12">
        <f ca="1">IF(TOTALCO!O1107="", "",TOTALCO!O1107)</f>
        <v>8683.6757401250979</v>
      </c>
      <c r="P579" s="12">
        <f ca="1">IF(TOTALCO!P1107="", "",TOTALCO!P1107)</f>
        <v>7974.7046703099122</v>
      </c>
      <c r="Q579" s="12"/>
      <c r="R579" s="13"/>
    </row>
    <row r="580" spans="1:18" ht="15" x14ac:dyDescent="0.2">
      <c r="A580" s="321">
        <f>IF(TOTALCO!A1108="", "",TOTALCO!A1108)</f>
        <v>32</v>
      </c>
      <c r="B580" s="4" t="str">
        <f>IF(TOTALCO!B1108="", "",TOTALCO!B1108)</f>
        <v xml:space="preserve">     TOTAL LABOR COMPONENT</v>
      </c>
      <c r="C580" s="4" t="str">
        <f>IF(TOTALCO!C1108="", "",TOTALCO!C1108)</f>
        <v/>
      </c>
      <c r="D580" s="12">
        <f ca="1">IF(TOTALCO!D1108="", "",TOTALCO!D1108)</f>
        <v>107726756.99999997</v>
      </c>
      <c r="E580" s="12" t="str">
        <f>IF(TOTALCO!E1108="", "",TOTALCO!E1108)</f>
        <v/>
      </c>
      <c r="F580" s="12">
        <f ca="1">IF(TOTALCO!F1108="", "",TOTALCO!F1108)</f>
        <v>101255501.61019331</v>
      </c>
      <c r="G580" s="12" t="str">
        <f>IF(TOTALCO!G1108="", "",TOTALCO!G1108)</f>
        <v/>
      </c>
      <c r="H580" s="12">
        <f ca="1">IF(TOTALCO!H1108="", "",TOTALCO!H1108)</f>
        <v>5153100.1360583324</v>
      </c>
      <c r="I580" s="12">
        <f ca="1">IF(TOTALCO!I1108="", "",TOTALCO!I1108)</f>
        <v>1318155.2537483303</v>
      </c>
      <c r="J580" s="12" t="str">
        <f>IF(TOTALCO!J1108="", "",TOTALCO!J1108)</f>
        <v/>
      </c>
      <c r="K580" s="12" t="str">
        <f>IF(TOTALCO!K1108="", "",TOTALCO!K1108)</f>
        <v/>
      </c>
      <c r="L580" s="12">
        <f ca="1">IF(TOTALCO!L1108="", "",TOTALCO!L1108)</f>
        <v>7290.5933592501497</v>
      </c>
      <c r="M580" s="12" t="str">
        <f>IF(TOTALCO!M1108="", "",TOTALCO!M1108)</f>
        <v/>
      </c>
      <c r="N580" s="12">
        <f ca="1">IF(TOTALCO!N1108="", "",TOTALCO!N1108)</f>
        <v>1310864.6603890802</v>
      </c>
      <c r="O580" s="12">
        <f ca="1">IF(TOTALCO!O1108="", "",TOTALCO!O1108)</f>
        <v>683327.15243298537</v>
      </c>
      <c r="P580" s="12">
        <f ca="1">IF(TOTALCO!P1108="", "",TOTALCO!P1108)</f>
        <v>627537.50795609481</v>
      </c>
      <c r="Q580" s="12"/>
      <c r="R580" s="13"/>
    </row>
    <row r="581" spans="1:18" ht="15" x14ac:dyDescent="0.2">
      <c r="A581" s="321" t="str">
        <f>IF(TOTALCO!A1109="", "",TOTALCO!A1109)</f>
        <v/>
      </c>
      <c r="B581" s="4" t="str">
        <f>IF(TOTALCO!B1109="", "",TOTALCO!B1109)</f>
        <v/>
      </c>
      <c r="C581" s="4" t="str">
        <f>IF(TOTALCO!C1109="", "",TOTALCO!C1109)</f>
        <v/>
      </c>
      <c r="D581" s="12" t="str">
        <f>IF(TOTALCO!D1109="", "",TOTALCO!D1109)</f>
        <v/>
      </c>
      <c r="E581" s="12" t="str">
        <f>IF(TOTALCO!E1109="", "",TOTALCO!E1109)</f>
        <v/>
      </c>
      <c r="F581" s="12" t="str">
        <f>IF(TOTALCO!F1109="", "",TOTALCO!F1109)</f>
        <v/>
      </c>
      <c r="G581" s="12" t="str">
        <f>IF(TOTALCO!G1109="", "",TOTALCO!G1109)</f>
        <v/>
      </c>
      <c r="H581" s="12" t="str">
        <f>IF(TOTALCO!H1109="", "",TOTALCO!H1109)</f>
        <v/>
      </c>
      <c r="I581" s="12" t="str">
        <f>IF(TOTALCO!I1109="", "",TOTALCO!I1109)</f>
        <v/>
      </c>
      <c r="J581" s="12" t="str">
        <f>IF(TOTALCO!J1109="", "",TOTALCO!J1109)</f>
        <v/>
      </c>
      <c r="K581" s="12" t="str">
        <f>IF(TOTALCO!K1109="", "",TOTALCO!K1109)</f>
        <v/>
      </c>
      <c r="L581" s="12" t="str">
        <f>IF(TOTALCO!L1109="", "",TOTALCO!L1109)</f>
        <v/>
      </c>
      <c r="M581" s="12" t="str">
        <f>IF(TOTALCO!M1109="", "",TOTALCO!M1109)</f>
        <v/>
      </c>
      <c r="N581" s="12" t="str">
        <f>IF(TOTALCO!N1109="", "",TOTALCO!N1109)</f>
        <v/>
      </c>
      <c r="O581" s="12" t="str">
        <f>IF(TOTALCO!O1109="", "",TOTALCO!O1109)</f>
        <v/>
      </c>
      <c r="P581" s="12" t="str">
        <f>IF(TOTALCO!P1109="", "",TOTALCO!P1109)</f>
        <v/>
      </c>
      <c r="Q581" s="12"/>
      <c r="R581" s="13"/>
    </row>
    <row r="582" spans="1:18" ht="15" x14ac:dyDescent="0.2">
      <c r="A582" s="321" t="str">
        <f>IF(TOTALCO!A1110="", "",TOTALCO!A1110)</f>
        <v/>
      </c>
      <c r="B582" s="4" t="str">
        <f>IF(TOTALCO!B1110="", "",TOTALCO!B1110)</f>
        <v xml:space="preserve">  928-REGULATORY COMMISSION</v>
      </c>
      <c r="C582" s="4" t="str">
        <f>IF(TOTALCO!C1110="", "",TOTALCO!C1110)</f>
        <v/>
      </c>
      <c r="D582" s="12" t="str">
        <f>IF(TOTALCO!D1110="", "",TOTALCO!D1110)</f>
        <v/>
      </c>
      <c r="E582" s="12" t="str">
        <f>IF(TOTALCO!E1110="", "",TOTALCO!E1110)</f>
        <v/>
      </c>
      <c r="F582" s="12" t="str">
        <f>IF(TOTALCO!F1110="", "",TOTALCO!F1110)</f>
        <v/>
      </c>
      <c r="G582" s="12" t="str">
        <f>IF(TOTALCO!G1110="", "",TOTALCO!G1110)</f>
        <v/>
      </c>
      <c r="H582" s="12" t="str">
        <f>IF(TOTALCO!H1110="", "",TOTALCO!H1110)</f>
        <v/>
      </c>
      <c r="I582" s="12" t="str">
        <f>IF(TOTALCO!I1110="", "",TOTALCO!I1110)</f>
        <v/>
      </c>
      <c r="J582" s="12" t="str">
        <f>IF(TOTALCO!J1110="", "",TOTALCO!J1110)</f>
        <v/>
      </c>
      <c r="K582" s="12" t="str">
        <f>IF(TOTALCO!K1110="", "",TOTALCO!K1110)</f>
        <v/>
      </c>
      <c r="L582" s="12" t="str">
        <f>IF(TOTALCO!L1110="", "",TOTALCO!L1110)</f>
        <v/>
      </c>
      <c r="M582" s="12" t="str">
        <f>IF(TOTALCO!M1110="", "",TOTALCO!M1110)</f>
        <v/>
      </c>
      <c r="N582" s="12" t="str">
        <f>IF(TOTALCO!N1110="", "",TOTALCO!N1110)</f>
        <v/>
      </c>
      <c r="O582" s="12" t="str">
        <f>IF(TOTALCO!O1110="", "",TOTALCO!O1110)</f>
        <v/>
      </c>
      <c r="P582" s="12" t="str">
        <f>IF(TOTALCO!P1110="", "",TOTALCO!P1110)</f>
        <v/>
      </c>
      <c r="Q582" s="12"/>
      <c r="R582" s="13"/>
    </row>
    <row r="583" spans="1:18" ht="15" x14ac:dyDescent="0.2">
      <c r="A583" s="321">
        <f>IF(TOTALCO!A1111="", "",TOTALCO!A1111)</f>
        <v>33</v>
      </c>
      <c r="B583" s="4" t="str">
        <f>IF(TOTALCO!B1111="", "",TOTALCO!B1111)</f>
        <v xml:space="preserve">    KENTUCKY JURISDICTION</v>
      </c>
      <c r="C583" s="4" t="str">
        <f>IF(TOTALCO!C1111="", "",TOTALCO!C1111)</f>
        <v>DIRECT</v>
      </c>
      <c r="D583" s="12">
        <f>IF(TOTALCO!D1111="", "",TOTALCO!D1111)</f>
        <v>1572907</v>
      </c>
      <c r="E583" s="12" t="str">
        <f>IF(TOTALCO!E1111="", "",TOTALCO!E1111)</f>
        <v/>
      </c>
      <c r="F583" s="12">
        <f>IF(TOTALCO!F1111="", "",TOTALCO!F1111)</f>
        <v>1572907</v>
      </c>
      <c r="G583" s="12" t="str">
        <f>IF(TOTALCO!G1111="", "",TOTALCO!G1111)</f>
        <v/>
      </c>
      <c r="H583" s="12">
        <f>IF(TOTALCO!H1111="", "",TOTALCO!H1111)</f>
        <v>0</v>
      </c>
      <c r="I583" s="12">
        <f>IF(TOTALCO!I1111="", "",TOTALCO!I1111)</f>
        <v>0</v>
      </c>
      <c r="J583" s="12" t="str">
        <f>IF(TOTALCO!J1111="", "",TOTALCO!J1111)</f>
        <v/>
      </c>
      <c r="K583" s="12" t="str">
        <f>IF(TOTALCO!K1111="", "",TOTALCO!K1111)</f>
        <v/>
      </c>
      <c r="L583" s="12">
        <f>IF(TOTALCO!L1111="", "",TOTALCO!L1111)</f>
        <v>0</v>
      </c>
      <c r="M583" s="12" t="str">
        <f>IF(TOTALCO!M1111="", "",TOTALCO!M1111)</f>
        <v/>
      </c>
      <c r="N583" s="12">
        <f>IF(TOTALCO!N1111="", "",TOTALCO!N1111)</f>
        <v>0</v>
      </c>
      <c r="O583" s="12">
        <f>IF(TOTALCO!O1111="", "",TOTALCO!O1111)</f>
        <v>0</v>
      </c>
      <c r="P583" s="12">
        <f>IF(TOTALCO!P1111="", "",TOTALCO!P1111)</f>
        <v>0</v>
      </c>
      <c r="Q583" s="12"/>
      <c r="R583" s="13"/>
    </row>
    <row r="584" spans="1:18" ht="15" x14ac:dyDescent="0.2">
      <c r="A584" s="321">
        <f>IF(TOTALCO!A1112="", "",TOTALCO!A1112)</f>
        <v>34</v>
      </c>
      <c r="B584" s="4" t="str">
        <f>IF(TOTALCO!B1112="", "",TOTALCO!B1112)</f>
        <v xml:space="preserve">    VIRGINIA JURISDICTION</v>
      </c>
      <c r="C584" s="4" t="str">
        <f>IF(TOTALCO!C1112="", "",TOTALCO!C1112)</f>
        <v>DIRECT</v>
      </c>
      <c r="D584" s="12">
        <f>IF(TOTALCO!D1112="", "",TOTALCO!D1112)</f>
        <v>43336</v>
      </c>
      <c r="E584" s="12" t="str">
        <f>IF(TOTALCO!E1112="", "",TOTALCO!E1112)</f>
        <v/>
      </c>
      <c r="F584" s="12">
        <f>IF(TOTALCO!F1112="", "",TOTALCO!F1112)</f>
        <v>0</v>
      </c>
      <c r="G584" s="12" t="str">
        <f>IF(TOTALCO!G1112="", "",TOTALCO!G1112)</f>
        <v/>
      </c>
      <c r="H584" s="12">
        <f>IF(TOTALCO!H1112="", "",TOTALCO!H1112)</f>
        <v>43336</v>
      </c>
      <c r="I584" s="12">
        <f>IF(TOTALCO!I1112="", "",TOTALCO!I1112)</f>
        <v>0</v>
      </c>
      <c r="J584" s="12" t="str">
        <f>IF(TOTALCO!J1112="", "",TOTALCO!J1112)</f>
        <v/>
      </c>
      <c r="K584" s="12" t="str">
        <f>IF(TOTALCO!K1112="", "",TOTALCO!K1112)</f>
        <v/>
      </c>
      <c r="L584" s="12">
        <f>IF(TOTALCO!L1112="", "",TOTALCO!L1112)</f>
        <v>0</v>
      </c>
      <c r="M584" s="12" t="str">
        <f>IF(TOTALCO!M1112="", "",TOTALCO!M1112)</f>
        <v/>
      </c>
      <c r="N584" s="12">
        <f>IF(TOTALCO!N1112="", "",TOTALCO!N1112)</f>
        <v>0</v>
      </c>
      <c r="O584" s="12">
        <f>IF(TOTALCO!O1112="", "",TOTALCO!O1112)</f>
        <v>0</v>
      </c>
      <c r="P584" s="12">
        <f>IF(TOTALCO!P1112="", "",TOTALCO!P1112)</f>
        <v>0</v>
      </c>
      <c r="Q584" s="12"/>
      <c r="R584" s="13"/>
    </row>
    <row r="585" spans="1:18" ht="15" x14ac:dyDescent="0.2">
      <c r="A585" s="321">
        <f>IF(TOTALCO!A1113="", "",TOTALCO!A1113)</f>
        <v>35</v>
      </c>
      <c r="B585" s="4" t="str">
        <f>IF(TOTALCO!B1113="", "",TOTALCO!B1113)</f>
        <v xml:space="preserve">    FEDERAL JURISDICTION</v>
      </c>
      <c r="C585" s="4" t="str">
        <f>IF(TOTALCO!C1113="", "",TOTALCO!C1113)</f>
        <v>LABPTDFER</v>
      </c>
      <c r="D585" s="12">
        <f ca="1">IF(TOTALCO!D1113="", "",TOTALCO!D1113)</f>
        <v>0</v>
      </c>
      <c r="E585" s="12" t="str">
        <f>IF(TOTALCO!E1113="", "",TOTALCO!E1113)</f>
        <v/>
      </c>
      <c r="F585" s="12">
        <f ca="1">IF(TOTALCO!F1113="", "",TOTALCO!F1113)</f>
        <v>0</v>
      </c>
      <c r="G585" s="12" t="str">
        <f>IF(TOTALCO!G1113="", "",TOTALCO!G1113)</f>
        <v/>
      </c>
      <c r="H585" s="12">
        <f ca="1">IF(TOTALCO!H1113="", "",TOTALCO!H1113)</f>
        <v>0</v>
      </c>
      <c r="I585" s="12">
        <f ca="1">IF(TOTALCO!I1113="", "",TOTALCO!I1113)</f>
        <v>0</v>
      </c>
      <c r="J585" s="12" t="str">
        <f>IF(TOTALCO!J1113="", "",TOTALCO!J1113)</f>
        <v/>
      </c>
      <c r="K585" s="12" t="str">
        <f>IF(TOTALCO!K1113="", "",TOTALCO!K1113)</f>
        <v/>
      </c>
      <c r="L585" s="12">
        <f ca="1">IF(TOTALCO!L1113="", "",TOTALCO!L1113)</f>
        <v>0</v>
      </c>
      <c r="M585" s="12" t="str">
        <f>IF(TOTALCO!M1113="", "",TOTALCO!M1113)</f>
        <v/>
      </c>
      <c r="N585" s="12">
        <f ca="1">IF(TOTALCO!N1113="", "",TOTALCO!N1113)</f>
        <v>0</v>
      </c>
      <c r="O585" s="12">
        <f ca="1">IF(TOTALCO!O1113="", "",TOTALCO!O1113)</f>
        <v>0</v>
      </c>
      <c r="P585" s="12">
        <f ca="1">IF(TOTALCO!P1113="", "",TOTALCO!P1113)</f>
        <v>0</v>
      </c>
      <c r="Q585" s="12"/>
      <c r="R585" s="13"/>
    </row>
    <row r="586" spans="1:18" ht="15" x14ac:dyDescent="0.2">
      <c r="A586" s="321">
        <f>IF(TOTALCO!A1114="", "",TOTALCO!A1114)</f>
        <v>36</v>
      </c>
      <c r="B586" s="4" t="str">
        <f>IF(TOTALCO!B1114="", "",TOTALCO!B1114)</f>
        <v xml:space="preserve">    928 ALLOCATED</v>
      </c>
      <c r="C586" s="4" t="str">
        <f>IF(TOTALCO!C1114="", "",TOTALCO!C1114)</f>
        <v>ENERGY</v>
      </c>
      <c r="D586" s="12">
        <f ca="1">IF(TOTALCO!D1114="", "",TOTALCO!D1114)</f>
        <v>441708</v>
      </c>
      <c r="E586" s="12" t="str">
        <f>IF(TOTALCO!E1114="", "",TOTALCO!E1114)</f>
        <v/>
      </c>
      <c r="F586" s="12">
        <f ca="1">IF(TOTALCO!F1114="", "",TOTALCO!F1114)</f>
        <v>415651.2738559267</v>
      </c>
      <c r="G586" s="12" t="str">
        <f>IF(TOTALCO!G1114="", "",TOTALCO!G1114)</f>
        <v/>
      </c>
      <c r="H586" s="12">
        <f ca="1">IF(TOTALCO!H1114="", "",TOTALCO!H1114)</f>
        <v>16956.676210514408</v>
      </c>
      <c r="I586" s="12">
        <f ca="1">IF(TOTALCO!I1114="", "",TOTALCO!I1114)</f>
        <v>9100.0499335589047</v>
      </c>
      <c r="J586" s="12" t="str">
        <f>IF(TOTALCO!J1114="", "",TOTALCO!J1114)</f>
        <v/>
      </c>
      <c r="K586" s="12" t="str">
        <f>IF(TOTALCO!K1114="", "",TOTALCO!K1114)</f>
        <v/>
      </c>
      <c r="L586" s="12">
        <f ca="1">IF(TOTALCO!L1114="", "",TOTALCO!L1114)</f>
        <v>1.8602279562441497</v>
      </c>
      <c r="M586" s="12" t="str">
        <f>IF(TOTALCO!M1114="", "",TOTALCO!M1114)</f>
        <v/>
      </c>
      <c r="N586" s="12">
        <f ca="1">IF(TOTALCO!N1114="", "",TOTALCO!N1114)</f>
        <v>9098.189705602661</v>
      </c>
      <c r="O586" s="12">
        <f ca="1">IF(TOTALCO!O1114="", "",TOTALCO!O1114)</f>
        <v>4607.3929398675127</v>
      </c>
      <c r="P586" s="12">
        <f ca="1">IF(TOTALCO!P1114="", "",TOTALCO!P1114)</f>
        <v>4490.7967657351483</v>
      </c>
      <c r="Q586" s="12"/>
      <c r="R586" s="13"/>
    </row>
    <row r="587" spans="1:18" ht="15" x14ac:dyDescent="0.2">
      <c r="A587" s="321">
        <f>IF(TOTALCO!A1115="", "",TOTALCO!A1115)</f>
        <v>37</v>
      </c>
      <c r="B587" s="4" t="str">
        <f>IF(TOTALCO!B1115="", "",TOTALCO!B1115)</f>
        <v xml:space="preserve">      TOTAL ACCOUNT 928</v>
      </c>
      <c r="C587" s="4" t="str">
        <f>IF(TOTALCO!C1115="", "",TOTALCO!C1115)</f>
        <v/>
      </c>
      <c r="D587" s="12">
        <f ca="1">IF(TOTALCO!D1115="", "",TOTALCO!D1115)</f>
        <v>2057951</v>
      </c>
      <c r="E587" s="12" t="str">
        <f>IF(TOTALCO!E1115="", "",TOTALCO!E1115)</f>
        <v/>
      </c>
      <c r="F587" s="12">
        <f ca="1">IF(TOTALCO!F1115="", "",TOTALCO!F1115)</f>
        <v>1988558.2738559267</v>
      </c>
      <c r="G587" s="12" t="str">
        <f>IF(TOTALCO!G1115="", "",TOTALCO!G1115)</f>
        <v/>
      </c>
      <c r="H587" s="12">
        <f ca="1">IF(TOTALCO!H1115="", "",TOTALCO!H1115)</f>
        <v>60292.676210514408</v>
      </c>
      <c r="I587" s="12">
        <f ca="1">IF(TOTALCO!I1115="", "",TOTALCO!I1115)</f>
        <v>9100.0499335589047</v>
      </c>
      <c r="J587" s="12" t="str">
        <f>IF(TOTALCO!J1115="", "",TOTALCO!J1115)</f>
        <v/>
      </c>
      <c r="K587" s="12" t="str">
        <f>IF(TOTALCO!K1115="", "",TOTALCO!K1115)</f>
        <v/>
      </c>
      <c r="L587" s="12">
        <f ca="1">IF(TOTALCO!L1115="", "",TOTALCO!L1115)</f>
        <v>1.8602279562441497</v>
      </c>
      <c r="M587" s="12" t="str">
        <f>IF(TOTALCO!M1115="", "",TOTALCO!M1115)</f>
        <v/>
      </c>
      <c r="N587" s="12">
        <f ca="1">IF(TOTALCO!N1115="", "",TOTALCO!N1115)</f>
        <v>9098.189705602661</v>
      </c>
      <c r="O587" s="12">
        <f ca="1">IF(TOTALCO!O1115="", "",TOTALCO!O1115)</f>
        <v>4607.3929398675127</v>
      </c>
      <c r="P587" s="12">
        <f ca="1">IF(TOTALCO!P1115="", "",TOTALCO!P1115)</f>
        <v>4490.7967657351483</v>
      </c>
      <c r="Q587" s="12"/>
      <c r="R587" s="13"/>
    </row>
    <row r="588" spans="1:18" ht="15" x14ac:dyDescent="0.2">
      <c r="A588" s="321" t="str">
        <f>IF(TOTALCO!A1116="", "",TOTALCO!A1116)</f>
        <v/>
      </c>
      <c r="B588" s="4" t="str">
        <f>IF(TOTALCO!B1116="", "",TOTALCO!B1116)</f>
        <v/>
      </c>
      <c r="C588" s="4" t="str">
        <f>IF(TOTALCO!C1116="", "",TOTALCO!C1116)</f>
        <v/>
      </c>
      <c r="D588" s="12" t="str">
        <f>IF(TOTALCO!D1116="", "",TOTALCO!D1116)</f>
        <v/>
      </c>
      <c r="E588" s="12" t="str">
        <f>IF(TOTALCO!E1116="", "",TOTALCO!E1116)</f>
        <v/>
      </c>
      <c r="F588" s="12" t="str">
        <f>IF(TOTALCO!F1116="", "",TOTALCO!F1116)</f>
        <v/>
      </c>
      <c r="G588" s="12" t="str">
        <f>IF(TOTALCO!G1116="", "",TOTALCO!G1116)</f>
        <v/>
      </c>
      <c r="H588" s="12" t="str">
        <f>IF(TOTALCO!H1116="", "",TOTALCO!H1116)</f>
        <v/>
      </c>
      <c r="I588" s="12" t="str">
        <f>IF(TOTALCO!I1116="", "",TOTALCO!I1116)</f>
        <v/>
      </c>
      <c r="J588" s="12" t="str">
        <f>IF(TOTALCO!J1116="", "",TOTALCO!J1116)</f>
        <v/>
      </c>
      <c r="K588" s="12" t="str">
        <f>IF(TOTALCO!K1116="", "",TOTALCO!K1116)</f>
        <v/>
      </c>
      <c r="L588" s="12" t="str">
        <f>IF(TOTALCO!L1116="", "",TOTALCO!L1116)</f>
        <v/>
      </c>
      <c r="M588" s="12" t="str">
        <f>IF(TOTALCO!M1116="", "",TOTALCO!M1116)</f>
        <v/>
      </c>
      <c r="N588" s="12" t="str">
        <f>IF(TOTALCO!N1116="", "",TOTALCO!N1116)</f>
        <v/>
      </c>
      <c r="O588" s="12" t="str">
        <f>IF(TOTALCO!O1116="", "",TOTALCO!O1116)</f>
        <v/>
      </c>
      <c r="P588" s="12" t="str">
        <f>IF(TOTALCO!P1116="", "",TOTALCO!P1116)</f>
        <v/>
      </c>
      <c r="Q588" s="12"/>
      <c r="R588" s="13"/>
    </row>
    <row r="589" spans="1:18" ht="15" x14ac:dyDescent="0.2">
      <c r="A589" s="321">
        <f>IF(TOTALCO!A1117="", "",TOTALCO!A1117)</f>
        <v>38</v>
      </c>
      <c r="B589" s="4" t="str">
        <f>IF(TOTALCO!B1117="", "",TOTALCO!B1117)</f>
        <v xml:space="preserve">  927-FRANCHISE NJ VA</v>
      </c>
      <c r="C589" s="4" t="str">
        <f>IF(TOTALCO!C1117="", "",TOTALCO!C1117)</f>
        <v>REVNJVA</v>
      </c>
      <c r="D589" s="12">
        <f ca="1">IF(TOTALCO!D1117="", "",TOTALCO!D1117)</f>
        <v>0</v>
      </c>
      <c r="E589" s="12" t="str">
        <f>IF(TOTALCO!E1117="", "",TOTALCO!E1117)</f>
        <v/>
      </c>
      <c r="F589" s="12">
        <f ca="1">IF(TOTALCO!F1117="", "",TOTALCO!F1117)</f>
        <v>0</v>
      </c>
      <c r="G589" s="12" t="str">
        <f>IF(TOTALCO!G1117="", "",TOTALCO!G1117)</f>
        <v/>
      </c>
      <c r="H589" s="12">
        <f ca="1">IF(TOTALCO!H1117="", "",TOTALCO!H1117)</f>
        <v>0</v>
      </c>
      <c r="I589" s="12">
        <f ca="1">IF(TOTALCO!I1117="", "",TOTALCO!I1117)</f>
        <v>0</v>
      </c>
      <c r="J589" s="12" t="str">
        <f>IF(TOTALCO!J1117="", "",TOTALCO!J1117)</f>
        <v/>
      </c>
      <c r="K589" s="12" t="str">
        <f>IF(TOTALCO!K1117="", "",TOTALCO!K1117)</f>
        <v/>
      </c>
      <c r="L589" s="12">
        <f ca="1">IF(TOTALCO!L1117="", "",TOTALCO!L1117)</f>
        <v>0</v>
      </c>
      <c r="M589" s="12" t="str">
        <f>IF(TOTALCO!M1117="", "",TOTALCO!M1117)</f>
        <v/>
      </c>
      <c r="N589" s="12">
        <f ca="1">IF(TOTALCO!N1117="", "",TOTALCO!N1117)</f>
        <v>0</v>
      </c>
      <c r="O589" s="12">
        <f ca="1">IF(TOTALCO!O1117="", "",TOTALCO!O1117)</f>
        <v>0</v>
      </c>
      <c r="P589" s="12">
        <f ca="1">IF(TOTALCO!P1117="", "",TOTALCO!P1117)</f>
        <v>0</v>
      </c>
      <c r="Q589" s="12"/>
      <c r="R589" s="13"/>
    </row>
    <row r="590" spans="1:18" ht="15" x14ac:dyDescent="0.2">
      <c r="A590" s="321">
        <f>IF(TOTALCO!A1118="", "",TOTALCO!A1118)</f>
        <v>39</v>
      </c>
      <c r="B590" s="4" t="str">
        <f>IF(TOTALCO!B1118="", "",TOTALCO!B1118)</f>
        <v xml:space="preserve">  929-DUPLICATE CHARGES-CR</v>
      </c>
      <c r="C590" s="4" t="str">
        <f>IF(TOTALCO!C1118="", "",TOTALCO!C1118)</f>
        <v>REVNJVA</v>
      </c>
      <c r="D590" s="12">
        <f ca="1">IF(TOTALCO!D1118="", "",TOTALCO!D1118)</f>
        <v>0</v>
      </c>
      <c r="E590" s="12" t="str">
        <f>IF(TOTALCO!E1118="", "",TOTALCO!E1118)</f>
        <v/>
      </c>
      <c r="F590" s="12">
        <f ca="1">IF(TOTALCO!F1118="", "",TOTALCO!F1118)</f>
        <v>0</v>
      </c>
      <c r="G590" s="12" t="str">
        <f>IF(TOTALCO!G1118="", "",TOTALCO!G1118)</f>
        <v/>
      </c>
      <c r="H590" s="12">
        <f ca="1">IF(TOTALCO!H1118="", "",TOTALCO!H1118)</f>
        <v>0</v>
      </c>
      <c r="I590" s="12">
        <f ca="1">IF(TOTALCO!I1118="", "",TOTALCO!I1118)</f>
        <v>0</v>
      </c>
      <c r="J590" s="12" t="str">
        <f>IF(TOTALCO!J1118="", "",TOTALCO!J1118)</f>
        <v/>
      </c>
      <c r="K590" s="12" t="str">
        <f>IF(TOTALCO!K1118="", "",TOTALCO!K1118)</f>
        <v/>
      </c>
      <c r="L590" s="12">
        <f ca="1">IF(TOTALCO!L1118="", "",TOTALCO!L1118)</f>
        <v>0</v>
      </c>
      <c r="M590" s="12" t="str">
        <f>IF(TOTALCO!M1118="", "",TOTALCO!M1118)</f>
        <v/>
      </c>
      <c r="N590" s="12">
        <f ca="1">IF(TOTALCO!N1118="", "",TOTALCO!N1118)</f>
        <v>0</v>
      </c>
      <c r="O590" s="12">
        <f ca="1">IF(TOTALCO!O1118="", "",TOTALCO!O1118)</f>
        <v>0</v>
      </c>
      <c r="P590" s="12">
        <f ca="1">IF(TOTALCO!P1118="", "",TOTALCO!P1118)</f>
        <v>0</v>
      </c>
      <c r="Q590" s="12"/>
      <c r="R590" s="13"/>
    </row>
    <row r="591" spans="1:18" ht="15" x14ac:dyDescent="0.2">
      <c r="A591" s="321" t="str">
        <f>IF(TOTALCO!A1119="", "",TOTALCO!A1119)</f>
        <v/>
      </c>
      <c r="B591" s="4" t="str">
        <f>IF(TOTALCO!B1119="", "",TOTALCO!B1119)</f>
        <v/>
      </c>
      <c r="C591" s="4" t="str">
        <f>IF(TOTALCO!C1119="", "",TOTALCO!C1119)</f>
        <v/>
      </c>
      <c r="D591" s="12" t="str">
        <f>IF(TOTALCO!D1119="", "",TOTALCO!D1119)</f>
        <v/>
      </c>
      <c r="E591" s="12" t="str">
        <f>IF(TOTALCO!E1119="", "",TOTALCO!E1119)</f>
        <v/>
      </c>
      <c r="F591" s="12" t="str">
        <f>IF(TOTALCO!F1119="", "",TOTALCO!F1119)</f>
        <v/>
      </c>
      <c r="G591" s="12" t="str">
        <f>IF(TOTALCO!G1119="", "",TOTALCO!G1119)</f>
        <v/>
      </c>
      <c r="H591" s="12" t="str">
        <f>IF(TOTALCO!H1119="", "",TOTALCO!H1119)</f>
        <v/>
      </c>
      <c r="I591" s="12" t="str">
        <f>IF(TOTALCO!I1119="", "",TOTALCO!I1119)</f>
        <v/>
      </c>
      <c r="J591" s="12" t="str">
        <f>IF(TOTALCO!J1119="", "",TOTALCO!J1119)</f>
        <v/>
      </c>
      <c r="K591" s="12" t="str">
        <f>IF(TOTALCO!K1119="", "",TOTALCO!K1119)</f>
        <v/>
      </c>
      <c r="L591" s="12" t="str">
        <f>IF(TOTALCO!L1119="", "",TOTALCO!L1119)</f>
        <v/>
      </c>
      <c r="M591" s="12" t="str">
        <f>IF(TOTALCO!M1119="", "",TOTALCO!M1119)</f>
        <v/>
      </c>
      <c r="N591" s="12" t="str">
        <f>IF(TOTALCO!N1119="", "",TOTALCO!N1119)</f>
        <v/>
      </c>
      <c r="O591" s="12" t="str">
        <f>IF(TOTALCO!O1119="", "",TOTALCO!O1119)</f>
        <v/>
      </c>
      <c r="P591" s="12" t="str">
        <f>IF(TOTALCO!P1119="", "",TOTALCO!P1119)</f>
        <v/>
      </c>
      <c r="Q591" s="12"/>
      <c r="R591" s="13"/>
    </row>
    <row r="592" spans="1:18" ht="15" x14ac:dyDescent="0.2">
      <c r="A592" s="321">
        <f>IF(TOTALCO!A1120="", "",TOTALCO!A1120)</f>
        <v>40</v>
      </c>
      <c r="B592" s="4" t="str">
        <f>IF(TOTALCO!B1120="", "",TOTALCO!B1120)</f>
        <v>TOTAL ADMINISTRATIVE &amp; GEN</v>
      </c>
      <c r="C592" s="4" t="str">
        <f>IF(TOTALCO!C1120="", "",TOTALCO!C1120)</f>
        <v/>
      </c>
      <c r="D592" s="12">
        <f ca="1">IF(TOTALCO!D1120="", "",TOTALCO!D1120)</f>
        <v>115982377.99999997</v>
      </c>
      <c r="E592" s="12" t="str">
        <f>IF(TOTALCO!E1120="", "",TOTALCO!E1120)</f>
        <v/>
      </c>
      <c r="F592" s="12">
        <f ca="1">IF(TOTALCO!F1120="", "",TOTALCO!F1120)</f>
        <v>109038721.97839193</v>
      </c>
      <c r="G592" s="12" t="str">
        <f>IF(TOTALCO!G1120="", "",TOTALCO!G1120)</f>
        <v/>
      </c>
      <c r="H592" s="12">
        <f ca="1">IF(TOTALCO!H1120="", "",TOTALCO!H1120)</f>
        <v>5526225.6610029377</v>
      </c>
      <c r="I592" s="12">
        <f ca="1">IF(TOTALCO!I1120="", "",TOTALCO!I1120)</f>
        <v>1417430.3606050992</v>
      </c>
      <c r="J592" s="12" t="str">
        <f>IF(TOTALCO!J1120="", "",TOTALCO!J1120)</f>
        <v/>
      </c>
      <c r="K592" s="12" t="str">
        <f>IF(TOTALCO!K1120="", "",TOTALCO!K1120)</f>
        <v/>
      </c>
      <c r="L592" s="12">
        <f ca="1">IF(TOTALCO!L1120="", "",TOTALCO!L1120)</f>
        <v>7718.3760793046158</v>
      </c>
      <c r="M592" s="12" t="str">
        <f>IF(TOTALCO!M1120="", "",TOTALCO!M1120)</f>
        <v/>
      </c>
      <c r="N592" s="12">
        <f ca="1">IF(TOTALCO!N1120="", "",TOTALCO!N1120)</f>
        <v>1409711.9845257946</v>
      </c>
      <c r="O592" s="12">
        <f ca="1">IF(TOTALCO!O1120="", "",TOTALCO!O1120)</f>
        <v>734582.36658578459</v>
      </c>
      <c r="P592" s="12">
        <f ca="1">IF(TOTALCO!P1120="", "",TOTALCO!P1120)</f>
        <v>675129.61794001015</v>
      </c>
      <c r="Q592" s="12"/>
      <c r="R592" s="13"/>
    </row>
    <row r="593" spans="1:18" ht="15" x14ac:dyDescent="0.2">
      <c r="A593" s="321" t="str">
        <f>IF(TOTALCO!A1121="", "",TOTALCO!A1121)</f>
        <v/>
      </c>
      <c r="B593" s="4" t="str">
        <f>IF(TOTALCO!B1121="", "",TOTALCO!B1121)</f>
        <v/>
      </c>
      <c r="C593" s="4" t="str">
        <f>IF(TOTALCO!C1121="", "",TOTALCO!C1121)</f>
        <v/>
      </c>
      <c r="D593" s="12" t="str">
        <f>IF(TOTALCO!D1121="", "",TOTALCO!D1121)</f>
        <v/>
      </c>
      <c r="E593" s="12" t="str">
        <f>IF(TOTALCO!E1121="", "",TOTALCO!E1121)</f>
        <v/>
      </c>
      <c r="F593" s="12" t="str">
        <f>IF(TOTALCO!F1121="", "",TOTALCO!F1121)</f>
        <v/>
      </c>
      <c r="G593" s="12" t="str">
        <f>IF(TOTALCO!G1121="", "",TOTALCO!G1121)</f>
        <v/>
      </c>
      <c r="H593" s="12" t="str">
        <f>IF(TOTALCO!H1121="", "",TOTALCO!H1121)</f>
        <v/>
      </c>
      <c r="I593" s="12" t="str">
        <f>IF(TOTALCO!I1121="", "",TOTALCO!I1121)</f>
        <v/>
      </c>
      <c r="J593" s="12" t="str">
        <f>IF(TOTALCO!J1121="", "",TOTALCO!J1121)</f>
        <v/>
      </c>
      <c r="K593" s="12" t="str">
        <f>IF(TOTALCO!K1121="", "",TOTALCO!K1121)</f>
        <v/>
      </c>
      <c r="L593" s="12" t="str">
        <f>IF(TOTALCO!L1121="", "",TOTALCO!L1121)</f>
        <v/>
      </c>
      <c r="M593" s="12" t="str">
        <f>IF(TOTALCO!M1121="", "",TOTALCO!M1121)</f>
        <v/>
      </c>
      <c r="N593" s="12" t="str">
        <f>IF(TOTALCO!N1121="", "",TOTALCO!N1121)</f>
        <v/>
      </c>
      <c r="O593" s="12" t="str">
        <f>IF(TOTALCO!O1121="", "",TOTALCO!O1121)</f>
        <v/>
      </c>
      <c r="P593" s="12" t="str">
        <f>IF(TOTALCO!P1121="", "",TOTALCO!P1121)</f>
        <v/>
      </c>
      <c r="Q593" s="12"/>
      <c r="R593" s="13"/>
    </row>
    <row r="594" spans="1:18" ht="15" x14ac:dyDescent="0.2">
      <c r="A594" s="321">
        <f>IF(TOTALCO!A1122="", "",TOTALCO!A1122)</f>
        <v>41</v>
      </c>
      <c r="B594" s="4" t="str">
        <f>IF(TOTALCO!B1122="", "",TOTALCO!B1122)</f>
        <v>TOTAL OPERATION &amp; MAINTENANCE</v>
      </c>
      <c r="C594" s="4" t="str">
        <f>IF(TOTALCO!C1122="", "",TOTALCO!C1122)</f>
        <v/>
      </c>
      <c r="D594" s="12">
        <f ca="1">IF(TOTALCO!D1122="", "",TOTALCO!D1122)</f>
        <v>938986321.69972646</v>
      </c>
      <c r="E594" s="12" t="str">
        <f>IF(TOTALCO!E1122="", "",TOTALCO!E1122)</f>
        <v/>
      </c>
      <c r="F594" s="12">
        <f ca="1">IF(TOTALCO!F1122="", "",TOTALCO!F1122)</f>
        <v>880920467.52057183</v>
      </c>
      <c r="G594" s="12" t="str">
        <f>IF(TOTALCO!G1122="", "",TOTALCO!G1122)</f>
        <v/>
      </c>
      <c r="H594" s="12">
        <f ca="1">IF(TOTALCO!H1122="", "",TOTALCO!H1122)</f>
        <v>42570834.742930502</v>
      </c>
      <c r="I594" s="12">
        <f ca="1">IF(TOTALCO!I1122="", "",TOTALCO!I1122)</f>
        <v>15495019.436224075</v>
      </c>
      <c r="J594" s="12" t="str">
        <f>IF(TOTALCO!J1122="", "",TOTALCO!J1122)</f>
        <v/>
      </c>
      <c r="K594" s="12" t="str">
        <f>IF(TOTALCO!K1122="", "",TOTALCO!K1122)</f>
        <v/>
      </c>
      <c r="L594" s="12">
        <f ca="1">IF(TOTALCO!L1122="", "",TOTALCO!L1122)</f>
        <v>25291.61392747115</v>
      </c>
      <c r="M594" s="12" t="str">
        <f>IF(TOTALCO!M1122="", "",TOTALCO!M1122)</f>
        <v/>
      </c>
      <c r="N594" s="12">
        <f ca="1">IF(TOTALCO!N1122="", "",TOTALCO!N1122)</f>
        <v>15469727.822296605</v>
      </c>
      <c r="O594" s="12">
        <f ca="1">IF(TOTALCO!O1122="", "",TOTALCO!O1122)</f>
        <v>7887472.1403945638</v>
      </c>
      <c r="P594" s="12">
        <f ca="1">IF(TOTALCO!P1122="", "",TOTALCO!P1122)</f>
        <v>7582255.6819020417</v>
      </c>
      <c r="Q594" s="12"/>
      <c r="R594" s="13"/>
    </row>
    <row r="595" spans="1:18" ht="15" x14ac:dyDescent="0.2">
      <c r="A595" s="321"/>
      <c r="B595" s="4"/>
      <c r="C595" s="4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3"/>
    </row>
    <row r="596" spans="1:18" ht="15" x14ac:dyDescent="0.2">
      <c r="A596" s="321"/>
      <c r="B596" s="4"/>
      <c r="C596" s="4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3"/>
    </row>
    <row r="597" spans="1:18" ht="15" x14ac:dyDescent="0.2">
      <c r="A597" s="321" t="str">
        <f>IF(TOTALCO!A1126="", "",TOTALCO!A1126)</f>
        <v/>
      </c>
      <c r="B597" s="4" t="str">
        <f>IF(TOTALCO!B1126="", "",TOTALCO!B1126)</f>
        <v>DEPRECIATION &amp; AMORT EXPENSE</v>
      </c>
      <c r="C597" s="4" t="str">
        <f>IF(TOTALCO!C1126="", "",TOTALCO!C1126)</f>
        <v/>
      </c>
      <c r="D597" s="12" t="str">
        <f>IF(TOTALCO!D1126="", "",TOTALCO!D1126)</f>
        <v/>
      </c>
      <c r="E597" s="12" t="str">
        <f>IF(TOTALCO!E1126="", "",TOTALCO!E1126)</f>
        <v/>
      </c>
      <c r="F597" s="12" t="str">
        <f>IF(TOTALCO!F1126="", "",TOTALCO!F1126)</f>
        <v/>
      </c>
      <c r="G597" s="12" t="str">
        <f>IF(TOTALCO!G1126="", "",TOTALCO!G1126)</f>
        <v/>
      </c>
      <c r="H597" s="12" t="str">
        <f>IF(TOTALCO!H1126="", "",TOTALCO!H1126)</f>
        <v/>
      </c>
      <c r="I597" s="12" t="str">
        <f>IF(TOTALCO!I1126="", "",TOTALCO!I1126)</f>
        <v/>
      </c>
      <c r="J597" s="12" t="str">
        <f>IF(TOTALCO!J1126="", "",TOTALCO!J1126)</f>
        <v/>
      </c>
      <c r="K597" s="12" t="str">
        <f>IF(TOTALCO!K1126="", "",TOTALCO!K1126)</f>
        <v/>
      </c>
      <c r="L597" s="12" t="str">
        <f>IF(TOTALCO!L1126="", "",TOTALCO!L1126)</f>
        <v/>
      </c>
      <c r="M597" s="12" t="str">
        <f>IF(TOTALCO!M1126="", "",TOTALCO!M1126)</f>
        <v/>
      </c>
      <c r="N597" s="12" t="str">
        <f>IF(TOTALCO!N1126="", "",TOTALCO!N1126)</f>
        <v/>
      </c>
      <c r="O597" s="12" t="str">
        <f>IF(TOTALCO!O1126="", "",TOTALCO!O1126)</f>
        <v/>
      </c>
      <c r="P597" s="12" t="str">
        <f>IF(TOTALCO!P1126="", "",TOTALCO!P1126)</f>
        <v/>
      </c>
      <c r="Q597" s="12"/>
      <c r="R597" s="13"/>
    </row>
    <row r="598" spans="1:18" ht="15" x14ac:dyDescent="0.2">
      <c r="A598" s="321" t="str">
        <f>IF(TOTALCO!A1127="", "",TOTALCO!A1127)</f>
        <v/>
      </c>
      <c r="B598" s="4" t="str">
        <f>IF(TOTALCO!B1127="", "",TOTALCO!B1127)</f>
        <v/>
      </c>
      <c r="C598" s="4" t="str">
        <f>IF(TOTALCO!C1127="", "",TOTALCO!C1127)</f>
        <v/>
      </c>
      <c r="D598" s="12" t="str">
        <f>IF(TOTALCO!D1127="", "",TOTALCO!D1127)</f>
        <v/>
      </c>
      <c r="E598" s="12" t="str">
        <f>IF(TOTALCO!E1127="", "",TOTALCO!E1127)</f>
        <v/>
      </c>
      <c r="F598" s="12" t="str">
        <f>IF(TOTALCO!F1127="", "",TOTALCO!F1127)</f>
        <v/>
      </c>
      <c r="G598" s="12" t="str">
        <f>IF(TOTALCO!G1127="", "",TOTALCO!G1127)</f>
        <v/>
      </c>
      <c r="H598" s="12" t="str">
        <f>IF(TOTALCO!H1127="", "",TOTALCO!H1127)</f>
        <v/>
      </c>
      <c r="I598" s="12" t="str">
        <f>IF(TOTALCO!I1127="", "",TOTALCO!I1127)</f>
        <v/>
      </c>
      <c r="J598" s="12" t="str">
        <f>IF(TOTALCO!J1127="", "",TOTALCO!J1127)</f>
        <v/>
      </c>
      <c r="K598" s="12" t="str">
        <f>IF(TOTALCO!K1127="", "",TOTALCO!K1127)</f>
        <v/>
      </c>
      <c r="L598" s="12" t="str">
        <f>IF(TOTALCO!L1127="", "",TOTALCO!L1127)</f>
        <v/>
      </c>
      <c r="M598" s="12" t="str">
        <f>IF(TOTALCO!M1127="", "",TOTALCO!M1127)</f>
        <v/>
      </c>
      <c r="N598" s="12" t="str">
        <f>IF(TOTALCO!N1127="", "",TOTALCO!N1127)</f>
        <v/>
      </c>
      <c r="O598" s="12" t="str">
        <f>IF(TOTALCO!O1127="", "",TOTALCO!O1127)</f>
        <v/>
      </c>
      <c r="P598" s="12" t="str">
        <f>IF(TOTALCO!P1127="", "",TOTALCO!P1127)</f>
        <v/>
      </c>
      <c r="Q598" s="12"/>
      <c r="R598" s="13"/>
    </row>
    <row r="599" spans="1:18" ht="15" x14ac:dyDescent="0.2">
      <c r="A599" s="321" t="str">
        <f>IF(TOTALCO!A1128="", "",TOTALCO!A1128)</f>
        <v/>
      </c>
      <c r="B599" s="4" t="str">
        <f>IF(TOTALCO!B1128="", "",TOTALCO!B1128)</f>
        <v>DEPRECIATION EXPENSE</v>
      </c>
      <c r="C599" s="4" t="str">
        <f>IF(TOTALCO!C1128="", "",TOTALCO!C1128)</f>
        <v/>
      </c>
      <c r="D599" s="12" t="str">
        <f>IF(TOTALCO!D1128="", "",TOTALCO!D1128)</f>
        <v/>
      </c>
      <c r="E599" s="12" t="str">
        <f>IF(TOTALCO!E1128="", "",TOTALCO!E1128)</f>
        <v/>
      </c>
      <c r="F599" s="12" t="str">
        <f>IF(TOTALCO!F1128="", "",TOTALCO!F1128)</f>
        <v/>
      </c>
      <c r="G599" s="12" t="str">
        <f>IF(TOTALCO!G1128="", "",TOTALCO!G1128)</f>
        <v/>
      </c>
      <c r="H599" s="12" t="str">
        <f>IF(TOTALCO!H1128="", "",TOTALCO!H1128)</f>
        <v/>
      </c>
      <c r="I599" s="12" t="str">
        <f>IF(TOTALCO!I1128="", "",TOTALCO!I1128)</f>
        <v/>
      </c>
      <c r="J599" s="12" t="str">
        <f>IF(TOTALCO!J1128="", "",TOTALCO!J1128)</f>
        <v/>
      </c>
      <c r="K599" s="12" t="str">
        <f>IF(TOTALCO!K1128="", "",TOTALCO!K1128)</f>
        <v/>
      </c>
      <c r="L599" s="12" t="str">
        <f>IF(TOTALCO!L1128="", "",TOTALCO!L1128)</f>
        <v/>
      </c>
      <c r="M599" s="12" t="str">
        <f>IF(TOTALCO!M1128="", "",TOTALCO!M1128)</f>
        <v/>
      </c>
      <c r="N599" s="12" t="str">
        <f>IF(TOTALCO!N1128="", "",TOTALCO!N1128)</f>
        <v/>
      </c>
      <c r="O599" s="12" t="str">
        <f>IF(TOTALCO!O1128="", "",TOTALCO!O1128)</f>
        <v/>
      </c>
      <c r="P599" s="12" t="str">
        <f>IF(TOTALCO!P1128="", "",TOTALCO!P1128)</f>
        <v/>
      </c>
      <c r="Q599" s="12"/>
      <c r="R599" s="13"/>
    </row>
    <row r="600" spans="1:18" ht="15" x14ac:dyDescent="0.2">
      <c r="A600" s="321" t="str">
        <f>IF(TOTALCO!A1129="", "",TOTALCO!A1129)</f>
        <v/>
      </c>
      <c r="B600" s="4" t="str">
        <f>IF(TOTALCO!B1129="", "",TOTALCO!B1129)</f>
        <v/>
      </c>
      <c r="C600" s="4" t="str">
        <f>IF(TOTALCO!C1129="", "",TOTALCO!C1129)</f>
        <v/>
      </c>
      <c r="D600" s="12" t="str">
        <f>IF(TOTALCO!D1129="", "",TOTALCO!D1129)</f>
        <v/>
      </c>
      <c r="E600" s="12" t="str">
        <f>IF(TOTALCO!E1129="", "",TOTALCO!E1129)</f>
        <v/>
      </c>
      <c r="F600" s="12" t="str">
        <f>IF(TOTALCO!F1129="", "",TOTALCO!F1129)</f>
        <v/>
      </c>
      <c r="G600" s="12" t="str">
        <f>IF(TOTALCO!G1129="", "",TOTALCO!G1129)</f>
        <v/>
      </c>
      <c r="H600" s="12" t="str">
        <f>IF(TOTALCO!H1129="", "",TOTALCO!H1129)</f>
        <v/>
      </c>
      <c r="I600" s="12" t="str">
        <f>IF(TOTALCO!I1129="", "",TOTALCO!I1129)</f>
        <v/>
      </c>
      <c r="J600" s="12" t="str">
        <f>IF(TOTALCO!J1129="", "",TOTALCO!J1129)</f>
        <v/>
      </c>
      <c r="K600" s="12" t="str">
        <f>IF(TOTALCO!K1129="", "",TOTALCO!K1129)</f>
        <v/>
      </c>
      <c r="L600" s="12" t="str">
        <f>IF(TOTALCO!L1129="", "",TOTALCO!L1129)</f>
        <v/>
      </c>
      <c r="M600" s="12" t="str">
        <f>IF(TOTALCO!M1129="", "",TOTALCO!M1129)</f>
        <v/>
      </c>
      <c r="N600" s="12" t="str">
        <f>IF(TOTALCO!N1129="", "",TOTALCO!N1129)</f>
        <v/>
      </c>
      <c r="O600" s="12" t="str">
        <f>IF(TOTALCO!O1129="", "",TOTALCO!O1129)</f>
        <v/>
      </c>
      <c r="P600" s="12" t="str">
        <f>IF(TOTALCO!P1129="", "",TOTALCO!P1129)</f>
        <v/>
      </c>
      <c r="Q600" s="12"/>
      <c r="R600" s="13"/>
    </row>
    <row r="601" spans="1:18" ht="15" x14ac:dyDescent="0.2">
      <c r="A601" s="321" t="str">
        <f>IF(TOTALCO!A1130="", "",TOTALCO!A1130)</f>
        <v/>
      </c>
      <c r="B601" s="4" t="str">
        <f>IF(TOTALCO!B1130="", "",TOTALCO!B1130)</f>
        <v xml:space="preserve"> PRODUCTION PLANT</v>
      </c>
      <c r="C601" s="4" t="str">
        <f>IF(TOTALCO!C1130="", "",TOTALCO!C1130)</f>
        <v/>
      </c>
      <c r="D601" s="12" t="str">
        <f>IF(TOTALCO!D1130="", "",TOTALCO!D1130)</f>
        <v/>
      </c>
      <c r="E601" s="12" t="str">
        <f>IF(TOTALCO!E1130="", "",TOTALCO!E1130)</f>
        <v/>
      </c>
      <c r="F601" s="12" t="str">
        <f>IF(TOTALCO!F1130="", "",TOTALCO!F1130)</f>
        <v/>
      </c>
      <c r="G601" s="12" t="str">
        <f>IF(TOTALCO!G1130="", "",TOTALCO!G1130)</f>
        <v/>
      </c>
      <c r="H601" s="12" t="str">
        <f>IF(TOTALCO!H1130="", "",TOTALCO!H1130)</f>
        <v/>
      </c>
      <c r="I601" s="12" t="str">
        <f>IF(TOTALCO!I1130="", "",TOTALCO!I1130)</f>
        <v/>
      </c>
      <c r="J601" s="12" t="str">
        <f>IF(TOTALCO!J1130="", "",TOTALCO!J1130)</f>
        <v/>
      </c>
      <c r="K601" s="12" t="str">
        <f>IF(TOTALCO!K1130="", "",TOTALCO!K1130)</f>
        <v/>
      </c>
      <c r="L601" s="12" t="str">
        <f>IF(TOTALCO!L1130="", "",TOTALCO!L1130)</f>
        <v/>
      </c>
      <c r="M601" s="12" t="str">
        <f>IF(TOTALCO!M1130="", "",TOTALCO!M1130)</f>
        <v/>
      </c>
      <c r="N601" s="12" t="str">
        <f>IF(TOTALCO!N1130="", "",TOTALCO!N1130)</f>
        <v/>
      </c>
      <c r="O601" s="12" t="str">
        <f>IF(TOTALCO!O1130="", "",TOTALCO!O1130)</f>
        <v/>
      </c>
      <c r="P601" s="12" t="str">
        <f>IF(TOTALCO!P1130="", "",TOTALCO!P1130)</f>
        <v/>
      </c>
      <c r="Q601" s="12"/>
      <c r="R601" s="13"/>
    </row>
    <row r="602" spans="1:18" ht="15" x14ac:dyDescent="0.2">
      <c r="A602" s="321" t="str">
        <f>IF(TOTALCO!A1131="", "",TOTALCO!A1131)</f>
        <v/>
      </c>
      <c r="B602" s="4" t="str">
        <f>IF(TOTALCO!B1131="", "",TOTALCO!B1131)</f>
        <v xml:space="preserve">  STEAM PRODUCTION PLANT</v>
      </c>
      <c r="C602" s="4" t="str">
        <f>IF(TOTALCO!C1131="", "",TOTALCO!C1131)</f>
        <v/>
      </c>
      <c r="D602" s="12" t="str">
        <f>IF(TOTALCO!D1131="", "",TOTALCO!D1131)</f>
        <v/>
      </c>
      <c r="E602" s="12" t="str">
        <f>IF(TOTALCO!E1131="", "",TOTALCO!E1131)</f>
        <v/>
      </c>
      <c r="F602" s="12" t="str">
        <f>IF(TOTALCO!F1131="", "",TOTALCO!F1131)</f>
        <v/>
      </c>
      <c r="G602" s="12" t="str">
        <f>IF(TOTALCO!G1131="", "",TOTALCO!G1131)</f>
        <v/>
      </c>
      <c r="H602" s="12" t="str">
        <f>IF(TOTALCO!H1131="", "",TOTALCO!H1131)</f>
        <v/>
      </c>
      <c r="I602" s="12" t="str">
        <f>IF(TOTALCO!I1131="", "",TOTALCO!I1131)</f>
        <v/>
      </c>
      <c r="J602" s="12" t="str">
        <f>IF(TOTALCO!J1131="", "",TOTALCO!J1131)</f>
        <v/>
      </c>
      <c r="K602" s="12" t="str">
        <f>IF(TOTALCO!K1131="", "",TOTALCO!K1131)</f>
        <v/>
      </c>
      <c r="L602" s="12" t="str">
        <f>IF(TOTALCO!L1131="", "",TOTALCO!L1131)</f>
        <v/>
      </c>
      <c r="M602" s="12" t="str">
        <f>IF(TOTALCO!M1131="", "",TOTALCO!M1131)</f>
        <v/>
      </c>
      <c r="N602" s="12" t="str">
        <f>IF(TOTALCO!N1131="", "",TOTALCO!N1131)</f>
        <v/>
      </c>
      <c r="O602" s="12" t="str">
        <f>IF(TOTALCO!O1131="", "",TOTALCO!O1131)</f>
        <v/>
      </c>
      <c r="P602" s="12" t="str">
        <f>IF(TOTALCO!P1131="", "",TOTALCO!P1131)</f>
        <v/>
      </c>
      <c r="Q602" s="12"/>
      <c r="R602" s="13"/>
    </row>
    <row r="603" spans="1:18" ht="15" x14ac:dyDescent="0.2">
      <c r="A603" s="321">
        <f>IF(TOTALCO!A1132="", "",TOTALCO!A1132)</f>
        <v>1</v>
      </c>
      <c r="B603" s="4" t="str">
        <f>IF(TOTALCO!B1132="", "",TOTALCO!B1132)</f>
        <v xml:space="preserve">    SYSTEM</v>
      </c>
      <c r="C603" s="4" t="str">
        <f>IF(TOTALCO!C1132="", "",TOTALCO!C1132)</f>
        <v>STMSYS</v>
      </c>
      <c r="D603" s="12">
        <f ca="1">IF(TOTALCO!D1132="", "",TOTALCO!D1132)</f>
        <v>205814155.29878169</v>
      </c>
      <c r="E603" s="12" t="str">
        <f>IF(TOTALCO!E1132="", "",TOTALCO!E1132)</f>
        <v/>
      </c>
      <c r="F603" s="12">
        <f ca="1">IF(TOTALCO!F1132="", "",TOTALCO!F1132)</f>
        <v>192933488.54162043</v>
      </c>
      <c r="G603" s="12" t="str">
        <f>IF(TOTALCO!G1132="", "",TOTALCO!G1132)</f>
        <v/>
      </c>
      <c r="H603" s="12">
        <f ca="1">IF(TOTALCO!H1132="", "",TOTALCO!H1132)</f>
        <v>8834661.8759615067</v>
      </c>
      <c r="I603" s="12">
        <f ca="1">IF(TOTALCO!I1132="", "",TOTALCO!I1132)</f>
        <v>4046004.881199745</v>
      </c>
      <c r="J603" s="12" t="str">
        <f>IF(TOTALCO!J1132="", "",TOTALCO!J1132)</f>
        <v/>
      </c>
      <c r="K603" s="12" t="str">
        <f>IF(TOTALCO!K1132="", "",TOTALCO!K1132)</f>
        <v/>
      </c>
      <c r="L603" s="12">
        <f ca="1">IF(TOTALCO!L1132="", "",TOTALCO!L1132)</f>
        <v>619.28962104904781</v>
      </c>
      <c r="M603" s="12" t="str">
        <f>IF(TOTALCO!M1132="", "",TOTALCO!M1132)</f>
        <v/>
      </c>
      <c r="N603" s="12">
        <f ca="1">IF(TOTALCO!N1132="", "",TOTALCO!N1132)</f>
        <v>4045385.5915786959</v>
      </c>
      <c r="O603" s="12">
        <f ca="1">IF(TOTALCO!O1132="", "",TOTALCO!O1132)</f>
        <v>2051706.514535496</v>
      </c>
      <c r="P603" s="12">
        <f ca="1">IF(TOTALCO!P1132="", "",TOTALCO!P1132)</f>
        <v>1993679.0770431997</v>
      </c>
      <c r="Q603" s="12"/>
      <c r="R603" s="13"/>
    </row>
    <row r="604" spans="1:18" ht="15" x14ac:dyDescent="0.2">
      <c r="A604" s="321">
        <f>IF(TOTALCO!A1133="", "",TOTALCO!A1133)</f>
        <v>2</v>
      </c>
      <c r="B604" s="4" t="str">
        <f>IF(TOTALCO!B1133="", "",TOTALCO!B1133)</f>
        <v xml:space="preserve">    FERC-AFUDC PRE</v>
      </c>
      <c r="C604" s="4" t="str">
        <f>IF(TOTALCO!C1133="", "",TOTALCO!C1133)</f>
        <v>DEMFERC</v>
      </c>
      <c r="D604" s="12">
        <f ca="1">IF(TOTALCO!D1133="", "",TOTALCO!D1133)</f>
        <v>386720.99999999988</v>
      </c>
      <c r="E604" s="12" t="str">
        <f>IF(TOTALCO!E1133="", "",TOTALCO!E1133)</f>
        <v/>
      </c>
      <c r="F604" s="12">
        <f ca="1">IF(TOTALCO!F1133="", "",TOTALCO!F1133)</f>
        <v>203089.44680136981</v>
      </c>
      <c r="G604" s="12" t="str">
        <f>IF(TOTALCO!G1133="", "",TOTALCO!G1133)</f>
        <v/>
      </c>
      <c r="H604" s="12">
        <f ca="1">IF(TOTALCO!H1133="", "",TOTALCO!H1133)</f>
        <v>125956.26579452054</v>
      </c>
      <c r="I604" s="12">
        <f ca="1">IF(TOTALCO!I1133="", "",TOTALCO!I1133)</f>
        <v>57675.287404109578</v>
      </c>
      <c r="J604" s="12" t="str">
        <f>IF(TOTALCO!J1133="", "",TOTALCO!J1133)</f>
        <v/>
      </c>
      <c r="K604" s="12" t="str">
        <f>IF(TOTALCO!K1133="", "",TOTALCO!K1133)</f>
        <v/>
      </c>
      <c r="L604" s="12">
        <f ca="1">IF(TOTALCO!L1133="", "",TOTALCO!L1133)</f>
        <v>0</v>
      </c>
      <c r="M604" s="12" t="str">
        <f>IF(TOTALCO!M1133="", "",TOTALCO!M1133)</f>
        <v/>
      </c>
      <c r="N604" s="12">
        <f ca="1">IF(TOTALCO!N1133="", "",TOTALCO!N1133)</f>
        <v>57675.287404109578</v>
      </c>
      <c r="O604" s="12">
        <f ca="1">IF(TOTALCO!O1133="", "",TOTALCO!O1133)</f>
        <v>29251.293904109585</v>
      </c>
      <c r="P604" s="12">
        <f ca="1">IF(TOTALCO!P1133="", "",TOTALCO!P1133)</f>
        <v>28423.993499999993</v>
      </c>
      <c r="Q604" s="12"/>
      <c r="R604" s="13"/>
    </row>
    <row r="605" spans="1:18" ht="15" x14ac:dyDescent="0.2">
      <c r="A605" s="321">
        <f>IF(TOTALCO!A1134="", "",TOTALCO!A1134)</f>
        <v>3</v>
      </c>
      <c r="B605" s="4" t="str">
        <f>IF(TOTALCO!B1134="", "",TOTALCO!B1134)</f>
        <v xml:space="preserve">    FERC-AFUDC POST</v>
      </c>
      <c r="C605" s="4" t="str">
        <f>IF(TOTALCO!C1134="", "",TOTALCO!C1134)</f>
        <v>DEMFERCP</v>
      </c>
      <c r="D605" s="12">
        <f ca="1">IF(TOTALCO!D1134="", "",TOTALCO!D1134)</f>
        <v>690251.00000000047</v>
      </c>
      <c r="E605" s="12" t="str">
        <f>IF(TOTALCO!E1134="", "",TOTALCO!E1134)</f>
        <v/>
      </c>
      <c r="F605" s="12">
        <f ca="1">IF(TOTALCO!F1134="", "",TOTALCO!F1134)</f>
        <v>537583.0216122329</v>
      </c>
      <c r="G605" s="12" t="str">
        <f>IF(TOTALCO!G1134="", "",TOTALCO!G1134)</f>
        <v/>
      </c>
      <c r="H605" s="12">
        <f ca="1">IF(TOTALCO!H1134="", "",TOTALCO!H1134)</f>
        <v>0</v>
      </c>
      <c r="I605" s="12">
        <f ca="1">IF(TOTALCO!I1134="", "",TOTALCO!I1134)</f>
        <v>152667.97838776751</v>
      </c>
      <c r="J605" s="12" t="str">
        <f>IF(TOTALCO!J1134="", "",TOTALCO!J1134)</f>
        <v/>
      </c>
      <c r="K605" s="12" t="str">
        <f>IF(TOTALCO!K1134="", "",TOTALCO!K1134)</f>
        <v/>
      </c>
      <c r="L605" s="12">
        <f ca="1">IF(TOTALCO!L1134="", "",TOTALCO!L1134)</f>
        <v>0</v>
      </c>
      <c r="M605" s="12" t="str">
        <f>IF(TOTALCO!M1134="", "",TOTALCO!M1134)</f>
        <v/>
      </c>
      <c r="N605" s="12">
        <f ca="1">IF(TOTALCO!N1134="", "",TOTALCO!N1134)</f>
        <v>152667.97838776751</v>
      </c>
      <c r="O605" s="12">
        <f ca="1">IF(TOTALCO!O1134="", "",TOTALCO!O1134)</f>
        <v>77428.93198393732</v>
      </c>
      <c r="P605" s="12">
        <f ca="1">IF(TOTALCO!P1134="", "",TOTALCO!P1134)</f>
        <v>75239.046403830187</v>
      </c>
      <c r="Q605" s="12"/>
      <c r="R605" s="13"/>
    </row>
    <row r="606" spans="1:18" ht="15" x14ac:dyDescent="0.2">
      <c r="A606" s="321">
        <f>IF(TOTALCO!A1135="", "",TOTALCO!A1135)</f>
        <v>4</v>
      </c>
      <c r="B606" s="4" t="str">
        <f>IF(TOTALCO!B1135="", "",TOTALCO!B1135)</f>
        <v xml:space="preserve">     TOTAL STEAM PROD PLT</v>
      </c>
      <c r="C606" s="4" t="str">
        <f>IF(TOTALCO!C1135="", "",TOTALCO!C1135)</f>
        <v/>
      </c>
      <c r="D606" s="12">
        <f ca="1">IF(TOTALCO!D1135="", "",TOTALCO!D1135)</f>
        <v>206891127.29878166</v>
      </c>
      <c r="E606" s="12" t="str">
        <f>IF(TOTALCO!E1135="", "",TOTALCO!E1135)</f>
        <v/>
      </c>
      <c r="F606" s="12">
        <f ca="1">IF(TOTALCO!F1135="", "",TOTALCO!F1135)</f>
        <v>193674161.01003402</v>
      </c>
      <c r="G606" s="12" t="str">
        <f>IF(TOTALCO!G1135="", "",TOTALCO!G1135)</f>
        <v/>
      </c>
      <c r="H606" s="12">
        <f ca="1">IF(TOTALCO!H1135="", "",TOTALCO!H1135)</f>
        <v>8960618.1417560279</v>
      </c>
      <c r="I606" s="12">
        <f ca="1">IF(TOTALCO!I1135="", "",TOTALCO!I1135)</f>
        <v>4256348.1469916217</v>
      </c>
      <c r="J606" s="12" t="str">
        <f>IF(TOTALCO!J1135="", "",TOTALCO!J1135)</f>
        <v/>
      </c>
      <c r="K606" s="12" t="str">
        <f>IF(TOTALCO!K1135="", "",TOTALCO!K1135)</f>
        <v/>
      </c>
      <c r="L606" s="12">
        <f ca="1">IF(TOTALCO!L1135="", "",TOTALCO!L1135)</f>
        <v>619.28962104904781</v>
      </c>
      <c r="M606" s="12" t="str">
        <f>IF(TOTALCO!M1135="", "",TOTALCO!M1135)</f>
        <v/>
      </c>
      <c r="N606" s="12">
        <f ca="1">IF(TOTALCO!N1135="", "",TOTALCO!N1135)</f>
        <v>4255728.8573705731</v>
      </c>
      <c r="O606" s="12">
        <f ca="1">IF(TOTALCO!O1135="", "",TOTALCO!O1135)</f>
        <v>2158386.7404235429</v>
      </c>
      <c r="P606" s="12">
        <f ca="1">IF(TOTALCO!P1135="", "",TOTALCO!P1135)</f>
        <v>2097342.1169470302</v>
      </c>
      <c r="Q606" s="12"/>
      <c r="R606" s="13"/>
    </row>
    <row r="607" spans="1:18" ht="15" x14ac:dyDescent="0.2">
      <c r="A607" s="321" t="str">
        <f>IF(TOTALCO!A1136="", "",TOTALCO!A1136)</f>
        <v/>
      </c>
      <c r="B607" s="4" t="str">
        <f>IF(TOTALCO!B1136="", "",TOTALCO!B1136)</f>
        <v/>
      </c>
      <c r="C607" s="4" t="str">
        <f>IF(TOTALCO!C1136="", "",TOTALCO!C1136)</f>
        <v/>
      </c>
      <c r="D607" s="12" t="str">
        <f>IF(TOTALCO!D1136="", "",TOTALCO!D1136)</f>
        <v/>
      </c>
      <c r="E607" s="12" t="str">
        <f>IF(TOTALCO!E1136="", "",TOTALCO!E1136)</f>
        <v/>
      </c>
      <c r="F607" s="12" t="str">
        <f>IF(TOTALCO!F1136="", "",TOTALCO!F1136)</f>
        <v/>
      </c>
      <c r="G607" s="12" t="str">
        <f>IF(TOTALCO!G1136="", "",TOTALCO!G1136)</f>
        <v/>
      </c>
      <c r="H607" s="12" t="str">
        <f>IF(TOTALCO!H1136="", "",TOTALCO!H1136)</f>
        <v/>
      </c>
      <c r="I607" s="12" t="str">
        <f>IF(TOTALCO!I1136="", "",TOTALCO!I1136)</f>
        <v/>
      </c>
      <c r="J607" s="12" t="str">
        <f>IF(TOTALCO!J1136="", "",TOTALCO!J1136)</f>
        <v/>
      </c>
      <c r="K607" s="12" t="str">
        <f>IF(TOTALCO!K1136="", "",TOTALCO!K1136)</f>
        <v/>
      </c>
      <c r="L607" s="12" t="str">
        <f>IF(TOTALCO!L1136="", "",TOTALCO!L1136)</f>
        <v/>
      </c>
      <c r="M607" s="12" t="str">
        <f>IF(TOTALCO!M1136="", "",TOTALCO!M1136)</f>
        <v/>
      </c>
      <c r="N607" s="12" t="str">
        <f>IF(TOTALCO!N1136="", "",TOTALCO!N1136)</f>
        <v/>
      </c>
      <c r="O607" s="12" t="str">
        <f>IF(TOTALCO!O1136="", "",TOTALCO!O1136)</f>
        <v/>
      </c>
      <c r="P607" s="12" t="str">
        <f>IF(TOTALCO!P1136="", "",TOTALCO!P1136)</f>
        <v/>
      </c>
      <c r="Q607" s="12"/>
      <c r="R607" s="13"/>
    </row>
    <row r="608" spans="1:18" ht="15" x14ac:dyDescent="0.2">
      <c r="A608" s="321" t="str">
        <f>IF(TOTALCO!A1137="", "",TOTALCO!A1137)</f>
        <v/>
      </c>
      <c r="B608" s="4" t="str">
        <f>IF(TOTALCO!B1137="", "",TOTALCO!B1137)</f>
        <v xml:space="preserve">  HYDRAULIC PRODUCTION PLANT</v>
      </c>
      <c r="C608" s="4" t="str">
        <f>IF(TOTALCO!C1137="", "",TOTALCO!C1137)</f>
        <v/>
      </c>
      <c r="D608" s="12" t="str">
        <f>IF(TOTALCO!D1137="", "",TOTALCO!D1137)</f>
        <v/>
      </c>
      <c r="E608" s="12" t="str">
        <f>IF(TOTALCO!E1137="", "",TOTALCO!E1137)</f>
        <v/>
      </c>
      <c r="F608" s="12" t="str">
        <f>IF(TOTALCO!F1137="", "",TOTALCO!F1137)</f>
        <v/>
      </c>
      <c r="G608" s="12" t="str">
        <f>IF(TOTALCO!G1137="", "",TOTALCO!G1137)</f>
        <v/>
      </c>
      <c r="H608" s="12" t="str">
        <f>IF(TOTALCO!H1137="", "",TOTALCO!H1137)</f>
        <v/>
      </c>
      <c r="I608" s="12" t="str">
        <f>IF(TOTALCO!I1137="", "",TOTALCO!I1137)</f>
        <v/>
      </c>
      <c r="J608" s="12" t="str">
        <f>IF(TOTALCO!J1137="", "",TOTALCO!J1137)</f>
        <v/>
      </c>
      <c r="K608" s="12" t="str">
        <f>IF(TOTALCO!K1137="", "",TOTALCO!K1137)</f>
        <v/>
      </c>
      <c r="L608" s="12" t="str">
        <f>IF(TOTALCO!L1137="", "",TOTALCO!L1137)</f>
        <v/>
      </c>
      <c r="M608" s="12" t="str">
        <f>IF(TOTALCO!M1137="", "",TOTALCO!M1137)</f>
        <v/>
      </c>
      <c r="N608" s="12" t="str">
        <f>IF(TOTALCO!N1137="", "",TOTALCO!N1137)</f>
        <v/>
      </c>
      <c r="O608" s="12" t="str">
        <f>IF(TOTALCO!O1137="", "",TOTALCO!O1137)</f>
        <v/>
      </c>
      <c r="P608" s="12" t="str">
        <f>IF(TOTALCO!P1137="", "",TOTALCO!P1137)</f>
        <v/>
      </c>
      <c r="Q608" s="12"/>
      <c r="R608" s="13"/>
    </row>
    <row r="609" spans="1:18" ht="15" x14ac:dyDescent="0.2">
      <c r="A609" s="321">
        <f>IF(TOTALCO!A1138="", "",TOTALCO!A1138)</f>
        <v>5</v>
      </c>
      <c r="B609" s="4" t="str">
        <f>IF(TOTALCO!B1138="", "",TOTALCO!B1138)</f>
        <v xml:space="preserve">    SYSTEM</v>
      </c>
      <c r="C609" s="4" t="str">
        <f>IF(TOTALCO!C1138="", "",TOTALCO!C1138)</f>
        <v>HYDSYS</v>
      </c>
      <c r="D609" s="12">
        <f ca="1">IF(TOTALCO!D1138="", "",TOTALCO!D1138)</f>
        <v>1294004.7050958402</v>
      </c>
      <c r="E609" s="12" t="str">
        <f>IF(TOTALCO!E1138="", "",TOTALCO!E1138)</f>
        <v/>
      </c>
      <c r="F609" s="12">
        <f ca="1">IF(TOTALCO!F1138="", "",TOTALCO!F1138)</f>
        <v>1213020.7544810646</v>
      </c>
      <c r="G609" s="12" t="str">
        <f>IF(TOTALCO!G1138="", "",TOTALCO!G1138)</f>
        <v/>
      </c>
      <c r="H609" s="12">
        <f ca="1">IF(TOTALCO!H1138="", "",TOTALCO!H1138)</f>
        <v>55545.713164524524</v>
      </c>
      <c r="I609" s="12">
        <f ca="1">IF(TOTALCO!I1138="", "",TOTALCO!I1138)</f>
        <v>25438.237450250821</v>
      </c>
      <c r="J609" s="12" t="str">
        <f>IF(TOTALCO!J1138="", "",TOTALCO!J1138)</f>
        <v/>
      </c>
      <c r="K609" s="12" t="str">
        <f>IF(TOTALCO!K1138="", "",TOTALCO!K1138)</f>
        <v/>
      </c>
      <c r="L609" s="12">
        <f ca="1">IF(TOTALCO!L1138="", "",TOTALCO!L1138)</f>
        <v>3.8936276384447095</v>
      </c>
      <c r="M609" s="12" t="str">
        <f>IF(TOTALCO!M1138="", "",TOTALCO!M1138)</f>
        <v/>
      </c>
      <c r="N609" s="12">
        <f ca="1">IF(TOTALCO!N1138="", "",TOTALCO!N1138)</f>
        <v>25434.343822612376</v>
      </c>
      <c r="O609" s="12">
        <f ca="1">IF(TOTALCO!O1138="", "",TOTALCO!O1138)</f>
        <v>12899.588366167322</v>
      </c>
      <c r="P609" s="12">
        <f ca="1">IF(TOTALCO!P1138="", "",TOTALCO!P1138)</f>
        <v>12534.755456445053</v>
      </c>
      <c r="Q609" s="12"/>
      <c r="R609" s="13"/>
    </row>
    <row r="610" spans="1:18" ht="15" x14ac:dyDescent="0.2">
      <c r="A610" s="321">
        <f>IF(TOTALCO!A1139="", "",TOTALCO!A1139)</f>
        <v>6</v>
      </c>
      <c r="B610" s="4" t="str">
        <f>IF(TOTALCO!B1139="", "",TOTALCO!B1139)</f>
        <v xml:space="preserve">    FERC-AFUDC PRE</v>
      </c>
      <c r="C610" s="4" t="str">
        <f>IF(TOTALCO!C1139="", "",TOTALCO!C1139)</f>
        <v>DEMFERC</v>
      </c>
      <c r="D610" s="12">
        <f ca="1">IF(TOTALCO!D1139="", "",TOTALCO!D1139)</f>
        <v>24.999999999999957</v>
      </c>
      <c r="E610" s="12" t="str">
        <f>IF(TOTALCO!E1139="", "",TOTALCO!E1139)</f>
        <v/>
      </c>
      <c r="F610" s="12">
        <f ca="1">IF(TOTALCO!F1139="", "",TOTALCO!F1139)</f>
        <v>13.12893835616436</v>
      </c>
      <c r="G610" s="12" t="str">
        <f>IF(TOTALCO!G1139="", "",TOTALCO!G1139)</f>
        <v/>
      </c>
      <c r="H610" s="12">
        <f ca="1">IF(TOTALCO!H1139="", "",TOTALCO!H1139)</f>
        <v>8.1425799086757866</v>
      </c>
      <c r="I610" s="12">
        <f ca="1">IF(TOTALCO!I1139="", "",TOTALCO!I1139)</f>
        <v>3.7284817351598107</v>
      </c>
      <c r="J610" s="12" t="str">
        <f>IF(TOTALCO!J1139="", "",TOTALCO!J1139)</f>
        <v/>
      </c>
      <c r="K610" s="12" t="str">
        <f>IF(TOTALCO!K1139="", "",TOTALCO!K1139)</f>
        <v/>
      </c>
      <c r="L610" s="12">
        <f ca="1">IF(TOTALCO!L1139="", "",TOTALCO!L1139)</f>
        <v>0</v>
      </c>
      <c r="M610" s="12" t="str">
        <f>IF(TOTALCO!M1139="", "",TOTALCO!M1139)</f>
        <v/>
      </c>
      <c r="N610" s="12">
        <f ca="1">IF(TOTALCO!N1139="", "",TOTALCO!N1139)</f>
        <v>3.7284817351598107</v>
      </c>
      <c r="O610" s="12">
        <f ca="1">IF(TOTALCO!O1139="", "",TOTALCO!O1139)</f>
        <v>1.8909817351598142</v>
      </c>
      <c r="P610" s="12">
        <f ca="1">IF(TOTALCO!P1139="", "",TOTALCO!P1139)</f>
        <v>1.8374999999999968</v>
      </c>
      <c r="Q610" s="12"/>
      <c r="R610" s="13"/>
    </row>
    <row r="611" spans="1:18" ht="15" x14ac:dyDescent="0.2">
      <c r="A611" s="321">
        <f>IF(TOTALCO!A1140="", "",TOTALCO!A1140)</f>
        <v>7</v>
      </c>
      <c r="B611" s="4" t="str">
        <f>IF(TOTALCO!B1140="", "",TOTALCO!B1140)</f>
        <v xml:space="preserve">    FERC-AFUDC POST</v>
      </c>
      <c r="C611" s="4" t="str">
        <f>IF(TOTALCO!C1140="", "",TOTALCO!C1140)</f>
        <v>DEMFERCP</v>
      </c>
      <c r="D611" s="12">
        <f ca="1">IF(TOTALCO!D1140="", "",TOTALCO!D1140)</f>
        <v>3212.9999999999995</v>
      </c>
      <c r="E611" s="12" t="str">
        <f>IF(TOTALCO!E1140="", "",TOTALCO!E1140)</f>
        <v/>
      </c>
      <c r="F611" s="12">
        <f ca="1">IF(TOTALCO!F1140="", "",TOTALCO!F1140)</f>
        <v>2502.3567491247431</v>
      </c>
      <c r="G611" s="12" t="str">
        <f>IF(TOTALCO!G1140="", "",TOTALCO!G1140)</f>
        <v/>
      </c>
      <c r="H611" s="12">
        <f ca="1">IF(TOTALCO!H1140="", "",TOTALCO!H1140)</f>
        <v>0</v>
      </c>
      <c r="I611" s="12">
        <f ca="1">IF(TOTALCO!I1140="", "",TOTALCO!I1140)</f>
        <v>710.6432508752564</v>
      </c>
      <c r="J611" s="12" t="str">
        <f>IF(TOTALCO!J1140="", "",TOTALCO!J1140)</f>
        <v/>
      </c>
      <c r="K611" s="12" t="str">
        <f>IF(TOTALCO!K1140="", "",TOTALCO!K1140)</f>
        <v/>
      </c>
      <c r="L611" s="12">
        <f ca="1">IF(TOTALCO!L1140="", "",TOTALCO!L1140)</f>
        <v>0</v>
      </c>
      <c r="M611" s="12" t="str">
        <f>IF(TOTALCO!M1140="", "",TOTALCO!M1140)</f>
        <v/>
      </c>
      <c r="N611" s="12">
        <f ca="1">IF(TOTALCO!N1140="", "",TOTALCO!N1140)</f>
        <v>710.6432508752564</v>
      </c>
      <c r="O611" s="12">
        <f ca="1">IF(TOTALCO!O1140="", "",TOTALCO!O1140)</f>
        <v>360.41839629988283</v>
      </c>
      <c r="P611" s="12">
        <f ca="1">IF(TOTALCO!P1140="", "",TOTALCO!P1140)</f>
        <v>350.22485457537363</v>
      </c>
      <c r="Q611" s="12"/>
      <c r="R611" s="13"/>
    </row>
    <row r="612" spans="1:18" ht="15" x14ac:dyDescent="0.2">
      <c r="A612" s="321">
        <f>IF(TOTALCO!A1141="", "",TOTALCO!A1141)</f>
        <v>8</v>
      </c>
      <c r="B612" s="4" t="str">
        <f>IF(TOTALCO!B1141="", "",TOTALCO!B1141)</f>
        <v xml:space="preserve">     TOTAL HYDRO PROD PLT</v>
      </c>
      <c r="C612" s="4" t="str">
        <f>IF(TOTALCO!C1141="", "",TOTALCO!C1141)</f>
        <v/>
      </c>
      <c r="D612" s="12">
        <f ca="1">IF(TOTALCO!D1141="", "",TOTALCO!D1141)</f>
        <v>1297242.7050958399</v>
      </c>
      <c r="E612" s="12" t="str">
        <f>IF(TOTALCO!E1141="", "",TOTALCO!E1141)</f>
        <v/>
      </c>
      <c r="F612" s="12">
        <f ca="1">IF(TOTALCO!F1141="", "",TOTALCO!F1141)</f>
        <v>1215536.2401685456</v>
      </c>
      <c r="G612" s="12" t="str">
        <f>IF(TOTALCO!G1141="", "",TOTALCO!G1141)</f>
        <v/>
      </c>
      <c r="H612" s="12">
        <f ca="1">IF(TOTALCO!H1141="", "",TOTALCO!H1141)</f>
        <v>55553.855744433204</v>
      </c>
      <c r="I612" s="12">
        <f ca="1">IF(TOTALCO!I1141="", "",TOTALCO!I1141)</f>
        <v>26152.609182861237</v>
      </c>
      <c r="J612" s="12" t="str">
        <f>IF(TOTALCO!J1141="", "",TOTALCO!J1141)</f>
        <v/>
      </c>
      <c r="K612" s="12" t="str">
        <f>IF(TOTALCO!K1141="", "",TOTALCO!K1141)</f>
        <v/>
      </c>
      <c r="L612" s="12">
        <f ca="1">IF(TOTALCO!L1141="", "",TOTALCO!L1141)</f>
        <v>3.8936276384447095</v>
      </c>
      <c r="M612" s="12" t="str">
        <f>IF(TOTALCO!M1141="", "",TOTALCO!M1141)</f>
        <v/>
      </c>
      <c r="N612" s="12">
        <f ca="1">IF(TOTALCO!N1141="", "",TOTALCO!N1141)</f>
        <v>26148.715555222792</v>
      </c>
      <c r="O612" s="12">
        <f ca="1">IF(TOTALCO!O1141="", "",TOTALCO!O1141)</f>
        <v>13261.897744202364</v>
      </c>
      <c r="P612" s="12">
        <f ca="1">IF(TOTALCO!P1141="", "",TOTALCO!P1141)</f>
        <v>12886.817811020426</v>
      </c>
      <c r="Q612" s="12"/>
      <c r="R612" s="13"/>
    </row>
    <row r="613" spans="1:18" ht="15" x14ac:dyDescent="0.2">
      <c r="A613" s="321" t="str">
        <f>IF(TOTALCO!A1142="", "",TOTALCO!A1142)</f>
        <v/>
      </c>
      <c r="B613" s="4" t="str">
        <f>IF(TOTALCO!B1142="", "",TOTALCO!B1142)</f>
        <v/>
      </c>
      <c r="C613" s="4" t="str">
        <f>IF(TOTALCO!C1142="", "",TOTALCO!C1142)</f>
        <v/>
      </c>
      <c r="D613" s="12" t="str">
        <f>IF(TOTALCO!D1142="", "",TOTALCO!D1142)</f>
        <v/>
      </c>
      <c r="E613" s="12" t="str">
        <f>IF(TOTALCO!E1142="", "",TOTALCO!E1142)</f>
        <v/>
      </c>
      <c r="F613" s="12" t="str">
        <f>IF(TOTALCO!F1142="", "",TOTALCO!F1142)</f>
        <v/>
      </c>
      <c r="G613" s="12" t="str">
        <f>IF(TOTALCO!G1142="", "",TOTALCO!G1142)</f>
        <v/>
      </c>
      <c r="H613" s="12" t="str">
        <f>IF(TOTALCO!H1142="", "",TOTALCO!H1142)</f>
        <v/>
      </c>
      <c r="I613" s="12" t="str">
        <f>IF(TOTALCO!I1142="", "",TOTALCO!I1142)</f>
        <v/>
      </c>
      <c r="J613" s="12" t="str">
        <f>IF(TOTALCO!J1142="", "",TOTALCO!J1142)</f>
        <v/>
      </c>
      <c r="K613" s="12" t="str">
        <f>IF(TOTALCO!K1142="", "",TOTALCO!K1142)</f>
        <v/>
      </c>
      <c r="L613" s="12" t="str">
        <f>IF(TOTALCO!L1142="", "",TOTALCO!L1142)</f>
        <v/>
      </c>
      <c r="M613" s="12" t="str">
        <f>IF(TOTALCO!M1142="", "",TOTALCO!M1142)</f>
        <v/>
      </c>
      <c r="N613" s="12" t="str">
        <f>IF(TOTALCO!N1142="", "",TOTALCO!N1142)</f>
        <v/>
      </c>
      <c r="O613" s="12" t="str">
        <f>IF(TOTALCO!O1142="", "",TOTALCO!O1142)</f>
        <v/>
      </c>
      <c r="P613" s="12" t="str">
        <f>IF(TOTALCO!P1142="", "",TOTALCO!P1142)</f>
        <v/>
      </c>
      <c r="Q613" s="12"/>
      <c r="R613" s="13"/>
    </row>
    <row r="614" spans="1:18" ht="15" x14ac:dyDescent="0.2">
      <c r="A614" s="321" t="str">
        <f>IF(TOTALCO!A1143="", "",TOTALCO!A1143)</f>
        <v/>
      </c>
      <c r="B614" s="4" t="str">
        <f>IF(TOTALCO!B1143="", "",TOTALCO!B1143)</f>
        <v xml:space="preserve">  OTHER PRODUCTION PLANT</v>
      </c>
      <c r="C614" s="4" t="str">
        <f>IF(TOTALCO!C1143="", "",TOTALCO!C1143)</f>
        <v/>
      </c>
      <c r="D614" s="12" t="str">
        <f>IF(TOTALCO!D1143="", "",TOTALCO!D1143)</f>
        <v/>
      </c>
      <c r="E614" s="12" t="str">
        <f>IF(TOTALCO!E1143="", "",TOTALCO!E1143)</f>
        <v/>
      </c>
      <c r="F614" s="12" t="str">
        <f>IF(TOTALCO!F1143="", "",TOTALCO!F1143)</f>
        <v/>
      </c>
      <c r="G614" s="12" t="str">
        <f>IF(TOTALCO!G1143="", "",TOTALCO!G1143)</f>
        <v/>
      </c>
      <c r="H614" s="12" t="str">
        <f>IF(TOTALCO!H1143="", "",TOTALCO!H1143)</f>
        <v/>
      </c>
      <c r="I614" s="12" t="str">
        <f>IF(TOTALCO!I1143="", "",TOTALCO!I1143)</f>
        <v/>
      </c>
      <c r="J614" s="12" t="str">
        <f>IF(TOTALCO!J1143="", "",TOTALCO!J1143)</f>
        <v/>
      </c>
      <c r="K614" s="12" t="str">
        <f>IF(TOTALCO!K1143="", "",TOTALCO!K1143)</f>
        <v/>
      </c>
      <c r="L614" s="12" t="str">
        <f>IF(TOTALCO!L1143="", "",TOTALCO!L1143)</f>
        <v/>
      </c>
      <c r="M614" s="12" t="str">
        <f>IF(TOTALCO!M1143="", "",TOTALCO!M1143)</f>
        <v/>
      </c>
      <c r="N614" s="12" t="str">
        <f>IF(TOTALCO!N1143="", "",TOTALCO!N1143)</f>
        <v/>
      </c>
      <c r="O614" s="12" t="str">
        <f>IF(TOTALCO!O1143="", "",TOTALCO!O1143)</f>
        <v/>
      </c>
      <c r="P614" s="12" t="str">
        <f>IF(TOTALCO!P1143="", "",TOTALCO!P1143)</f>
        <v/>
      </c>
      <c r="Q614" s="12"/>
      <c r="R614" s="13"/>
    </row>
    <row r="615" spans="1:18" ht="15" x14ac:dyDescent="0.2">
      <c r="A615" s="321">
        <f>IF(TOTALCO!A1144="", "",TOTALCO!A1144)</f>
        <v>9</v>
      </c>
      <c r="B615" s="4" t="str">
        <f>IF(TOTALCO!B1144="", "",TOTALCO!B1144)</f>
        <v xml:space="preserve">    SYSTEM</v>
      </c>
      <c r="C615" s="4" t="str">
        <f>IF(TOTALCO!C1144="", "",TOTALCO!C1144)</f>
        <v>OTHSYS</v>
      </c>
      <c r="D615" s="12">
        <f ca="1">IF(TOTALCO!D1144="", "",TOTALCO!D1144)</f>
        <v>41706873.465249129</v>
      </c>
      <c r="E615" s="12" t="str">
        <f>IF(TOTALCO!E1144="", "",TOTALCO!E1144)</f>
        <v/>
      </c>
      <c r="F615" s="12">
        <f ca="1">IF(TOTALCO!F1144="", "",TOTALCO!F1144)</f>
        <v>39096691.780665331</v>
      </c>
      <c r="G615" s="12" t="str">
        <f>IF(TOTALCO!G1144="", "",TOTALCO!G1144)</f>
        <v/>
      </c>
      <c r="H615" s="12">
        <f ca="1">IF(TOTALCO!H1144="", "",TOTALCO!H1144)</f>
        <v>1790285.6313944131</v>
      </c>
      <c r="I615" s="12">
        <f ca="1">IF(TOTALCO!I1144="", "",TOTALCO!I1144)</f>
        <v>819896.05318938452</v>
      </c>
      <c r="J615" s="12" t="str">
        <f>IF(TOTALCO!J1144="", "",TOTALCO!J1144)</f>
        <v/>
      </c>
      <c r="K615" s="12" t="str">
        <f>IF(TOTALCO!K1144="", "",TOTALCO!K1144)</f>
        <v/>
      </c>
      <c r="L615" s="12">
        <f ca="1">IF(TOTALCO!L1144="", "",TOTALCO!L1144)</f>
        <v>125.49493413579422</v>
      </c>
      <c r="M615" s="12" t="str">
        <f>IF(TOTALCO!M1144="", "",TOTALCO!M1144)</f>
        <v/>
      </c>
      <c r="N615" s="12">
        <f ca="1">IF(TOTALCO!N1144="", "",TOTALCO!N1144)</f>
        <v>819770.5582552487</v>
      </c>
      <c r="O615" s="12">
        <f ca="1">IF(TOTALCO!O1144="", "",TOTALCO!O1144)</f>
        <v>415764.71679188625</v>
      </c>
      <c r="P615" s="12">
        <f ca="1">IF(TOTALCO!P1144="", "",TOTALCO!P1144)</f>
        <v>404005.84146336239</v>
      </c>
      <c r="Q615" s="12"/>
      <c r="R615" s="13"/>
    </row>
    <row r="616" spans="1:18" ht="15" x14ac:dyDescent="0.2">
      <c r="A616" s="321">
        <f>IF(TOTALCO!A1145="", "",TOTALCO!A1145)</f>
        <v>10</v>
      </c>
      <c r="B616" s="4" t="str">
        <f>IF(TOTALCO!B1145="", "",TOTALCO!B1145)</f>
        <v xml:space="preserve">    FERC-AFUDC PRE</v>
      </c>
      <c r="C616" s="4" t="str">
        <f>IF(TOTALCO!C1145="", "",TOTALCO!C1145)</f>
        <v>DEMFERC</v>
      </c>
      <c r="D616" s="12">
        <f ca="1">IF(TOTALCO!D1145="", "",TOTALCO!D1145)</f>
        <v>93.999999999999943</v>
      </c>
      <c r="E616" s="12" t="str">
        <f>IF(TOTALCO!E1145="", "",TOTALCO!E1145)</f>
        <v/>
      </c>
      <c r="F616" s="12">
        <f ca="1">IF(TOTALCO!F1145="", "",TOTALCO!F1145)</f>
        <v>49.364808219178059</v>
      </c>
      <c r="G616" s="12" t="str">
        <f>IF(TOTALCO!G1145="", "",TOTALCO!G1145)</f>
        <v/>
      </c>
      <c r="H616" s="12">
        <f ca="1">IF(TOTALCO!H1145="", "",TOTALCO!H1145)</f>
        <v>30.616100456620991</v>
      </c>
      <c r="I616" s="12">
        <f ca="1">IF(TOTALCO!I1145="", "",TOTALCO!I1145)</f>
        <v>14.019091324200907</v>
      </c>
      <c r="J616" s="12" t="str">
        <f>IF(TOTALCO!J1145="", "",TOTALCO!J1145)</f>
        <v/>
      </c>
      <c r="K616" s="12" t="str">
        <f>IF(TOTALCO!K1145="", "",TOTALCO!K1145)</f>
        <v/>
      </c>
      <c r="L616" s="12">
        <f ca="1">IF(TOTALCO!L1145="", "",TOTALCO!L1145)</f>
        <v>0</v>
      </c>
      <c r="M616" s="12" t="str">
        <f>IF(TOTALCO!M1145="", "",TOTALCO!M1145)</f>
        <v/>
      </c>
      <c r="N616" s="12">
        <f ca="1">IF(TOTALCO!N1145="", "",TOTALCO!N1145)</f>
        <v>14.019091324200907</v>
      </c>
      <c r="O616" s="12">
        <f ca="1">IF(TOTALCO!O1145="", "",TOTALCO!O1145)</f>
        <v>7.1100913242009103</v>
      </c>
      <c r="P616" s="12">
        <f ca="1">IF(TOTALCO!P1145="", "",TOTALCO!P1145)</f>
        <v>6.9089999999999963</v>
      </c>
      <c r="Q616" s="12"/>
      <c r="R616" s="13"/>
    </row>
    <row r="617" spans="1:18" ht="15" x14ac:dyDescent="0.2">
      <c r="A617" s="321">
        <f>IF(TOTALCO!A1146="", "",TOTALCO!A1146)</f>
        <v>11</v>
      </c>
      <c r="B617" s="4" t="str">
        <f>IF(TOTALCO!B1146="", "",TOTALCO!B1146)</f>
        <v xml:space="preserve">    FERC-AFUDC POST</v>
      </c>
      <c r="C617" s="4" t="str">
        <f>IF(TOTALCO!C1146="", "",TOTALCO!C1146)</f>
        <v>DEMFERCP</v>
      </c>
      <c r="D617" s="12">
        <f ca="1">IF(TOTALCO!D1146="", "",TOTALCO!D1146)</f>
        <v>184266.00000000006</v>
      </c>
      <c r="E617" s="12" t="str">
        <f>IF(TOTALCO!E1146="", "",TOTALCO!E1146)</f>
        <v/>
      </c>
      <c r="F617" s="12">
        <f ca="1">IF(TOTALCO!F1146="", "",TOTALCO!F1146)</f>
        <v>143510.51003243701</v>
      </c>
      <c r="G617" s="12" t="str">
        <f>IF(TOTALCO!G1146="", "",TOTALCO!G1146)</f>
        <v/>
      </c>
      <c r="H617" s="12">
        <f ca="1">IF(TOTALCO!H1146="", "",TOTALCO!H1146)</f>
        <v>0</v>
      </c>
      <c r="I617" s="12">
        <f ca="1">IF(TOTALCO!I1146="", "",TOTALCO!I1146)</f>
        <v>40755.489967563044</v>
      </c>
      <c r="J617" s="12" t="str">
        <f>IF(TOTALCO!J1146="", "",TOTALCO!J1146)</f>
        <v/>
      </c>
      <c r="K617" s="12" t="str">
        <f>IF(TOTALCO!K1146="", "",TOTALCO!K1146)</f>
        <v/>
      </c>
      <c r="L617" s="12">
        <f ca="1">IF(TOTALCO!L1146="", "",TOTALCO!L1146)</f>
        <v>0</v>
      </c>
      <c r="M617" s="12" t="str">
        <f>IF(TOTALCO!M1146="", "",TOTALCO!M1146)</f>
        <v/>
      </c>
      <c r="N617" s="12">
        <f ca="1">IF(TOTALCO!N1146="", "",TOTALCO!N1146)</f>
        <v>40755.489967563044</v>
      </c>
      <c r="O617" s="12">
        <f ca="1">IF(TOTALCO!O1146="", "",TOTALCO!O1146)</f>
        <v>20670.045506565279</v>
      </c>
      <c r="P617" s="12">
        <f ca="1">IF(TOTALCO!P1146="", "",TOTALCO!P1146)</f>
        <v>20085.444460997765</v>
      </c>
      <c r="Q617" s="12"/>
      <c r="R617" s="13"/>
    </row>
    <row r="618" spans="1:18" ht="15" x14ac:dyDescent="0.2">
      <c r="A618" s="321">
        <f>IF(TOTALCO!A1147="", "",TOTALCO!A1147)</f>
        <v>12</v>
      </c>
      <c r="B618" s="4" t="str">
        <f>IF(TOTALCO!B1147="", "",TOTALCO!B1147)</f>
        <v xml:space="preserve">     TOTAL OTHER PROD PLT</v>
      </c>
      <c r="C618" s="4" t="str">
        <f>IF(TOTALCO!C1147="", "",TOTALCO!C1147)</f>
        <v/>
      </c>
      <c r="D618" s="12">
        <f ca="1">IF(TOTALCO!D1147="", "",TOTALCO!D1147)</f>
        <v>41891233.465249129</v>
      </c>
      <c r="E618" s="12" t="str">
        <f>IF(TOTALCO!E1147="", "",TOTALCO!E1147)</f>
        <v/>
      </c>
      <c r="F618" s="12">
        <f ca="1">IF(TOTALCO!F1147="", "",TOTALCO!F1147)</f>
        <v>39240251.655505985</v>
      </c>
      <c r="G618" s="12" t="str">
        <f>IF(TOTALCO!G1147="", "",TOTALCO!G1147)</f>
        <v/>
      </c>
      <c r="H618" s="12">
        <f ca="1">IF(TOTALCO!H1147="", "",TOTALCO!H1147)</f>
        <v>1790316.2474948696</v>
      </c>
      <c r="I618" s="12">
        <f ca="1">IF(TOTALCO!I1147="", "",TOTALCO!I1147)</f>
        <v>860665.56224827166</v>
      </c>
      <c r="J618" s="12" t="str">
        <f>IF(TOTALCO!J1147="", "",TOTALCO!J1147)</f>
        <v/>
      </c>
      <c r="K618" s="12" t="str">
        <f>IF(TOTALCO!K1147="", "",TOTALCO!K1147)</f>
        <v/>
      </c>
      <c r="L618" s="12">
        <f ca="1">IF(TOTALCO!L1147="", "",TOTALCO!L1147)</f>
        <v>125.49493413579422</v>
      </c>
      <c r="M618" s="12" t="str">
        <f>IF(TOTALCO!M1147="", "",TOTALCO!M1147)</f>
        <v/>
      </c>
      <c r="N618" s="12">
        <f ca="1">IF(TOTALCO!N1147="", "",TOTALCO!N1147)</f>
        <v>860540.06731413584</v>
      </c>
      <c r="O618" s="12">
        <f ca="1">IF(TOTALCO!O1147="", "",TOTALCO!O1147)</f>
        <v>436441.8723897757</v>
      </c>
      <c r="P618" s="12">
        <f ca="1">IF(TOTALCO!P1147="", "",TOTALCO!P1147)</f>
        <v>424098.19492436014</v>
      </c>
      <c r="Q618" s="12"/>
      <c r="R618" s="13"/>
    </row>
    <row r="619" spans="1:18" ht="15" x14ac:dyDescent="0.2">
      <c r="A619" s="321" t="str">
        <f>IF(TOTALCO!A1148="", "",TOTALCO!A1148)</f>
        <v/>
      </c>
      <c r="B619" s="4" t="str">
        <f>IF(TOTALCO!B1148="", "",TOTALCO!B1148)</f>
        <v/>
      </c>
      <c r="C619" s="4" t="str">
        <f>IF(TOTALCO!C1148="", "",TOTALCO!C1148)</f>
        <v/>
      </c>
      <c r="D619" s="12" t="str">
        <f>IF(TOTALCO!D1148="", "",TOTALCO!D1148)</f>
        <v/>
      </c>
      <c r="E619" s="12" t="str">
        <f>IF(TOTALCO!E1148="", "",TOTALCO!E1148)</f>
        <v/>
      </c>
      <c r="F619" s="12" t="str">
        <f>IF(TOTALCO!F1148="", "",TOTALCO!F1148)</f>
        <v/>
      </c>
      <c r="G619" s="12" t="str">
        <f>IF(TOTALCO!G1148="", "",TOTALCO!G1148)</f>
        <v/>
      </c>
      <c r="H619" s="12" t="str">
        <f>IF(TOTALCO!H1148="", "",TOTALCO!H1148)</f>
        <v/>
      </c>
      <c r="I619" s="12" t="str">
        <f>IF(TOTALCO!I1148="", "",TOTALCO!I1148)</f>
        <v/>
      </c>
      <c r="J619" s="12" t="str">
        <f>IF(TOTALCO!J1148="", "",TOTALCO!J1148)</f>
        <v/>
      </c>
      <c r="K619" s="12" t="str">
        <f>IF(TOTALCO!K1148="", "",TOTALCO!K1148)</f>
        <v/>
      </c>
      <c r="L619" s="12" t="str">
        <f>IF(TOTALCO!L1148="", "",TOTALCO!L1148)</f>
        <v/>
      </c>
      <c r="M619" s="12" t="str">
        <f>IF(TOTALCO!M1148="", "",TOTALCO!M1148)</f>
        <v/>
      </c>
      <c r="N619" s="12" t="str">
        <f>IF(TOTALCO!N1148="", "",TOTALCO!N1148)</f>
        <v/>
      </c>
      <c r="O619" s="12" t="str">
        <f>IF(TOTALCO!O1148="", "",TOTALCO!O1148)</f>
        <v/>
      </c>
      <c r="P619" s="12" t="str">
        <f>IF(TOTALCO!P1148="", "",TOTALCO!P1148)</f>
        <v/>
      </c>
      <c r="Q619" s="12"/>
      <c r="R619" s="13"/>
    </row>
    <row r="620" spans="1:18" ht="15" x14ac:dyDescent="0.2">
      <c r="A620" s="321">
        <f>IF(TOTALCO!A1149="", "",TOTALCO!A1149)</f>
        <v>13</v>
      </c>
      <c r="B620" s="4" t="str">
        <f>IF(TOTALCO!B1149="", "",TOTALCO!B1149)</f>
        <v xml:space="preserve"> TOTAL PRODUCTION PLANT</v>
      </c>
      <c r="C620" s="4" t="str">
        <f>IF(TOTALCO!C1149="", "",TOTALCO!C1149)</f>
        <v/>
      </c>
      <c r="D620" s="12">
        <f ca="1">IF(TOTALCO!D1149="", "",TOTALCO!D1149)</f>
        <v>250079603.46912664</v>
      </c>
      <c r="E620" s="12" t="str">
        <f>IF(TOTALCO!E1149="", "",TOTALCO!E1149)</f>
        <v/>
      </c>
      <c r="F620" s="12">
        <f ca="1">IF(TOTALCO!F1149="", "",TOTALCO!F1149)</f>
        <v>234129948.90570855</v>
      </c>
      <c r="G620" s="12" t="str">
        <f>IF(TOTALCO!G1149="", "",TOTALCO!G1149)</f>
        <v/>
      </c>
      <c r="H620" s="12">
        <f ca="1">IF(TOTALCO!H1149="", "",TOTALCO!H1149)</f>
        <v>10806488.24499533</v>
      </c>
      <c r="I620" s="12">
        <f ca="1">IF(TOTALCO!I1149="", "",TOTALCO!I1149)</f>
        <v>5143166.3184227552</v>
      </c>
      <c r="J620" s="12" t="str">
        <f>IF(TOTALCO!J1149="", "",TOTALCO!J1149)</f>
        <v/>
      </c>
      <c r="K620" s="12" t="str">
        <f>IF(TOTALCO!K1149="", "",TOTALCO!K1149)</f>
        <v/>
      </c>
      <c r="L620" s="12">
        <f ca="1">IF(TOTALCO!L1149="", "",TOTALCO!L1149)</f>
        <v>748.67818282328676</v>
      </c>
      <c r="M620" s="12" t="str">
        <f>IF(TOTALCO!M1149="", "",TOTALCO!M1149)</f>
        <v/>
      </c>
      <c r="N620" s="12">
        <f ca="1">IF(TOTALCO!N1149="", "",TOTALCO!N1149)</f>
        <v>5142417.6402399316</v>
      </c>
      <c r="O620" s="12">
        <f ca="1">IF(TOTALCO!O1149="", "",TOTALCO!O1149)</f>
        <v>2608090.5105575211</v>
      </c>
      <c r="P620" s="12">
        <f ca="1">IF(TOTALCO!P1149="", "",TOTALCO!P1149)</f>
        <v>2534327.129682411</v>
      </c>
      <c r="Q620" s="12"/>
      <c r="R620" s="13"/>
    </row>
    <row r="621" spans="1:18" ht="15" x14ac:dyDescent="0.2">
      <c r="A621" s="321" t="str">
        <f>IF(TOTALCO!A1150="", "",TOTALCO!A1150)</f>
        <v/>
      </c>
      <c r="B621" s="4" t="str">
        <f>IF(TOTALCO!B1150="", "",TOTALCO!B1150)</f>
        <v/>
      </c>
      <c r="C621" s="4" t="str">
        <f>IF(TOTALCO!C1150="", "",TOTALCO!C1150)</f>
        <v/>
      </c>
      <c r="D621" s="12" t="str">
        <f>IF(TOTALCO!D1150="", "",TOTALCO!D1150)</f>
        <v/>
      </c>
      <c r="E621" s="12" t="str">
        <f>IF(TOTALCO!E1150="", "",TOTALCO!E1150)</f>
        <v/>
      </c>
      <c r="F621" s="12" t="str">
        <f>IF(TOTALCO!F1150="", "",TOTALCO!F1150)</f>
        <v/>
      </c>
      <c r="G621" s="12" t="str">
        <f>IF(TOTALCO!G1150="", "",TOTALCO!G1150)</f>
        <v/>
      </c>
      <c r="H621" s="12" t="str">
        <f>IF(TOTALCO!H1150="", "",TOTALCO!H1150)</f>
        <v/>
      </c>
      <c r="I621" s="12" t="str">
        <f>IF(TOTALCO!I1150="", "",TOTALCO!I1150)</f>
        <v/>
      </c>
      <c r="J621" s="12" t="str">
        <f>IF(TOTALCO!J1150="", "",TOTALCO!J1150)</f>
        <v/>
      </c>
      <c r="K621" s="12" t="str">
        <f>IF(TOTALCO!K1150="", "",TOTALCO!K1150)</f>
        <v/>
      </c>
      <c r="L621" s="12" t="str">
        <f>IF(TOTALCO!L1150="", "",TOTALCO!L1150)</f>
        <v/>
      </c>
      <c r="M621" s="12" t="str">
        <f>IF(TOTALCO!M1150="", "",TOTALCO!M1150)</f>
        <v/>
      </c>
      <c r="N621" s="12" t="str">
        <f>IF(TOTALCO!N1150="", "",TOTALCO!N1150)</f>
        <v/>
      </c>
      <c r="O621" s="12" t="str">
        <f>IF(TOTALCO!O1150="", "",TOTALCO!O1150)</f>
        <v/>
      </c>
      <c r="P621" s="12" t="str">
        <f>IF(TOTALCO!P1150="", "",TOTALCO!P1150)</f>
        <v/>
      </c>
      <c r="Q621" s="12"/>
      <c r="R621" s="13"/>
    </row>
    <row r="622" spans="1:18" ht="15" x14ac:dyDescent="0.2">
      <c r="A622" s="321" t="str">
        <f>IF(TOTALCO!A1151="", "",TOTALCO!A1151)</f>
        <v/>
      </c>
      <c r="B622" s="4" t="str">
        <f>IF(TOTALCO!B1151="", "",TOTALCO!B1151)</f>
        <v xml:space="preserve"> TRANSMISSION PLANT</v>
      </c>
      <c r="C622" s="4" t="str">
        <f>IF(TOTALCO!C1151="", "",TOTALCO!C1151)</f>
        <v/>
      </c>
      <c r="D622" s="12" t="str">
        <f>IF(TOTALCO!D1151="", "",TOTALCO!D1151)</f>
        <v/>
      </c>
      <c r="E622" s="12" t="str">
        <f>IF(TOTALCO!E1151="", "",TOTALCO!E1151)</f>
        <v/>
      </c>
      <c r="F622" s="12" t="str">
        <f>IF(TOTALCO!F1151="", "",TOTALCO!F1151)</f>
        <v/>
      </c>
      <c r="G622" s="12" t="str">
        <f>IF(TOTALCO!G1151="", "",TOTALCO!G1151)</f>
        <v/>
      </c>
      <c r="H622" s="12" t="str">
        <f>IF(TOTALCO!H1151="", "",TOTALCO!H1151)</f>
        <v/>
      </c>
      <c r="I622" s="12" t="str">
        <f>IF(TOTALCO!I1151="", "",TOTALCO!I1151)</f>
        <v/>
      </c>
      <c r="J622" s="12" t="str">
        <f>IF(TOTALCO!J1151="", "",TOTALCO!J1151)</f>
        <v/>
      </c>
      <c r="K622" s="12" t="str">
        <f>IF(TOTALCO!K1151="", "",TOTALCO!K1151)</f>
        <v/>
      </c>
      <c r="L622" s="12" t="str">
        <f>IF(TOTALCO!L1151="", "",TOTALCO!L1151)</f>
        <v/>
      </c>
      <c r="M622" s="12" t="str">
        <f>IF(TOTALCO!M1151="", "",TOTALCO!M1151)</f>
        <v/>
      </c>
      <c r="N622" s="12" t="str">
        <f>IF(TOTALCO!N1151="", "",TOTALCO!N1151)</f>
        <v/>
      </c>
      <c r="O622" s="12" t="str">
        <f>IF(TOTALCO!O1151="", "",TOTALCO!O1151)</f>
        <v/>
      </c>
      <c r="P622" s="12" t="str">
        <f>IF(TOTALCO!P1151="", "",TOTALCO!P1151)</f>
        <v/>
      </c>
      <c r="Q622" s="12"/>
      <c r="R622" s="13"/>
    </row>
    <row r="623" spans="1:18" ht="15" x14ac:dyDescent="0.2">
      <c r="A623" s="321">
        <f>IF(TOTALCO!A1152="", "",TOTALCO!A1152)</f>
        <v>14</v>
      </c>
      <c r="B623" s="4" t="str">
        <f>IF(TOTALCO!B1152="", "",TOTALCO!B1152)</f>
        <v xml:space="preserve">  KENTUCKY SYSTEM PROPERTY</v>
      </c>
      <c r="C623" s="4" t="str">
        <f>IF(TOTALCO!C1152="", "",TOTALCO!C1152)</f>
        <v>KYTRPLTXF</v>
      </c>
      <c r="D623" s="12">
        <f ca="1">IF(TOTALCO!D1152="", "",TOTALCO!D1152)</f>
        <v>24956309.484434519</v>
      </c>
      <c r="E623" s="12" t="str">
        <f>IF(TOTALCO!E1152="", "",TOTALCO!E1152)</f>
        <v/>
      </c>
      <c r="F623" s="12">
        <f ca="1">IF(TOTALCO!F1152="", "",TOTALCO!F1152)</f>
        <v>23845701.236184534</v>
      </c>
      <c r="G623" s="12" t="str">
        <f>IF(TOTALCO!G1152="", "",TOTALCO!G1152)</f>
        <v/>
      </c>
      <c r="H623" s="12">
        <f ca="1">IF(TOTALCO!H1152="", "",TOTALCO!H1152)</f>
        <v>1110531.9003269658</v>
      </c>
      <c r="I623" s="12">
        <f ca="1">IF(TOTALCO!I1152="", "",TOTALCO!I1152)</f>
        <v>76.347923017617063</v>
      </c>
      <c r="J623" s="12" t="str">
        <f>IF(TOTALCO!J1152="", "",TOTALCO!J1152)</f>
        <v/>
      </c>
      <c r="K623" s="12" t="str">
        <f>IF(TOTALCO!K1152="", "",TOTALCO!K1152)</f>
        <v/>
      </c>
      <c r="L623" s="12">
        <f ca="1">IF(TOTALCO!L1152="", "",TOTALCO!L1152)</f>
        <v>76.347923017617063</v>
      </c>
      <c r="M623" s="12" t="str">
        <f>IF(TOTALCO!M1152="", "",TOTALCO!M1152)</f>
        <v/>
      </c>
      <c r="N623" s="12">
        <f ca="1">IF(TOTALCO!N1152="", "",TOTALCO!N1152)</f>
        <v>0</v>
      </c>
      <c r="O623" s="12">
        <f ca="1">IF(TOTALCO!O1152="", "",TOTALCO!O1152)</f>
        <v>0</v>
      </c>
      <c r="P623" s="12">
        <f ca="1">IF(TOTALCO!P1152="", "",TOTALCO!P1152)</f>
        <v>0</v>
      </c>
      <c r="Q623" s="12"/>
      <c r="R623" s="13"/>
    </row>
    <row r="624" spans="1:18" ht="15" x14ac:dyDescent="0.2">
      <c r="A624" s="321">
        <f>IF(TOTALCO!A1153="", "",TOTALCO!A1153)</f>
        <v>15</v>
      </c>
      <c r="B624" s="4" t="str">
        <f>IF(TOTALCO!B1153="", "",TOTALCO!B1153)</f>
        <v xml:space="preserve">  VIRGINIA PROPERTY</v>
      </c>
      <c r="C624" s="4" t="str">
        <f>IF(TOTALCO!C1153="", "",TOTALCO!C1153)</f>
        <v>TRPLTVA</v>
      </c>
      <c r="D624" s="12">
        <f ca="1">IF(TOTALCO!D1153="", "",TOTALCO!D1153)</f>
        <v>1519202.0433821995</v>
      </c>
      <c r="E624" s="12" t="str">
        <f>IF(TOTALCO!E1153="", "",TOTALCO!E1153)</f>
        <v/>
      </c>
      <c r="F624" s="12">
        <f ca="1">IF(TOTALCO!F1153="", "",TOTALCO!F1153)</f>
        <v>184097.68677134824</v>
      </c>
      <c r="G624" s="12" t="str">
        <f>IF(TOTALCO!G1153="", "",TOTALCO!G1153)</f>
        <v/>
      </c>
      <c r="H624" s="12">
        <f ca="1">IF(TOTALCO!H1153="", "",TOTALCO!H1153)</f>
        <v>1335103.7656829231</v>
      </c>
      <c r="I624" s="12">
        <f ca="1">IF(TOTALCO!I1153="", "",TOTALCO!I1153)</f>
        <v>0.59092792826394125</v>
      </c>
      <c r="J624" s="12" t="str">
        <f>IF(TOTALCO!J1153="", "",TOTALCO!J1153)</f>
        <v/>
      </c>
      <c r="K624" s="12" t="str">
        <f>IF(TOTALCO!K1153="", "",TOTALCO!K1153)</f>
        <v/>
      </c>
      <c r="L624" s="12">
        <f ca="1">IF(TOTALCO!L1153="", "",TOTALCO!L1153)</f>
        <v>0.59092792826394125</v>
      </c>
      <c r="M624" s="12" t="str">
        <f>IF(TOTALCO!M1153="", "",TOTALCO!M1153)</f>
        <v/>
      </c>
      <c r="N624" s="12">
        <f ca="1">IF(TOTALCO!N1153="", "",TOTALCO!N1153)</f>
        <v>0</v>
      </c>
      <c r="O624" s="12">
        <f ca="1">IF(TOTALCO!O1153="", "",TOTALCO!O1153)</f>
        <v>0</v>
      </c>
      <c r="P624" s="12">
        <f ca="1">IF(TOTALCO!P1153="", "",TOTALCO!P1153)</f>
        <v>0</v>
      </c>
      <c r="Q624" s="12"/>
      <c r="R624" s="13"/>
    </row>
    <row r="625" spans="1:18" ht="15" x14ac:dyDescent="0.2">
      <c r="A625" s="321">
        <f>IF(TOTALCO!A1154="", "",TOTALCO!A1154)</f>
        <v>17</v>
      </c>
      <c r="B625" s="4" t="str">
        <f>IF(TOTALCO!B1154="", "",TOTALCO!B1154)</f>
        <v xml:space="preserve">  FERC-AFUDC PRE</v>
      </c>
      <c r="C625" s="4" t="str">
        <f>IF(TOTALCO!C1154="", "",TOTALCO!C1154)</f>
        <v>DEMFERC</v>
      </c>
      <c r="D625" s="12">
        <f ca="1">IF(TOTALCO!D1154="", "",TOTALCO!D1154)</f>
        <v>63243.999999999942</v>
      </c>
      <c r="E625" s="12" t="str">
        <f>IF(TOTALCO!E1154="", "",TOTALCO!E1154)</f>
        <v/>
      </c>
      <c r="F625" s="12">
        <f ca="1">IF(TOTALCO!F1154="", "",TOTALCO!F1154)</f>
        <v>33213.063095890378</v>
      </c>
      <c r="G625" s="12" t="str">
        <f>IF(TOTALCO!G1154="", "",TOTALCO!G1154)</f>
        <v/>
      </c>
      <c r="H625" s="12">
        <f ca="1">IF(TOTALCO!H1154="", "",TOTALCO!H1154)</f>
        <v>20598.772949771672</v>
      </c>
      <c r="I625" s="12">
        <f ca="1">IF(TOTALCO!I1154="", "",TOTALCO!I1154)</f>
        <v>9432.1639543378915</v>
      </c>
      <c r="J625" s="12" t="str">
        <f>IF(TOTALCO!J1154="", "",TOTALCO!J1154)</f>
        <v/>
      </c>
      <c r="K625" s="12" t="str">
        <f>IF(TOTALCO!K1154="", "",TOTALCO!K1154)</f>
        <v/>
      </c>
      <c r="L625" s="12">
        <f ca="1">IF(TOTALCO!L1154="", "",TOTALCO!L1154)</f>
        <v>0</v>
      </c>
      <c r="M625" s="12" t="str">
        <f>IF(TOTALCO!M1154="", "",TOTALCO!M1154)</f>
        <v/>
      </c>
      <c r="N625" s="12">
        <f ca="1">IF(TOTALCO!N1154="", "",TOTALCO!N1154)</f>
        <v>9432.1639543378915</v>
      </c>
      <c r="O625" s="12">
        <f ca="1">IF(TOTALCO!O1154="", "",TOTALCO!O1154)</f>
        <v>4783.7299543378949</v>
      </c>
      <c r="P625" s="12">
        <f ca="1">IF(TOTALCO!P1154="", "",TOTALCO!P1154)</f>
        <v>4648.4339999999956</v>
      </c>
      <c r="Q625" s="12"/>
      <c r="R625" s="13"/>
    </row>
    <row r="626" spans="1:18" ht="15" x14ac:dyDescent="0.2">
      <c r="A626" s="321">
        <f>IF(TOTALCO!A1155="", "",TOTALCO!A1155)</f>
        <v>18</v>
      </c>
      <c r="B626" s="4" t="str">
        <f>IF(TOTALCO!B1155="", "",TOTALCO!B1155)</f>
        <v xml:space="preserve">  FERC-AFUDC POST</v>
      </c>
      <c r="C626" s="4" t="str">
        <f>IF(TOTALCO!C1155="", "",TOTALCO!C1155)</f>
        <v>DEMFERCP</v>
      </c>
      <c r="D626" s="12">
        <f ca="1">IF(TOTALCO!D1155="", "",TOTALCO!D1155)</f>
        <v>32052</v>
      </c>
      <c r="E626" s="12" t="str">
        <f>IF(TOTALCO!E1155="", "",TOTALCO!E1155)</f>
        <v/>
      </c>
      <c r="F626" s="12">
        <f ca="1">IF(TOTALCO!F1155="", "",TOTALCO!F1155)</f>
        <v>24962.819334872791</v>
      </c>
      <c r="G626" s="12" t="str">
        <f>IF(TOTALCO!G1155="", "",TOTALCO!G1155)</f>
        <v/>
      </c>
      <c r="H626" s="12">
        <f ca="1">IF(TOTALCO!H1155="", "",TOTALCO!H1155)</f>
        <v>0</v>
      </c>
      <c r="I626" s="12">
        <f ca="1">IF(TOTALCO!I1155="", "",TOTALCO!I1155)</f>
        <v>7089.1806651272091</v>
      </c>
      <c r="J626" s="12" t="str">
        <f>IF(TOTALCO!J1155="", "",TOTALCO!J1155)</f>
        <v/>
      </c>
      <c r="K626" s="12" t="str">
        <f>IF(TOTALCO!K1155="", "",TOTALCO!K1155)</f>
        <v/>
      </c>
      <c r="L626" s="12">
        <f ca="1">IF(TOTALCO!L1155="", "",TOTALCO!L1155)</f>
        <v>0</v>
      </c>
      <c r="M626" s="12" t="str">
        <f>IF(TOTALCO!M1155="", "",TOTALCO!M1155)</f>
        <v/>
      </c>
      <c r="N626" s="12">
        <f ca="1">IF(TOTALCO!N1155="", "",TOTALCO!N1155)</f>
        <v>7089.1806651272091</v>
      </c>
      <c r="O626" s="12">
        <f ca="1">IF(TOTALCO!O1155="", "",TOTALCO!O1155)</f>
        <v>3595.4343100541068</v>
      </c>
      <c r="P626" s="12">
        <f ca="1">IF(TOTALCO!P1155="", "",TOTALCO!P1155)</f>
        <v>3493.7463550731018</v>
      </c>
      <c r="Q626" s="12"/>
      <c r="R626" s="13"/>
    </row>
    <row r="627" spans="1:18" ht="15" x14ac:dyDescent="0.2">
      <c r="A627" s="321">
        <f>IF(TOTALCO!A1156="", "",TOTALCO!A1156)</f>
        <v>19</v>
      </c>
      <c r="B627" s="4" t="str">
        <f>IF(TOTALCO!B1156="", "",TOTALCO!B1156)</f>
        <v xml:space="preserve"> TOTAL TRANSMISSION PLANT</v>
      </c>
      <c r="C627" s="4" t="str">
        <f>IF(TOTALCO!C1156="", "",TOTALCO!C1156)</f>
        <v/>
      </c>
      <c r="D627" s="12">
        <f ca="1">IF(TOTALCO!D1156="", "",TOTALCO!D1156)</f>
        <v>26570807.527816717</v>
      </c>
      <c r="E627" s="12" t="str">
        <f>IF(TOTALCO!E1156="", "",TOTALCO!E1156)</f>
        <v/>
      </c>
      <c r="F627" s="12">
        <f ca="1">IF(TOTALCO!F1156="", "",TOTALCO!F1156)</f>
        <v>24087974.805386644</v>
      </c>
      <c r="G627" s="12" t="str">
        <f>IF(TOTALCO!G1156="", "",TOTALCO!G1156)</f>
        <v/>
      </c>
      <c r="H627" s="12">
        <f ca="1">IF(TOTALCO!H1156="", "",TOTALCO!H1156)</f>
        <v>2466234.4389596605</v>
      </c>
      <c r="I627" s="12">
        <f ca="1">IF(TOTALCO!I1156="", "",TOTALCO!I1156)</f>
        <v>16598.283470410981</v>
      </c>
      <c r="J627" s="12" t="str">
        <f>IF(TOTALCO!J1156="", "",TOTALCO!J1156)</f>
        <v/>
      </c>
      <c r="K627" s="12" t="str">
        <f>IF(TOTALCO!K1156="", "",TOTALCO!K1156)</f>
        <v/>
      </c>
      <c r="L627" s="12">
        <f ca="1">IF(TOTALCO!L1156="", "",TOTALCO!L1156)</f>
        <v>76.938850945881001</v>
      </c>
      <c r="M627" s="12" t="str">
        <f>IF(TOTALCO!M1156="", "",TOTALCO!M1156)</f>
        <v/>
      </c>
      <c r="N627" s="12">
        <f ca="1">IF(TOTALCO!N1156="", "",TOTALCO!N1156)</f>
        <v>16521.344619465101</v>
      </c>
      <c r="O627" s="12">
        <f ca="1">IF(TOTALCO!O1156="", "",TOTALCO!O1156)</f>
        <v>8379.1642643920022</v>
      </c>
      <c r="P627" s="12">
        <f ca="1">IF(TOTALCO!P1156="", "",TOTALCO!P1156)</f>
        <v>8142.1803550730974</v>
      </c>
      <c r="Q627" s="12"/>
      <c r="R627" s="13"/>
    </row>
    <row r="628" spans="1:18" ht="15" x14ac:dyDescent="0.2">
      <c r="A628" s="321" t="str">
        <f>IF(TOTALCO!A1157="", "",TOTALCO!A1157)</f>
        <v/>
      </c>
      <c r="B628" s="4" t="str">
        <f>IF(TOTALCO!B1157="", "",TOTALCO!B1157)</f>
        <v/>
      </c>
      <c r="C628" s="4" t="str">
        <f>IF(TOTALCO!C1157="", "",TOTALCO!C1157)</f>
        <v/>
      </c>
      <c r="D628" s="12" t="str">
        <f>IF(TOTALCO!D1157="", "",TOTALCO!D1157)</f>
        <v/>
      </c>
      <c r="E628" s="12" t="str">
        <f>IF(TOTALCO!E1157="", "",TOTALCO!E1157)</f>
        <v/>
      </c>
      <c r="F628" s="12" t="str">
        <f>IF(TOTALCO!F1157="", "",TOTALCO!F1157)</f>
        <v/>
      </c>
      <c r="G628" s="12" t="str">
        <f>IF(TOTALCO!G1157="", "",TOTALCO!G1157)</f>
        <v/>
      </c>
      <c r="H628" s="12" t="str">
        <f>IF(TOTALCO!H1157="", "",TOTALCO!H1157)</f>
        <v/>
      </c>
      <c r="I628" s="12" t="str">
        <f>IF(TOTALCO!I1157="", "",TOTALCO!I1157)</f>
        <v/>
      </c>
      <c r="J628" s="12" t="str">
        <f>IF(TOTALCO!J1157="", "",TOTALCO!J1157)</f>
        <v/>
      </c>
      <c r="K628" s="12" t="str">
        <f>IF(TOTALCO!K1157="", "",TOTALCO!K1157)</f>
        <v/>
      </c>
      <c r="L628" s="12" t="str">
        <f>IF(TOTALCO!L1157="", "",TOTALCO!L1157)</f>
        <v/>
      </c>
      <c r="M628" s="12" t="str">
        <f>IF(TOTALCO!M1157="", "",TOTALCO!M1157)</f>
        <v/>
      </c>
      <c r="N628" s="12" t="str">
        <f>IF(TOTALCO!N1157="", "",TOTALCO!N1157)</f>
        <v/>
      </c>
      <c r="O628" s="12" t="str">
        <f>IF(TOTALCO!O1157="", "",TOTALCO!O1157)</f>
        <v/>
      </c>
      <c r="P628" s="12" t="str">
        <f>IF(TOTALCO!P1157="", "",TOTALCO!P1157)</f>
        <v/>
      </c>
      <c r="Q628" s="12"/>
      <c r="R628" s="13"/>
    </row>
    <row r="629" spans="1:18" ht="15" x14ac:dyDescent="0.2">
      <c r="A629" s="321" t="str">
        <f>IF(TOTALCO!A1158="", "",TOTALCO!A1158)</f>
        <v/>
      </c>
      <c r="B629" s="4" t="str">
        <f>IF(TOTALCO!B1158="", "",TOTALCO!B1158)</f>
        <v xml:space="preserve"> DISTRIBUTION PLANT</v>
      </c>
      <c r="C629" s="4" t="str">
        <f>IF(TOTALCO!C1158="", "",TOTALCO!C1158)</f>
        <v/>
      </c>
      <c r="D629" s="12" t="str">
        <f>IF(TOTALCO!D1158="", "",TOTALCO!D1158)</f>
        <v/>
      </c>
      <c r="E629" s="12" t="str">
        <f>IF(TOTALCO!E1158="", "",TOTALCO!E1158)</f>
        <v/>
      </c>
      <c r="F629" s="12" t="str">
        <f>IF(TOTALCO!F1158="", "",TOTALCO!F1158)</f>
        <v/>
      </c>
      <c r="G629" s="12" t="str">
        <f>IF(TOTALCO!G1158="", "",TOTALCO!G1158)</f>
        <v/>
      </c>
      <c r="H629" s="12" t="str">
        <f>IF(TOTALCO!H1158="", "",TOTALCO!H1158)</f>
        <v/>
      </c>
      <c r="I629" s="12" t="str">
        <f>IF(TOTALCO!I1158="", "",TOTALCO!I1158)</f>
        <v/>
      </c>
      <c r="J629" s="12" t="str">
        <f>IF(TOTALCO!J1158="", "",TOTALCO!J1158)</f>
        <v/>
      </c>
      <c r="K629" s="12" t="str">
        <f>IF(TOTALCO!K1158="", "",TOTALCO!K1158)</f>
        <v/>
      </c>
      <c r="L629" s="12" t="str">
        <f>IF(TOTALCO!L1158="", "",TOTALCO!L1158)</f>
        <v/>
      </c>
      <c r="M629" s="12" t="str">
        <f>IF(TOTALCO!M1158="", "",TOTALCO!M1158)</f>
        <v/>
      </c>
      <c r="N629" s="12" t="str">
        <f>IF(TOTALCO!N1158="", "",TOTALCO!N1158)</f>
        <v/>
      </c>
      <c r="O629" s="12" t="str">
        <f>IF(TOTALCO!O1158="", "",TOTALCO!O1158)</f>
        <v/>
      </c>
      <c r="P629" s="12" t="str">
        <f>IF(TOTALCO!P1158="", "",TOTALCO!P1158)</f>
        <v/>
      </c>
      <c r="Q629" s="12"/>
      <c r="R629" s="13"/>
    </row>
    <row r="630" spans="1:18" ht="15" x14ac:dyDescent="0.2">
      <c r="A630" s="321">
        <f>IF(TOTALCO!A1159="", "",TOTALCO!A1159)</f>
        <v>20</v>
      </c>
      <c r="B630" s="4" t="str">
        <f>IF(TOTALCO!B1159="", "",TOTALCO!B1159)</f>
        <v xml:space="preserve">   DISTRIBUTION-KENTUCKY</v>
      </c>
      <c r="C630" s="4" t="str">
        <f>IF(TOTALCO!C1159="", "",TOTALCO!C1159)</f>
        <v>KYDIST</v>
      </c>
      <c r="D630" s="12">
        <f ca="1">IF(TOTALCO!D1159="", "",TOTALCO!D1159)</f>
        <v>47427099.866636217</v>
      </c>
      <c r="E630" s="12" t="str">
        <f>IF(TOTALCO!E1159="", "",TOTALCO!E1159)</f>
        <v/>
      </c>
      <c r="F630" s="12">
        <f ca="1">IF(TOTALCO!F1159="", "",TOTALCO!F1159)</f>
        <v>47336937.887165405</v>
      </c>
      <c r="G630" s="12" t="str">
        <f>IF(TOTALCO!G1159="", "",TOTALCO!G1159)</f>
        <v/>
      </c>
      <c r="H630" s="12">
        <f ca="1">IF(TOTALCO!H1159="", "",TOTALCO!H1159)</f>
        <v>0</v>
      </c>
      <c r="I630" s="12">
        <f ca="1">IF(TOTALCO!I1159="", "",TOTALCO!I1159)</f>
        <v>90161.979470811857</v>
      </c>
      <c r="J630" s="12" t="str">
        <f>IF(TOTALCO!J1159="", "",TOTALCO!J1159)</f>
        <v/>
      </c>
      <c r="K630" s="12" t="str">
        <f>IF(TOTALCO!K1159="", "",TOTALCO!K1159)</f>
        <v/>
      </c>
      <c r="L630" s="12">
        <f ca="1">IF(TOTALCO!L1159="", "",TOTALCO!L1159)</f>
        <v>0</v>
      </c>
      <c r="M630" s="12" t="str">
        <f>IF(TOTALCO!M1159="", "",TOTALCO!M1159)</f>
        <v/>
      </c>
      <c r="N630" s="12">
        <f ca="1">IF(TOTALCO!N1159="", "",TOTALCO!N1159)</f>
        <v>90161.979470811857</v>
      </c>
      <c r="O630" s="12">
        <f ca="1">IF(TOTALCO!O1159="", "",TOTALCO!O1159)</f>
        <v>89501.391231717775</v>
      </c>
      <c r="P630" s="12">
        <f ca="1">IF(TOTALCO!P1159="", "",TOTALCO!P1159)</f>
        <v>660.58823909408011</v>
      </c>
      <c r="Q630" s="12"/>
      <c r="R630" s="13"/>
    </row>
    <row r="631" spans="1:18" ht="15" x14ac:dyDescent="0.2">
      <c r="A631" s="321">
        <f>IF(TOTALCO!A1160="", "",TOTALCO!A1160)</f>
        <v>21</v>
      </c>
      <c r="B631" s="4" t="str">
        <f>IF(TOTALCO!B1160="", "",TOTALCO!B1160)</f>
        <v xml:space="preserve">   DISTRIBUTION-VIRGINIA</v>
      </c>
      <c r="C631" s="4" t="str">
        <f>IF(TOTALCO!C1160="", "",TOTALCO!C1160)</f>
        <v>VADIST</v>
      </c>
      <c r="D631" s="12">
        <f ca="1">IF(TOTALCO!D1160="", "",TOTALCO!D1160)</f>
        <v>2474359.6733455588</v>
      </c>
      <c r="E631" s="12" t="str">
        <f>IF(TOTALCO!E1160="", "",TOTALCO!E1160)</f>
        <v/>
      </c>
      <c r="F631" s="12">
        <f ca="1">IF(TOTALCO!F1160="", "",TOTALCO!F1160)</f>
        <v>0</v>
      </c>
      <c r="G631" s="12" t="str">
        <f>IF(TOTALCO!G1160="", "",TOTALCO!G1160)</f>
        <v/>
      </c>
      <c r="H631" s="12">
        <f ca="1">IF(TOTALCO!H1160="", "",TOTALCO!H1160)</f>
        <v>2474359.6733455588</v>
      </c>
      <c r="I631" s="12">
        <f ca="1">IF(TOTALCO!I1160="", "",TOTALCO!I1160)</f>
        <v>0</v>
      </c>
      <c r="J631" s="12" t="str">
        <f>IF(TOTALCO!J1160="", "",TOTALCO!J1160)</f>
        <v/>
      </c>
      <c r="K631" s="12" t="str">
        <f>IF(TOTALCO!K1160="", "",TOTALCO!K1160)</f>
        <v/>
      </c>
      <c r="L631" s="12">
        <f ca="1">IF(TOTALCO!L1160="", "",TOTALCO!L1160)</f>
        <v>0</v>
      </c>
      <c r="M631" s="12" t="str">
        <f>IF(TOTALCO!M1160="", "",TOTALCO!M1160)</f>
        <v/>
      </c>
      <c r="N631" s="12">
        <f ca="1">IF(TOTALCO!N1160="", "",TOTALCO!N1160)</f>
        <v>0</v>
      </c>
      <c r="O631" s="12">
        <f ca="1">IF(TOTALCO!O1160="", "",TOTALCO!O1160)</f>
        <v>0</v>
      </c>
      <c r="P631" s="12">
        <f ca="1">IF(TOTALCO!P1160="", "",TOTALCO!P1160)</f>
        <v>0</v>
      </c>
      <c r="Q631" s="12"/>
      <c r="R631" s="13"/>
    </row>
    <row r="632" spans="1:18" ht="15" x14ac:dyDescent="0.2">
      <c r="A632" s="321">
        <f>IF(TOTALCO!A1161="", "",TOTALCO!A1161)</f>
        <v>22</v>
      </c>
      <c r="B632" s="4" t="str">
        <f>IF(TOTALCO!B1161="", "",TOTALCO!B1161)</f>
        <v xml:space="preserve">   DISTRIBUTION-TENNESSEE</v>
      </c>
      <c r="C632" s="4" t="str">
        <f>IF(TOTALCO!C1161="", "",TOTALCO!C1161)</f>
        <v>TNDIST</v>
      </c>
      <c r="D632" s="12">
        <f ca="1">IF(TOTALCO!D1161="", "",TOTALCO!D1161)</f>
        <v>4271.7860867520003</v>
      </c>
      <c r="E632" s="12" t="str">
        <f>IF(TOTALCO!E1161="", "",TOTALCO!E1161)</f>
        <v/>
      </c>
      <c r="F632" s="12">
        <f ca="1">IF(TOTALCO!F1161="", "",TOTALCO!F1161)</f>
        <v>0</v>
      </c>
      <c r="G632" s="12" t="str">
        <f>IF(TOTALCO!G1161="", "",TOTALCO!G1161)</f>
        <v/>
      </c>
      <c r="H632" s="12">
        <f ca="1">IF(TOTALCO!H1161="", "",TOTALCO!H1161)</f>
        <v>0</v>
      </c>
      <c r="I632" s="12">
        <f ca="1">IF(TOTALCO!I1161="", "",TOTALCO!I1161)</f>
        <v>4271.7860867520003</v>
      </c>
      <c r="J632" s="12" t="str">
        <f>IF(TOTALCO!J1161="", "",TOTALCO!J1161)</f>
        <v/>
      </c>
      <c r="K632" s="12" t="str">
        <f>IF(TOTALCO!K1161="", "",TOTALCO!K1161)</f>
        <v/>
      </c>
      <c r="L632" s="12">
        <f ca="1">IF(TOTALCO!L1161="", "",TOTALCO!L1161)</f>
        <v>4271.7860867520003</v>
      </c>
      <c r="M632" s="12" t="str">
        <f>IF(TOTALCO!M1161="", "",TOTALCO!M1161)</f>
        <v/>
      </c>
      <c r="N632" s="12">
        <f ca="1">IF(TOTALCO!N1161="", "",TOTALCO!N1161)</f>
        <v>0</v>
      </c>
      <c r="O632" s="12">
        <f ca="1">IF(TOTALCO!O1161="", "",TOTALCO!O1161)</f>
        <v>0</v>
      </c>
      <c r="P632" s="12">
        <f ca="1">IF(TOTALCO!P1161="", "",TOTALCO!P1161)</f>
        <v>0</v>
      </c>
      <c r="Q632" s="12"/>
      <c r="R632" s="13"/>
    </row>
    <row r="633" spans="1:18" ht="15" x14ac:dyDescent="0.2">
      <c r="A633" s="321">
        <f>IF(TOTALCO!A1162="", "",TOTALCO!A1162)</f>
        <v>23</v>
      </c>
      <c r="B633" s="4" t="str">
        <f>IF(TOTALCO!B1162="", "",TOTALCO!B1162)</f>
        <v xml:space="preserve"> TOTAL DISTRIBUTION PLANT</v>
      </c>
      <c r="C633" s="4" t="str">
        <f>IF(TOTALCO!C1162="", "",TOTALCO!C1162)</f>
        <v/>
      </c>
      <c r="D633" s="12">
        <f ca="1">IF(TOTALCO!D1162="", "",TOTALCO!D1162)</f>
        <v>49905731.326068528</v>
      </c>
      <c r="E633" s="12" t="str">
        <f>IF(TOTALCO!E1162="", "",TOTALCO!E1162)</f>
        <v/>
      </c>
      <c r="F633" s="12">
        <f ca="1">IF(TOTALCO!F1162="", "",TOTALCO!F1162)</f>
        <v>47336937.887165405</v>
      </c>
      <c r="G633" s="12" t="str">
        <f>IF(TOTALCO!G1162="", "",TOTALCO!G1162)</f>
        <v/>
      </c>
      <c r="H633" s="12">
        <f ca="1">IF(TOTALCO!H1162="", "",TOTALCO!H1162)</f>
        <v>2474359.6733455588</v>
      </c>
      <c r="I633" s="12">
        <f ca="1">IF(TOTALCO!I1162="", "",TOTALCO!I1162)</f>
        <v>94433.765557563864</v>
      </c>
      <c r="J633" s="12" t="str">
        <f>IF(TOTALCO!J1162="", "",TOTALCO!J1162)</f>
        <v/>
      </c>
      <c r="K633" s="12" t="str">
        <f>IF(TOTALCO!K1162="", "",TOTALCO!K1162)</f>
        <v/>
      </c>
      <c r="L633" s="12">
        <f ca="1">IF(TOTALCO!L1162="", "",TOTALCO!L1162)</f>
        <v>4271.7860867520003</v>
      </c>
      <c r="M633" s="12" t="str">
        <f>IF(TOTALCO!M1162="", "",TOTALCO!M1162)</f>
        <v/>
      </c>
      <c r="N633" s="12">
        <f ca="1">IF(TOTALCO!N1162="", "",TOTALCO!N1162)</f>
        <v>90161.979470811857</v>
      </c>
      <c r="O633" s="12">
        <f ca="1">IF(TOTALCO!O1162="", "",TOTALCO!O1162)</f>
        <v>89501.391231717775</v>
      </c>
      <c r="P633" s="12">
        <f ca="1">IF(TOTALCO!P1162="", "",TOTALCO!P1162)</f>
        <v>660.58823909408011</v>
      </c>
      <c r="Q633" s="12"/>
      <c r="R633" s="13"/>
    </row>
    <row r="634" spans="1:18" ht="15" x14ac:dyDescent="0.2">
      <c r="A634" s="321" t="str">
        <f>IF(TOTALCO!A1163="", "",TOTALCO!A1163)</f>
        <v/>
      </c>
      <c r="B634" s="4" t="str">
        <f>IF(TOTALCO!B1163="", "",TOTALCO!B1163)</f>
        <v/>
      </c>
      <c r="C634" s="4" t="str">
        <f>IF(TOTALCO!C1163="", "",TOTALCO!C1163)</f>
        <v/>
      </c>
      <c r="D634" s="12" t="str">
        <f>IF(TOTALCO!D1163="", "",TOTALCO!D1163)</f>
        <v/>
      </c>
      <c r="E634" s="12" t="str">
        <f>IF(TOTALCO!E1163="", "",TOTALCO!E1163)</f>
        <v/>
      </c>
      <c r="F634" s="12" t="str">
        <f>IF(TOTALCO!F1163="", "",TOTALCO!F1163)</f>
        <v/>
      </c>
      <c r="G634" s="12" t="str">
        <f>IF(TOTALCO!G1163="", "",TOTALCO!G1163)</f>
        <v/>
      </c>
      <c r="H634" s="12" t="str">
        <f>IF(TOTALCO!H1163="", "",TOTALCO!H1163)</f>
        <v/>
      </c>
      <c r="I634" s="12" t="str">
        <f>IF(TOTALCO!I1163="", "",TOTALCO!I1163)</f>
        <v/>
      </c>
      <c r="J634" s="12" t="str">
        <f>IF(TOTALCO!J1163="", "",TOTALCO!J1163)</f>
        <v/>
      </c>
      <c r="K634" s="12" t="str">
        <f>IF(TOTALCO!K1163="", "",TOTALCO!K1163)</f>
        <v/>
      </c>
      <c r="L634" s="12" t="str">
        <f>IF(TOTALCO!L1163="", "",TOTALCO!L1163)</f>
        <v/>
      </c>
      <c r="M634" s="12" t="str">
        <f>IF(TOTALCO!M1163="", "",TOTALCO!M1163)</f>
        <v/>
      </c>
      <c r="N634" s="12" t="str">
        <f>IF(TOTALCO!N1163="", "",TOTALCO!N1163)</f>
        <v/>
      </c>
      <c r="O634" s="12" t="str">
        <f>IF(TOTALCO!O1163="", "",TOTALCO!O1163)</f>
        <v/>
      </c>
      <c r="P634" s="12" t="str">
        <f>IF(TOTALCO!P1163="", "",TOTALCO!P1163)</f>
        <v/>
      </c>
      <c r="Q634" s="12"/>
      <c r="R634" s="13"/>
    </row>
    <row r="635" spans="1:18" ht="15" x14ac:dyDescent="0.2">
      <c r="A635" s="321">
        <f>IF(TOTALCO!A1164="", "",TOTALCO!A1164)</f>
        <v>24</v>
      </c>
      <c r="B635" s="4" t="str">
        <f>IF(TOTALCO!B1164="", "",TOTALCO!B1164)</f>
        <v xml:space="preserve"> GENERAL PLANT</v>
      </c>
      <c r="C635" s="4" t="str">
        <f>IF(TOTALCO!C1164="", "",TOTALCO!C1164)</f>
        <v>GENPLT</v>
      </c>
      <c r="D635" s="12">
        <f ca="1">IF(TOTALCO!D1164="", "",TOTALCO!D1164)</f>
        <v>13181731.534717459</v>
      </c>
      <c r="E635" s="12" t="str">
        <f>IF(TOTALCO!E1164="", "",TOTALCO!E1164)</f>
        <v/>
      </c>
      <c r="F635" s="12">
        <f ca="1">IF(TOTALCO!F1164="", "",TOTALCO!F1164)</f>
        <v>12427164.468427399</v>
      </c>
      <c r="G635" s="12" t="str">
        <f>IF(TOTALCO!G1164="", "",TOTALCO!G1164)</f>
        <v/>
      </c>
      <c r="H635" s="12">
        <f ca="1">IF(TOTALCO!H1164="", "",TOTALCO!H1164)</f>
        <v>602233.12475796812</v>
      </c>
      <c r="I635" s="12">
        <f ca="1">IF(TOTALCO!I1164="", "",TOTALCO!I1164)</f>
        <v>152333.94153209269</v>
      </c>
      <c r="J635" s="12" t="str">
        <f>IF(TOTALCO!J1164="", "",TOTALCO!J1164)</f>
        <v/>
      </c>
      <c r="K635" s="12" t="str">
        <f>IF(TOTALCO!K1164="", "",TOTALCO!K1164)</f>
        <v/>
      </c>
      <c r="L635" s="12">
        <f ca="1">IF(TOTALCO!L1164="", "",TOTALCO!L1164)</f>
        <v>857.05327596310519</v>
      </c>
      <c r="M635" s="12" t="str">
        <f>IF(TOTALCO!M1164="", "",TOTALCO!M1164)</f>
        <v/>
      </c>
      <c r="N635" s="12">
        <f ca="1">IF(TOTALCO!N1164="", "",TOTALCO!N1164)</f>
        <v>151476.88825612958</v>
      </c>
      <c r="O635" s="12">
        <f ca="1">IF(TOTALCO!O1164="", "",TOTALCO!O1164)</f>
        <v>78961.828661051899</v>
      </c>
      <c r="P635" s="12">
        <f ca="1">IF(TOTALCO!P1164="", "",TOTALCO!P1164)</f>
        <v>72515.059595077677</v>
      </c>
      <c r="Q635" s="12"/>
      <c r="R635" s="13"/>
    </row>
    <row r="636" spans="1:18" ht="15" x14ac:dyDescent="0.2">
      <c r="A636" s="321" t="str">
        <f>IF(TOTALCO!A1165="", "",TOTALCO!A1165)</f>
        <v/>
      </c>
      <c r="B636" s="4" t="str">
        <f>IF(TOTALCO!B1165="", "",TOTALCO!B1165)</f>
        <v/>
      </c>
      <c r="C636" s="4" t="str">
        <f>IF(TOTALCO!C1165="", "",TOTALCO!C1165)</f>
        <v/>
      </c>
      <c r="D636" s="12" t="str">
        <f>IF(TOTALCO!D1165="", "",TOTALCO!D1165)</f>
        <v/>
      </c>
      <c r="E636" s="12" t="str">
        <f>IF(TOTALCO!E1165="", "",TOTALCO!E1165)</f>
        <v/>
      </c>
      <c r="F636" s="12" t="str">
        <f>IF(TOTALCO!F1165="", "",TOTALCO!F1165)</f>
        <v/>
      </c>
      <c r="G636" s="12" t="str">
        <f>IF(TOTALCO!G1165="", "",TOTALCO!G1165)</f>
        <v/>
      </c>
      <c r="H636" s="12" t="str">
        <f>IF(TOTALCO!H1165="", "",TOTALCO!H1165)</f>
        <v/>
      </c>
      <c r="I636" s="12" t="str">
        <f>IF(TOTALCO!I1165="", "",TOTALCO!I1165)</f>
        <v/>
      </c>
      <c r="J636" s="12" t="str">
        <f>IF(TOTALCO!J1165="", "",TOTALCO!J1165)</f>
        <v/>
      </c>
      <c r="K636" s="12" t="str">
        <f>IF(TOTALCO!K1165="", "",TOTALCO!K1165)</f>
        <v/>
      </c>
      <c r="L636" s="12" t="str">
        <f>IF(TOTALCO!L1165="", "",TOTALCO!L1165)</f>
        <v/>
      </c>
      <c r="M636" s="12" t="str">
        <f>IF(TOTALCO!M1165="", "",TOTALCO!M1165)</f>
        <v/>
      </c>
      <c r="N636" s="12" t="str">
        <f>IF(TOTALCO!N1165="", "",TOTALCO!N1165)</f>
        <v/>
      </c>
      <c r="O636" s="12" t="str">
        <f>IF(TOTALCO!O1165="", "",TOTALCO!O1165)</f>
        <v/>
      </c>
      <c r="P636" s="12" t="str">
        <f>IF(TOTALCO!P1165="", "",TOTALCO!P1165)</f>
        <v/>
      </c>
      <c r="Q636" s="12"/>
      <c r="R636" s="13"/>
    </row>
    <row r="637" spans="1:18" ht="15" x14ac:dyDescent="0.2">
      <c r="A637" s="321">
        <f>IF(TOTALCO!A1166="", "",TOTALCO!A1166)</f>
        <v>25</v>
      </c>
      <c r="B637" s="4" t="str">
        <f>IF(TOTALCO!B1166="", "",TOTALCO!B1166)</f>
        <v xml:space="preserve"> INTANGIBLE PLANT-SOFTWARE</v>
      </c>
      <c r="C637" s="4" t="str">
        <f>IF(TOTALCO!C1166="", "",TOTALCO!C1166)</f>
        <v>PLT303TOT</v>
      </c>
      <c r="D637" s="12">
        <f ca="1">IF(TOTALCO!D1166="", "",TOTALCO!D1166)</f>
        <v>18282927.047200002</v>
      </c>
      <c r="E637" s="12" t="str">
        <f>IF(TOTALCO!E1166="", "",TOTALCO!E1166)</f>
        <v/>
      </c>
      <c r="F637" s="12">
        <f ca="1">IF(TOTALCO!F1166="", "",TOTALCO!F1166)</f>
        <v>17094060.088289209</v>
      </c>
      <c r="G637" s="12" t="str">
        <f>IF(TOTALCO!G1166="", "",TOTALCO!G1166)</f>
        <v/>
      </c>
      <c r="H637" s="12">
        <f ca="1">IF(TOTALCO!H1166="", "",TOTALCO!H1166)</f>
        <v>922851.96469113301</v>
      </c>
      <c r="I637" s="12">
        <f ca="1">IF(TOTALCO!I1166="", "",TOTALCO!I1166)</f>
        <v>266014.99421966041</v>
      </c>
      <c r="J637" s="12" t="str">
        <f>IF(TOTALCO!J1166="", "",TOTALCO!J1166)</f>
        <v/>
      </c>
      <c r="K637" s="12" t="str">
        <f>IF(TOTALCO!K1166="", "",TOTALCO!K1166)</f>
        <v/>
      </c>
      <c r="L637" s="12">
        <f ca="1">IF(TOTALCO!L1166="", "",TOTALCO!L1166)</f>
        <v>1256.4646271309341</v>
      </c>
      <c r="M637" s="12" t="str">
        <f>IF(TOTALCO!M1166="", "",TOTALCO!M1166)</f>
        <v/>
      </c>
      <c r="N637" s="12">
        <f ca="1">IF(TOTALCO!N1166="", "",TOTALCO!N1166)</f>
        <v>264758.52959252946</v>
      </c>
      <c r="O637" s="12">
        <f ca="1">IF(TOTALCO!O1166="", "",TOTALCO!O1166)</f>
        <v>137610.33609199544</v>
      </c>
      <c r="P637" s="12">
        <f ca="1">IF(TOTALCO!P1166="", "",TOTALCO!P1166)</f>
        <v>127148.19350053402</v>
      </c>
      <c r="Q637" s="12"/>
      <c r="R637" s="13"/>
    </row>
    <row r="638" spans="1:18" ht="15" x14ac:dyDescent="0.2">
      <c r="A638" s="321" t="str">
        <f>IF(TOTALCO!A1167="", "",TOTALCO!A1167)</f>
        <v/>
      </c>
      <c r="B638" s="4" t="str">
        <f>IF(TOTALCO!B1167="", "",TOTALCO!B1167)</f>
        <v/>
      </c>
      <c r="C638" s="4" t="str">
        <f>IF(TOTALCO!C1167="", "",TOTALCO!C1167)</f>
        <v/>
      </c>
      <c r="D638" s="12" t="str">
        <f>IF(TOTALCO!D1167="", "",TOTALCO!D1167)</f>
        <v/>
      </c>
      <c r="E638" s="12" t="str">
        <f>IF(TOTALCO!E1167="", "",TOTALCO!E1167)</f>
        <v/>
      </c>
      <c r="F638" s="12" t="str">
        <f>IF(TOTALCO!F1167="", "",TOTALCO!F1167)</f>
        <v/>
      </c>
      <c r="G638" s="12" t="str">
        <f>IF(TOTALCO!G1167="", "",TOTALCO!G1167)</f>
        <v/>
      </c>
      <c r="H638" s="12" t="str">
        <f>IF(TOTALCO!H1167="", "",TOTALCO!H1167)</f>
        <v/>
      </c>
      <c r="I638" s="12" t="str">
        <f>IF(TOTALCO!I1167="", "",TOTALCO!I1167)</f>
        <v/>
      </c>
      <c r="J638" s="12" t="str">
        <f>IF(TOTALCO!J1167="", "",TOTALCO!J1167)</f>
        <v/>
      </c>
      <c r="K638" s="12" t="str">
        <f>IF(TOTALCO!K1167="", "",TOTALCO!K1167)</f>
        <v/>
      </c>
      <c r="L638" s="12" t="str">
        <f>IF(TOTALCO!L1167="", "",TOTALCO!L1167)</f>
        <v/>
      </c>
      <c r="M638" s="12" t="str">
        <f>IF(TOTALCO!M1167="", "",TOTALCO!M1167)</f>
        <v/>
      </c>
      <c r="N638" s="12" t="str">
        <f>IF(TOTALCO!N1167="", "",TOTALCO!N1167)</f>
        <v/>
      </c>
      <c r="O638" s="12" t="str">
        <f>IF(TOTALCO!O1167="", "",TOTALCO!O1167)</f>
        <v/>
      </c>
      <c r="P638" s="12" t="str">
        <f>IF(TOTALCO!P1167="", "",TOTALCO!P1167)</f>
        <v/>
      </c>
      <c r="Q638" s="12"/>
      <c r="R638" s="13"/>
    </row>
    <row r="639" spans="1:18" ht="15" x14ac:dyDescent="0.2">
      <c r="A639" s="321">
        <f>IF(TOTALCO!A1168="", "",TOTALCO!A1168)</f>
        <v>26</v>
      </c>
      <c r="B639" s="4" t="str">
        <f>IF(TOTALCO!B1168="", "",TOTALCO!B1168)</f>
        <v xml:space="preserve"> INTANGIBLE PLANT-FRANCHISES</v>
      </c>
      <c r="C639" s="4" t="str">
        <f>IF(TOTALCO!C1168="", "",TOTALCO!C1168)</f>
        <v>PLT302TOT</v>
      </c>
      <c r="D639" s="12">
        <f ca="1">IF(TOTALCO!D1168="", "",TOTALCO!D1168)</f>
        <v>2029.8535296</v>
      </c>
      <c r="E639" s="12" t="str">
        <f>IF(TOTALCO!E1168="", "",TOTALCO!E1168)</f>
        <v/>
      </c>
      <c r="F639" s="12">
        <f ca="1">IF(TOTALCO!F1168="", "",TOTALCO!F1168)</f>
        <v>2029.8535296</v>
      </c>
      <c r="G639" s="12" t="str">
        <f>IF(TOTALCO!G1168="", "",TOTALCO!G1168)</f>
        <v/>
      </c>
      <c r="H639" s="12">
        <f ca="1">IF(TOTALCO!H1168="", "",TOTALCO!H1168)</f>
        <v>0</v>
      </c>
      <c r="I639" s="12">
        <f ca="1">IF(TOTALCO!I1168="", "",TOTALCO!I1168)</f>
        <v>0</v>
      </c>
      <c r="J639" s="12" t="str">
        <f>IF(TOTALCO!J1168="", "",TOTALCO!J1168)</f>
        <v/>
      </c>
      <c r="K639" s="12" t="str">
        <f>IF(TOTALCO!K1168="", "",TOTALCO!K1168)</f>
        <v/>
      </c>
      <c r="L639" s="12">
        <f ca="1">IF(TOTALCO!L1168="", "",TOTALCO!L1168)</f>
        <v>0</v>
      </c>
      <c r="M639" s="12" t="str">
        <f>IF(TOTALCO!M1168="", "",TOTALCO!M1168)</f>
        <v/>
      </c>
      <c r="N639" s="12">
        <f ca="1">IF(TOTALCO!N1168="", "",TOTALCO!N1168)</f>
        <v>0</v>
      </c>
      <c r="O639" s="12">
        <f ca="1">IF(TOTALCO!O1168="", "",TOTALCO!O1168)</f>
        <v>0</v>
      </c>
      <c r="P639" s="12">
        <f ca="1">IF(TOTALCO!P1168="", "",TOTALCO!P1168)</f>
        <v>0</v>
      </c>
      <c r="Q639" s="12"/>
      <c r="R639" s="13"/>
    </row>
    <row r="640" spans="1:18" ht="15" x14ac:dyDescent="0.2">
      <c r="A640" s="321" t="str">
        <f>IF(TOTALCO!A1169="", "",TOTALCO!A1169)</f>
        <v/>
      </c>
      <c r="B640" s="4" t="str">
        <f>IF(TOTALCO!B1169="", "",TOTALCO!B1169)</f>
        <v/>
      </c>
      <c r="C640" s="4" t="str">
        <f>IF(TOTALCO!C1169="", "",TOTALCO!C1169)</f>
        <v/>
      </c>
      <c r="D640" s="12" t="str">
        <f>IF(TOTALCO!D1169="", "",TOTALCO!D1169)</f>
        <v/>
      </c>
      <c r="E640" s="12" t="str">
        <f>IF(TOTALCO!E1169="", "",TOTALCO!E1169)</f>
        <v/>
      </c>
      <c r="F640" s="12" t="str">
        <f>IF(TOTALCO!F1169="", "",TOTALCO!F1169)</f>
        <v/>
      </c>
      <c r="G640" s="12" t="str">
        <f>IF(TOTALCO!G1169="", "",TOTALCO!G1169)</f>
        <v/>
      </c>
      <c r="H640" s="12" t="str">
        <f>IF(TOTALCO!H1169="", "",TOTALCO!H1169)</f>
        <v/>
      </c>
      <c r="I640" s="12" t="str">
        <f>IF(TOTALCO!I1169="", "",TOTALCO!I1169)</f>
        <v/>
      </c>
      <c r="J640" s="12" t="str">
        <f>IF(TOTALCO!J1169="", "",TOTALCO!J1169)</f>
        <v/>
      </c>
      <c r="K640" s="12" t="str">
        <f>IF(TOTALCO!K1169="", "",TOTALCO!K1169)</f>
        <v/>
      </c>
      <c r="L640" s="12" t="str">
        <f>IF(TOTALCO!L1169="", "",TOTALCO!L1169)</f>
        <v/>
      </c>
      <c r="M640" s="12" t="str">
        <f>IF(TOTALCO!M1169="", "",TOTALCO!M1169)</f>
        <v/>
      </c>
      <c r="N640" s="12" t="str">
        <f>IF(TOTALCO!N1169="", "",TOTALCO!N1169)</f>
        <v/>
      </c>
      <c r="O640" s="12" t="str">
        <f>IF(TOTALCO!O1169="", "",TOTALCO!O1169)</f>
        <v/>
      </c>
      <c r="P640" s="12" t="str">
        <f>IF(TOTALCO!P1169="", "",TOTALCO!P1169)</f>
        <v/>
      </c>
      <c r="Q640" s="12"/>
      <c r="R640" s="13"/>
    </row>
    <row r="641" spans="1:18" ht="15" x14ac:dyDescent="0.2">
      <c r="A641" s="321">
        <f>IF(TOTALCO!A1170="", "",TOTALCO!A1170)</f>
        <v>27</v>
      </c>
      <c r="B641" s="4" t="str">
        <f>IF(TOTALCO!B1170="", "",TOTALCO!B1170)</f>
        <v>TOTAL DEPREC &amp; AMORT EXP</v>
      </c>
      <c r="C641" s="4" t="str">
        <f>IF(TOTALCO!C1170="", "",TOTALCO!C1170)</f>
        <v/>
      </c>
      <c r="D641" s="12">
        <f ca="1">IF(TOTALCO!D1170="", "",TOTALCO!D1170)</f>
        <v>358022830.75845891</v>
      </c>
      <c r="E641" s="12" t="str">
        <f>IF(TOTALCO!E1170="", "",TOTALCO!E1170)</f>
        <v/>
      </c>
      <c r="F641" s="12">
        <f ca="1">IF(TOTALCO!F1170="", "",TOTALCO!F1170)</f>
        <v>335078116.00850677</v>
      </c>
      <c r="G641" s="12" t="str">
        <f>IF(TOTALCO!G1170="", "",TOTALCO!G1170)</f>
        <v/>
      </c>
      <c r="H641" s="12">
        <f ca="1">IF(TOTALCO!H1170="", "",TOTALCO!H1170)</f>
        <v>17272167.44674965</v>
      </c>
      <c r="I641" s="12">
        <f ca="1">IF(TOTALCO!I1170="", "",TOTALCO!I1170)</f>
        <v>5672547.3032024838</v>
      </c>
      <c r="J641" s="12" t="str">
        <f>IF(TOTALCO!J1170="", "",TOTALCO!J1170)</f>
        <v/>
      </c>
      <c r="K641" s="12" t="str">
        <f>IF(TOTALCO!K1170="", "",TOTALCO!K1170)</f>
        <v/>
      </c>
      <c r="L641" s="12">
        <f ca="1">IF(TOTALCO!L1170="", "",TOTALCO!L1170)</f>
        <v>7210.9210236152066</v>
      </c>
      <c r="M641" s="12" t="str">
        <f>IF(TOTALCO!M1170="", "",TOTALCO!M1170)</f>
        <v/>
      </c>
      <c r="N641" s="12">
        <f ca="1">IF(TOTALCO!N1170="", "",TOTALCO!N1170)</f>
        <v>5665336.3821788682</v>
      </c>
      <c r="O641" s="12">
        <f ca="1">IF(TOTALCO!O1170="", "",TOTALCO!O1170)</f>
        <v>2922543.2308066781</v>
      </c>
      <c r="P641" s="12">
        <f ca="1">IF(TOTALCO!P1170="", "",TOTALCO!P1170)</f>
        <v>2742793.1513721901</v>
      </c>
      <c r="Q641" s="12"/>
      <c r="R641" s="13"/>
    </row>
    <row r="642" spans="1:18" ht="15" x14ac:dyDescent="0.2">
      <c r="A642" s="321" t="str">
        <f>IF(TOTALCO!A1172="", "",TOTALCO!A1172)</f>
        <v/>
      </c>
      <c r="B642" s="4" t="str">
        <f>IF(TOTALCO!B1172="", "",TOTALCO!B1172)</f>
        <v/>
      </c>
      <c r="C642" s="4" t="str">
        <f>IF(TOTALCO!C1172="", "",TOTALCO!C1172)</f>
        <v/>
      </c>
      <c r="D642" s="12" t="str">
        <f>IF(TOTALCO!D1172="", "",TOTALCO!D1172)</f>
        <v/>
      </c>
      <c r="E642" s="12" t="str">
        <f>IF(TOTALCO!E1172="", "",TOTALCO!E1172)</f>
        <v/>
      </c>
      <c r="F642" s="12" t="str">
        <f>IF(TOTALCO!F1172="", "",TOTALCO!F1172)</f>
        <v/>
      </c>
      <c r="G642" s="12" t="str">
        <f>IF(TOTALCO!G1172="", "",TOTALCO!G1172)</f>
        <v/>
      </c>
      <c r="H642" s="12" t="str">
        <f>IF(TOTALCO!H1172="", "",TOTALCO!H1172)</f>
        <v/>
      </c>
      <c r="I642" s="12" t="str">
        <f>IF(TOTALCO!I1172="", "",TOTALCO!I1172)</f>
        <v/>
      </c>
      <c r="J642" s="12" t="str">
        <f>IF(TOTALCO!J1172="", "",TOTALCO!J1172)</f>
        <v/>
      </c>
      <c r="K642" s="12" t="str">
        <f>IF(TOTALCO!K1172="", "",TOTALCO!K1172)</f>
        <v/>
      </c>
      <c r="L642" s="12" t="str">
        <f>IF(TOTALCO!L1172="", "",TOTALCO!L1172)</f>
        <v/>
      </c>
      <c r="M642" s="12" t="str">
        <f>IF(TOTALCO!M1172="", "",TOTALCO!M1172)</f>
        <v/>
      </c>
      <c r="N642" s="12" t="str">
        <f>IF(TOTALCO!N1172="", "",TOTALCO!N1172)</f>
        <v/>
      </c>
      <c r="O642" s="12" t="str">
        <f>IF(TOTALCO!O1172="", "",TOTALCO!O1172)</f>
        <v/>
      </c>
      <c r="P642" s="12" t="str">
        <f>IF(TOTALCO!P1172="", "",TOTALCO!P1172)</f>
        <v/>
      </c>
      <c r="Q642" s="12"/>
      <c r="R642" s="13"/>
    </row>
    <row r="643" spans="1:18" ht="15" x14ac:dyDescent="0.2">
      <c r="A643" s="321" t="str">
        <f>IF(TOTALCO!A1172="", "",TOTALCO!A1172)</f>
        <v/>
      </c>
      <c r="B643" s="4" t="str">
        <f>IF(TOTALCO!B1172="", "",TOTALCO!B1172)</f>
        <v/>
      </c>
      <c r="C643" s="4" t="str">
        <f>IF(TOTALCO!C1172="", "",TOTALCO!C1172)</f>
        <v/>
      </c>
      <c r="D643" s="12" t="str">
        <f>IF(TOTALCO!D1172="", "",TOTALCO!D1172)</f>
        <v/>
      </c>
      <c r="E643" s="12" t="str">
        <f>IF(TOTALCO!E1172="", "",TOTALCO!E1172)</f>
        <v/>
      </c>
      <c r="F643" s="12" t="str">
        <f>IF(TOTALCO!F1172="", "",TOTALCO!F1172)</f>
        <v/>
      </c>
      <c r="G643" s="12" t="str">
        <f>IF(TOTALCO!G1172="", "",TOTALCO!G1172)</f>
        <v/>
      </c>
      <c r="H643" s="12" t="str">
        <f>IF(TOTALCO!H1172="", "",TOTALCO!H1172)</f>
        <v/>
      </c>
      <c r="I643" s="12" t="str">
        <f>IF(TOTALCO!I1172="", "",TOTALCO!I1172)</f>
        <v/>
      </c>
      <c r="J643" s="12" t="str">
        <f>IF(TOTALCO!J1172="", "",TOTALCO!J1172)</f>
        <v/>
      </c>
      <c r="K643" s="12" t="str">
        <f>IF(TOTALCO!K1172="", "",TOTALCO!K1172)</f>
        <v/>
      </c>
      <c r="L643" s="12" t="str">
        <f>IF(TOTALCO!L1172="", "",TOTALCO!L1172)</f>
        <v/>
      </c>
      <c r="M643" s="12" t="str">
        <f>IF(TOTALCO!M1172="", "",TOTALCO!M1172)</f>
        <v/>
      </c>
      <c r="N643" s="12" t="str">
        <f>IF(TOTALCO!N1172="", "",TOTALCO!N1172)</f>
        <v/>
      </c>
      <c r="O643" s="12" t="str">
        <f>IF(TOTALCO!O1172="", "",TOTALCO!O1172)</f>
        <v/>
      </c>
      <c r="P643" s="12" t="str">
        <f>IF(TOTALCO!P1172="", "",TOTALCO!P1172)</f>
        <v/>
      </c>
      <c r="Q643" s="12"/>
      <c r="R643" s="13"/>
    </row>
    <row r="644" spans="1:18" ht="15" x14ac:dyDescent="0.2">
      <c r="A644" s="321" t="str">
        <f>IF(TOTALCO!A1173="", "",TOTALCO!A1173)</f>
        <v/>
      </c>
      <c r="B644" s="4" t="str">
        <f>IF(TOTALCO!B1173="", "",TOTALCO!B1173)</f>
        <v>ARO REGULATORY DEBITS AND ACCRETION</v>
      </c>
      <c r="C644" s="4" t="str">
        <f>IF(TOTALCO!C1173="", "",TOTALCO!C1173)</f>
        <v/>
      </c>
      <c r="D644" s="12" t="str">
        <f>IF(TOTALCO!D1173="", "",TOTALCO!D1173)</f>
        <v/>
      </c>
      <c r="E644" s="12" t="str">
        <f>IF(TOTALCO!E1173="", "",TOTALCO!E1173)</f>
        <v/>
      </c>
      <c r="F644" s="12" t="str">
        <f>IF(TOTALCO!F1173="", "",TOTALCO!F1173)</f>
        <v/>
      </c>
      <c r="G644" s="12" t="str">
        <f>IF(TOTALCO!G1173="", "",TOTALCO!G1173)</f>
        <v/>
      </c>
      <c r="H644" s="12" t="str">
        <f>IF(TOTALCO!H1173="", "",TOTALCO!H1173)</f>
        <v/>
      </c>
      <c r="I644" s="12" t="str">
        <f>IF(TOTALCO!I1173="", "",TOTALCO!I1173)</f>
        <v/>
      </c>
      <c r="J644" s="12" t="str">
        <f>IF(TOTALCO!J1173="", "",TOTALCO!J1173)</f>
        <v/>
      </c>
      <c r="K644" s="12" t="str">
        <f>IF(TOTALCO!K1173="", "",TOTALCO!K1173)</f>
        <v/>
      </c>
      <c r="L644" s="12" t="str">
        <f>IF(TOTALCO!L1173="", "",TOTALCO!L1173)</f>
        <v/>
      </c>
      <c r="M644" s="12" t="str">
        <f>IF(TOTALCO!M1173="", "",TOTALCO!M1173)</f>
        <v/>
      </c>
      <c r="N644" s="12" t="str">
        <f>IF(TOTALCO!N1173="", "",TOTALCO!N1173)</f>
        <v/>
      </c>
      <c r="O644" s="12" t="str">
        <f>IF(TOTALCO!O1173="", "",TOTALCO!O1173)</f>
        <v/>
      </c>
      <c r="P644" s="12" t="str">
        <f>IF(TOTALCO!P1173="", "",TOTALCO!P1173)</f>
        <v/>
      </c>
      <c r="Q644" s="12"/>
      <c r="R644" s="13"/>
    </row>
    <row r="645" spans="1:18" ht="15" x14ac:dyDescent="0.2">
      <c r="A645" s="321" t="str">
        <f>IF(TOTALCO!A1174="", "",TOTALCO!A1174)</f>
        <v/>
      </c>
      <c r="B645" s="4" t="str">
        <f>IF(TOTALCO!B1174="", "",TOTALCO!B1174)</f>
        <v/>
      </c>
      <c r="C645" s="4" t="str">
        <f>IF(TOTALCO!C1174="", "",TOTALCO!C1174)</f>
        <v/>
      </c>
      <c r="D645" s="12" t="str">
        <f>IF(TOTALCO!D1174="", "",TOTALCO!D1174)</f>
        <v/>
      </c>
      <c r="E645" s="12" t="str">
        <f>IF(TOTALCO!E1174="", "",TOTALCO!E1174)</f>
        <v/>
      </c>
      <c r="F645" s="12" t="str">
        <f>IF(TOTALCO!F1174="", "",TOTALCO!F1174)</f>
        <v/>
      </c>
      <c r="G645" s="12" t="str">
        <f>IF(TOTALCO!G1174="", "",TOTALCO!G1174)</f>
        <v/>
      </c>
      <c r="H645" s="12" t="str">
        <f>IF(TOTALCO!H1174="", "",TOTALCO!H1174)</f>
        <v/>
      </c>
      <c r="I645" s="12" t="str">
        <f>IF(TOTALCO!I1174="", "",TOTALCO!I1174)</f>
        <v/>
      </c>
      <c r="J645" s="12" t="str">
        <f>IF(TOTALCO!J1174="", "",TOTALCO!J1174)</f>
        <v/>
      </c>
      <c r="K645" s="12" t="str">
        <f>IF(TOTALCO!K1174="", "",TOTALCO!K1174)</f>
        <v/>
      </c>
      <c r="L645" s="12" t="str">
        <f>IF(TOTALCO!L1174="", "",TOTALCO!L1174)</f>
        <v/>
      </c>
      <c r="M645" s="12" t="str">
        <f>IF(TOTALCO!M1174="", "",TOTALCO!M1174)</f>
        <v/>
      </c>
      <c r="N645" s="12" t="str">
        <f>IF(TOTALCO!N1174="", "",TOTALCO!N1174)</f>
        <v/>
      </c>
      <c r="O645" s="12" t="str">
        <f>IF(TOTALCO!O1174="", "",TOTALCO!O1174)</f>
        <v/>
      </c>
      <c r="P645" s="12" t="str">
        <f>IF(TOTALCO!P1174="", "",TOTALCO!P1174)</f>
        <v/>
      </c>
      <c r="Q645" s="12"/>
      <c r="R645" s="13"/>
    </row>
    <row r="646" spans="1:18" ht="15" x14ac:dyDescent="0.2">
      <c r="A646" s="321" t="str">
        <f>IF(TOTALCO!A1175="", "",TOTALCO!A1175)</f>
        <v/>
      </c>
      <c r="B646" s="4" t="str">
        <f>IF(TOTALCO!B1175="", "",TOTALCO!B1175)</f>
        <v>REGULATORY DEBITS</v>
      </c>
      <c r="C646" s="4" t="str">
        <f>IF(TOTALCO!C1175="", "",TOTALCO!C1175)</f>
        <v/>
      </c>
      <c r="D646" s="12" t="str">
        <f>IF(TOTALCO!D1175="", "",TOTALCO!D1175)</f>
        <v/>
      </c>
      <c r="E646" s="12" t="str">
        <f>IF(TOTALCO!E1175="", "",TOTALCO!E1175)</f>
        <v/>
      </c>
      <c r="F646" s="12" t="str">
        <f>IF(TOTALCO!F1175="", "",TOTALCO!F1175)</f>
        <v/>
      </c>
      <c r="G646" s="12" t="str">
        <f>IF(TOTALCO!G1175="", "",TOTALCO!G1175)</f>
        <v/>
      </c>
      <c r="H646" s="12" t="str">
        <f>IF(TOTALCO!H1175="", "",TOTALCO!H1175)</f>
        <v/>
      </c>
      <c r="I646" s="12" t="str">
        <f>IF(TOTALCO!I1175="", "",TOTALCO!I1175)</f>
        <v/>
      </c>
      <c r="J646" s="12" t="str">
        <f>IF(TOTALCO!J1175="", "",TOTALCO!J1175)</f>
        <v/>
      </c>
      <c r="K646" s="12" t="str">
        <f>IF(TOTALCO!K1175="", "",TOTALCO!K1175)</f>
        <v/>
      </c>
      <c r="L646" s="12" t="str">
        <f>IF(TOTALCO!L1175="", "",TOTALCO!L1175)</f>
        <v/>
      </c>
      <c r="M646" s="12" t="str">
        <f>IF(TOTALCO!M1175="", "",TOTALCO!M1175)</f>
        <v/>
      </c>
      <c r="N646" s="12" t="str">
        <f>IF(TOTALCO!N1175="", "",TOTALCO!N1175)</f>
        <v/>
      </c>
      <c r="O646" s="12" t="str">
        <f>IF(TOTALCO!O1175="", "",TOTALCO!O1175)</f>
        <v/>
      </c>
      <c r="P646" s="12" t="str">
        <f>IF(TOTALCO!P1175="", "",TOTALCO!P1175)</f>
        <v/>
      </c>
      <c r="Q646" s="12"/>
      <c r="R646" s="13"/>
    </row>
    <row r="647" spans="1:18" ht="15" x14ac:dyDescent="0.2">
      <c r="A647" s="321" t="str">
        <f>IF(TOTALCO!A1176="", "",TOTALCO!A1176)</f>
        <v/>
      </c>
      <c r="B647" s="4" t="str">
        <f>IF(TOTALCO!B1176="", "",TOTALCO!B1176)</f>
        <v/>
      </c>
      <c r="C647" s="4" t="str">
        <f>IF(TOTALCO!C1176="", "",TOTALCO!C1176)</f>
        <v/>
      </c>
      <c r="D647" s="12" t="str">
        <f>IF(TOTALCO!D1176="", "",TOTALCO!D1176)</f>
        <v/>
      </c>
      <c r="E647" s="12" t="str">
        <f>IF(TOTALCO!E1176="", "",TOTALCO!E1176)</f>
        <v/>
      </c>
      <c r="F647" s="12" t="str">
        <f>IF(TOTALCO!F1176="", "",TOTALCO!F1176)</f>
        <v/>
      </c>
      <c r="G647" s="12" t="str">
        <f>IF(TOTALCO!G1176="", "",TOTALCO!G1176)</f>
        <v/>
      </c>
      <c r="H647" s="12" t="str">
        <f>IF(TOTALCO!H1176="", "",TOTALCO!H1176)</f>
        <v/>
      </c>
      <c r="I647" s="12" t="str">
        <f>IF(TOTALCO!I1176="", "",TOTALCO!I1176)</f>
        <v/>
      </c>
      <c r="J647" s="12" t="str">
        <f>IF(TOTALCO!J1176="", "",TOTALCO!J1176)</f>
        <v/>
      </c>
      <c r="K647" s="12" t="str">
        <f>IF(TOTALCO!K1176="", "",TOTALCO!K1176)</f>
        <v/>
      </c>
      <c r="L647" s="12" t="str">
        <f>IF(TOTALCO!L1176="", "",TOTALCO!L1176)</f>
        <v/>
      </c>
      <c r="M647" s="12" t="str">
        <f>IF(TOTALCO!M1176="", "",TOTALCO!M1176)</f>
        <v/>
      </c>
      <c r="N647" s="12" t="str">
        <f>IF(TOTALCO!N1176="", "",TOTALCO!N1176)</f>
        <v/>
      </c>
      <c r="O647" s="12" t="str">
        <f>IF(TOTALCO!O1176="", "",TOTALCO!O1176)</f>
        <v/>
      </c>
      <c r="P647" s="12" t="str">
        <f>IF(TOTALCO!P1176="", "",TOTALCO!P1176)</f>
        <v/>
      </c>
      <c r="Q647" s="12"/>
      <c r="R647" s="13"/>
    </row>
    <row r="648" spans="1:18" ht="15" x14ac:dyDescent="0.2">
      <c r="A648" s="321" t="str">
        <f>IF(TOTALCO!A1177="", "",TOTALCO!A1177)</f>
        <v/>
      </c>
      <c r="B648" s="4" t="str">
        <f>IF(TOTALCO!B1177="", "",TOTALCO!B1177)</f>
        <v xml:space="preserve"> PRODUCTION PLANT</v>
      </c>
      <c r="C648" s="4" t="str">
        <f>IF(TOTALCO!C1177="", "",TOTALCO!C1177)</f>
        <v/>
      </c>
      <c r="D648" s="12" t="str">
        <f>IF(TOTALCO!D1177="", "",TOTALCO!D1177)</f>
        <v/>
      </c>
      <c r="E648" s="12" t="str">
        <f>IF(TOTALCO!E1177="", "",TOTALCO!E1177)</f>
        <v/>
      </c>
      <c r="F648" s="12" t="str">
        <f>IF(TOTALCO!F1177="", "",TOTALCO!F1177)</f>
        <v/>
      </c>
      <c r="G648" s="12" t="str">
        <f>IF(TOTALCO!G1177="", "",TOTALCO!G1177)</f>
        <v/>
      </c>
      <c r="H648" s="12" t="str">
        <f>IF(TOTALCO!H1177="", "",TOTALCO!H1177)</f>
        <v/>
      </c>
      <c r="I648" s="12" t="str">
        <f>IF(TOTALCO!I1177="", "",TOTALCO!I1177)</f>
        <v/>
      </c>
      <c r="J648" s="12" t="str">
        <f>IF(TOTALCO!J1177="", "",TOTALCO!J1177)</f>
        <v/>
      </c>
      <c r="K648" s="12" t="str">
        <f>IF(TOTALCO!K1177="", "",TOTALCO!K1177)</f>
        <v/>
      </c>
      <c r="L648" s="12" t="str">
        <f>IF(TOTALCO!L1177="", "",TOTALCO!L1177)</f>
        <v/>
      </c>
      <c r="M648" s="12" t="str">
        <f>IF(TOTALCO!M1177="", "",TOTALCO!M1177)</f>
        <v/>
      </c>
      <c r="N648" s="12" t="str">
        <f>IF(TOTALCO!N1177="", "",TOTALCO!N1177)</f>
        <v/>
      </c>
      <c r="O648" s="12" t="str">
        <f>IF(TOTALCO!O1177="", "",TOTALCO!O1177)</f>
        <v/>
      </c>
      <c r="P648" s="12" t="str">
        <f>IF(TOTALCO!P1177="", "",TOTALCO!P1177)</f>
        <v/>
      </c>
      <c r="Q648" s="12"/>
      <c r="R648" s="13"/>
    </row>
    <row r="649" spans="1:18" ht="15" x14ac:dyDescent="0.2">
      <c r="A649" s="321">
        <f>IF(TOTALCO!A1178="", "",TOTALCO!A1178)</f>
        <v>1</v>
      </c>
      <c r="B649" s="4" t="str">
        <f>IF(TOTALCO!B1178="", "",TOTALCO!B1178)</f>
        <v xml:space="preserve">  STEAM PRODUCTION PLANT</v>
      </c>
      <c r="C649" s="4" t="str">
        <f>IF(TOTALCO!C1178="", "",TOTALCO!C1178)</f>
        <v>DIRECT</v>
      </c>
      <c r="D649" s="12">
        <f>IF(TOTALCO!D1178="", "",TOTALCO!D1178)</f>
        <v>9627413.0644305404</v>
      </c>
      <c r="E649" s="12" t="str">
        <f>IF(TOTALCO!E1178="", "",TOTALCO!E1178)</f>
        <v/>
      </c>
      <c r="F649" s="12">
        <f>IF(TOTALCO!F1178="", "",TOTALCO!F1178)</f>
        <v>8494101.2644305397</v>
      </c>
      <c r="G649" s="12" t="str">
        <f>IF(TOTALCO!G1178="", "",TOTALCO!G1178)</f>
        <v/>
      </c>
      <c r="H649" s="12">
        <f>IF(TOTALCO!H1178="", "",TOTALCO!H1178)</f>
        <v>1133311.8</v>
      </c>
      <c r="I649" s="12">
        <f>IF(TOTALCO!I1178="", "",TOTALCO!I1178)</f>
        <v>0</v>
      </c>
      <c r="J649" s="12" t="str">
        <f>IF(TOTALCO!J1178="", "",TOTALCO!J1178)</f>
        <v/>
      </c>
      <c r="K649" s="12" t="str">
        <f>IF(TOTALCO!K1178="", "",TOTALCO!K1178)</f>
        <v/>
      </c>
      <c r="L649" s="12">
        <f>IF(TOTALCO!L1178="", "",TOTALCO!L1178)</f>
        <v>0</v>
      </c>
      <c r="M649" s="12" t="str">
        <f>IF(TOTALCO!M1178="", "",TOTALCO!M1178)</f>
        <v/>
      </c>
      <c r="N649" s="12">
        <f>IF(TOTALCO!N1178="", "",TOTALCO!N1178)</f>
        <v>0</v>
      </c>
      <c r="O649" s="12">
        <f>IF(TOTALCO!O1178="", "",TOTALCO!O1178)</f>
        <v>0</v>
      </c>
      <c r="P649" s="12">
        <f>IF(TOTALCO!P1178="", "",TOTALCO!P1178)</f>
        <v>0</v>
      </c>
      <c r="Q649" s="12"/>
      <c r="R649" s="13"/>
    </row>
    <row r="650" spans="1:18" ht="15" x14ac:dyDescent="0.2">
      <c r="A650" s="321">
        <f>IF(TOTALCO!A1179="", "",TOTALCO!A1179)</f>
        <v>2</v>
      </c>
      <c r="B650" s="4" t="str">
        <f>IF(TOTALCO!B1179="", "",TOTALCO!B1179)</f>
        <v xml:space="preserve">  HYDRAULIC PRODUCTION PLANT</v>
      </c>
      <c r="C650" s="4" t="str">
        <f>IF(TOTALCO!C1179="", "",TOTALCO!C1179)</f>
        <v>HYDSYS</v>
      </c>
      <c r="D650" s="12">
        <f ca="1">IF(TOTALCO!D1179="", "",TOTALCO!D1179)</f>
        <v>0</v>
      </c>
      <c r="E650" s="12" t="str">
        <f>IF(TOTALCO!E1179="", "",TOTALCO!E1179)</f>
        <v/>
      </c>
      <c r="F650" s="12">
        <f ca="1">IF(TOTALCO!F1179="", "",TOTALCO!F1179)</f>
        <v>0</v>
      </c>
      <c r="G650" s="12" t="str">
        <f>IF(TOTALCO!G1179="", "",TOTALCO!G1179)</f>
        <v/>
      </c>
      <c r="H650" s="12">
        <f ca="1">IF(TOTALCO!H1179="", "",TOTALCO!H1179)</f>
        <v>0</v>
      </c>
      <c r="I650" s="12">
        <f ca="1">IF(TOTALCO!I1179="", "",TOTALCO!I1179)</f>
        <v>0</v>
      </c>
      <c r="J650" s="12" t="str">
        <f>IF(TOTALCO!J1179="", "",TOTALCO!J1179)</f>
        <v/>
      </c>
      <c r="K650" s="12" t="str">
        <f>IF(TOTALCO!K1179="", "",TOTALCO!K1179)</f>
        <v/>
      </c>
      <c r="L650" s="12">
        <f ca="1">IF(TOTALCO!L1179="", "",TOTALCO!L1179)</f>
        <v>0</v>
      </c>
      <c r="M650" s="12" t="str">
        <f>IF(TOTALCO!M1179="", "",TOTALCO!M1179)</f>
        <v/>
      </c>
      <c r="N650" s="12">
        <f ca="1">IF(TOTALCO!N1179="", "",TOTALCO!N1179)</f>
        <v>0</v>
      </c>
      <c r="O650" s="12">
        <f ca="1">IF(TOTALCO!O1179="", "",TOTALCO!O1179)</f>
        <v>0</v>
      </c>
      <c r="P650" s="12">
        <f ca="1">IF(TOTALCO!P1179="", "",TOTALCO!P1179)</f>
        <v>0</v>
      </c>
      <c r="Q650" s="12"/>
      <c r="R650" s="13"/>
    </row>
    <row r="651" spans="1:18" ht="15" x14ac:dyDescent="0.2">
      <c r="A651" s="321">
        <f>IF(TOTALCO!A1180="", "",TOTALCO!A1180)</f>
        <v>3</v>
      </c>
      <c r="B651" s="4" t="str">
        <f>IF(TOTALCO!B1180="", "",TOTALCO!B1180)</f>
        <v xml:space="preserve">  OTHER PRODUCTION PLANT</v>
      </c>
      <c r="C651" s="4" t="str">
        <f>IF(TOTALCO!C1180="", "",TOTALCO!C1180)</f>
        <v>OTHSYS</v>
      </c>
      <c r="D651" s="12">
        <f ca="1">IF(TOTALCO!D1180="", "",TOTALCO!D1180)</f>
        <v>0</v>
      </c>
      <c r="E651" s="12" t="str">
        <f>IF(TOTALCO!E1180="", "",TOTALCO!E1180)</f>
        <v/>
      </c>
      <c r="F651" s="12">
        <f ca="1">IF(TOTALCO!F1180="", "",TOTALCO!F1180)</f>
        <v>0</v>
      </c>
      <c r="G651" s="12" t="str">
        <f>IF(TOTALCO!G1180="", "",TOTALCO!G1180)</f>
        <v/>
      </c>
      <c r="H651" s="12">
        <f ca="1">IF(TOTALCO!H1180="", "",TOTALCO!H1180)</f>
        <v>0</v>
      </c>
      <c r="I651" s="12">
        <f ca="1">IF(TOTALCO!I1180="", "",TOTALCO!I1180)</f>
        <v>0</v>
      </c>
      <c r="J651" s="12" t="str">
        <f>IF(TOTALCO!J1180="", "",TOTALCO!J1180)</f>
        <v/>
      </c>
      <c r="K651" s="12" t="str">
        <f>IF(TOTALCO!K1180="", "",TOTALCO!K1180)</f>
        <v/>
      </c>
      <c r="L651" s="12">
        <f ca="1">IF(TOTALCO!L1180="", "",TOTALCO!L1180)</f>
        <v>0</v>
      </c>
      <c r="M651" s="12" t="str">
        <f>IF(TOTALCO!M1180="", "",TOTALCO!M1180)</f>
        <v/>
      </c>
      <c r="N651" s="12">
        <f ca="1">IF(TOTALCO!N1180="", "",TOTALCO!N1180)</f>
        <v>0</v>
      </c>
      <c r="O651" s="12">
        <f ca="1">IF(TOTALCO!O1180="", "",TOTALCO!O1180)</f>
        <v>0</v>
      </c>
      <c r="P651" s="12">
        <f ca="1">IF(TOTALCO!P1180="", "",TOTALCO!P1180)</f>
        <v>0</v>
      </c>
      <c r="Q651" s="12"/>
      <c r="R651" s="13"/>
    </row>
    <row r="652" spans="1:18" ht="15" x14ac:dyDescent="0.2">
      <c r="A652" s="321" t="str">
        <f>IF(TOTALCO!A1181="", "",TOTALCO!A1181)</f>
        <v/>
      </c>
      <c r="B652" s="4" t="str">
        <f>IF(TOTALCO!B1181="", "",TOTALCO!B1181)</f>
        <v/>
      </c>
      <c r="C652" s="4" t="str">
        <f>IF(TOTALCO!C1181="", "",TOTALCO!C1181)</f>
        <v/>
      </c>
      <c r="D652" s="12" t="str">
        <f>IF(TOTALCO!D1181="", "",TOTALCO!D1181)</f>
        <v/>
      </c>
      <c r="E652" s="12" t="str">
        <f>IF(TOTALCO!E1181="", "",TOTALCO!E1181)</f>
        <v/>
      </c>
      <c r="F652" s="12" t="str">
        <f>IF(TOTALCO!F1181="", "",TOTALCO!F1181)</f>
        <v/>
      </c>
      <c r="G652" s="12" t="str">
        <f>IF(TOTALCO!G1181="", "",TOTALCO!G1181)</f>
        <v/>
      </c>
      <c r="H652" s="12" t="str">
        <f>IF(TOTALCO!H1181="", "",TOTALCO!H1181)</f>
        <v/>
      </c>
      <c r="I652" s="12" t="str">
        <f>IF(TOTALCO!I1181="", "",TOTALCO!I1181)</f>
        <v/>
      </c>
      <c r="J652" s="12" t="str">
        <f>IF(TOTALCO!J1181="", "",TOTALCO!J1181)</f>
        <v/>
      </c>
      <c r="K652" s="12" t="str">
        <f>IF(TOTALCO!K1181="", "",TOTALCO!K1181)</f>
        <v/>
      </c>
      <c r="L652" s="12" t="str">
        <f>IF(TOTALCO!L1181="", "",TOTALCO!L1181)</f>
        <v/>
      </c>
      <c r="M652" s="12" t="str">
        <f>IF(TOTALCO!M1181="", "",TOTALCO!M1181)</f>
        <v/>
      </c>
      <c r="N652" s="12" t="str">
        <f>IF(TOTALCO!N1181="", "",TOTALCO!N1181)</f>
        <v/>
      </c>
      <c r="O652" s="12" t="str">
        <f>IF(TOTALCO!O1181="", "",TOTALCO!O1181)</f>
        <v/>
      </c>
      <c r="P652" s="12" t="str">
        <f>IF(TOTALCO!P1181="", "",TOTALCO!P1181)</f>
        <v/>
      </c>
      <c r="Q652" s="12"/>
      <c r="R652" s="13"/>
    </row>
    <row r="653" spans="1:18" ht="15" x14ac:dyDescent="0.2">
      <c r="A653" s="321">
        <f>IF(TOTALCO!A1182="", "",TOTALCO!A1182)</f>
        <v>4</v>
      </c>
      <c r="B653" s="4" t="str">
        <f>IF(TOTALCO!B1182="", "",TOTALCO!B1182)</f>
        <v xml:space="preserve"> TOTAL PRODUCTION PLANT</v>
      </c>
      <c r="C653" s="4" t="str">
        <f>IF(TOTALCO!C1182="", "",TOTALCO!C1182)</f>
        <v/>
      </c>
      <c r="D653" s="12">
        <f ca="1">IF(TOTALCO!D1182="", "",TOTALCO!D1182)</f>
        <v>9627413.0644305404</v>
      </c>
      <c r="E653" s="12" t="str">
        <f>IF(TOTALCO!E1182="", "",TOTALCO!E1182)</f>
        <v/>
      </c>
      <c r="F653" s="12">
        <f ca="1">IF(TOTALCO!F1182="", "",TOTALCO!F1182)</f>
        <v>8494101.2644305397</v>
      </c>
      <c r="G653" s="12" t="str">
        <f>IF(TOTALCO!G1182="", "",TOTALCO!G1182)</f>
        <v/>
      </c>
      <c r="H653" s="12">
        <f ca="1">IF(TOTALCO!H1182="", "",TOTALCO!H1182)</f>
        <v>1133311.8</v>
      </c>
      <c r="I653" s="12">
        <f ca="1">IF(TOTALCO!I1182="", "",TOTALCO!I1182)</f>
        <v>0</v>
      </c>
      <c r="J653" s="12" t="str">
        <f>IF(TOTALCO!J1182="", "",TOTALCO!J1182)</f>
        <v/>
      </c>
      <c r="K653" s="12" t="str">
        <f>IF(TOTALCO!K1182="", "",TOTALCO!K1182)</f>
        <v/>
      </c>
      <c r="L653" s="12">
        <f ca="1">IF(TOTALCO!L1182="", "",TOTALCO!L1182)</f>
        <v>0</v>
      </c>
      <c r="M653" s="12" t="str">
        <f>IF(TOTALCO!M1182="", "",TOTALCO!M1182)</f>
        <v/>
      </c>
      <c r="N653" s="12">
        <f ca="1">IF(TOTALCO!N1182="", "",TOTALCO!N1182)</f>
        <v>0</v>
      </c>
      <c r="O653" s="12">
        <f ca="1">IF(TOTALCO!O1182="", "",TOTALCO!O1182)</f>
        <v>0</v>
      </c>
      <c r="P653" s="12">
        <f ca="1">IF(TOTALCO!P1182="", "",TOTALCO!P1182)</f>
        <v>0</v>
      </c>
      <c r="Q653" s="12"/>
      <c r="R653" s="13"/>
    </row>
    <row r="654" spans="1:18" ht="15" x14ac:dyDescent="0.2">
      <c r="A654" s="321" t="str">
        <f>IF(TOTALCO!A1183="", "",TOTALCO!A1183)</f>
        <v/>
      </c>
      <c r="B654" s="4" t="str">
        <f>IF(TOTALCO!B1183="", "",TOTALCO!B1183)</f>
        <v/>
      </c>
      <c r="C654" s="4" t="str">
        <f>IF(TOTALCO!C1183="", "",TOTALCO!C1183)</f>
        <v/>
      </c>
      <c r="D654" s="12" t="str">
        <f>IF(TOTALCO!D1183="", "",TOTALCO!D1183)</f>
        <v/>
      </c>
      <c r="E654" s="12" t="str">
        <f>IF(TOTALCO!E1183="", "",TOTALCO!E1183)</f>
        <v/>
      </c>
      <c r="F654" s="12" t="str">
        <f>IF(TOTALCO!F1183="", "",TOTALCO!F1183)</f>
        <v/>
      </c>
      <c r="G654" s="12" t="str">
        <f>IF(TOTALCO!G1183="", "",TOTALCO!G1183)</f>
        <v/>
      </c>
      <c r="H654" s="12" t="str">
        <f>IF(TOTALCO!H1183="", "",TOTALCO!H1183)</f>
        <v/>
      </c>
      <c r="I654" s="12" t="str">
        <f>IF(TOTALCO!I1183="", "",TOTALCO!I1183)</f>
        <v/>
      </c>
      <c r="J654" s="12" t="str">
        <f>IF(TOTALCO!J1183="", "",TOTALCO!J1183)</f>
        <v/>
      </c>
      <c r="K654" s="12" t="str">
        <f>IF(TOTALCO!K1183="", "",TOTALCO!K1183)</f>
        <v/>
      </c>
      <c r="L654" s="12" t="str">
        <f>IF(TOTALCO!L1183="", "",TOTALCO!L1183)</f>
        <v/>
      </c>
      <c r="M654" s="12" t="str">
        <f>IF(TOTALCO!M1183="", "",TOTALCO!M1183)</f>
        <v/>
      </c>
      <c r="N654" s="12" t="str">
        <f>IF(TOTALCO!N1183="", "",TOTALCO!N1183)</f>
        <v/>
      </c>
      <c r="O654" s="12" t="str">
        <f>IF(TOTALCO!O1183="", "",TOTALCO!O1183)</f>
        <v/>
      </c>
      <c r="P654" s="12" t="str">
        <f>IF(TOTALCO!P1183="", "",TOTALCO!P1183)</f>
        <v/>
      </c>
      <c r="Q654" s="12"/>
      <c r="R654" s="13"/>
    </row>
    <row r="655" spans="1:18" ht="15" x14ac:dyDescent="0.2">
      <c r="A655" s="321" t="str">
        <f>IF(TOTALCO!A1184="", "",TOTALCO!A1184)</f>
        <v/>
      </c>
      <c r="B655" s="4" t="str">
        <f>IF(TOTALCO!B1184="", "",TOTALCO!B1184)</f>
        <v xml:space="preserve"> TRANSMISSION PLANT</v>
      </c>
      <c r="C655" s="4" t="str">
        <f>IF(TOTALCO!C1184="", "",TOTALCO!C1184)</f>
        <v/>
      </c>
      <c r="D655" s="12" t="str">
        <f>IF(TOTALCO!D1184="", "",TOTALCO!D1184)</f>
        <v/>
      </c>
      <c r="E655" s="12" t="str">
        <f>IF(TOTALCO!E1184="", "",TOTALCO!E1184)</f>
        <v/>
      </c>
      <c r="F655" s="12" t="str">
        <f>IF(TOTALCO!F1184="", "",TOTALCO!F1184)</f>
        <v/>
      </c>
      <c r="G655" s="12" t="str">
        <f>IF(TOTALCO!G1184="", "",TOTALCO!G1184)</f>
        <v/>
      </c>
      <c r="H655" s="12" t="str">
        <f>IF(TOTALCO!H1184="", "",TOTALCO!H1184)</f>
        <v/>
      </c>
      <c r="I655" s="12" t="str">
        <f>IF(TOTALCO!I1184="", "",TOTALCO!I1184)</f>
        <v/>
      </c>
      <c r="J655" s="12" t="str">
        <f>IF(TOTALCO!J1184="", "",TOTALCO!J1184)</f>
        <v/>
      </c>
      <c r="K655" s="12" t="str">
        <f>IF(TOTALCO!K1184="", "",TOTALCO!K1184)</f>
        <v/>
      </c>
      <c r="L655" s="12" t="str">
        <f>IF(TOTALCO!L1184="", "",TOTALCO!L1184)</f>
        <v/>
      </c>
      <c r="M655" s="12" t="str">
        <f>IF(TOTALCO!M1184="", "",TOTALCO!M1184)</f>
        <v/>
      </c>
      <c r="N655" s="12" t="str">
        <f>IF(TOTALCO!N1184="", "",TOTALCO!N1184)</f>
        <v/>
      </c>
      <c r="O655" s="12" t="str">
        <f>IF(TOTALCO!O1184="", "",TOTALCO!O1184)</f>
        <v/>
      </c>
      <c r="P655" s="12" t="str">
        <f>IF(TOTALCO!P1184="", "",TOTALCO!P1184)</f>
        <v/>
      </c>
      <c r="Q655" s="12"/>
      <c r="R655" s="13"/>
    </row>
    <row r="656" spans="1:18" ht="15" x14ac:dyDescent="0.2">
      <c r="A656" s="321">
        <f>IF(TOTALCO!A1185="", "",TOTALCO!A1185)</f>
        <v>5</v>
      </c>
      <c r="B656" s="4" t="str">
        <f>IF(TOTALCO!B1185="", "",TOTALCO!B1185)</f>
        <v xml:space="preserve">  KENTUCKY SYSTEM PROPERTY</v>
      </c>
      <c r="C656" s="4" t="str">
        <f>IF(TOTALCO!C1185="", "",TOTALCO!C1185)</f>
        <v>KYTRPLTXF</v>
      </c>
      <c r="D656" s="12">
        <f ca="1">IF(TOTALCO!D1185="", "",TOTALCO!D1185)</f>
        <v>0</v>
      </c>
      <c r="E656" s="12" t="str">
        <f>IF(TOTALCO!E1185="", "",TOTALCO!E1185)</f>
        <v/>
      </c>
      <c r="F656" s="12">
        <f ca="1">IF(TOTALCO!F1185="", "",TOTALCO!F1185)</f>
        <v>0</v>
      </c>
      <c r="G656" s="12" t="str">
        <f>IF(TOTALCO!G1185="", "",TOTALCO!G1185)</f>
        <v/>
      </c>
      <c r="H656" s="12">
        <f ca="1">IF(TOTALCO!H1185="", "",TOTALCO!H1185)</f>
        <v>0</v>
      </c>
      <c r="I656" s="12">
        <f ca="1">IF(TOTALCO!I1185="", "",TOTALCO!I1185)</f>
        <v>0</v>
      </c>
      <c r="J656" s="12" t="str">
        <f>IF(TOTALCO!J1185="", "",TOTALCO!J1185)</f>
        <v/>
      </c>
      <c r="K656" s="12" t="str">
        <f>IF(TOTALCO!K1185="", "",TOTALCO!K1185)</f>
        <v/>
      </c>
      <c r="L656" s="12">
        <f ca="1">IF(TOTALCO!L1185="", "",TOTALCO!L1185)</f>
        <v>0</v>
      </c>
      <c r="M656" s="12" t="str">
        <f>IF(TOTALCO!M1185="", "",TOTALCO!M1185)</f>
        <v/>
      </c>
      <c r="N656" s="12">
        <f ca="1">IF(TOTALCO!N1185="", "",TOTALCO!N1185)</f>
        <v>0</v>
      </c>
      <c r="O656" s="12">
        <f ca="1">IF(TOTALCO!O1185="", "",TOTALCO!O1185)</f>
        <v>0</v>
      </c>
      <c r="P656" s="12">
        <f ca="1">IF(TOTALCO!P1185="", "",TOTALCO!P1185)</f>
        <v>0</v>
      </c>
      <c r="Q656" s="12"/>
      <c r="R656" s="13"/>
    </row>
    <row r="657" spans="1:18" ht="15" x14ac:dyDescent="0.2">
      <c r="A657" s="321">
        <f>IF(TOTALCO!A1186="", "",TOTALCO!A1186)</f>
        <v>6</v>
      </c>
      <c r="B657" s="4" t="str">
        <f>IF(TOTALCO!B1186="", "",TOTALCO!B1186)</f>
        <v xml:space="preserve">  VIRGINIA PROPERTY</v>
      </c>
      <c r="C657" s="4" t="str">
        <f>IF(TOTALCO!C1186="", "",TOTALCO!C1186)</f>
        <v>TRPLTVA</v>
      </c>
      <c r="D657" s="12">
        <f ca="1">IF(TOTALCO!D1186="", "",TOTALCO!D1186)</f>
        <v>0</v>
      </c>
      <c r="E657" s="12" t="str">
        <f>IF(TOTALCO!E1186="", "",TOTALCO!E1186)</f>
        <v/>
      </c>
      <c r="F657" s="12">
        <f ca="1">IF(TOTALCO!F1186="", "",TOTALCO!F1186)</f>
        <v>0</v>
      </c>
      <c r="G657" s="12" t="str">
        <f>IF(TOTALCO!G1186="", "",TOTALCO!G1186)</f>
        <v/>
      </c>
      <c r="H657" s="12">
        <f ca="1">IF(TOTALCO!H1186="", "",TOTALCO!H1186)</f>
        <v>0</v>
      </c>
      <c r="I657" s="12">
        <f ca="1">IF(TOTALCO!I1186="", "",TOTALCO!I1186)</f>
        <v>0</v>
      </c>
      <c r="J657" s="12" t="str">
        <f>IF(TOTALCO!J1186="", "",TOTALCO!J1186)</f>
        <v/>
      </c>
      <c r="K657" s="12" t="str">
        <f>IF(TOTALCO!K1186="", "",TOTALCO!K1186)</f>
        <v/>
      </c>
      <c r="L657" s="12">
        <f ca="1">IF(TOTALCO!L1186="", "",TOTALCO!L1186)</f>
        <v>0</v>
      </c>
      <c r="M657" s="12" t="str">
        <f>IF(TOTALCO!M1186="", "",TOTALCO!M1186)</f>
        <v/>
      </c>
      <c r="N657" s="12">
        <f ca="1">IF(TOTALCO!N1186="", "",TOTALCO!N1186)</f>
        <v>0</v>
      </c>
      <c r="O657" s="12">
        <f ca="1">IF(TOTALCO!O1186="", "",TOTALCO!O1186)</f>
        <v>0</v>
      </c>
      <c r="P657" s="12">
        <f ca="1">IF(TOTALCO!P1186="", "",TOTALCO!P1186)</f>
        <v>0</v>
      </c>
      <c r="Q657" s="12"/>
      <c r="R657" s="13"/>
    </row>
    <row r="658" spans="1:18" ht="15" x14ac:dyDescent="0.2">
      <c r="A658" s="321" t="str">
        <f>IF(TOTALCO!A1187="", "",TOTALCO!A1187)</f>
        <v/>
      </c>
      <c r="B658" s="4" t="str">
        <f>IF(TOTALCO!B1187="", "",TOTALCO!B1187)</f>
        <v/>
      </c>
      <c r="C658" s="4" t="str">
        <f>IF(TOTALCO!C1187="", "",TOTALCO!C1187)</f>
        <v/>
      </c>
      <c r="D658" s="12" t="str">
        <f>IF(TOTALCO!D1187="", "",TOTALCO!D1187)</f>
        <v/>
      </c>
      <c r="E658" s="12" t="str">
        <f>IF(TOTALCO!E1187="", "",TOTALCO!E1187)</f>
        <v/>
      </c>
      <c r="F658" s="12" t="str">
        <f>IF(TOTALCO!F1187="", "",TOTALCO!F1187)</f>
        <v/>
      </c>
      <c r="G658" s="12" t="str">
        <f>IF(TOTALCO!G1187="", "",TOTALCO!G1187)</f>
        <v/>
      </c>
      <c r="H658" s="12" t="str">
        <f>IF(TOTALCO!H1187="", "",TOTALCO!H1187)</f>
        <v/>
      </c>
      <c r="I658" s="12" t="str">
        <f>IF(TOTALCO!I1187="", "",TOTALCO!I1187)</f>
        <v/>
      </c>
      <c r="J658" s="12" t="str">
        <f>IF(TOTALCO!J1187="", "",TOTALCO!J1187)</f>
        <v/>
      </c>
      <c r="K658" s="12" t="str">
        <f>IF(TOTALCO!K1187="", "",TOTALCO!K1187)</f>
        <v/>
      </c>
      <c r="L658" s="12" t="str">
        <f>IF(TOTALCO!L1187="", "",TOTALCO!L1187)</f>
        <v/>
      </c>
      <c r="M658" s="12" t="str">
        <f>IF(TOTALCO!M1187="", "",TOTALCO!M1187)</f>
        <v/>
      </c>
      <c r="N658" s="12" t="str">
        <f>IF(TOTALCO!N1187="", "",TOTALCO!N1187)</f>
        <v/>
      </c>
      <c r="O658" s="12" t="str">
        <f>IF(TOTALCO!O1187="", "",TOTALCO!O1187)</f>
        <v/>
      </c>
      <c r="P658" s="12" t="str">
        <f>IF(TOTALCO!P1187="", "",TOTALCO!P1187)</f>
        <v/>
      </c>
      <c r="Q658" s="12"/>
      <c r="R658" s="13"/>
    </row>
    <row r="659" spans="1:18" ht="15" x14ac:dyDescent="0.2">
      <c r="A659" s="321">
        <f>IF(TOTALCO!A1188="", "",TOTALCO!A1188)</f>
        <v>7</v>
      </c>
      <c r="B659" s="4" t="str">
        <f>IF(TOTALCO!B1188="", "",TOTALCO!B1188)</f>
        <v xml:space="preserve"> TOTAL TRANSMISSION PLANT</v>
      </c>
      <c r="C659" s="4" t="str">
        <f>IF(TOTALCO!C1188="", "",TOTALCO!C1188)</f>
        <v/>
      </c>
      <c r="D659" s="12">
        <f ca="1">IF(TOTALCO!D1188="", "",TOTALCO!D1188)</f>
        <v>0</v>
      </c>
      <c r="E659" s="12" t="str">
        <f>IF(TOTALCO!E1188="", "",TOTALCO!E1188)</f>
        <v/>
      </c>
      <c r="F659" s="12">
        <f ca="1">IF(TOTALCO!F1188="", "",TOTALCO!F1188)</f>
        <v>0</v>
      </c>
      <c r="G659" s="12" t="str">
        <f>IF(TOTALCO!G1188="", "",TOTALCO!G1188)</f>
        <v/>
      </c>
      <c r="H659" s="12">
        <f ca="1">IF(TOTALCO!H1188="", "",TOTALCO!H1188)</f>
        <v>0</v>
      </c>
      <c r="I659" s="12">
        <f ca="1">IF(TOTALCO!I1188="", "",TOTALCO!I1188)</f>
        <v>0</v>
      </c>
      <c r="J659" s="12" t="str">
        <f>IF(TOTALCO!J1188="", "",TOTALCO!J1188)</f>
        <v/>
      </c>
      <c r="K659" s="12" t="str">
        <f>IF(TOTALCO!K1188="", "",TOTALCO!K1188)</f>
        <v/>
      </c>
      <c r="L659" s="12">
        <f ca="1">IF(TOTALCO!L1188="", "",TOTALCO!L1188)</f>
        <v>0</v>
      </c>
      <c r="M659" s="12" t="str">
        <f>IF(TOTALCO!M1188="", "",TOTALCO!M1188)</f>
        <v/>
      </c>
      <c r="N659" s="12">
        <f ca="1">IF(TOTALCO!N1188="", "",TOTALCO!N1188)</f>
        <v>0</v>
      </c>
      <c r="O659" s="12">
        <f ca="1">IF(TOTALCO!O1188="", "",TOTALCO!O1188)</f>
        <v>0</v>
      </c>
      <c r="P659" s="12">
        <f ca="1">IF(TOTALCO!P1188="", "",TOTALCO!P1188)</f>
        <v>0</v>
      </c>
      <c r="Q659" s="12"/>
      <c r="R659" s="13"/>
    </row>
    <row r="660" spans="1:18" ht="15" x14ac:dyDescent="0.2">
      <c r="A660" s="321" t="str">
        <f>IF(TOTALCO!A1189="", "",TOTALCO!A1189)</f>
        <v/>
      </c>
      <c r="B660" s="4" t="str">
        <f>IF(TOTALCO!B1189="", "",TOTALCO!B1189)</f>
        <v/>
      </c>
      <c r="C660" s="4" t="str">
        <f>IF(TOTALCO!C1189="", "",TOTALCO!C1189)</f>
        <v/>
      </c>
      <c r="D660" s="12" t="str">
        <f>IF(TOTALCO!D1189="", "",TOTALCO!D1189)</f>
        <v/>
      </c>
      <c r="E660" s="12" t="str">
        <f>IF(TOTALCO!E1189="", "",TOTALCO!E1189)</f>
        <v/>
      </c>
      <c r="F660" s="12" t="str">
        <f>IF(TOTALCO!F1189="", "",TOTALCO!F1189)</f>
        <v/>
      </c>
      <c r="G660" s="12" t="str">
        <f>IF(TOTALCO!G1189="", "",TOTALCO!G1189)</f>
        <v/>
      </c>
      <c r="H660" s="12" t="str">
        <f>IF(TOTALCO!H1189="", "",TOTALCO!H1189)</f>
        <v/>
      </c>
      <c r="I660" s="12" t="str">
        <f>IF(TOTALCO!I1189="", "",TOTALCO!I1189)</f>
        <v/>
      </c>
      <c r="J660" s="12" t="str">
        <f>IF(TOTALCO!J1189="", "",TOTALCO!J1189)</f>
        <v/>
      </c>
      <c r="K660" s="12" t="str">
        <f>IF(TOTALCO!K1189="", "",TOTALCO!K1189)</f>
        <v/>
      </c>
      <c r="L660" s="12" t="str">
        <f>IF(TOTALCO!L1189="", "",TOTALCO!L1189)</f>
        <v/>
      </c>
      <c r="M660" s="12" t="str">
        <f>IF(TOTALCO!M1189="", "",TOTALCO!M1189)</f>
        <v/>
      </c>
      <c r="N660" s="12" t="str">
        <f>IF(TOTALCO!N1189="", "",TOTALCO!N1189)</f>
        <v/>
      </c>
      <c r="O660" s="12" t="str">
        <f>IF(TOTALCO!O1189="", "",TOTALCO!O1189)</f>
        <v/>
      </c>
      <c r="P660" s="12" t="str">
        <f>IF(TOTALCO!P1189="", "",TOTALCO!P1189)</f>
        <v/>
      </c>
      <c r="Q660" s="12"/>
      <c r="R660" s="13"/>
    </row>
    <row r="661" spans="1:18" ht="15" x14ac:dyDescent="0.2">
      <c r="A661" s="321" t="str">
        <f>IF(TOTALCO!A1190="", "",TOTALCO!A1190)</f>
        <v/>
      </c>
      <c r="B661" s="4" t="str">
        <f>IF(TOTALCO!B1190="", "",TOTALCO!B1190)</f>
        <v xml:space="preserve"> DISTRIBUTION PLANT</v>
      </c>
      <c r="C661" s="4" t="str">
        <f>IF(TOTALCO!C1190="", "",TOTALCO!C1190)</f>
        <v/>
      </c>
      <c r="D661" s="12" t="str">
        <f>IF(TOTALCO!D1190="", "",TOTALCO!D1190)</f>
        <v/>
      </c>
      <c r="E661" s="12" t="str">
        <f>IF(TOTALCO!E1190="", "",TOTALCO!E1190)</f>
        <v/>
      </c>
      <c r="F661" s="12" t="str">
        <f>IF(TOTALCO!F1190="", "",TOTALCO!F1190)</f>
        <v/>
      </c>
      <c r="G661" s="12" t="str">
        <f>IF(TOTALCO!G1190="", "",TOTALCO!G1190)</f>
        <v/>
      </c>
      <c r="H661" s="12" t="str">
        <f>IF(TOTALCO!H1190="", "",TOTALCO!H1190)</f>
        <v/>
      </c>
      <c r="I661" s="12" t="str">
        <f>IF(TOTALCO!I1190="", "",TOTALCO!I1190)</f>
        <v/>
      </c>
      <c r="J661" s="12" t="str">
        <f>IF(TOTALCO!J1190="", "",TOTALCO!J1190)</f>
        <v/>
      </c>
      <c r="K661" s="12" t="str">
        <f>IF(TOTALCO!K1190="", "",TOTALCO!K1190)</f>
        <v/>
      </c>
      <c r="L661" s="12" t="str">
        <f>IF(TOTALCO!L1190="", "",TOTALCO!L1190)</f>
        <v/>
      </c>
      <c r="M661" s="12" t="str">
        <f>IF(TOTALCO!M1190="", "",TOTALCO!M1190)</f>
        <v/>
      </c>
      <c r="N661" s="12" t="str">
        <f>IF(TOTALCO!N1190="", "",TOTALCO!N1190)</f>
        <v/>
      </c>
      <c r="O661" s="12" t="str">
        <f>IF(TOTALCO!O1190="", "",TOTALCO!O1190)</f>
        <v/>
      </c>
      <c r="P661" s="12" t="str">
        <f>IF(TOTALCO!P1190="", "",TOTALCO!P1190)</f>
        <v/>
      </c>
      <c r="Q661" s="12"/>
      <c r="R661" s="13"/>
    </row>
    <row r="662" spans="1:18" ht="15" x14ac:dyDescent="0.2">
      <c r="A662" s="321">
        <f>IF(TOTALCO!A1191="", "",TOTALCO!A1191)</f>
        <v>8</v>
      </c>
      <c r="B662" s="4" t="str">
        <f>IF(TOTALCO!B1191="", "",TOTALCO!B1191)</f>
        <v xml:space="preserve">  KENTUCKY DISTRIBUTION PROPERTY</v>
      </c>
      <c r="C662" s="4" t="str">
        <f>IF(TOTALCO!C1191="", "",TOTALCO!C1191)</f>
        <v>KYDIST</v>
      </c>
      <c r="D662" s="12">
        <f ca="1">IF(TOTALCO!D1191="", "",TOTALCO!D1191)</f>
        <v>0</v>
      </c>
      <c r="E662" s="12" t="str">
        <f>IF(TOTALCO!E1191="", "",TOTALCO!E1191)</f>
        <v/>
      </c>
      <c r="F662" s="12">
        <f ca="1">IF(TOTALCO!F1191="", "",TOTALCO!F1191)</f>
        <v>0</v>
      </c>
      <c r="G662" s="12" t="str">
        <f>IF(TOTALCO!G1191="", "",TOTALCO!G1191)</f>
        <v/>
      </c>
      <c r="H662" s="12">
        <f ca="1">IF(TOTALCO!H1191="", "",TOTALCO!H1191)</f>
        <v>0</v>
      </c>
      <c r="I662" s="12">
        <f ca="1">IF(TOTALCO!I1191="", "",TOTALCO!I1191)</f>
        <v>0</v>
      </c>
      <c r="J662" s="12" t="str">
        <f>IF(TOTALCO!J1191="", "",TOTALCO!J1191)</f>
        <v/>
      </c>
      <c r="K662" s="12" t="str">
        <f>IF(TOTALCO!K1191="", "",TOTALCO!K1191)</f>
        <v/>
      </c>
      <c r="L662" s="12">
        <f ca="1">IF(TOTALCO!L1191="", "",TOTALCO!L1191)</f>
        <v>0</v>
      </c>
      <c r="M662" s="12" t="str">
        <f>IF(TOTALCO!M1191="", "",TOTALCO!M1191)</f>
        <v/>
      </c>
      <c r="N662" s="12">
        <f ca="1">IF(TOTALCO!N1191="", "",TOTALCO!N1191)</f>
        <v>0</v>
      </c>
      <c r="O662" s="12">
        <f ca="1">IF(TOTALCO!O1191="", "",TOTALCO!O1191)</f>
        <v>0</v>
      </c>
      <c r="P662" s="12">
        <f ca="1">IF(TOTALCO!P1191="", "",TOTALCO!P1191)</f>
        <v>0</v>
      </c>
      <c r="Q662" s="12"/>
      <c r="R662" s="13"/>
    </row>
    <row r="663" spans="1:18" ht="15" x14ac:dyDescent="0.2">
      <c r="A663" s="321">
        <f>IF(TOTALCO!A1192="", "",TOTALCO!A1192)</f>
        <v>9</v>
      </c>
      <c r="B663" s="4" t="str">
        <f>IF(TOTALCO!B1192="", "",TOTALCO!B1192)</f>
        <v xml:space="preserve">  VIRGINIA DISTRIBUTION PROPERTY</v>
      </c>
      <c r="C663" s="4" t="str">
        <f>IF(TOTALCO!C1192="", "",TOTALCO!C1192)</f>
        <v>VADIST</v>
      </c>
      <c r="D663" s="12">
        <f ca="1">IF(TOTALCO!D1192="", "",TOTALCO!D1192)</f>
        <v>0</v>
      </c>
      <c r="E663" s="12" t="str">
        <f>IF(TOTALCO!E1192="", "",TOTALCO!E1192)</f>
        <v/>
      </c>
      <c r="F663" s="12">
        <f ca="1">IF(TOTALCO!F1192="", "",TOTALCO!F1192)</f>
        <v>0</v>
      </c>
      <c r="G663" s="12" t="str">
        <f>IF(TOTALCO!G1192="", "",TOTALCO!G1192)</f>
        <v/>
      </c>
      <c r="H663" s="12">
        <f ca="1">IF(TOTALCO!H1192="", "",TOTALCO!H1192)</f>
        <v>0</v>
      </c>
      <c r="I663" s="12">
        <f ca="1">IF(TOTALCO!I1192="", "",TOTALCO!I1192)</f>
        <v>0</v>
      </c>
      <c r="J663" s="12" t="str">
        <f>IF(TOTALCO!J1192="", "",TOTALCO!J1192)</f>
        <v/>
      </c>
      <c r="K663" s="12" t="str">
        <f>IF(TOTALCO!K1192="", "",TOTALCO!K1192)</f>
        <v/>
      </c>
      <c r="L663" s="12">
        <f ca="1">IF(TOTALCO!L1192="", "",TOTALCO!L1192)</f>
        <v>0</v>
      </c>
      <c r="M663" s="12" t="str">
        <f>IF(TOTALCO!M1192="", "",TOTALCO!M1192)</f>
        <v/>
      </c>
      <c r="N663" s="12">
        <f ca="1">IF(TOTALCO!N1192="", "",TOTALCO!N1192)</f>
        <v>0</v>
      </c>
      <c r="O663" s="12">
        <f ca="1">IF(TOTALCO!O1192="", "",TOTALCO!O1192)</f>
        <v>0</v>
      </c>
      <c r="P663" s="12">
        <f ca="1">IF(TOTALCO!P1192="", "",TOTALCO!P1192)</f>
        <v>0</v>
      </c>
      <c r="Q663" s="12"/>
      <c r="R663" s="13"/>
    </row>
    <row r="664" spans="1:18" ht="15" x14ac:dyDescent="0.2">
      <c r="A664" s="321" t="str">
        <f>IF(TOTALCO!A1193="", "",TOTALCO!A1193)</f>
        <v/>
      </c>
      <c r="B664" s="4" t="str">
        <f>IF(TOTALCO!B1193="", "",TOTALCO!B1193)</f>
        <v/>
      </c>
      <c r="C664" s="4" t="str">
        <f>IF(TOTALCO!C1193="", "",TOTALCO!C1193)</f>
        <v/>
      </c>
      <c r="D664" s="12" t="str">
        <f>IF(TOTALCO!D1193="", "",TOTALCO!D1193)</f>
        <v/>
      </c>
      <c r="E664" s="12" t="str">
        <f>IF(TOTALCO!E1193="", "",TOTALCO!E1193)</f>
        <v/>
      </c>
      <c r="F664" s="12" t="str">
        <f>IF(TOTALCO!F1193="", "",TOTALCO!F1193)</f>
        <v/>
      </c>
      <c r="G664" s="12" t="str">
        <f>IF(TOTALCO!G1193="", "",TOTALCO!G1193)</f>
        <v/>
      </c>
      <c r="H664" s="12" t="str">
        <f>IF(TOTALCO!H1193="", "",TOTALCO!H1193)</f>
        <v/>
      </c>
      <c r="I664" s="12" t="str">
        <f>IF(TOTALCO!I1193="", "",TOTALCO!I1193)</f>
        <v/>
      </c>
      <c r="J664" s="12" t="str">
        <f>IF(TOTALCO!J1193="", "",TOTALCO!J1193)</f>
        <v/>
      </c>
      <c r="K664" s="12" t="str">
        <f>IF(TOTALCO!K1193="", "",TOTALCO!K1193)</f>
        <v/>
      </c>
      <c r="L664" s="12" t="str">
        <f>IF(TOTALCO!L1193="", "",TOTALCO!L1193)</f>
        <v/>
      </c>
      <c r="M664" s="12" t="str">
        <f>IF(TOTALCO!M1193="", "",TOTALCO!M1193)</f>
        <v/>
      </c>
      <c r="N664" s="12" t="str">
        <f>IF(TOTALCO!N1193="", "",TOTALCO!N1193)</f>
        <v/>
      </c>
      <c r="O664" s="12" t="str">
        <f>IF(TOTALCO!O1193="", "",TOTALCO!O1193)</f>
        <v/>
      </c>
      <c r="P664" s="12" t="str">
        <f>IF(TOTALCO!P1193="", "",TOTALCO!P1193)</f>
        <v/>
      </c>
      <c r="Q664" s="12"/>
      <c r="R664" s="13"/>
    </row>
    <row r="665" spans="1:18" ht="15" x14ac:dyDescent="0.2">
      <c r="A665" s="321">
        <f>IF(TOTALCO!A1194="", "",TOTALCO!A1194)</f>
        <v>10</v>
      </c>
      <c r="B665" s="4" t="str">
        <f>IF(TOTALCO!B1194="", "",TOTALCO!B1194)</f>
        <v xml:space="preserve"> TOTAL DISTRIBUTION PLANT</v>
      </c>
      <c r="C665" s="4" t="str">
        <f>IF(TOTALCO!C1194="", "",TOTALCO!C1194)</f>
        <v/>
      </c>
      <c r="D665" s="12">
        <f ca="1">IF(TOTALCO!D1194="", "",TOTALCO!D1194)</f>
        <v>0</v>
      </c>
      <c r="E665" s="12" t="str">
        <f>IF(TOTALCO!E1194="", "",TOTALCO!E1194)</f>
        <v/>
      </c>
      <c r="F665" s="12">
        <f ca="1">IF(TOTALCO!F1194="", "",TOTALCO!F1194)</f>
        <v>0</v>
      </c>
      <c r="G665" s="12" t="str">
        <f>IF(TOTALCO!G1194="", "",TOTALCO!G1194)</f>
        <v/>
      </c>
      <c r="H665" s="12">
        <f ca="1">IF(TOTALCO!H1194="", "",TOTALCO!H1194)</f>
        <v>0</v>
      </c>
      <c r="I665" s="12">
        <f ca="1">IF(TOTALCO!I1194="", "",TOTALCO!I1194)</f>
        <v>0</v>
      </c>
      <c r="J665" s="12" t="str">
        <f>IF(TOTALCO!J1194="", "",TOTALCO!J1194)</f>
        <v/>
      </c>
      <c r="K665" s="12" t="str">
        <f>IF(TOTALCO!K1194="", "",TOTALCO!K1194)</f>
        <v/>
      </c>
      <c r="L665" s="12">
        <f ca="1">IF(TOTALCO!L1194="", "",TOTALCO!L1194)</f>
        <v>0</v>
      </c>
      <c r="M665" s="12" t="str">
        <f>IF(TOTALCO!M1194="", "",TOTALCO!M1194)</f>
        <v/>
      </c>
      <c r="N665" s="12">
        <f ca="1">IF(TOTALCO!N1194="", "",TOTALCO!N1194)</f>
        <v>0</v>
      </c>
      <c r="O665" s="12">
        <f ca="1">IF(TOTALCO!O1194="", "",TOTALCO!O1194)</f>
        <v>0</v>
      </c>
      <c r="P665" s="12">
        <f ca="1">IF(TOTALCO!P1194="", "",TOTALCO!P1194)</f>
        <v>0</v>
      </c>
      <c r="Q665" s="12"/>
      <c r="R665" s="13"/>
    </row>
    <row r="666" spans="1:18" ht="15" x14ac:dyDescent="0.2">
      <c r="A666" s="321" t="str">
        <f>IF(TOTALCO!A1195="", "",TOTALCO!A1195)</f>
        <v/>
      </c>
      <c r="B666" s="4" t="str">
        <f>IF(TOTALCO!B1195="", "",TOTALCO!B1195)</f>
        <v/>
      </c>
      <c r="C666" s="4" t="str">
        <f>IF(TOTALCO!C1195="", "",TOTALCO!C1195)</f>
        <v/>
      </c>
      <c r="D666" s="12" t="str">
        <f>IF(TOTALCO!D1195="", "",TOTALCO!D1195)</f>
        <v/>
      </c>
      <c r="E666" s="12" t="str">
        <f>IF(TOTALCO!E1195="", "",TOTALCO!E1195)</f>
        <v/>
      </c>
      <c r="F666" s="12" t="str">
        <f>IF(TOTALCO!F1195="", "",TOTALCO!F1195)</f>
        <v/>
      </c>
      <c r="G666" s="12" t="str">
        <f>IF(TOTALCO!G1195="", "",TOTALCO!G1195)</f>
        <v/>
      </c>
      <c r="H666" s="12" t="str">
        <f>IF(TOTALCO!H1195="", "",TOTALCO!H1195)</f>
        <v/>
      </c>
      <c r="I666" s="12" t="str">
        <f>IF(TOTALCO!I1195="", "",TOTALCO!I1195)</f>
        <v/>
      </c>
      <c r="J666" s="12" t="str">
        <f>IF(TOTALCO!J1195="", "",TOTALCO!J1195)</f>
        <v/>
      </c>
      <c r="K666" s="12" t="str">
        <f>IF(TOTALCO!K1195="", "",TOTALCO!K1195)</f>
        <v/>
      </c>
      <c r="L666" s="12" t="str">
        <f>IF(TOTALCO!L1195="", "",TOTALCO!L1195)</f>
        <v/>
      </c>
      <c r="M666" s="12" t="str">
        <f>IF(TOTALCO!M1195="", "",TOTALCO!M1195)</f>
        <v/>
      </c>
      <c r="N666" s="12" t="str">
        <f>IF(TOTALCO!N1195="", "",TOTALCO!N1195)</f>
        <v/>
      </c>
      <c r="O666" s="12" t="str">
        <f>IF(TOTALCO!O1195="", "",TOTALCO!O1195)</f>
        <v/>
      </c>
      <c r="P666" s="12" t="str">
        <f>IF(TOTALCO!P1195="", "",TOTALCO!P1195)</f>
        <v/>
      </c>
      <c r="Q666" s="12"/>
      <c r="R666" s="13"/>
    </row>
    <row r="667" spans="1:18" ht="15" x14ac:dyDescent="0.2">
      <c r="A667" s="321">
        <f>IF(TOTALCO!A1196="", "",TOTALCO!A1196)</f>
        <v>11</v>
      </c>
      <c r="B667" s="4" t="str">
        <f>IF(TOTALCO!B1196="", "",TOTALCO!B1196)</f>
        <v>TOTAL REGULATORY DEBITS</v>
      </c>
      <c r="C667" s="4" t="str">
        <f>IF(TOTALCO!C1196="", "",TOTALCO!C1196)</f>
        <v/>
      </c>
      <c r="D667" s="12">
        <f ca="1">IF(TOTALCO!D1196="", "",TOTALCO!D1196)</f>
        <v>9627413.0644305404</v>
      </c>
      <c r="E667" s="12" t="str">
        <f>IF(TOTALCO!E1196="", "",TOTALCO!E1196)</f>
        <v/>
      </c>
      <c r="F667" s="12">
        <f ca="1">IF(TOTALCO!F1196="", "",TOTALCO!F1196)</f>
        <v>8494101.2644305397</v>
      </c>
      <c r="G667" s="12" t="str">
        <f>IF(TOTALCO!G1196="", "",TOTALCO!G1196)</f>
        <v/>
      </c>
      <c r="H667" s="12">
        <f ca="1">IF(TOTALCO!H1196="", "",TOTALCO!H1196)</f>
        <v>1133311.8</v>
      </c>
      <c r="I667" s="12">
        <f ca="1">IF(TOTALCO!I1196="", "",TOTALCO!I1196)</f>
        <v>0</v>
      </c>
      <c r="J667" s="12" t="str">
        <f>IF(TOTALCO!J1196="", "",TOTALCO!J1196)</f>
        <v/>
      </c>
      <c r="K667" s="12" t="str">
        <f>IF(TOTALCO!K1196="", "",TOTALCO!K1196)</f>
        <v/>
      </c>
      <c r="L667" s="12">
        <f ca="1">IF(TOTALCO!L1196="", "",TOTALCO!L1196)</f>
        <v>0</v>
      </c>
      <c r="M667" s="12" t="str">
        <f>IF(TOTALCO!M1196="", "",TOTALCO!M1196)</f>
        <v/>
      </c>
      <c r="N667" s="12">
        <f ca="1">IF(TOTALCO!N1196="", "",TOTALCO!N1196)</f>
        <v>0</v>
      </c>
      <c r="O667" s="12">
        <f ca="1">IF(TOTALCO!O1196="", "",TOTALCO!O1196)</f>
        <v>0</v>
      </c>
      <c r="P667" s="12">
        <f ca="1">IF(TOTALCO!P1196="", "",TOTALCO!P1196)</f>
        <v>0</v>
      </c>
      <c r="Q667" s="12"/>
      <c r="R667" s="13"/>
    </row>
    <row r="668" spans="1:18" ht="15" x14ac:dyDescent="0.2">
      <c r="A668" s="321" t="str">
        <f>IF(TOTALCO!A1197="", "",TOTALCO!A1197)</f>
        <v/>
      </c>
      <c r="B668" s="4" t="str">
        <f>IF(TOTALCO!B1197="", "",TOTALCO!B1197)</f>
        <v/>
      </c>
      <c r="C668" s="4" t="str">
        <f>IF(TOTALCO!C1197="", "",TOTALCO!C1197)</f>
        <v/>
      </c>
      <c r="D668" s="12" t="str">
        <f>IF(TOTALCO!D1197="", "",TOTALCO!D1197)</f>
        <v/>
      </c>
      <c r="E668" s="12" t="str">
        <f>IF(TOTALCO!E1197="", "",TOTALCO!E1197)</f>
        <v/>
      </c>
      <c r="F668" s="12" t="str">
        <f>IF(TOTALCO!F1197="", "",TOTALCO!F1197)</f>
        <v/>
      </c>
      <c r="G668" s="12" t="str">
        <f>IF(TOTALCO!G1197="", "",TOTALCO!G1197)</f>
        <v/>
      </c>
      <c r="H668" s="12" t="str">
        <f>IF(TOTALCO!H1197="", "",TOTALCO!H1197)</f>
        <v/>
      </c>
      <c r="I668" s="12" t="str">
        <f>IF(TOTALCO!I1197="", "",TOTALCO!I1197)</f>
        <v/>
      </c>
      <c r="J668" s="12" t="str">
        <f>IF(TOTALCO!J1197="", "",TOTALCO!J1197)</f>
        <v/>
      </c>
      <c r="K668" s="12" t="str">
        <f>IF(TOTALCO!K1197="", "",TOTALCO!K1197)</f>
        <v/>
      </c>
      <c r="L668" s="12" t="str">
        <f>IF(TOTALCO!L1197="", "",TOTALCO!L1197)</f>
        <v/>
      </c>
      <c r="M668" s="12" t="str">
        <f>IF(TOTALCO!M1197="", "",TOTALCO!M1197)</f>
        <v/>
      </c>
      <c r="N668" s="12" t="str">
        <f>IF(TOTALCO!N1197="", "",TOTALCO!N1197)</f>
        <v/>
      </c>
      <c r="O668" s="12" t="str">
        <f>IF(TOTALCO!O1197="", "",TOTALCO!O1197)</f>
        <v/>
      </c>
      <c r="P668" s="12" t="str">
        <f>IF(TOTALCO!P1197="", "",TOTALCO!P1197)</f>
        <v/>
      </c>
      <c r="Q668" s="12"/>
      <c r="R668" s="13"/>
    </row>
    <row r="669" spans="1:18" ht="15" x14ac:dyDescent="0.2">
      <c r="A669" s="321" t="str">
        <f>IF(TOTALCO!A1198="", "",TOTALCO!A1198)</f>
        <v/>
      </c>
      <c r="B669" s="4" t="str">
        <f>IF(TOTALCO!B1198="", "",TOTALCO!B1198)</f>
        <v>ACCRETION</v>
      </c>
      <c r="C669" s="4" t="str">
        <f>IF(TOTALCO!C1198="", "",TOTALCO!C1198)</f>
        <v/>
      </c>
      <c r="D669" s="12" t="str">
        <f>IF(TOTALCO!D1198="", "",TOTALCO!D1198)</f>
        <v/>
      </c>
      <c r="E669" s="12" t="str">
        <f>IF(TOTALCO!E1198="", "",TOTALCO!E1198)</f>
        <v/>
      </c>
      <c r="F669" s="12" t="str">
        <f>IF(TOTALCO!F1198="", "",TOTALCO!F1198)</f>
        <v/>
      </c>
      <c r="G669" s="12" t="str">
        <f>IF(TOTALCO!G1198="", "",TOTALCO!G1198)</f>
        <v/>
      </c>
      <c r="H669" s="12" t="str">
        <f>IF(TOTALCO!H1198="", "",TOTALCO!H1198)</f>
        <v/>
      </c>
      <c r="I669" s="12" t="str">
        <f>IF(TOTALCO!I1198="", "",TOTALCO!I1198)</f>
        <v/>
      </c>
      <c r="J669" s="12" t="str">
        <f>IF(TOTALCO!J1198="", "",TOTALCO!J1198)</f>
        <v/>
      </c>
      <c r="K669" s="12" t="str">
        <f>IF(TOTALCO!K1198="", "",TOTALCO!K1198)</f>
        <v/>
      </c>
      <c r="L669" s="12" t="str">
        <f>IF(TOTALCO!L1198="", "",TOTALCO!L1198)</f>
        <v/>
      </c>
      <c r="M669" s="12" t="str">
        <f>IF(TOTALCO!M1198="", "",TOTALCO!M1198)</f>
        <v/>
      </c>
      <c r="N669" s="12" t="str">
        <f>IF(TOTALCO!N1198="", "",TOTALCO!N1198)</f>
        <v/>
      </c>
      <c r="O669" s="12" t="str">
        <f>IF(TOTALCO!O1198="", "",TOTALCO!O1198)</f>
        <v/>
      </c>
      <c r="P669" s="12" t="str">
        <f>IF(TOTALCO!P1198="", "",TOTALCO!P1198)</f>
        <v/>
      </c>
      <c r="Q669" s="12"/>
      <c r="R669" s="13"/>
    </row>
    <row r="670" spans="1:18" ht="15" x14ac:dyDescent="0.2">
      <c r="A670" s="321" t="str">
        <f>IF(TOTALCO!A1199="", "",TOTALCO!A1199)</f>
        <v/>
      </c>
      <c r="B670" s="4" t="str">
        <f>IF(TOTALCO!B1199="", "",TOTALCO!B1199)</f>
        <v/>
      </c>
      <c r="C670" s="4" t="str">
        <f>IF(TOTALCO!C1199="", "",TOTALCO!C1199)</f>
        <v/>
      </c>
      <c r="D670" s="12" t="str">
        <f>IF(TOTALCO!D1199="", "",TOTALCO!D1199)</f>
        <v/>
      </c>
      <c r="E670" s="12" t="str">
        <f>IF(TOTALCO!E1199="", "",TOTALCO!E1199)</f>
        <v/>
      </c>
      <c r="F670" s="12" t="str">
        <f>IF(TOTALCO!F1199="", "",TOTALCO!F1199)</f>
        <v/>
      </c>
      <c r="G670" s="12" t="str">
        <f>IF(TOTALCO!G1199="", "",TOTALCO!G1199)</f>
        <v/>
      </c>
      <c r="H670" s="12" t="str">
        <f>IF(TOTALCO!H1199="", "",TOTALCO!H1199)</f>
        <v/>
      </c>
      <c r="I670" s="12" t="str">
        <f>IF(TOTALCO!I1199="", "",TOTALCO!I1199)</f>
        <v/>
      </c>
      <c r="J670" s="12" t="str">
        <f>IF(TOTALCO!J1199="", "",TOTALCO!J1199)</f>
        <v/>
      </c>
      <c r="K670" s="12" t="str">
        <f>IF(TOTALCO!K1199="", "",TOTALCO!K1199)</f>
        <v/>
      </c>
      <c r="L670" s="12" t="str">
        <f>IF(TOTALCO!L1199="", "",TOTALCO!L1199)</f>
        <v/>
      </c>
      <c r="M670" s="12" t="str">
        <f>IF(TOTALCO!M1199="", "",TOTALCO!M1199)</f>
        <v/>
      </c>
      <c r="N670" s="12" t="str">
        <f>IF(TOTALCO!N1199="", "",TOTALCO!N1199)</f>
        <v/>
      </c>
      <c r="O670" s="12" t="str">
        <f>IF(TOTALCO!O1199="", "",TOTALCO!O1199)</f>
        <v/>
      </c>
      <c r="P670" s="12" t="str">
        <f>IF(TOTALCO!P1199="", "",TOTALCO!P1199)</f>
        <v/>
      </c>
      <c r="Q670" s="12"/>
      <c r="R670" s="13"/>
    </row>
    <row r="671" spans="1:18" ht="15" x14ac:dyDescent="0.2">
      <c r="A671" s="321" t="str">
        <f>IF(TOTALCO!A1200="", "",TOTALCO!A1200)</f>
        <v/>
      </c>
      <c r="B671" s="4" t="str">
        <f>IF(TOTALCO!B1200="", "",TOTALCO!B1200)</f>
        <v xml:space="preserve"> PRODUCTION PLANT</v>
      </c>
      <c r="C671" s="4" t="str">
        <f>IF(TOTALCO!C1200="", "",TOTALCO!C1200)</f>
        <v/>
      </c>
      <c r="D671" s="12" t="str">
        <f>IF(TOTALCO!D1200="", "",TOTALCO!D1200)</f>
        <v/>
      </c>
      <c r="E671" s="12" t="str">
        <f>IF(TOTALCO!E1200="", "",TOTALCO!E1200)</f>
        <v/>
      </c>
      <c r="F671" s="12" t="str">
        <f>IF(TOTALCO!F1200="", "",TOTALCO!F1200)</f>
        <v/>
      </c>
      <c r="G671" s="12" t="str">
        <f>IF(TOTALCO!G1200="", "",TOTALCO!G1200)</f>
        <v/>
      </c>
      <c r="H671" s="12" t="str">
        <f>IF(TOTALCO!H1200="", "",TOTALCO!H1200)</f>
        <v/>
      </c>
      <c r="I671" s="12" t="str">
        <f>IF(TOTALCO!I1200="", "",TOTALCO!I1200)</f>
        <v/>
      </c>
      <c r="J671" s="12" t="str">
        <f>IF(TOTALCO!J1200="", "",TOTALCO!J1200)</f>
        <v/>
      </c>
      <c r="K671" s="12" t="str">
        <f>IF(TOTALCO!K1200="", "",TOTALCO!K1200)</f>
        <v/>
      </c>
      <c r="L671" s="12" t="str">
        <f>IF(TOTALCO!L1200="", "",TOTALCO!L1200)</f>
        <v/>
      </c>
      <c r="M671" s="12" t="str">
        <f>IF(TOTALCO!M1200="", "",TOTALCO!M1200)</f>
        <v/>
      </c>
      <c r="N671" s="12" t="str">
        <f>IF(TOTALCO!N1200="", "",TOTALCO!N1200)</f>
        <v/>
      </c>
      <c r="O671" s="12" t="str">
        <f>IF(TOTALCO!O1200="", "",TOTALCO!O1200)</f>
        <v/>
      </c>
      <c r="P671" s="12" t="str">
        <f>IF(TOTALCO!P1200="", "",TOTALCO!P1200)</f>
        <v/>
      </c>
      <c r="Q671" s="12"/>
      <c r="R671" s="13"/>
    </row>
    <row r="672" spans="1:18" ht="15" x14ac:dyDescent="0.2">
      <c r="A672" s="321">
        <f>IF(TOTALCO!A1201="", "",TOTALCO!A1201)</f>
        <v>12</v>
      </c>
      <c r="B672" s="4" t="str">
        <f>IF(TOTALCO!B1201="", "",TOTALCO!B1201)</f>
        <v xml:space="preserve">  STEAM PRODUCTION PLANT</v>
      </c>
      <c r="C672" s="4" t="str">
        <f>IF(TOTALCO!C1201="", "",TOTALCO!C1201)</f>
        <v>STMSYS</v>
      </c>
      <c r="D672" s="12">
        <f ca="1">IF(TOTALCO!D1201="", "",TOTALCO!D1201)</f>
        <v>0</v>
      </c>
      <c r="E672" s="12" t="str">
        <f>IF(TOTALCO!E1201="", "",TOTALCO!E1201)</f>
        <v/>
      </c>
      <c r="F672" s="12">
        <f ca="1">IF(TOTALCO!F1201="", "",TOTALCO!F1201)</f>
        <v>0</v>
      </c>
      <c r="G672" s="12" t="str">
        <f>IF(TOTALCO!G1201="", "",TOTALCO!G1201)</f>
        <v/>
      </c>
      <c r="H672" s="12">
        <f ca="1">IF(TOTALCO!H1201="", "",TOTALCO!H1201)</f>
        <v>0</v>
      </c>
      <c r="I672" s="12">
        <f ca="1">IF(TOTALCO!I1201="", "",TOTALCO!I1201)</f>
        <v>0</v>
      </c>
      <c r="J672" s="12" t="str">
        <f>IF(TOTALCO!J1201="", "",TOTALCO!J1201)</f>
        <v/>
      </c>
      <c r="K672" s="12" t="str">
        <f>IF(TOTALCO!K1201="", "",TOTALCO!K1201)</f>
        <v/>
      </c>
      <c r="L672" s="12">
        <f ca="1">IF(TOTALCO!L1201="", "",TOTALCO!L1201)</f>
        <v>0</v>
      </c>
      <c r="M672" s="12" t="str">
        <f>IF(TOTALCO!M1201="", "",TOTALCO!M1201)</f>
        <v/>
      </c>
      <c r="N672" s="12">
        <f ca="1">IF(TOTALCO!N1201="", "",TOTALCO!N1201)</f>
        <v>0</v>
      </c>
      <c r="O672" s="12">
        <f ca="1">IF(TOTALCO!O1201="", "",TOTALCO!O1201)</f>
        <v>0</v>
      </c>
      <c r="P672" s="12">
        <f ca="1">IF(TOTALCO!P1201="", "",TOTALCO!P1201)</f>
        <v>0</v>
      </c>
      <c r="Q672" s="12"/>
      <c r="R672" s="13"/>
    </row>
    <row r="673" spans="1:18" ht="15" x14ac:dyDescent="0.2">
      <c r="A673" s="321">
        <f>IF(TOTALCO!A1202="", "",TOTALCO!A1202)</f>
        <v>13</v>
      </c>
      <c r="B673" s="4" t="str">
        <f>IF(TOTALCO!B1202="", "",TOTALCO!B1202)</f>
        <v xml:space="preserve">  HYDRAULIC PRODUCTION PLANT</v>
      </c>
      <c r="C673" s="4" t="str">
        <f>IF(TOTALCO!C1202="", "",TOTALCO!C1202)</f>
        <v>HYDSYS</v>
      </c>
      <c r="D673" s="12">
        <f ca="1">IF(TOTALCO!D1202="", "",TOTALCO!D1202)</f>
        <v>0</v>
      </c>
      <c r="E673" s="12" t="str">
        <f>IF(TOTALCO!E1202="", "",TOTALCO!E1202)</f>
        <v/>
      </c>
      <c r="F673" s="12">
        <f ca="1">IF(TOTALCO!F1202="", "",TOTALCO!F1202)</f>
        <v>0</v>
      </c>
      <c r="G673" s="12" t="str">
        <f>IF(TOTALCO!G1202="", "",TOTALCO!G1202)</f>
        <v/>
      </c>
      <c r="H673" s="12">
        <f ca="1">IF(TOTALCO!H1202="", "",TOTALCO!H1202)</f>
        <v>0</v>
      </c>
      <c r="I673" s="12">
        <f ca="1">IF(TOTALCO!I1202="", "",TOTALCO!I1202)</f>
        <v>0</v>
      </c>
      <c r="J673" s="12" t="str">
        <f>IF(TOTALCO!J1202="", "",TOTALCO!J1202)</f>
        <v/>
      </c>
      <c r="K673" s="12" t="str">
        <f>IF(TOTALCO!K1202="", "",TOTALCO!K1202)</f>
        <v/>
      </c>
      <c r="L673" s="12">
        <f ca="1">IF(TOTALCO!L1202="", "",TOTALCO!L1202)</f>
        <v>0</v>
      </c>
      <c r="M673" s="12" t="str">
        <f>IF(TOTALCO!M1202="", "",TOTALCO!M1202)</f>
        <v/>
      </c>
      <c r="N673" s="12">
        <f ca="1">IF(TOTALCO!N1202="", "",TOTALCO!N1202)</f>
        <v>0</v>
      </c>
      <c r="O673" s="12">
        <f ca="1">IF(TOTALCO!O1202="", "",TOTALCO!O1202)</f>
        <v>0</v>
      </c>
      <c r="P673" s="12">
        <f ca="1">IF(TOTALCO!P1202="", "",TOTALCO!P1202)</f>
        <v>0</v>
      </c>
      <c r="Q673" s="12"/>
      <c r="R673" s="13"/>
    </row>
    <row r="674" spans="1:18" ht="15" x14ac:dyDescent="0.2">
      <c r="A674" s="321">
        <f>IF(TOTALCO!A1203="", "",TOTALCO!A1203)</f>
        <v>14</v>
      </c>
      <c r="B674" s="4" t="str">
        <f>IF(TOTALCO!B1203="", "",TOTALCO!B1203)</f>
        <v xml:space="preserve">  OTHER PRODUCTION PLANT</v>
      </c>
      <c r="C674" s="4" t="str">
        <f>IF(TOTALCO!C1203="", "",TOTALCO!C1203)</f>
        <v>OTHSYS</v>
      </c>
      <c r="D674" s="12">
        <f ca="1">IF(TOTALCO!D1203="", "",TOTALCO!D1203)</f>
        <v>0</v>
      </c>
      <c r="E674" s="12" t="str">
        <f>IF(TOTALCO!E1203="", "",TOTALCO!E1203)</f>
        <v/>
      </c>
      <c r="F674" s="12">
        <f ca="1">IF(TOTALCO!F1203="", "",TOTALCO!F1203)</f>
        <v>0</v>
      </c>
      <c r="G674" s="12" t="str">
        <f>IF(TOTALCO!G1203="", "",TOTALCO!G1203)</f>
        <v/>
      </c>
      <c r="H674" s="12">
        <f ca="1">IF(TOTALCO!H1203="", "",TOTALCO!H1203)</f>
        <v>0</v>
      </c>
      <c r="I674" s="12">
        <f ca="1">IF(TOTALCO!I1203="", "",TOTALCO!I1203)</f>
        <v>0</v>
      </c>
      <c r="J674" s="12" t="str">
        <f>IF(TOTALCO!J1203="", "",TOTALCO!J1203)</f>
        <v/>
      </c>
      <c r="K674" s="12" t="str">
        <f>IF(TOTALCO!K1203="", "",TOTALCO!K1203)</f>
        <v/>
      </c>
      <c r="L674" s="12">
        <f ca="1">IF(TOTALCO!L1203="", "",TOTALCO!L1203)</f>
        <v>0</v>
      </c>
      <c r="M674" s="12" t="str">
        <f>IF(TOTALCO!M1203="", "",TOTALCO!M1203)</f>
        <v/>
      </c>
      <c r="N674" s="12">
        <f ca="1">IF(TOTALCO!N1203="", "",TOTALCO!N1203)</f>
        <v>0</v>
      </c>
      <c r="O674" s="12">
        <f ca="1">IF(TOTALCO!O1203="", "",TOTALCO!O1203)</f>
        <v>0</v>
      </c>
      <c r="P674" s="12">
        <f ca="1">IF(TOTALCO!P1203="", "",TOTALCO!P1203)</f>
        <v>0</v>
      </c>
      <c r="Q674" s="12"/>
      <c r="R674" s="13"/>
    </row>
    <row r="675" spans="1:18" ht="15" x14ac:dyDescent="0.2">
      <c r="A675" s="321" t="str">
        <f>IF(TOTALCO!A1204="", "",TOTALCO!A1204)</f>
        <v/>
      </c>
      <c r="B675" s="4" t="str">
        <f>IF(TOTALCO!B1204="", "",TOTALCO!B1204)</f>
        <v/>
      </c>
      <c r="C675" s="4" t="str">
        <f>IF(TOTALCO!C1204="", "",TOTALCO!C1204)</f>
        <v/>
      </c>
      <c r="D675" s="12" t="str">
        <f>IF(TOTALCO!D1204="", "",TOTALCO!D1204)</f>
        <v/>
      </c>
      <c r="E675" s="12" t="str">
        <f>IF(TOTALCO!E1204="", "",TOTALCO!E1204)</f>
        <v/>
      </c>
      <c r="F675" s="12" t="str">
        <f>IF(TOTALCO!F1204="", "",TOTALCO!F1204)</f>
        <v/>
      </c>
      <c r="G675" s="12" t="str">
        <f>IF(TOTALCO!G1204="", "",TOTALCO!G1204)</f>
        <v/>
      </c>
      <c r="H675" s="12" t="str">
        <f>IF(TOTALCO!H1204="", "",TOTALCO!H1204)</f>
        <v/>
      </c>
      <c r="I675" s="12" t="str">
        <f>IF(TOTALCO!I1204="", "",TOTALCO!I1204)</f>
        <v/>
      </c>
      <c r="J675" s="12" t="str">
        <f>IF(TOTALCO!J1204="", "",TOTALCO!J1204)</f>
        <v/>
      </c>
      <c r="K675" s="12" t="str">
        <f>IF(TOTALCO!K1204="", "",TOTALCO!K1204)</f>
        <v/>
      </c>
      <c r="L675" s="12" t="str">
        <f>IF(TOTALCO!L1204="", "",TOTALCO!L1204)</f>
        <v/>
      </c>
      <c r="M675" s="12" t="str">
        <f>IF(TOTALCO!M1204="", "",TOTALCO!M1204)</f>
        <v/>
      </c>
      <c r="N675" s="12" t="str">
        <f>IF(TOTALCO!N1204="", "",TOTALCO!N1204)</f>
        <v/>
      </c>
      <c r="O675" s="12" t="str">
        <f>IF(TOTALCO!O1204="", "",TOTALCO!O1204)</f>
        <v/>
      </c>
      <c r="P675" s="12" t="str">
        <f>IF(TOTALCO!P1204="", "",TOTALCO!P1204)</f>
        <v/>
      </c>
      <c r="Q675" s="12"/>
      <c r="R675" s="13"/>
    </row>
    <row r="676" spans="1:18" ht="15" x14ac:dyDescent="0.2">
      <c r="A676" s="321">
        <f>IF(TOTALCO!A1205="", "",TOTALCO!A1205)</f>
        <v>15</v>
      </c>
      <c r="B676" s="4" t="str">
        <f>IF(TOTALCO!B1205="", "",TOTALCO!B1205)</f>
        <v xml:space="preserve"> TOTAL PRODUCTION PLANT</v>
      </c>
      <c r="C676" s="4" t="str">
        <f>IF(TOTALCO!C1205="", "",TOTALCO!C1205)</f>
        <v/>
      </c>
      <c r="D676" s="12">
        <f ca="1">IF(TOTALCO!D1205="", "",TOTALCO!D1205)</f>
        <v>0</v>
      </c>
      <c r="E676" s="12" t="str">
        <f>IF(TOTALCO!E1205="", "",TOTALCO!E1205)</f>
        <v/>
      </c>
      <c r="F676" s="12">
        <f ca="1">IF(TOTALCO!F1205="", "",TOTALCO!F1205)</f>
        <v>0</v>
      </c>
      <c r="G676" s="12" t="str">
        <f>IF(TOTALCO!G1205="", "",TOTALCO!G1205)</f>
        <v/>
      </c>
      <c r="H676" s="12">
        <f ca="1">IF(TOTALCO!H1205="", "",TOTALCO!H1205)</f>
        <v>0</v>
      </c>
      <c r="I676" s="12">
        <f ca="1">IF(TOTALCO!I1205="", "",TOTALCO!I1205)</f>
        <v>0</v>
      </c>
      <c r="J676" s="12" t="str">
        <f>IF(TOTALCO!J1205="", "",TOTALCO!J1205)</f>
        <v/>
      </c>
      <c r="K676" s="12" t="str">
        <f>IF(TOTALCO!K1205="", "",TOTALCO!K1205)</f>
        <v/>
      </c>
      <c r="L676" s="12">
        <f ca="1">IF(TOTALCO!L1205="", "",TOTALCO!L1205)</f>
        <v>0</v>
      </c>
      <c r="M676" s="12" t="str">
        <f>IF(TOTALCO!M1205="", "",TOTALCO!M1205)</f>
        <v/>
      </c>
      <c r="N676" s="12">
        <f ca="1">IF(TOTALCO!N1205="", "",TOTALCO!N1205)</f>
        <v>0</v>
      </c>
      <c r="O676" s="12">
        <f ca="1">IF(TOTALCO!O1205="", "",TOTALCO!O1205)</f>
        <v>0</v>
      </c>
      <c r="P676" s="12">
        <f ca="1">IF(TOTALCO!P1205="", "",TOTALCO!P1205)</f>
        <v>0</v>
      </c>
      <c r="Q676" s="12"/>
      <c r="R676" s="13"/>
    </row>
    <row r="677" spans="1:18" ht="15" x14ac:dyDescent="0.2">
      <c r="A677" s="321" t="str">
        <f>IF(TOTALCO!A1206="", "",TOTALCO!A1206)</f>
        <v/>
      </c>
      <c r="B677" s="4" t="str">
        <f>IF(TOTALCO!B1206="", "",TOTALCO!B1206)</f>
        <v/>
      </c>
      <c r="C677" s="4" t="str">
        <f>IF(TOTALCO!C1206="", "",TOTALCO!C1206)</f>
        <v/>
      </c>
      <c r="D677" s="12" t="str">
        <f>IF(TOTALCO!D1206="", "",TOTALCO!D1206)</f>
        <v/>
      </c>
      <c r="E677" s="12" t="str">
        <f>IF(TOTALCO!E1206="", "",TOTALCO!E1206)</f>
        <v/>
      </c>
      <c r="F677" s="12" t="str">
        <f>IF(TOTALCO!F1206="", "",TOTALCO!F1206)</f>
        <v/>
      </c>
      <c r="G677" s="12" t="str">
        <f>IF(TOTALCO!G1206="", "",TOTALCO!G1206)</f>
        <v/>
      </c>
      <c r="H677" s="12" t="str">
        <f>IF(TOTALCO!H1206="", "",TOTALCO!H1206)</f>
        <v/>
      </c>
      <c r="I677" s="12" t="str">
        <f>IF(TOTALCO!I1206="", "",TOTALCO!I1206)</f>
        <v/>
      </c>
      <c r="J677" s="12" t="str">
        <f>IF(TOTALCO!J1206="", "",TOTALCO!J1206)</f>
        <v/>
      </c>
      <c r="K677" s="12" t="str">
        <f>IF(TOTALCO!K1206="", "",TOTALCO!K1206)</f>
        <v/>
      </c>
      <c r="L677" s="12" t="str">
        <f>IF(TOTALCO!L1206="", "",TOTALCO!L1206)</f>
        <v/>
      </c>
      <c r="M677" s="12" t="str">
        <f>IF(TOTALCO!M1206="", "",TOTALCO!M1206)</f>
        <v/>
      </c>
      <c r="N677" s="12" t="str">
        <f>IF(TOTALCO!N1206="", "",TOTALCO!N1206)</f>
        <v/>
      </c>
      <c r="O677" s="12" t="str">
        <f>IF(TOTALCO!O1206="", "",TOTALCO!O1206)</f>
        <v/>
      </c>
      <c r="P677" s="12" t="str">
        <f>IF(TOTALCO!P1206="", "",TOTALCO!P1206)</f>
        <v/>
      </c>
      <c r="Q677" s="12"/>
      <c r="R677" s="13"/>
    </row>
    <row r="678" spans="1:18" ht="15" x14ac:dyDescent="0.2">
      <c r="A678" s="321" t="str">
        <f>IF(TOTALCO!A1207="", "",TOTALCO!A1207)</f>
        <v/>
      </c>
      <c r="B678" s="4" t="str">
        <f>IF(TOTALCO!B1207="", "",TOTALCO!B1207)</f>
        <v xml:space="preserve"> TRANSMISSION PLANT</v>
      </c>
      <c r="C678" s="4" t="str">
        <f>IF(TOTALCO!C1207="", "",TOTALCO!C1207)</f>
        <v/>
      </c>
      <c r="D678" s="12" t="str">
        <f>IF(TOTALCO!D1207="", "",TOTALCO!D1207)</f>
        <v/>
      </c>
      <c r="E678" s="12" t="str">
        <f>IF(TOTALCO!E1207="", "",TOTALCO!E1207)</f>
        <v/>
      </c>
      <c r="F678" s="12" t="str">
        <f>IF(TOTALCO!F1207="", "",TOTALCO!F1207)</f>
        <v/>
      </c>
      <c r="G678" s="12" t="str">
        <f>IF(TOTALCO!G1207="", "",TOTALCO!G1207)</f>
        <v/>
      </c>
      <c r="H678" s="12" t="str">
        <f>IF(TOTALCO!H1207="", "",TOTALCO!H1207)</f>
        <v/>
      </c>
      <c r="I678" s="12" t="str">
        <f>IF(TOTALCO!I1207="", "",TOTALCO!I1207)</f>
        <v/>
      </c>
      <c r="J678" s="12" t="str">
        <f>IF(TOTALCO!J1207="", "",TOTALCO!J1207)</f>
        <v/>
      </c>
      <c r="K678" s="12" t="str">
        <f>IF(TOTALCO!K1207="", "",TOTALCO!K1207)</f>
        <v/>
      </c>
      <c r="L678" s="12" t="str">
        <f>IF(TOTALCO!L1207="", "",TOTALCO!L1207)</f>
        <v/>
      </c>
      <c r="M678" s="12" t="str">
        <f>IF(TOTALCO!M1207="", "",TOTALCO!M1207)</f>
        <v/>
      </c>
      <c r="N678" s="12" t="str">
        <f>IF(TOTALCO!N1207="", "",TOTALCO!N1207)</f>
        <v/>
      </c>
      <c r="O678" s="12" t="str">
        <f>IF(TOTALCO!O1207="", "",TOTALCO!O1207)</f>
        <v/>
      </c>
      <c r="P678" s="12" t="str">
        <f>IF(TOTALCO!P1207="", "",TOTALCO!P1207)</f>
        <v/>
      </c>
      <c r="Q678" s="12"/>
      <c r="R678" s="13"/>
    </row>
    <row r="679" spans="1:18" ht="15" x14ac:dyDescent="0.2">
      <c r="A679" s="321">
        <f>IF(TOTALCO!A1208="", "",TOTALCO!A1208)</f>
        <v>16</v>
      </c>
      <c r="B679" s="4" t="str">
        <f>IF(TOTALCO!B1208="", "",TOTALCO!B1208)</f>
        <v xml:space="preserve">  KENTUCKY SYSTEM PROPERTY</v>
      </c>
      <c r="C679" s="4" t="str">
        <f>IF(TOTALCO!C1208="", "",TOTALCO!C1208)</f>
        <v>KYTRPLTXF</v>
      </c>
      <c r="D679" s="12">
        <f ca="1">IF(TOTALCO!D1208="", "",TOTALCO!D1208)</f>
        <v>0</v>
      </c>
      <c r="E679" s="12" t="str">
        <f>IF(TOTALCO!E1208="", "",TOTALCO!E1208)</f>
        <v/>
      </c>
      <c r="F679" s="12">
        <f ca="1">IF(TOTALCO!F1208="", "",TOTALCO!F1208)</f>
        <v>0</v>
      </c>
      <c r="G679" s="12" t="str">
        <f>IF(TOTALCO!G1208="", "",TOTALCO!G1208)</f>
        <v/>
      </c>
      <c r="H679" s="12">
        <f ca="1">IF(TOTALCO!H1208="", "",TOTALCO!H1208)</f>
        <v>0</v>
      </c>
      <c r="I679" s="12">
        <f ca="1">IF(TOTALCO!I1208="", "",TOTALCO!I1208)</f>
        <v>0</v>
      </c>
      <c r="J679" s="12" t="str">
        <f>IF(TOTALCO!J1208="", "",TOTALCO!J1208)</f>
        <v/>
      </c>
      <c r="K679" s="12" t="str">
        <f>IF(TOTALCO!K1208="", "",TOTALCO!K1208)</f>
        <v/>
      </c>
      <c r="L679" s="12">
        <f ca="1">IF(TOTALCO!L1208="", "",TOTALCO!L1208)</f>
        <v>0</v>
      </c>
      <c r="M679" s="12" t="str">
        <f>IF(TOTALCO!M1208="", "",TOTALCO!M1208)</f>
        <v/>
      </c>
      <c r="N679" s="12">
        <f ca="1">IF(TOTALCO!N1208="", "",TOTALCO!N1208)</f>
        <v>0</v>
      </c>
      <c r="O679" s="12">
        <f ca="1">IF(TOTALCO!O1208="", "",TOTALCO!O1208)</f>
        <v>0</v>
      </c>
      <c r="P679" s="12">
        <f ca="1">IF(TOTALCO!P1208="", "",TOTALCO!P1208)</f>
        <v>0</v>
      </c>
      <c r="Q679" s="12"/>
      <c r="R679" s="13"/>
    </row>
    <row r="680" spans="1:18" ht="15" x14ac:dyDescent="0.2">
      <c r="A680" s="321">
        <f>IF(TOTALCO!A1209="", "",TOTALCO!A1209)</f>
        <v>17</v>
      </c>
      <c r="B680" s="4" t="str">
        <f>IF(TOTALCO!B1209="", "",TOTALCO!B1209)</f>
        <v xml:space="preserve">  VIRGINIA PROPERTY</v>
      </c>
      <c r="C680" s="4" t="str">
        <f>IF(TOTALCO!C1209="", "",TOTALCO!C1209)</f>
        <v>TRPLTVA</v>
      </c>
      <c r="D680" s="12">
        <f ca="1">IF(TOTALCO!D1209="", "",TOTALCO!D1209)</f>
        <v>0</v>
      </c>
      <c r="E680" s="12" t="str">
        <f>IF(TOTALCO!E1209="", "",TOTALCO!E1209)</f>
        <v/>
      </c>
      <c r="F680" s="12">
        <f ca="1">IF(TOTALCO!F1209="", "",TOTALCO!F1209)</f>
        <v>0</v>
      </c>
      <c r="G680" s="12" t="str">
        <f>IF(TOTALCO!G1209="", "",TOTALCO!G1209)</f>
        <v/>
      </c>
      <c r="H680" s="12">
        <f ca="1">IF(TOTALCO!H1209="", "",TOTALCO!H1209)</f>
        <v>0</v>
      </c>
      <c r="I680" s="12">
        <f ca="1">IF(TOTALCO!I1209="", "",TOTALCO!I1209)</f>
        <v>0</v>
      </c>
      <c r="J680" s="12" t="str">
        <f>IF(TOTALCO!J1209="", "",TOTALCO!J1209)</f>
        <v/>
      </c>
      <c r="K680" s="12" t="str">
        <f>IF(TOTALCO!K1209="", "",TOTALCO!K1209)</f>
        <v/>
      </c>
      <c r="L680" s="12">
        <f ca="1">IF(TOTALCO!L1209="", "",TOTALCO!L1209)</f>
        <v>0</v>
      </c>
      <c r="M680" s="12" t="str">
        <f>IF(TOTALCO!M1209="", "",TOTALCO!M1209)</f>
        <v/>
      </c>
      <c r="N680" s="12">
        <f ca="1">IF(TOTALCO!N1209="", "",TOTALCO!N1209)</f>
        <v>0</v>
      </c>
      <c r="O680" s="12">
        <f ca="1">IF(TOTALCO!O1209="", "",TOTALCO!O1209)</f>
        <v>0</v>
      </c>
      <c r="P680" s="12">
        <f ca="1">IF(TOTALCO!P1209="", "",TOTALCO!P1209)</f>
        <v>0</v>
      </c>
      <c r="Q680" s="12"/>
      <c r="R680" s="13"/>
    </row>
    <row r="681" spans="1:18" ht="15" x14ac:dyDescent="0.2">
      <c r="A681" s="321" t="str">
        <f>IF(TOTALCO!A1210="", "",TOTALCO!A1210)</f>
        <v/>
      </c>
      <c r="B681" s="4" t="str">
        <f>IF(TOTALCO!B1210="", "",TOTALCO!B1210)</f>
        <v/>
      </c>
      <c r="C681" s="4" t="str">
        <f>IF(TOTALCO!C1210="", "",TOTALCO!C1210)</f>
        <v/>
      </c>
      <c r="D681" s="12" t="str">
        <f>IF(TOTALCO!D1210="", "",TOTALCO!D1210)</f>
        <v/>
      </c>
      <c r="E681" s="12" t="str">
        <f>IF(TOTALCO!E1210="", "",TOTALCO!E1210)</f>
        <v/>
      </c>
      <c r="F681" s="12" t="str">
        <f>IF(TOTALCO!F1210="", "",TOTALCO!F1210)</f>
        <v/>
      </c>
      <c r="G681" s="12" t="str">
        <f>IF(TOTALCO!G1210="", "",TOTALCO!G1210)</f>
        <v/>
      </c>
      <c r="H681" s="12" t="str">
        <f>IF(TOTALCO!H1210="", "",TOTALCO!H1210)</f>
        <v/>
      </c>
      <c r="I681" s="12" t="str">
        <f>IF(TOTALCO!I1210="", "",TOTALCO!I1210)</f>
        <v/>
      </c>
      <c r="J681" s="12" t="str">
        <f>IF(TOTALCO!J1210="", "",TOTALCO!J1210)</f>
        <v/>
      </c>
      <c r="K681" s="12" t="str">
        <f>IF(TOTALCO!K1210="", "",TOTALCO!K1210)</f>
        <v/>
      </c>
      <c r="L681" s="12" t="str">
        <f>IF(TOTALCO!L1210="", "",TOTALCO!L1210)</f>
        <v/>
      </c>
      <c r="M681" s="12" t="str">
        <f>IF(TOTALCO!M1210="", "",TOTALCO!M1210)</f>
        <v/>
      </c>
      <c r="N681" s="12" t="str">
        <f>IF(TOTALCO!N1210="", "",TOTALCO!N1210)</f>
        <v/>
      </c>
      <c r="O681" s="12" t="str">
        <f>IF(TOTALCO!O1210="", "",TOTALCO!O1210)</f>
        <v/>
      </c>
      <c r="P681" s="12" t="str">
        <f>IF(TOTALCO!P1210="", "",TOTALCO!P1210)</f>
        <v/>
      </c>
      <c r="Q681" s="12"/>
      <c r="R681" s="13"/>
    </row>
    <row r="682" spans="1:18" ht="15" x14ac:dyDescent="0.2">
      <c r="A682" s="321">
        <f>IF(TOTALCO!A1211="", "",TOTALCO!A1211)</f>
        <v>18</v>
      </c>
      <c r="B682" s="4" t="str">
        <f>IF(TOTALCO!B1211="", "",TOTALCO!B1211)</f>
        <v xml:space="preserve"> TOTAL TRANSMISSION PLANT</v>
      </c>
      <c r="C682" s="4" t="str">
        <f>IF(TOTALCO!C1211="", "",TOTALCO!C1211)</f>
        <v/>
      </c>
      <c r="D682" s="12">
        <f ca="1">IF(TOTALCO!D1211="", "",TOTALCO!D1211)</f>
        <v>0</v>
      </c>
      <c r="E682" s="12" t="str">
        <f>IF(TOTALCO!E1211="", "",TOTALCO!E1211)</f>
        <v/>
      </c>
      <c r="F682" s="12">
        <f ca="1">IF(TOTALCO!F1211="", "",TOTALCO!F1211)</f>
        <v>0</v>
      </c>
      <c r="G682" s="12" t="str">
        <f>IF(TOTALCO!G1211="", "",TOTALCO!G1211)</f>
        <v/>
      </c>
      <c r="H682" s="12">
        <f ca="1">IF(TOTALCO!H1211="", "",TOTALCO!H1211)</f>
        <v>0</v>
      </c>
      <c r="I682" s="12">
        <f ca="1">IF(TOTALCO!I1211="", "",TOTALCO!I1211)</f>
        <v>0</v>
      </c>
      <c r="J682" s="12" t="str">
        <f>IF(TOTALCO!J1211="", "",TOTALCO!J1211)</f>
        <v/>
      </c>
      <c r="K682" s="12" t="str">
        <f>IF(TOTALCO!K1211="", "",TOTALCO!K1211)</f>
        <v/>
      </c>
      <c r="L682" s="12">
        <f ca="1">IF(TOTALCO!L1211="", "",TOTALCO!L1211)</f>
        <v>0</v>
      </c>
      <c r="M682" s="12" t="str">
        <f>IF(TOTALCO!M1211="", "",TOTALCO!M1211)</f>
        <v/>
      </c>
      <c r="N682" s="12">
        <f ca="1">IF(TOTALCO!N1211="", "",TOTALCO!N1211)</f>
        <v>0</v>
      </c>
      <c r="O682" s="12">
        <f ca="1">IF(TOTALCO!O1211="", "",TOTALCO!O1211)</f>
        <v>0</v>
      </c>
      <c r="P682" s="12">
        <f ca="1">IF(TOTALCO!P1211="", "",TOTALCO!P1211)</f>
        <v>0</v>
      </c>
      <c r="Q682" s="12"/>
      <c r="R682" s="13"/>
    </row>
    <row r="683" spans="1:18" ht="15" x14ac:dyDescent="0.2">
      <c r="A683" s="321" t="str">
        <f>IF(TOTALCO!A1212="", "",TOTALCO!A1212)</f>
        <v/>
      </c>
      <c r="B683" s="4" t="str">
        <f>IF(TOTALCO!B1212="", "",TOTALCO!B1212)</f>
        <v/>
      </c>
      <c r="C683" s="4" t="str">
        <f>IF(TOTALCO!C1212="", "",TOTALCO!C1212)</f>
        <v/>
      </c>
      <c r="D683" s="12" t="str">
        <f>IF(TOTALCO!D1212="", "",TOTALCO!D1212)</f>
        <v/>
      </c>
      <c r="E683" s="12" t="str">
        <f>IF(TOTALCO!E1212="", "",TOTALCO!E1212)</f>
        <v/>
      </c>
      <c r="F683" s="12" t="str">
        <f>IF(TOTALCO!F1212="", "",TOTALCO!F1212)</f>
        <v/>
      </c>
      <c r="G683" s="12" t="str">
        <f>IF(TOTALCO!G1212="", "",TOTALCO!G1212)</f>
        <v/>
      </c>
      <c r="H683" s="12" t="str">
        <f>IF(TOTALCO!H1212="", "",TOTALCO!H1212)</f>
        <v/>
      </c>
      <c r="I683" s="12" t="str">
        <f>IF(TOTALCO!I1212="", "",TOTALCO!I1212)</f>
        <v/>
      </c>
      <c r="J683" s="12" t="str">
        <f>IF(TOTALCO!J1212="", "",TOTALCO!J1212)</f>
        <v/>
      </c>
      <c r="K683" s="12" t="str">
        <f>IF(TOTALCO!K1212="", "",TOTALCO!K1212)</f>
        <v/>
      </c>
      <c r="L683" s="12" t="str">
        <f>IF(TOTALCO!L1212="", "",TOTALCO!L1212)</f>
        <v/>
      </c>
      <c r="M683" s="12" t="str">
        <f>IF(TOTALCO!M1212="", "",TOTALCO!M1212)</f>
        <v/>
      </c>
      <c r="N683" s="12" t="str">
        <f>IF(TOTALCO!N1212="", "",TOTALCO!N1212)</f>
        <v/>
      </c>
      <c r="O683" s="12" t="str">
        <f>IF(TOTALCO!O1212="", "",TOTALCO!O1212)</f>
        <v/>
      </c>
      <c r="P683" s="12" t="str">
        <f>IF(TOTALCO!P1212="", "",TOTALCO!P1212)</f>
        <v/>
      </c>
      <c r="Q683" s="12"/>
      <c r="R683" s="13"/>
    </row>
    <row r="684" spans="1:18" ht="15" x14ac:dyDescent="0.2">
      <c r="A684" s="321" t="str">
        <f>IF(TOTALCO!A1213="", "",TOTALCO!A1213)</f>
        <v/>
      </c>
      <c r="B684" s="4" t="str">
        <f>IF(TOTALCO!B1213="", "",TOTALCO!B1213)</f>
        <v>DISTRIBUTION PLANT</v>
      </c>
      <c r="C684" s="4" t="str">
        <f>IF(TOTALCO!C1213="", "",TOTALCO!C1213)</f>
        <v/>
      </c>
      <c r="D684" s="12" t="str">
        <f>IF(TOTALCO!D1213="", "",TOTALCO!D1213)</f>
        <v/>
      </c>
      <c r="E684" s="12" t="str">
        <f>IF(TOTALCO!E1213="", "",TOTALCO!E1213)</f>
        <v/>
      </c>
      <c r="F684" s="12" t="str">
        <f>IF(TOTALCO!F1213="", "",TOTALCO!F1213)</f>
        <v/>
      </c>
      <c r="G684" s="12" t="str">
        <f>IF(TOTALCO!G1213="", "",TOTALCO!G1213)</f>
        <v/>
      </c>
      <c r="H684" s="12" t="str">
        <f>IF(TOTALCO!H1213="", "",TOTALCO!H1213)</f>
        <v/>
      </c>
      <c r="I684" s="12" t="str">
        <f>IF(TOTALCO!I1213="", "",TOTALCO!I1213)</f>
        <v/>
      </c>
      <c r="J684" s="12" t="str">
        <f>IF(TOTALCO!J1213="", "",TOTALCO!J1213)</f>
        <v/>
      </c>
      <c r="K684" s="12" t="str">
        <f>IF(TOTALCO!K1213="", "",TOTALCO!K1213)</f>
        <v/>
      </c>
      <c r="L684" s="12" t="str">
        <f>IF(TOTALCO!L1213="", "",TOTALCO!L1213)</f>
        <v/>
      </c>
      <c r="M684" s="12" t="str">
        <f>IF(TOTALCO!M1213="", "",TOTALCO!M1213)</f>
        <v/>
      </c>
      <c r="N684" s="12" t="str">
        <f>IF(TOTALCO!N1213="", "",TOTALCO!N1213)</f>
        <v/>
      </c>
      <c r="O684" s="12" t="str">
        <f>IF(TOTALCO!O1213="", "",TOTALCO!O1213)</f>
        <v/>
      </c>
      <c r="P684" s="12" t="str">
        <f>IF(TOTALCO!P1213="", "",TOTALCO!P1213)</f>
        <v/>
      </c>
      <c r="Q684" s="12"/>
      <c r="R684" s="13"/>
    </row>
    <row r="685" spans="1:18" ht="15" x14ac:dyDescent="0.2">
      <c r="A685" s="321">
        <f>IF(TOTALCO!A1214="", "",TOTALCO!A1214)</f>
        <v>19</v>
      </c>
      <c r="B685" s="4" t="str">
        <f>IF(TOTALCO!B1214="", "",TOTALCO!B1214)</f>
        <v xml:space="preserve">  KENTUCKY SYSTEM PROPERTY</v>
      </c>
      <c r="C685" s="4" t="str">
        <f>IF(TOTALCO!C1214="", "",TOTALCO!C1214)</f>
        <v>KYDIST</v>
      </c>
      <c r="D685" s="12">
        <f ca="1">IF(TOTALCO!D1214="", "",TOTALCO!D1214)</f>
        <v>0</v>
      </c>
      <c r="E685" s="12" t="str">
        <f>IF(TOTALCO!E1214="", "",TOTALCO!E1214)</f>
        <v/>
      </c>
      <c r="F685" s="12">
        <f ca="1">IF(TOTALCO!F1214="", "",TOTALCO!F1214)</f>
        <v>0</v>
      </c>
      <c r="G685" s="12" t="str">
        <f>IF(TOTALCO!G1214="", "",TOTALCO!G1214)</f>
        <v/>
      </c>
      <c r="H685" s="12">
        <f ca="1">IF(TOTALCO!H1214="", "",TOTALCO!H1214)</f>
        <v>0</v>
      </c>
      <c r="I685" s="12">
        <f ca="1">IF(TOTALCO!I1214="", "",TOTALCO!I1214)</f>
        <v>0</v>
      </c>
      <c r="J685" s="12" t="str">
        <f>IF(TOTALCO!J1214="", "",TOTALCO!J1214)</f>
        <v/>
      </c>
      <c r="K685" s="12" t="str">
        <f>IF(TOTALCO!K1214="", "",TOTALCO!K1214)</f>
        <v/>
      </c>
      <c r="L685" s="12">
        <f ca="1">IF(TOTALCO!L1214="", "",TOTALCO!L1214)</f>
        <v>0</v>
      </c>
      <c r="M685" s="12" t="str">
        <f>IF(TOTALCO!M1214="", "",TOTALCO!M1214)</f>
        <v/>
      </c>
      <c r="N685" s="12">
        <f ca="1">IF(TOTALCO!N1214="", "",TOTALCO!N1214)</f>
        <v>0</v>
      </c>
      <c r="O685" s="12">
        <f ca="1">IF(TOTALCO!O1214="", "",TOTALCO!O1214)</f>
        <v>0</v>
      </c>
      <c r="P685" s="12">
        <f ca="1">IF(TOTALCO!P1214="", "",TOTALCO!P1214)</f>
        <v>0</v>
      </c>
      <c r="Q685" s="12"/>
      <c r="R685" s="13"/>
    </row>
    <row r="686" spans="1:18" ht="15" x14ac:dyDescent="0.2">
      <c r="A686" s="321">
        <f>IF(TOTALCO!A1215="", "",TOTALCO!A1215)</f>
        <v>20</v>
      </c>
      <c r="B686" s="4" t="str">
        <f>IF(TOTALCO!B1215="", "",TOTALCO!B1215)</f>
        <v xml:space="preserve">  VIRGINIA PROPERTY</v>
      </c>
      <c r="C686" s="4" t="str">
        <f>IF(TOTALCO!C1215="", "",TOTALCO!C1215)</f>
        <v>DPLTXVA</v>
      </c>
      <c r="D686" s="12">
        <f ca="1">IF(TOTALCO!D1215="", "",TOTALCO!D1215)</f>
        <v>0</v>
      </c>
      <c r="E686" s="12" t="str">
        <f>IF(TOTALCO!E1215="", "",TOTALCO!E1215)</f>
        <v/>
      </c>
      <c r="F686" s="12">
        <f ca="1">IF(TOTALCO!F1215="", "",TOTALCO!F1215)</f>
        <v>0</v>
      </c>
      <c r="G686" s="12" t="str">
        <f>IF(TOTALCO!G1215="", "",TOTALCO!G1215)</f>
        <v/>
      </c>
      <c r="H686" s="12">
        <f ca="1">IF(TOTALCO!H1215="", "",TOTALCO!H1215)</f>
        <v>0</v>
      </c>
      <c r="I686" s="12">
        <f ca="1">IF(TOTALCO!I1215="", "",TOTALCO!I1215)</f>
        <v>0</v>
      </c>
      <c r="J686" s="12" t="str">
        <f>IF(TOTALCO!J1215="", "",TOTALCO!J1215)</f>
        <v/>
      </c>
      <c r="K686" s="12" t="str">
        <f>IF(TOTALCO!K1215="", "",TOTALCO!K1215)</f>
        <v/>
      </c>
      <c r="L686" s="12">
        <f ca="1">IF(TOTALCO!L1215="", "",TOTALCO!L1215)</f>
        <v>0</v>
      </c>
      <c r="M686" s="12" t="str">
        <f>IF(TOTALCO!M1215="", "",TOTALCO!M1215)</f>
        <v/>
      </c>
      <c r="N686" s="12">
        <f ca="1">IF(TOTALCO!N1215="", "",TOTALCO!N1215)</f>
        <v>0</v>
      </c>
      <c r="O686" s="12">
        <f ca="1">IF(TOTALCO!O1215="", "",TOTALCO!O1215)</f>
        <v>0</v>
      </c>
      <c r="P686" s="12">
        <f ca="1">IF(TOTALCO!P1215="", "",TOTALCO!P1215)</f>
        <v>0</v>
      </c>
      <c r="Q686" s="12"/>
      <c r="R686" s="13"/>
    </row>
    <row r="687" spans="1:18" ht="15" x14ac:dyDescent="0.2">
      <c r="A687" s="321" t="str">
        <f>IF(TOTALCO!A1216="", "",TOTALCO!A1216)</f>
        <v/>
      </c>
      <c r="B687" s="4" t="str">
        <f>IF(TOTALCO!B1216="", "",TOTALCO!B1216)</f>
        <v/>
      </c>
      <c r="C687" s="4" t="str">
        <f>IF(TOTALCO!C1216="", "",TOTALCO!C1216)</f>
        <v/>
      </c>
      <c r="D687" s="12" t="str">
        <f>IF(TOTALCO!D1216="", "",TOTALCO!D1216)</f>
        <v/>
      </c>
      <c r="E687" s="12" t="str">
        <f>IF(TOTALCO!E1216="", "",TOTALCO!E1216)</f>
        <v/>
      </c>
      <c r="F687" s="12" t="str">
        <f>IF(TOTALCO!F1216="", "",TOTALCO!F1216)</f>
        <v/>
      </c>
      <c r="G687" s="12" t="str">
        <f>IF(TOTALCO!G1216="", "",TOTALCO!G1216)</f>
        <v/>
      </c>
      <c r="H687" s="12" t="str">
        <f>IF(TOTALCO!H1216="", "",TOTALCO!H1216)</f>
        <v/>
      </c>
      <c r="I687" s="12" t="str">
        <f>IF(TOTALCO!I1216="", "",TOTALCO!I1216)</f>
        <v/>
      </c>
      <c r="J687" s="12" t="str">
        <f>IF(TOTALCO!J1216="", "",TOTALCO!J1216)</f>
        <v/>
      </c>
      <c r="K687" s="12" t="str">
        <f>IF(TOTALCO!K1216="", "",TOTALCO!K1216)</f>
        <v/>
      </c>
      <c r="L687" s="12" t="str">
        <f>IF(TOTALCO!L1216="", "",TOTALCO!L1216)</f>
        <v/>
      </c>
      <c r="M687" s="12" t="str">
        <f>IF(TOTALCO!M1216="", "",TOTALCO!M1216)</f>
        <v/>
      </c>
      <c r="N687" s="12" t="str">
        <f>IF(TOTALCO!N1216="", "",TOTALCO!N1216)</f>
        <v/>
      </c>
      <c r="O687" s="12" t="str">
        <f>IF(TOTALCO!O1216="", "",TOTALCO!O1216)</f>
        <v/>
      </c>
      <c r="P687" s="12" t="str">
        <f>IF(TOTALCO!P1216="", "",TOTALCO!P1216)</f>
        <v/>
      </c>
      <c r="Q687" s="12"/>
      <c r="R687" s="13"/>
    </row>
    <row r="688" spans="1:18" ht="15" x14ac:dyDescent="0.2">
      <c r="A688" s="321">
        <f>IF(TOTALCO!A1217="", "",TOTALCO!A1217)</f>
        <v>21</v>
      </c>
      <c r="B688" s="4" t="str">
        <f>IF(TOTALCO!B1217="", "",TOTALCO!B1217)</f>
        <v xml:space="preserve"> TOTAL DISTRIBUTION PLANT</v>
      </c>
      <c r="C688" s="4" t="str">
        <f>IF(TOTALCO!C1217="", "",TOTALCO!C1217)</f>
        <v/>
      </c>
      <c r="D688" s="12">
        <f ca="1">IF(TOTALCO!D1217="", "",TOTALCO!D1217)</f>
        <v>0</v>
      </c>
      <c r="E688" s="12" t="str">
        <f>IF(TOTALCO!E1217="", "",TOTALCO!E1217)</f>
        <v/>
      </c>
      <c r="F688" s="12">
        <f ca="1">IF(TOTALCO!F1217="", "",TOTALCO!F1217)</f>
        <v>0</v>
      </c>
      <c r="G688" s="12" t="str">
        <f>IF(TOTALCO!G1217="", "",TOTALCO!G1217)</f>
        <v/>
      </c>
      <c r="H688" s="12">
        <f ca="1">IF(TOTALCO!H1217="", "",TOTALCO!H1217)</f>
        <v>0</v>
      </c>
      <c r="I688" s="12">
        <f ca="1">IF(TOTALCO!I1217="", "",TOTALCO!I1217)</f>
        <v>0</v>
      </c>
      <c r="J688" s="12" t="str">
        <f>IF(TOTALCO!J1217="", "",TOTALCO!J1217)</f>
        <v/>
      </c>
      <c r="K688" s="12" t="str">
        <f>IF(TOTALCO!K1217="", "",TOTALCO!K1217)</f>
        <v/>
      </c>
      <c r="L688" s="12">
        <f ca="1">IF(TOTALCO!L1217="", "",TOTALCO!L1217)</f>
        <v>0</v>
      </c>
      <c r="M688" s="12" t="str">
        <f>IF(TOTALCO!M1217="", "",TOTALCO!M1217)</f>
        <v/>
      </c>
      <c r="N688" s="12">
        <f ca="1">IF(TOTALCO!N1217="", "",TOTALCO!N1217)</f>
        <v>0</v>
      </c>
      <c r="O688" s="12">
        <f ca="1">IF(TOTALCO!O1217="", "",TOTALCO!O1217)</f>
        <v>0</v>
      </c>
      <c r="P688" s="12">
        <f ca="1">IF(TOTALCO!P1217="", "",TOTALCO!P1217)</f>
        <v>0</v>
      </c>
      <c r="Q688" s="12"/>
      <c r="R688" s="13"/>
    </row>
    <row r="689" spans="1:18" ht="15" x14ac:dyDescent="0.2">
      <c r="A689" s="321" t="str">
        <f>IF(TOTALCO!A1218="", "",TOTALCO!A1218)</f>
        <v/>
      </c>
      <c r="B689" s="4" t="str">
        <f>IF(TOTALCO!B1218="", "",TOTALCO!B1218)</f>
        <v/>
      </c>
      <c r="C689" s="4" t="str">
        <f>IF(TOTALCO!C1218="", "",TOTALCO!C1218)</f>
        <v/>
      </c>
      <c r="D689" s="12" t="str">
        <f>IF(TOTALCO!D1218="", "",TOTALCO!D1218)</f>
        <v/>
      </c>
      <c r="E689" s="12" t="str">
        <f>IF(TOTALCO!E1218="", "",TOTALCO!E1218)</f>
        <v/>
      </c>
      <c r="F689" s="12" t="str">
        <f>IF(TOTALCO!F1218="", "",TOTALCO!F1218)</f>
        <v/>
      </c>
      <c r="G689" s="12" t="str">
        <f>IF(TOTALCO!G1218="", "",TOTALCO!G1218)</f>
        <v/>
      </c>
      <c r="H689" s="12" t="str">
        <f>IF(TOTALCO!H1218="", "",TOTALCO!H1218)</f>
        <v/>
      </c>
      <c r="I689" s="12" t="str">
        <f>IF(TOTALCO!I1218="", "",TOTALCO!I1218)</f>
        <v/>
      </c>
      <c r="J689" s="12" t="str">
        <f>IF(TOTALCO!J1218="", "",TOTALCO!J1218)</f>
        <v/>
      </c>
      <c r="K689" s="12" t="str">
        <f>IF(TOTALCO!K1218="", "",TOTALCO!K1218)</f>
        <v/>
      </c>
      <c r="L689" s="12" t="str">
        <f>IF(TOTALCO!L1218="", "",TOTALCO!L1218)</f>
        <v/>
      </c>
      <c r="M689" s="12" t="str">
        <f>IF(TOTALCO!M1218="", "",TOTALCO!M1218)</f>
        <v/>
      </c>
      <c r="N689" s="12" t="str">
        <f>IF(TOTALCO!N1218="", "",TOTALCO!N1218)</f>
        <v/>
      </c>
      <c r="O689" s="12" t="str">
        <f>IF(TOTALCO!O1218="", "",TOTALCO!O1218)</f>
        <v/>
      </c>
      <c r="P689" s="12" t="str">
        <f>IF(TOTALCO!P1218="", "",TOTALCO!P1218)</f>
        <v/>
      </c>
      <c r="Q689" s="12"/>
      <c r="R689" s="13"/>
    </row>
    <row r="690" spans="1:18" ht="15" x14ac:dyDescent="0.2">
      <c r="A690" s="321">
        <f>IF(TOTALCO!A1219="", "",TOTALCO!A1219)</f>
        <v>22</v>
      </c>
      <c r="B690" s="4" t="str">
        <f>IF(TOTALCO!B1219="", "",TOTALCO!B1219)</f>
        <v>TOTAL ACCRETION EXPENSE</v>
      </c>
      <c r="C690" s="4" t="str">
        <f>IF(TOTALCO!C1219="", "",TOTALCO!C1219)</f>
        <v/>
      </c>
      <c r="D690" s="12">
        <f ca="1">IF(TOTALCO!D1219="", "",TOTALCO!D1219)</f>
        <v>0</v>
      </c>
      <c r="E690" s="12" t="str">
        <f>IF(TOTALCO!E1219="", "",TOTALCO!E1219)</f>
        <v/>
      </c>
      <c r="F690" s="12">
        <f ca="1">IF(TOTALCO!F1219="", "",TOTALCO!F1219)</f>
        <v>0</v>
      </c>
      <c r="G690" s="12" t="str">
        <f>IF(TOTALCO!G1219="", "",TOTALCO!G1219)</f>
        <v/>
      </c>
      <c r="H690" s="12">
        <f ca="1">IF(TOTALCO!H1219="", "",TOTALCO!H1219)</f>
        <v>0</v>
      </c>
      <c r="I690" s="12">
        <f ca="1">IF(TOTALCO!I1219="", "",TOTALCO!I1219)</f>
        <v>0</v>
      </c>
      <c r="J690" s="12" t="str">
        <f>IF(TOTALCO!J1219="", "",TOTALCO!J1219)</f>
        <v/>
      </c>
      <c r="K690" s="12" t="str">
        <f>IF(TOTALCO!K1219="", "",TOTALCO!K1219)</f>
        <v/>
      </c>
      <c r="L690" s="12">
        <f ca="1">IF(TOTALCO!L1219="", "",TOTALCO!L1219)</f>
        <v>0</v>
      </c>
      <c r="M690" s="12" t="str">
        <f>IF(TOTALCO!M1219="", "",TOTALCO!M1219)</f>
        <v/>
      </c>
      <c r="N690" s="12">
        <f ca="1">IF(TOTALCO!N1219="", "",TOTALCO!N1219)</f>
        <v>0</v>
      </c>
      <c r="O690" s="12">
        <f ca="1">IF(TOTALCO!O1219="", "",TOTALCO!O1219)</f>
        <v>0</v>
      </c>
      <c r="P690" s="12">
        <f ca="1">IF(TOTALCO!P1219="", "",TOTALCO!P1219)</f>
        <v>0</v>
      </c>
      <c r="Q690" s="12"/>
      <c r="R690" s="13"/>
    </row>
    <row r="691" spans="1:18" ht="15" x14ac:dyDescent="0.2">
      <c r="A691" s="321" t="str">
        <f>IF(TOTALCO!A1220="", "",TOTALCO!A1220)</f>
        <v/>
      </c>
      <c r="B691" s="4" t="str">
        <f>IF(TOTALCO!B1220="", "",TOTALCO!B1220)</f>
        <v/>
      </c>
      <c r="C691" s="4" t="str">
        <f>IF(TOTALCO!C1220="", "",TOTALCO!C1220)</f>
        <v/>
      </c>
      <c r="D691" s="12" t="str">
        <f>IF(TOTALCO!D1220="", "",TOTALCO!D1220)</f>
        <v/>
      </c>
      <c r="E691" s="12" t="str">
        <f>IF(TOTALCO!E1220="", "",TOTALCO!E1220)</f>
        <v/>
      </c>
      <c r="F691" s="12" t="str">
        <f>IF(TOTALCO!F1220="", "",TOTALCO!F1220)</f>
        <v/>
      </c>
      <c r="G691" s="12" t="str">
        <f>IF(TOTALCO!G1220="", "",TOTALCO!G1220)</f>
        <v/>
      </c>
      <c r="H691" s="12" t="str">
        <f>IF(TOTALCO!H1220="", "",TOTALCO!H1220)</f>
        <v/>
      </c>
      <c r="I691" s="12" t="str">
        <f>IF(TOTALCO!I1220="", "",TOTALCO!I1220)</f>
        <v/>
      </c>
      <c r="J691" s="12" t="str">
        <f>IF(TOTALCO!J1220="", "",TOTALCO!J1220)</f>
        <v/>
      </c>
      <c r="K691" s="12" t="str">
        <f>IF(TOTALCO!K1220="", "",TOTALCO!K1220)</f>
        <v/>
      </c>
      <c r="L691" s="12" t="str">
        <f>IF(TOTALCO!L1220="", "",TOTALCO!L1220)</f>
        <v/>
      </c>
      <c r="M691" s="12" t="str">
        <f>IF(TOTALCO!M1220="", "",TOTALCO!M1220)</f>
        <v/>
      </c>
      <c r="N691" s="12" t="str">
        <f>IF(TOTALCO!N1220="", "",TOTALCO!N1220)</f>
        <v/>
      </c>
      <c r="O691" s="12" t="str">
        <f>IF(TOTALCO!O1220="", "",TOTALCO!O1220)</f>
        <v/>
      </c>
      <c r="P691" s="12" t="str">
        <f>IF(TOTALCO!P1220="", "",TOTALCO!P1220)</f>
        <v/>
      </c>
      <c r="Q691" s="12"/>
      <c r="R691" s="13"/>
    </row>
    <row r="692" spans="1:18" ht="15" x14ac:dyDescent="0.2">
      <c r="A692" s="321" t="str">
        <f>IF(TOTALCO!A1221="", "",TOTALCO!A1221)</f>
        <v/>
      </c>
      <c r="B692" s="4" t="str">
        <f>IF(TOTALCO!B1221="", "",TOTALCO!B1221)</f>
        <v>OTHER TAXES &amp; OTHER EXPENSES</v>
      </c>
      <c r="C692" s="4" t="str">
        <f>IF(TOTALCO!C1221="", "",TOTALCO!C1221)</f>
        <v/>
      </c>
      <c r="D692" s="12" t="str">
        <f>IF(TOTALCO!D1221="", "",TOTALCO!D1221)</f>
        <v/>
      </c>
      <c r="E692" s="12" t="str">
        <f>IF(TOTALCO!E1221="", "",TOTALCO!E1221)</f>
        <v/>
      </c>
      <c r="F692" s="12" t="str">
        <f>IF(TOTALCO!F1221="", "",TOTALCO!F1221)</f>
        <v/>
      </c>
      <c r="G692" s="12" t="str">
        <f>IF(TOTALCO!G1221="", "",TOTALCO!G1221)</f>
        <v/>
      </c>
      <c r="H692" s="12" t="str">
        <f>IF(TOTALCO!H1221="", "",TOTALCO!H1221)</f>
        <v/>
      </c>
      <c r="I692" s="12" t="str">
        <f>IF(TOTALCO!I1221="", "",TOTALCO!I1221)</f>
        <v/>
      </c>
      <c r="J692" s="12" t="str">
        <f>IF(TOTALCO!J1221="", "",TOTALCO!J1221)</f>
        <v/>
      </c>
      <c r="K692" s="12" t="str">
        <f>IF(TOTALCO!K1221="", "",TOTALCO!K1221)</f>
        <v/>
      </c>
      <c r="L692" s="12" t="str">
        <f>IF(TOTALCO!L1221="", "",TOTALCO!L1221)</f>
        <v/>
      </c>
      <c r="M692" s="12" t="str">
        <f>IF(TOTALCO!M1221="", "",TOTALCO!M1221)</f>
        <v/>
      </c>
      <c r="N692" s="12" t="str">
        <f>IF(TOTALCO!N1221="", "",TOTALCO!N1221)</f>
        <v/>
      </c>
      <c r="O692" s="12" t="str">
        <f>IF(TOTALCO!O1221="", "",TOTALCO!O1221)</f>
        <v/>
      </c>
      <c r="P692" s="12" t="str">
        <f>IF(TOTALCO!P1221="", "",TOTALCO!P1221)</f>
        <v/>
      </c>
      <c r="Q692" s="12"/>
      <c r="R692" s="13"/>
    </row>
    <row r="693" spans="1:18" ht="15" x14ac:dyDescent="0.2">
      <c r="A693" s="321" t="str">
        <f>IF(TOTALCO!A1222="", "",TOTALCO!A1222)</f>
        <v/>
      </c>
      <c r="B693" s="4" t="str">
        <f>IF(TOTALCO!B1222="", "",TOTALCO!B1222)</f>
        <v/>
      </c>
      <c r="C693" s="4" t="str">
        <f>IF(TOTALCO!C1222="", "",TOTALCO!C1222)</f>
        <v/>
      </c>
      <c r="D693" s="12" t="str">
        <f>IF(TOTALCO!D1222="", "",TOTALCO!D1222)</f>
        <v/>
      </c>
      <c r="E693" s="12" t="str">
        <f>IF(TOTALCO!E1222="", "",TOTALCO!E1222)</f>
        <v/>
      </c>
      <c r="F693" s="12" t="str">
        <f>IF(TOTALCO!F1222="", "",TOTALCO!F1222)</f>
        <v/>
      </c>
      <c r="G693" s="12" t="str">
        <f>IF(TOTALCO!G1222="", "",TOTALCO!G1222)</f>
        <v/>
      </c>
      <c r="H693" s="12" t="str">
        <f>IF(TOTALCO!H1222="", "",TOTALCO!H1222)</f>
        <v/>
      </c>
      <c r="I693" s="12" t="str">
        <f>IF(TOTALCO!I1222="", "",TOTALCO!I1222)</f>
        <v/>
      </c>
      <c r="J693" s="12" t="str">
        <f>IF(TOTALCO!J1222="", "",TOTALCO!J1222)</f>
        <v/>
      </c>
      <c r="K693" s="12" t="str">
        <f>IF(TOTALCO!K1222="", "",TOTALCO!K1222)</f>
        <v/>
      </c>
      <c r="L693" s="12" t="str">
        <f>IF(TOTALCO!L1222="", "",TOTALCO!L1222)</f>
        <v/>
      </c>
      <c r="M693" s="12" t="str">
        <f>IF(TOTALCO!M1222="", "",TOTALCO!M1222)</f>
        <v/>
      </c>
      <c r="N693" s="12" t="str">
        <f>IF(TOTALCO!N1222="", "",TOTALCO!N1222)</f>
        <v/>
      </c>
      <c r="O693" s="12" t="str">
        <f>IF(TOTALCO!O1222="", "",TOTALCO!O1222)</f>
        <v/>
      </c>
      <c r="P693" s="12" t="str">
        <f>IF(TOTALCO!P1222="", "",TOTALCO!P1222)</f>
        <v/>
      </c>
      <c r="Q693" s="12"/>
      <c r="R693" s="13"/>
    </row>
    <row r="694" spans="1:18" ht="15" x14ac:dyDescent="0.2">
      <c r="A694" s="321" t="str">
        <f>IF(TOTALCO!A1223="", "",TOTALCO!A1223)</f>
        <v/>
      </c>
      <c r="B694" s="4" t="str">
        <f>IF(TOTALCO!B1223="", "",TOTALCO!B1223)</f>
        <v>TAXES OTHER THAN INCOME TAX</v>
      </c>
      <c r="C694" s="4" t="str">
        <f>IF(TOTALCO!C1223="", "",TOTALCO!C1223)</f>
        <v/>
      </c>
      <c r="D694" s="12" t="str">
        <f>IF(TOTALCO!D1223="", "",TOTALCO!D1223)</f>
        <v/>
      </c>
      <c r="E694" s="12" t="str">
        <f>IF(TOTALCO!E1223="", "",TOTALCO!E1223)</f>
        <v/>
      </c>
      <c r="F694" s="12" t="str">
        <f>IF(TOTALCO!F1223="", "",TOTALCO!F1223)</f>
        <v/>
      </c>
      <c r="G694" s="12" t="str">
        <f>IF(TOTALCO!G1223="", "",TOTALCO!G1223)</f>
        <v/>
      </c>
      <c r="H694" s="12" t="str">
        <f>IF(TOTALCO!H1223="", "",TOTALCO!H1223)</f>
        <v/>
      </c>
      <c r="I694" s="12" t="str">
        <f>IF(TOTALCO!I1223="", "",TOTALCO!I1223)</f>
        <v/>
      </c>
      <c r="J694" s="12" t="str">
        <f>IF(TOTALCO!J1223="", "",TOTALCO!J1223)</f>
        <v/>
      </c>
      <c r="K694" s="12" t="str">
        <f>IF(TOTALCO!K1223="", "",TOTALCO!K1223)</f>
        <v/>
      </c>
      <c r="L694" s="12" t="str">
        <f>IF(TOTALCO!L1223="", "",TOTALCO!L1223)</f>
        <v/>
      </c>
      <c r="M694" s="12" t="str">
        <f>IF(TOTALCO!M1223="", "",TOTALCO!M1223)</f>
        <v/>
      </c>
      <c r="N694" s="12" t="str">
        <f>IF(TOTALCO!N1223="", "",TOTALCO!N1223)</f>
        <v/>
      </c>
      <c r="O694" s="12" t="str">
        <f>IF(TOTALCO!O1223="", "",TOTALCO!O1223)</f>
        <v/>
      </c>
      <c r="P694" s="12" t="str">
        <f>IF(TOTALCO!P1223="", "",TOTALCO!P1223)</f>
        <v/>
      </c>
      <c r="Q694" s="12"/>
      <c r="R694" s="13"/>
    </row>
    <row r="695" spans="1:18" ht="15" x14ac:dyDescent="0.2">
      <c r="A695" s="321">
        <f>IF(TOTALCO!A1224="", "",TOTALCO!A1224)</f>
        <v>1</v>
      </c>
      <c r="B695" s="4" t="str">
        <f>IF(TOTALCO!B1224="", "",TOTALCO!B1224)</f>
        <v xml:space="preserve">  PROPERTY TAXES</v>
      </c>
      <c r="C695" s="4" t="str">
        <f>IF(TOTALCO!C1224="", "",TOTALCO!C1224)</f>
        <v>NETPLANT</v>
      </c>
      <c r="D695" s="12">
        <f ca="1">IF(TOTALCO!D1224="", "",TOTALCO!D1224)</f>
        <v>34198507.829488404</v>
      </c>
      <c r="E695" s="12" t="str">
        <f>IF(TOTALCO!E1224="", "",TOTALCO!E1224)</f>
        <v/>
      </c>
      <c r="F695" s="12">
        <f ca="1">IF(TOTALCO!F1224="", "",TOTALCO!F1224)</f>
        <v>32080976.049024407</v>
      </c>
      <c r="G695" s="12" t="str">
        <f>IF(TOTALCO!G1224="", "",TOTALCO!G1224)</f>
        <v/>
      </c>
      <c r="H695" s="12">
        <f ca="1">IF(TOTALCO!H1224="", "",TOTALCO!H1224)</f>
        <v>1629197.6511274669</v>
      </c>
      <c r="I695" s="12">
        <f ca="1">IF(TOTALCO!I1224="", "",TOTALCO!I1224)</f>
        <v>488334.12933652842</v>
      </c>
      <c r="J695" s="12" t="str">
        <f>IF(TOTALCO!J1224="", "",TOTALCO!J1224)</f>
        <v/>
      </c>
      <c r="K695" s="12" t="str">
        <f>IF(TOTALCO!K1224="", "",TOTALCO!K1224)</f>
        <v/>
      </c>
      <c r="L695" s="12">
        <f ca="1">IF(TOTALCO!L1224="", "",TOTALCO!L1224)</f>
        <v>2716.2720146024508</v>
      </c>
      <c r="M695" s="12" t="str">
        <f>IF(TOTALCO!M1224="", "",TOTALCO!M1224)</f>
        <v/>
      </c>
      <c r="N695" s="12">
        <f ca="1">IF(TOTALCO!N1224="", "",TOTALCO!N1224)</f>
        <v>485617.85732192599</v>
      </c>
      <c r="O695" s="12">
        <f ca="1">IF(TOTALCO!O1224="", "",TOTALCO!O1224)</f>
        <v>252469.35976333346</v>
      </c>
      <c r="P695" s="12">
        <f ca="1">IF(TOTALCO!P1224="", "",TOTALCO!P1224)</f>
        <v>233148.49755859253</v>
      </c>
      <c r="Q695" s="12"/>
      <c r="R695" s="13"/>
    </row>
    <row r="696" spans="1:18" ht="15" x14ac:dyDescent="0.2">
      <c r="A696" s="321">
        <f>IF(TOTALCO!A1225="", "",TOTALCO!A1225)</f>
        <v>2</v>
      </c>
      <c r="B696" s="4" t="str">
        <f>IF(TOTALCO!B1225="", "",TOTALCO!B1225)</f>
        <v xml:space="preserve">  PSC ASSESSMENT-KY REVENUE</v>
      </c>
      <c r="C696" s="4" t="str">
        <f>IF(TOTALCO!C1225="", "",TOTALCO!C1225)</f>
        <v>REVKY</v>
      </c>
      <c r="D696" s="12">
        <f ca="1">IF(TOTALCO!D1225="", "",TOTALCO!D1225)</f>
        <v>3406958</v>
      </c>
      <c r="E696" s="12" t="str">
        <f>IF(TOTALCO!E1225="", "",TOTALCO!E1225)</f>
        <v/>
      </c>
      <c r="F696" s="12">
        <f ca="1">IF(TOTALCO!F1225="", "",TOTALCO!F1225)</f>
        <v>3406958</v>
      </c>
      <c r="G696" s="12" t="str">
        <f>IF(TOTALCO!G1225="", "",TOTALCO!G1225)</f>
        <v/>
      </c>
      <c r="H696" s="12">
        <f ca="1">IF(TOTALCO!H1225="", "",TOTALCO!H1225)</f>
        <v>0</v>
      </c>
      <c r="I696" s="12">
        <f ca="1">IF(TOTALCO!I1225="", "",TOTALCO!I1225)</f>
        <v>0</v>
      </c>
      <c r="J696" s="12" t="str">
        <f>IF(TOTALCO!J1225="", "",TOTALCO!J1225)</f>
        <v/>
      </c>
      <c r="K696" s="12" t="str">
        <f>IF(TOTALCO!K1225="", "",TOTALCO!K1225)</f>
        <v/>
      </c>
      <c r="L696" s="12">
        <f ca="1">IF(TOTALCO!L1225="", "",TOTALCO!L1225)</f>
        <v>0</v>
      </c>
      <c r="M696" s="12" t="str">
        <f>IF(TOTALCO!M1225="", "",TOTALCO!M1225)</f>
        <v/>
      </c>
      <c r="N696" s="12">
        <f ca="1">IF(TOTALCO!N1225="", "",TOTALCO!N1225)</f>
        <v>0</v>
      </c>
      <c r="O696" s="12">
        <f ca="1">IF(TOTALCO!O1225="", "",TOTALCO!O1225)</f>
        <v>0</v>
      </c>
      <c r="P696" s="12">
        <f ca="1">IF(TOTALCO!P1225="", "",TOTALCO!P1225)</f>
        <v>0</v>
      </c>
      <c r="Q696" s="12"/>
      <c r="R696" s="13"/>
    </row>
    <row r="697" spans="1:18" ht="15" x14ac:dyDescent="0.2">
      <c r="A697" s="321">
        <f>IF(TOTALCO!A1226="", "",TOTALCO!A1226)</f>
        <v>3</v>
      </c>
      <c r="B697" s="4" t="str">
        <f>IF(TOTALCO!B1226="", "",TOTALCO!B1226)</f>
        <v xml:space="preserve">  VA GROSS RECEIPTS TAX</v>
      </c>
      <c r="C697" s="4" t="str">
        <f>IF(TOTALCO!C1226="", "",TOTALCO!C1226)</f>
        <v>REVVA</v>
      </c>
      <c r="D697" s="12">
        <f ca="1">IF(TOTALCO!D1226="", "",TOTALCO!D1226)</f>
        <v>0</v>
      </c>
      <c r="E697" s="12" t="str">
        <f>IF(TOTALCO!E1226="", "",TOTALCO!E1226)</f>
        <v/>
      </c>
      <c r="F697" s="12">
        <f ca="1">IF(TOTALCO!F1226="", "",TOTALCO!F1226)</f>
        <v>0</v>
      </c>
      <c r="G697" s="12" t="str">
        <f>IF(TOTALCO!G1226="", "",TOTALCO!G1226)</f>
        <v/>
      </c>
      <c r="H697" s="12">
        <f ca="1">IF(TOTALCO!H1226="", "",TOTALCO!H1226)</f>
        <v>0</v>
      </c>
      <c r="I697" s="12">
        <f ca="1">IF(TOTALCO!I1226="", "",TOTALCO!I1226)</f>
        <v>0</v>
      </c>
      <c r="J697" s="12" t="str">
        <f>IF(TOTALCO!J1226="", "",TOTALCO!J1226)</f>
        <v/>
      </c>
      <c r="K697" s="12" t="str">
        <f>IF(TOTALCO!K1226="", "",TOTALCO!K1226)</f>
        <v/>
      </c>
      <c r="L697" s="12">
        <f ca="1">IF(TOTALCO!L1226="", "",TOTALCO!L1226)</f>
        <v>0</v>
      </c>
      <c r="M697" s="12" t="str">
        <f>IF(TOTALCO!M1226="", "",TOTALCO!M1226)</f>
        <v/>
      </c>
      <c r="N697" s="12">
        <f ca="1">IF(TOTALCO!N1226="", "",TOTALCO!N1226)</f>
        <v>0</v>
      </c>
      <c r="O697" s="12">
        <f ca="1">IF(TOTALCO!O1226="", "",TOTALCO!O1226)</f>
        <v>0</v>
      </c>
      <c r="P697" s="12">
        <f ca="1">IF(TOTALCO!P1226="", "",TOTALCO!P1226)</f>
        <v>0</v>
      </c>
      <c r="Q697" s="12"/>
      <c r="R697" s="13"/>
    </row>
    <row r="698" spans="1:18" ht="15" x14ac:dyDescent="0.2">
      <c r="A698" s="321">
        <f>IF(TOTALCO!A1227="", "",TOTALCO!A1227)</f>
        <v>4</v>
      </c>
      <c r="B698" s="4" t="str">
        <f>IF(TOTALCO!B1227="", "",TOTALCO!B1227)</f>
        <v xml:space="preserve">  UNEMPLOYMENT</v>
      </c>
      <c r="C698" s="4" t="str">
        <f>IF(TOTALCO!C1227="", "",TOTALCO!C1227)</f>
        <v>LABOR</v>
      </c>
      <c r="D698" s="12">
        <f ca="1">IF(TOTALCO!D1227="", "",TOTALCO!D1227)</f>
        <v>0</v>
      </c>
      <c r="E698" s="12" t="str">
        <f>IF(TOTALCO!E1227="", "",TOTALCO!E1227)</f>
        <v/>
      </c>
      <c r="F698" s="12">
        <f ca="1">IF(TOTALCO!F1227="", "",TOTALCO!F1227)</f>
        <v>0</v>
      </c>
      <c r="G698" s="12" t="str">
        <f>IF(TOTALCO!G1227="", "",TOTALCO!G1227)</f>
        <v/>
      </c>
      <c r="H698" s="12">
        <f ca="1">IF(TOTALCO!H1227="", "",TOTALCO!H1227)</f>
        <v>0</v>
      </c>
      <c r="I698" s="12">
        <f ca="1">IF(TOTALCO!I1227="", "",TOTALCO!I1227)</f>
        <v>0</v>
      </c>
      <c r="J698" s="12" t="str">
        <f>IF(TOTALCO!J1227="", "",TOTALCO!J1227)</f>
        <v/>
      </c>
      <c r="K698" s="12" t="str">
        <f>IF(TOTALCO!K1227="", "",TOTALCO!K1227)</f>
        <v/>
      </c>
      <c r="L698" s="12">
        <f ca="1">IF(TOTALCO!L1227="", "",TOTALCO!L1227)</f>
        <v>0</v>
      </c>
      <c r="M698" s="12" t="str">
        <f>IF(TOTALCO!M1227="", "",TOTALCO!M1227)</f>
        <v/>
      </c>
      <c r="N698" s="12">
        <f ca="1">IF(TOTALCO!N1227="", "",TOTALCO!N1227)</f>
        <v>0</v>
      </c>
      <c r="O698" s="12">
        <f ca="1">IF(TOTALCO!O1227="", "",TOTALCO!O1227)</f>
        <v>0</v>
      </c>
      <c r="P698" s="12">
        <f ca="1">IF(TOTALCO!P1227="", "",TOTALCO!P1227)</f>
        <v>0</v>
      </c>
      <c r="Q698" s="12"/>
      <c r="R698" s="13"/>
    </row>
    <row r="699" spans="1:18" ht="15" x14ac:dyDescent="0.2">
      <c r="A699" s="321">
        <f>IF(TOTALCO!A1228="", "",TOTALCO!A1228)</f>
        <v>5</v>
      </c>
      <c r="B699" s="4" t="str">
        <f>IF(TOTALCO!B1228="", "",TOTALCO!B1228)</f>
        <v xml:space="preserve">  FICA</v>
      </c>
      <c r="C699" s="4" t="str">
        <f>IF(TOTALCO!C1228="", "",TOTALCO!C1228)</f>
        <v>LABOR</v>
      </c>
      <c r="D699" s="12">
        <f ca="1">IF(TOTALCO!D1228="", "",TOTALCO!D1228)</f>
        <v>10653786</v>
      </c>
      <c r="E699" s="12" t="str">
        <f>IF(TOTALCO!E1228="", "",TOTALCO!E1228)</f>
        <v/>
      </c>
      <c r="F699" s="12">
        <f ca="1">IF(TOTALCO!F1228="", "",TOTALCO!F1228)</f>
        <v>10021757.097935546</v>
      </c>
      <c r="G699" s="12" t="str">
        <f>IF(TOTALCO!G1228="", "",TOTALCO!G1228)</f>
        <v/>
      </c>
      <c r="H699" s="12">
        <f ca="1">IF(TOTALCO!H1228="", "",TOTALCO!H1228)</f>
        <v>504433.28052871505</v>
      </c>
      <c r="I699" s="12">
        <f ca="1">IF(TOTALCO!I1228="", "",TOTALCO!I1228)</f>
        <v>127595.6215357387</v>
      </c>
      <c r="J699" s="12" t="str">
        <f>IF(TOTALCO!J1228="", "",TOTALCO!J1228)</f>
        <v/>
      </c>
      <c r="K699" s="12" t="str">
        <f>IF(TOTALCO!K1228="", "",TOTALCO!K1228)</f>
        <v/>
      </c>
      <c r="L699" s="12">
        <f ca="1">IF(TOTALCO!L1228="", "",TOTALCO!L1228)</f>
        <v>717.87183037415832</v>
      </c>
      <c r="M699" s="12" t="str">
        <f>IF(TOTALCO!M1228="", "",TOTALCO!M1228)</f>
        <v/>
      </c>
      <c r="N699" s="12">
        <f ca="1">IF(TOTALCO!N1228="", "",TOTALCO!N1228)</f>
        <v>126877.74970536453</v>
      </c>
      <c r="O699" s="12">
        <f ca="1">IF(TOTALCO!O1228="", "",TOTALCO!O1228)</f>
        <v>66138.796805719438</v>
      </c>
      <c r="P699" s="12">
        <f ca="1">IF(TOTALCO!P1228="", "",TOTALCO!P1228)</f>
        <v>60738.952899645097</v>
      </c>
      <c r="Q699" s="12"/>
      <c r="R699" s="13"/>
    </row>
    <row r="700" spans="1:18" ht="15" x14ac:dyDescent="0.2">
      <c r="A700" s="321">
        <f>IF(TOTALCO!A1229="", "",TOTALCO!A1229)</f>
        <v>6</v>
      </c>
      <c r="B700" s="4" t="str">
        <f>IF(TOTALCO!B1229="", "",TOTALCO!B1229)</f>
        <v xml:space="preserve">  MISCELLANEOUS</v>
      </c>
      <c r="C700" s="4" t="str">
        <f>IF(TOTALCO!C1229="", "",TOTALCO!C1229)</f>
        <v>PLANT</v>
      </c>
      <c r="D700" s="12">
        <f ca="1">IF(TOTALCO!D1229="", "",TOTALCO!D1229)</f>
        <v>0</v>
      </c>
      <c r="E700" s="12" t="str">
        <f>IF(TOTALCO!E1229="", "",TOTALCO!E1229)</f>
        <v/>
      </c>
      <c r="F700" s="12">
        <f ca="1">IF(TOTALCO!F1229="", "",TOTALCO!F1229)</f>
        <v>0</v>
      </c>
      <c r="G700" s="12" t="str">
        <f>IF(TOTALCO!G1229="", "",TOTALCO!G1229)</f>
        <v/>
      </c>
      <c r="H700" s="12">
        <f ca="1">IF(TOTALCO!H1229="", "",TOTALCO!H1229)</f>
        <v>0</v>
      </c>
      <c r="I700" s="12">
        <f ca="1">IF(TOTALCO!I1229="", "",TOTALCO!I1229)</f>
        <v>0</v>
      </c>
      <c r="J700" s="12" t="str">
        <f>IF(TOTALCO!J1229="", "",TOTALCO!J1229)</f>
        <v/>
      </c>
      <c r="K700" s="12" t="str">
        <f>IF(TOTALCO!K1229="", "",TOTALCO!K1229)</f>
        <v/>
      </c>
      <c r="L700" s="12">
        <f ca="1">IF(TOTALCO!L1229="", "",TOTALCO!L1229)</f>
        <v>0</v>
      </c>
      <c r="M700" s="12" t="str">
        <f>IF(TOTALCO!M1229="", "",TOTALCO!M1229)</f>
        <v/>
      </c>
      <c r="N700" s="12">
        <f ca="1">IF(TOTALCO!N1229="", "",TOTALCO!N1229)</f>
        <v>0</v>
      </c>
      <c r="O700" s="12">
        <f ca="1">IF(TOTALCO!O1229="", "",TOTALCO!O1229)</f>
        <v>0</v>
      </c>
      <c r="P700" s="12">
        <f ca="1">IF(TOTALCO!P1229="", "",TOTALCO!P1229)</f>
        <v>0</v>
      </c>
      <c r="Q700" s="12"/>
      <c r="R700" s="13"/>
    </row>
    <row r="701" spans="1:18" ht="15" x14ac:dyDescent="0.2">
      <c r="A701" s="321">
        <f>IF(TOTALCO!A1230="", "",TOTALCO!A1230)</f>
        <v>7</v>
      </c>
      <c r="B701" s="4" t="str">
        <f>IF(TOTALCO!B1230="", "",TOTALCO!B1230)</f>
        <v>TOTAL OTHER TAXES</v>
      </c>
      <c r="C701" s="4" t="str">
        <f>IF(TOTALCO!C1230="", "",TOTALCO!C1230)</f>
        <v/>
      </c>
      <c r="D701" s="12">
        <f ca="1">IF(TOTALCO!D1230="", "",TOTALCO!D1230)</f>
        <v>48259251.829488397</v>
      </c>
      <c r="E701" s="12" t="str">
        <f>IF(TOTALCO!E1230="", "",TOTALCO!E1230)</f>
        <v/>
      </c>
      <c r="F701" s="12">
        <f ca="1">IF(TOTALCO!F1230="", "",TOTALCO!F1230)</f>
        <v>45509691.146959946</v>
      </c>
      <c r="G701" s="12" t="str">
        <f>IF(TOTALCO!G1230="", "",TOTALCO!G1230)</f>
        <v/>
      </c>
      <c r="H701" s="12">
        <f ca="1">IF(TOTALCO!H1230="", "",TOTALCO!H1230)</f>
        <v>2133630.9316561818</v>
      </c>
      <c r="I701" s="12">
        <f ca="1">IF(TOTALCO!I1230="", "",TOTALCO!I1230)</f>
        <v>615929.75087226706</v>
      </c>
      <c r="J701" s="12" t="str">
        <f>IF(TOTALCO!J1230="", "",TOTALCO!J1230)</f>
        <v/>
      </c>
      <c r="K701" s="12" t="str">
        <f>IF(TOTALCO!K1230="", "",TOTALCO!K1230)</f>
        <v/>
      </c>
      <c r="L701" s="12">
        <f ca="1">IF(TOTALCO!L1230="", "",TOTALCO!L1230)</f>
        <v>3434.1438449766092</v>
      </c>
      <c r="M701" s="12" t="str">
        <f>IF(TOTALCO!M1230="", "",TOTALCO!M1230)</f>
        <v/>
      </c>
      <c r="N701" s="12">
        <f ca="1">IF(TOTALCO!N1230="", "",TOTALCO!N1230)</f>
        <v>612495.60702729051</v>
      </c>
      <c r="O701" s="12">
        <f ca="1">IF(TOTALCO!O1230="", "",TOTALCO!O1230)</f>
        <v>318608.1565690529</v>
      </c>
      <c r="P701" s="12">
        <f ca="1">IF(TOTALCO!P1230="", "",TOTALCO!P1230)</f>
        <v>293887.45045823761</v>
      </c>
      <c r="Q701" s="12"/>
      <c r="R701" s="13"/>
    </row>
    <row r="702" spans="1:18" ht="15" x14ac:dyDescent="0.2">
      <c r="A702" s="321" t="str">
        <f>IF(TOTALCO!A1231="", "",TOTALCO!A1231)</f>
        <v/>
      </c>
      <c r="B702" s="4" t="str">
        <f>IF(TOTALCO!B1231="", "",TOTALCO!B1231)</f>
        <v/>
      </c>
      <c r="C702" s="4" t="str">
        <f>IF(TOTALCO!C1231="", "",TOTALCO!C1231)</f>
        <v/>
      </c>
      <c r="D702" s="12" t="str">
        <f>IF(TOTALCO!D1231="", "",TOTALCO!D1231)</f>
        <v/>
      </c>
      <c r="E702" s="12" t="str">
        <f>IF(TOTALCO!E1231="", "",TOTALCO!E1231)</f>
        <v/>
      </c>
      <c r="F702" s="12" t="str">
        <f>IF(TOTALCO!F1231="", "",TOTALCO!F1231)</f>
        <v/>
      </c>
      <c r="G702" s="12" t="str">
        <f>IF(TOTALCO!G1231="", "",TOTALCO!G1231)</f>
        <v/>
      </c>
      <c r="H702" s="12" t="str">
        <f>IF(TOTALCO!H1231="", "",TOTALCO!H1231)</f>
        <v/>
      </c>
      <c r="I702" s="12" t="str">
        <f>IF(TOTALCO!I1231="", "",TOTALCO!I1231)</f>
        <v/>
      </c>
      <c r="J702" s="12" t="str">
        <f>IF(TOTALCO!J1231="", "",TOTALCO!J1231)</f>
        <v/>
      </c>
      <c r="K702" s="12" t="str">
        <f>IF(TOTALCO!K1231="", "",TOTALCO!K1231)</f>
        <v/>
      </c>
      <c r="L702" s="12" t="str">
        <f>IF(TOTALCO!L1231="", "",TOTALCO!L1231)</f>
        <v/>
      </c>
      <c r="M702" s="12" t="str">
        <f>IF(TOTALCO!M1231="", "",TOTALCO!M1231)</f>
        <v/>
      </c>
      <c r="N702" s="12" t="str">
        <f>IF(TOTALCO!N1231="", "",TOTALCO!N1231)</f>
        <v/>
      </c>
      <c r="O702" s="12" t="str">
        <f>IF(TOTALCO!O1231="", "",TOTALCO!O1231)</f>
        <v/>
      </c>
      <c r="P702" s="12" t="str">
        <f>IF(TOTALCO!P1231="", "",TOTALCO!P1231)</f>
        <v/>
      </c>
      <c r="Q702" s="12"/>
      <c r="R702" s="13"/>
    </row>
    <row r="703" spans="1:18" ht="15" x14ac:dyDescent="0.2">
      <c r="A703" s="321">
        <f>IF(TOTALCO!A1232="", "",TOTALCO!A1232)</f>
        <v>8</v>
      </c>
      <c r="B703" s="4" t="str">
        <f>IF(TOTALCO!B1232="", "",TOTALCO!B1232)</f>
        <v>GAIN DISPOSITION OF ALLOWANCES</v>
      </c>
      <c r="C703" s="4" t="str">
        <f>IF(TOTALCO!C1232="", "",TOTALCO!C1232)</f>
        <v>DEMPROD</v>
      </c>
      <c r="D703" s="12">
        <f ca="1">IF(TOTALCO!D1232="", "",TOTALCO!D1232)</f>
        <v>0</v>
      </c>
      <c r="E703" s="12" t="str">
        <f>IF(TOTALCO!E1232="", "",TOTALCO!E1232)</f>
        <v/>
      </c>
      <c r="F703" s="12">
        <f ca="1">IF(TOTALCO!F1232="", "",TOTALCO!F1232)</f>
        <v>0</v>
      </c>
      <c r="G703" s="12" t="str">
        <f>IF(TOTALCO!G1232="", "",TOTALCO!G1232)</f>
        <v/>
      </c>
      <c r="H703" s="12">
        <f ca="1">IF(TOTALCO!H1232="", "",TOTALCO!H1232)</f>
        <v>0</v>
      </c>
      <c r="I703" s="12">
        <f ca="1">IF(TOTALCO!I1232="", "",TOTALCO!I1232)</f>
        <v>0</v>
      </c>
      <c r="J703" s="12" t="str">
        <f>IF(TOTALCO!J1232="", "",TOTALCO!J1232)</f>
        <v/>
      </c>
      <c r="K703" s="12" t="str">
        <f>IF(TOTALCO!K1232="", "",TOTALCO!K1232)</f>
        <v/>
      </c>
      <c r="L703" s="12">
        <f ca="1">IF(TOTALCO!L1232="", "",TOTALCO!L1232)</f>
        <v>0</v>
      </c>
      <c r="M703" s="12" t="str">
        <f>IF(TOTALCO!M1232="", "",TOTALCO!M1232)</f>
        <v/>
      </c>
      <c r="N703" s="12">
        <f ca="1">IF(TOTALCO!N1232="", "",TOTALCO!N1232)</f>
        <v>0</v>
      </c>
      <c r="O703" s="12">
        <f ca="1">IF(TOTALCO!O1232="", "",TOTALCO!O1232)</f>
        <v>0</v>
      </c>
      <c r="P703" s="12">
        <f ca="1">IF(TOTALCO!P1232="", "",TOTALCO!P1232)</f>
        <v>0</v>
      </c>
      <c r="Q703" s="12"/>
      <c r="R703" s="13"/>
    </row>
    <row r="704" spans="1:18" ht="15" x14ac:dyDescent="0.2">
      <c r="A704" s="321">
        <f>IF(TOTALCO!A1233="", "",TOTALCO!A1233)</f>
        <v>9</v>
      </c>
      <c r="B704" s="4" t="str">
        <f>IF(TOTALCO!B1233="", "",TOTALCO!B1233)</f>
        <v>GAIN/LOSS PROP DISPOSITION (NET)</v>
      </c>
      <c r="C704" s="4" t="str">
        <f>IF(TOTALCO!C1233="", "",TOTALCO!C1233)</f>
        <v>PLANT</v>
      </c>
      <c r="D704" s="12">
        <f>IF(TOTALCO!D1233="", "",TOTALCO!D1233)</f>
        <v>0</v>
      </c>
      <c r="E704" s="12" t="str">
        <f>IF(TOTALCO!E1233="", "",TOTALCO!E1233)</f>
        <v/>
      </c>
      <c r="F704" s="12">
        <f>IF(TOTALCO!F1233="", "",TOTALCO!F1233)</f>
        <v>0</v>
      </c>
      <c r="G704" s="12" t="str">
        <f>IF(TOTALCO!G1233="", "",TOTALCO!G1233)</f>
        <v/>
      </c>
      <c r="H704" s="12">
        <f ca="1">IF(TOTALCO!H1233="", "",TOTALCO!H1233)</f>
        <v>0</v>
      </c>
      <c r="I704" s="12">
        <f>IF(TOTALCO!I1233="", "",TOTALCO!I1233)</f>
        <v>0</v>
      </c>
      <c r="J704" s="12" t="str">
        <f>IF(TOTALCO!J1233="", "",TOTALCO!J1233)</f>
        <v/>
      </c>
      <c r="K704" s="12" t="str">
        <f>IF(TOTALCO!K1233="", "",TOTALCO!K1233)</f>
        <v/>
      </c>
      <c r="L704" s="12">
        <f>IF(TOTALCO!L1233="", "",TOTALCO!L1233)</f>
        <v>0</v>
      </c>
      <c r="M704" s="12" t="str">
        <f>IF(TOTALCO!M1233="", "",TOTALCO!M1233)</f>
        <v/>
      </c>
      <c r="N704" s="12">
        <f>IF(TOTALCO!N1233="", "",TOTALCO!N1233)</f>
        <v>0</v>
      </c>
      <c r="O704" s="12">
        <f>IF(TOTALCO!O1233="", "",TOTALCO!O1233)</f>
        <v>0</v>
      </c>
      <c r="P704" s="12">
        <f>IF(TOTALCO!P1233="", "",TOTALCO!P1233)</f>
        <v>0</v>
      </c>
      <c r="Q704" s="12"/>
      <c r="R704" s="13"/>
    </row>
    <row r="705" spans="1:18" ht="15" x14ac:dyDescent="0.2">
      <c r="A705" s="321">
        <f>IF(TOTALCO!A1234="", "",TOTALCO!A1234)</f>
        <v>10</v>
      </c>
      <c r="B705" s="4" t="str">
        <f>IF(TOTALCO!B1234="", "",TOTALCO!B1234)</f>
        <v>CHARITABLE CONTRIBUTIONS-VA ONLY</v>
      </c>
      <c r="C705" s="4" t="str">
        <f>IF(TOTALCO!C1234="", "",TOTALCO!C1234)</f>
        <v>LABOR</v>
      </c>
      <c r="D705" s="12">
        <f>IF(TOTALCO!D1234="", "",TOTALCO!D1234)</f>
        <v>1123628.06</v>
      </c>
      <c r="E705" s="12" t="str">
        <f>IF(TOTALCO!E1234="", "",TOTALCO!E1234)</f>
        <v/>
      </c>
      <c r="F705" s="12">
        <f>IF(TOTALCO!F1234="", "",TOTALCO!F1234)</f>
        <v>0</v>
      </c>
      <c r="G705" s="12" t="str">
        <f>IF(TOTALCO!G1234="", "",TOTALCO!G1234)</f>
        <v/>
      </c>
      <c r="H705" s="12">
        <f ca="1">IF(TOTALCO!H1234="", "",TOTALCO!H1234)</f>
        <v>26600.655785648218</v>
      </c>
      <c r="I705" s="12">
        <f>IF(TOTALCO!I1234="", "",TOTALCO!I1234)</f>
        <v>0</v>
      </c>
      <c r="J705" s="12" t="str">
        <f>IF(TOTALCO!J1234="", "",TOTALCO!J1234)</f>
        <v/>
      </c>
      <c r="K705" s="12" t="str">
        <f>IF(TOTALCO!K1234="", "",TOTALCO!K1234)</f>
        <v/>
      </c>
      <c r="L705" s="12">
        <f>IF(TOTALCO!L1234="", "",TOTALCO!L1234)</f>
        <v>0</v>
      </c>
      <c r="M705" s="12" t="str">
        <f>IF(TOTALCO!M1234="", "",TOTALCO!M1234)</f>
        <v/>
      </c>
      <c r="N705" s="12">
        <f>IF(TOTALCO!N1234="", "",TOTALCO!N1234)</f>
        <v>0</v>
      </c>
      <c r="O705" s="12">
        <f>IF(TOTALCO!O1234="", "",TOTALCO!O1234)</f>
        <v>0</v>
      </c>
      <c r="P705" s="12">
        <f>IF(TOTALCO!P1234="", "",TOTALCO!P1234)</f>
        <v>0</v>
      </c>
      <c r="Q705" s="12"/>
      <c r="R705" s="13"/>
    </row>
    <row r="706" spans="1:18" ht="15" x14ac:dyDescent="0.2">
      <c r="A706" s="321" t="str">
        <f>IF(TOTALCO!A1235="", "",TOTALCO!A1235)</f>
        <v/>
      </c>
      <c r="B706" s="4" t="str">
        <f>IF(TOTALCO!B1235="", "",TOTALCO!B1235)</f>
        <v/>
      </c>
      <c r="C706" s="4" t="str">
        <f>IF(TOTALCO!C1235="", "",TOTALCO!C1235)</f>
        <v/>
      </c>
      <c r="D706" s="12" t="str">
        <f>IF(TOTALCO!D1235="", "",TOTALCO!D1235)</f>
        <v/>
      </c>
      <c r="E706" s="12" t="str">
        <f>IF(TOTALCO!E1235="", "",TOTALCO!E1235)</f>
        <v/>
      </c>
      <c r="F706" s="12" t="str">
        <f>IF(TOTALCO!F1235="", "",TOTALCO!F1235)</f>
        <v/>
      </c>
      <c r="G706" s="12" t="str">
        <f>IF(TOTALCO!G1235="", "",TOTALCO!G1235)</f>
        <v/>
      </c>
      <c r="H706" s="12" t="str">
        <f>IF(TOTALCO!H1235="", "",TOTALCO!H1235)</f>
        <v/>
      </c>
      <c r="I706" s="12" t="str">
        <f>IF(TOTALCO!I1235="", "",TOTALCO!I1235)</f>
        <v/>
      </c>
      <c r="J706" s="12" t="str">
        <f>IF(TOTALCO!J1235="", "",TOTALCO!J1235)</f>
        <v/>
      </c>
      <c r="K706" s="12" t="str">
        <f>IF(TOTALCO!K1235="", "",TOTALCO!K1235)</f>
        <v/>
      </c>
      <c r="L706" s="12" t="str">
        <f>IF(TOTALCO!L1235="", "",TOTALCO!L1235)</f>
        <v/>
      </c>
      <c r="M706" s="12" t="str">
        <f>IF(TOTALCO!M1235="", "",TOTALCO!M1235)</f>
        <v/>
      </c>
      <c r="N706" s="12" t="str">
        <f>IF(TOTALCO!N1235="", "",TOTALCO!N1235)</f>
        <v/>
      </c>
      <c r="O706" s="12" t="str">
        <f>IF(TOTALCO!O1235="", "",TOTALCO!O1235)</f>
        <v/>
      </c>
      <c r="P706" s="12" t="str">
        <f>IF(TOTALCO!P1235="", "",TOTALCO!P1235)</f>
        <v/>
      </c>
      <c r="Q706" s="12"/>
      <c r="R706" s="13"/>
    </row>
    <row r="707" spans="1:18" ht="15" x14ac:dyDescent="0.2">
      <c r="A707" s="321" t="str">
        <f>IF(TOTALCO!A1237="", "",TOTALCO!A1237)</f>
        <v/>
      </c>
      <c r="B707" s="4" t="str">
        <f>IF(TOTALCO!B1237="", "",TOTALCO!B1237)</f>
        <v>INVESTMENT TAX CREDIT ADJ</v>
      </c>
      <c r="C707" s="4" t="str">
        <f>IF(TOTALCO!C1237="", "",TOTALCO!C1237)</f>
        <v/>
      </c>
      <c r="D707" s="12" t="str">
        <f>IF(TOTALCO!D1237="", "",TOTALCO!D1237)</f>
        <v/>
      </c>
      <c r="E707" s="12" t="str">
        <f>IF(TOTALCO!E1237="", "",TOTALCO!E1237)</f>
        <v/>
      </c>
      <c r="F707" s="12" t="str">
        <f>IF(TOTALCO!F1237="", "",TOTALCO!F1237)</f>
        <v/>
      </c>
      <c r="G707" s="12" t="str">
        <f>IF(TOTALCO!G1237="", "",TOTALCO!G1237)</f>
        <v/>
      </c>
      <c r="H707" s="12" t="str">
        <f>IF(TOTALCO!H1237="", "",TOTALCO!H1237)</f>
        <v/>
      </c>
      <c r="I707" s="12" t="str">
        <f>IF(TOTALCO!I1237="", "",TOTALCO!I1237)</f>
        <v/>
      </c>
      <c r="J707" s="12" t="str">
        <f>IF(TOTALCO!J1237="", "",TOTALCO!J1237)</f>
        <v/>
      </c>
      <c r="K707" s="12" t="str">
        <f>IF(TOTALCO!K1237="", "",TOTALCO!K1237)</f>
        <v/>
      </c>
      <c r="L707" s="12" t="str">
        <f>IF(TOTALCO!L1237="", "",TOTALCO!L1237)</f>
        <v/>
      </c>
      <c r="M707" s="12" t="str">
        <f>IF(TOTALCO!M1237="", "",TOTALCO!M1237)</f>
        <v/>
      </c>
      <c r="N707" s="12" t="str">
        <f>IF(TOTALCO!N1237="", "",TOTALCO!N1237)</f>
        <v/>
      </c>
      <c r="O707" s="12" t="str">
        <f>IF(TOTALCO!O1237="", "",TOTALCO!O1237)</f>
        <v/>
      </c>
      <c r="P707" s="12" t="str">
        <f>IF(TOTALCO!P1237="", "",TOTALCO!P1237)</f>
        <v/>
      </c>
      <c r="Q707" s="12"/>
      <c r="R707" s="13"/>
    </row>
    <row r="708" spans="1:18" ht="15" x14ac:dyDescent="0.2">
      <c r="A708" s="321">
        <f>IF(TOTALCO!A1238="", "",TOTALCO!A1238)</f>
        <v>11</v>
      </c>
      <c r="B708" s="4" t="str">
        <f>IF(TOTALCO!B1238="", "",TOTALCO!B1238)</f>
        <v xml:space="preserve">  PRODUCTION</v>
      </c>
      <c r="C708" s="4" t="str">
        <f>IF(TOTALCO!C1238="", "",TOTALCO!C1238)</f>
        <v>PRODPLT</v>
      </c>
      <c r="D708" s="12">
        <f ca="1">IF(TOTALCO!D1238="", "",TOTALCO!D1238)</f>
        <v>0</v>
      </c>
      <c r="E708" s="12" t="str">
        <f>IF(TOTALCO!E1238="", "",TOTALCO!E1238)</f>
        <v/>
      </c>
      <c r="F708" s="12">
        <f ca="1">IF(TOTALCO!F1238="", "",TOTALCO!F1238)</f>
        <v>0</v>
      </c>
      <c r="G708" s="12" t="str">
        <f>IF(TOTALCO!G1238="", "",TOTALCO!G1238)</f>
        <v/>
      </c>
      <c r="H708" s="12">
        <f ca="1">IF(TOTALCO!H1238="", "",TOTALCO!H1238)</f>
        <v>0</v>
      </c>
      <c r="I708" s="12">
        <f ca="1">IF(TOTALCO!I1238="", "",TOTALCO!I1238)</f>
        <v>0</v>
      </c>
      <c r="J708" s="12" t="str">
        <f>IF(TOTALCO!J1238="", "",TOTALCO!J1238)</f>
        <v/>
      </c>
      <c r="K708" s="12" t="str">
        <f>IF(TOTALCO!K1238="", "",TOTALCO!K1238)</f>
        <v/>
      </c>
      <c r="L708" s="12">
        <f ca="1">IF(TOTALCO!L1238="", "",TOTALCO!L1238)</f>
        <v>0</v>
      </c>
      <c r="M708" s="12" t="str">
        <f>IF(TOTALCO!M1238="", "",TOTALCO!M1238)</f>
        <v/>
      </c>
      <c r="N708" s="12">
        <f ca="1">IF(TOTALCO!N1238="", "",TOTALCO!N1238)</f>
        <v>0</v>
      </c>
      <c r="O708" s="12">
        <f ca="1">IF(TOTALCO!O1238="", "",TOTALCO!O1238)</f>
        <v>0</v>
      </c>
      <c r="P708" s="12">
        <f ca="1">IF(TOTALCO!P1238="", "",TOTALCO!P1238)</f>
        <v>0</v>
      </c>
      <c r="Q708" s="12"/>
      <c r="R708" s="13"/>
    </row>
    <row r="709" spans="1:18" ht="15" x14ac:dyDescent="0.2">
      <c r="A709" s="321">
        <f>IF(TOTALCO!A1239="", "",TOTALCO!A1239)</f>
        <v>12</v>
      </c>
      <c r="B709" s="4" t="str">
        <f>IF(TOTALCO!B1239="", "",TOTALCO!B1239)</f>
        <v xml:space="preserve">  TRANSMISSION</v>
      </c>
      <c r="C709" s="4" t="str">
        <f>IF(TOTALCO!C1239="", "",TOTALCO!C1239)</f>
        <v>TRANPLTXF</v>
      </c>
      <c r="D709" s="12">
        <f ca="1">IF(TOTALCO!D1239="", "",TOTALCO!D1239)</f>
        <v>0</v>
      </c>
      <c r="E709" s="12" t="str">
        <f>IF(TOTALCO!E1239="", "",TOTALCO!E1239)</f>
        <v/>
      </c>
      <c r="F709" s="12">
        <f ca="1">IF(TOTALCO!F1239="", "",TOTALCO!F1239)</f>
        <v>0</v>
      </c>
      <c r="G709" s="12" t="str">
        <f>IF(TOTALCO!G1239="", "",TOTALCO!G1239)</f>
        <v/>
      </c>
      <c r="H709" s="12">
        <f ca="1">IF(TOTALCO!H1239="", "",TOTALCO!H1239)</f>
        <v>0</v>
      </c>
      <c r="I709" s="12">
        <f ca="1">IF(TOTALCO!I1239="", "",TOTALCO!I1239)</f>
        <v>0</v>
      </c>
      <c r="J709" s="12" t="str">
        <f>IF(TOTALCO!J1239="", "",TOTALCO!J1239)</f>
        <v/>
      </c>
      <c r="K709" s="12" t="str">
        <f>IF(TOTALCO!K1239="", "",TOTALCO!K1239)</f>
        <v/>
      </c>
      <c r="L709" s="12">
        <f ca="1">IF(TOTALCO!L1239="", "",TOTALCO!L1239)</f>
        <v>0</v>
      </c>
      <c r="M709" s="12" t="str">
        <f>IF(TOTALCO!M1239="", "",TOTALCO!M1239)</f>
        <v/>
      </c>
      <c r="N709" s="12">
        <f ca="1">IF(TOTALCO!N1239="", "",TOTALCO!N1239)</f>
        <v>0</v>
      </c>
      <c r="O709" s="12">
        <f ca="1">IF(TOTALCO!O1239="", "",TOTALCO!O1239)</f>
        <v>0</v>
      </c>
      <c r="P709" s="12">
        <f ca="1">IF(TOTALCO!P1239="", "",TOTALCO!P1239)</f>
        <v>0</v>
      </c>
      <c r="Q709" s="12"/>
      <c r="R709" s="13"/>
    </row>
    <row r="710" spans="1:18" ht="15" x14ac:dyDescent="0.2">
      <c r="A710" s="321">
        <f>IF(TOTALCO!A1240="", "",TOTALCO!A1240)</f>
        <v>13</v>
      </c>
      <c r="B710" s="4" t="str">
        <f>IF(TOTALCO!B1240="", "",TOTALCO!B1240)</f>
        <v xml:space="preserve">  TRANSMISSION VA</v>
      </c>
      <c r="C710" s="4" t="str">
        <f>IF(TOTALCO!C1240="", "",TOTALCO!C1240)</f>
        <v>TRPLTVA</v>
      </c>
      <c r="D710" s="12">
        <f ca="1">IF(TOTALCO!D1240="", "",TOTALCO!D1240)</f>
        <v>0</v>
      </c>
      <c r="E710" s="12" t="str">
        <f>IF(TOTALCO!E1240="", "",TOTALCO!E1240)</f>
        <v/>
      </c>
      <c r="F710" s="12">
        <f ca="1">IF(TOTALCO!F1240="", "",TOTALCO!F1240)</f>
        <v>0</v>
      </c>
      <c r="G710" s="12" t="str">
        <f>IF(TOTALCO!G1240="", "",TOTALCO!G1240)</f>
        <v/>
      </c>
      <c r="H710" s="12">
        <f ca="1">IF(TOTALCO!H1240="", "",TOTALCO!H1240)</f>
        <v>0</v>
      </c>
      <c r="I710" s="12">
        <f ca="1">IF(TOTALCO!I1240="", "",TOTALCO!I1240)</f>
        <v>0</v>
      </c>
      <c r="J710" s="12" t="str">
        <f>IF(TOTALCO!J1240="", "",TOTALCO!J1240)</f>
        <v/>
      </c>
      <c r="K710" s="12" t="str">
        <f>IF(TOTALCO!K1240="", "",TOTALCO!K1240)</f>
        <v/>
      </c>
      <c r="L710" s="12">
        <f ca="1">IF(TOTALCO!L1240="", "",TOTALCO!L1240)</f>
        <v>0</v>
      </c>
      <c r="M710" s="12" t="str">
        <f>IF(TOTALCO!M1240="", "",TOTALCO!M1240)</f>
        <v/>
      </c>
      <c r="N710" s="12">
        <f ca="1">IF(TOTALCO!N1240="", "",TOTALCO!N1240)</f>
        <v>0</v>
      </c>
      <c r="O710" s="12">
        <f ca="1">IF(TOTALCO!O1240="", "",TOTALCO!O1240)</f>
        <v>0</v>
      </c>
      <c r="P710" s="12">
        <f ca="1">IF(TOTALCO!P1240="", "",TOTALCO!P1240)</f>
        <v>0</v>
      </c>
      <c r="Q710" s="12"/>
      <c r="R710" s="13"/>
    </row>
    <row r="711" spans="1:18" ht="15" x14ac:dyDescent="0.2">
      <c r="A711" s="321">
        <f>IF(TOTALCO!A1241="", "",TOTALCO!A1241)</f>
        <v>14</v>
      </c>
      <c r="B711" s="4" t="str">
        <f>IF(TOTALCO!B1241="", "",TOTALCO!B1241)</f>
        <v xml:space="preserve">  DISTRIBUTION - DIRECT</v>
      </c>
      <c r="C711" s="4" t="str">
        <f>IF(TOTALCO!C1241="", "",TOTALCO!C1241)</f>
        <v>DIRITCADJ</v>
      </c>
      <c r="D711" s="12">
        <f ca="1">IF(TOTALCO!D1241="", "",TOTALCO!D1241)</f>
        <v>0</v>
      </c>
      <c r="E711" s="12" t="str">
        <f>IF(TOTALCO!E1241="", "",TOTALCO!E1241)</f>
        <v/>
      </c>
      <c r="F711" s="12">
        <f ca="1">IF(TOTALCO!F1241="", "",TOTALCO!F1241)</f>
        <v>0</v>
      </c>
      <c r="G711" s="12" t="str">
        <f>IF(TOTALCO!G1241="", "",TOTALCO!G1241)</f>
        <v/>
      </c>
      <c r="H711" s="12">
        <f ca="1">IF(TOTALCO!H1241="", "",TOTALCO!H1241)</f>
        <v>0</v>
      </c>
      <c r="I711" s="12">
        <f ca="1">IF(TOTALCO!I1241="", "",TOTALCO!I1241)</f>
        <v>0</v>
      </c>
      <c r="J711" s="12" t="str">
        <f>IF(TOTALCO!J1241="", "",TOTALCO!J1241)</f>
        <v/>
      </c>
      <c r="K711" s="12" t="str">
        <f>IF(TOTALCO!K1241="", "",TOTALCO!K1241)</f>
        <v/>
      </c>
      <c r="L711" s="12">
        <f ca="1">IF(TOTALCO!L1241="", "",TOTALCO!L1241)</f>
        <v>0</v>
      </c>
      <c r="M711" s="12" t="str">
        <f>IF(TOTALCO!M1241="", "",TOTALCO!M1241)</f>
        <v/>
      </c>
      <c r="N711" s="12">
        <f ca="1">IF(TOTALCO!N1241="", "",TOTALCO!N1241)</f>
        <v>0</v>
      </c>
      <c r="O711" s="12">
        <f ca="1">IF(TOTALCO!O1241="", "",TOTALCO!O1241)</f>
        <v>0</v>
      </c>
      <c r="P711" s="12">
        <f ca="1">IF(TOTALCO!P1241="", "",TOTALCO!P1241)</f>
        <v>0</v>
      </c>
      <c r="Q711" s="12"/>
      <c r="R711" s="13"/>
    </row>
    <row r="712" spans="1:18" ht="15" x14ac:dyDescent="0.2">
      <c r="A712" s="321">
        <f>IF(TOTALCO!A1242="", "",TOTALCO!A1242)</f>
        <v>15</v>
      </c>
      <c r="B712" s="4" t="str">
        <f>IF(TOTALCO!B1242="", "",TOTALCO!B1242)</f>
        <v xml:space="preserve">  DISTRIBUTION PLT KY,FERC &amp; TN</v>
      </c>
      <c r="C712" s="4" t="str">
        <f>IF(TOTALCO!C1242="", "",TOTALCO!C1242)</f>
        <v>DPLTXVA</v>
      </c>
      <c r="D712" s="12">
        <f ca="1">IF(TOTALCO!D1242="", "",TOTALCO!D1242)</f>
        <v>0</v>
      </c>
      <c r="E712" s="12" t="str">
        <f>IF(TOTALCO!E1242="", "",TOTALCO!E1242)</f>
        <v/>
      </c>
      <c r="F712" s="12">
        <f ca="1">IF(TOTALCO!F1242="", "",TOTALCO!F1242)</f>
        <v>0</v>
      </c>
      <c r="G712" s="12" t="str">
        <f>IF(TOTALCO!G1242="", "",TOTALCO!G1242)</f>
        <v/>
      </c>
      <c r="H712" s="12">
        <f ca="1">IF(TOTALCO!H1242="", "",TOTALCO!H1242)</f>
        <v>0</v>
      </c>
      <c r="I712" s="12">
        <f ca="1">IF(TOTALCO!I1242="", "",TOTALCO!I1242)</f>
        <v>0</v>
      </c>
      <c r="J712" s="12" t="str">
        <f>IF(TOTALCO!J1242="", "",TOTALCO!J1242)</f>
        <v/>
      </c>
      <c r="K712" s="12" t="str">
        <f>IF(TOTALCO!K1242="", "",TOTALCO!K1242)</f>
        <v/>
      </c>
      <c r="L712" s="12">
        <f ca="1">IF(TOTALCO!L1242="", "",TOTALCO!L1242)</f>
        <v>0</v>
      </c>
      <c r="M712" s="12" t="str">
        <f>IF(TOTALCO!M1242="", "",TOTALCO!M1242)</f>
        <v/>
      </c>
      <c r="N712" s="12">
        <f ca="1">IF(TOTALCO!N1242="", "",TOTALCO!N1242)</f>
        <v>0</v>
      </c>
      <c r="O712" s="12">
        <f ca="1">IF(TOTALCO!O1242="", "",TOTALCO!O1242)</f>
        <v>0</v>
      </c>
      <c r="P712" s="12">
        <f ca="1">IF(TOTALCO!P1242="", "",TOTALCO!P1242)</f>
        <v>0</v>
      </c>
      <c r="Q712" s="12"/>
      <c r="R712" s="13"/>
    </row>
    <row r="713" spans="1:18" ht="15" x14ac:dyDescent="0.2">
      <c r="A713" s="321">
        <f>IF(TOTALCO!A1243="", "",TOTALCO!A1243)</f>
        <v>16</v>
      </c>
      <c r="B713" s="4" t="str">
        <f>IF(TOTALCO!B1243="", "",TOTALCO!B1243)</f>
        <v xml:space="preserve">  GENERAL</v>
      </c>
      <c r="C713" s="4" t="str">
        <f>IF(TOTALCO!C1243="", "",TOTALCO!C1243)</f>
        <v>GENPLT</v>
      </c>
      <c r="D713" s="12">
        <f ca="1">IF(TOTALCO!D1243="", "",TOTALCO!D1243)</f>
        <v>0</v>
      </c>
      <c r="E713" s="12" t="str">
        <f>IF(TOTALCO!E1243="", "",TOTALCO!E1243)</f>
        <v/>
      </c>
      <c r="F713" s="12">
        <f ca="1">IF(TOTALCO!F1243="", "",TOTALCO!F1243)</f>
        <v>0</v>
      </c>
      <c r="G713" s="12" t="str">
        <f>IF(TOTALCO!G1243="", "",TOTALCO!G1243)</f>
        <v/>
      </c>
      <c r="H713" s="12">
        <f ca="1">IF(TOTALCO!H1243="", "",TOTALCO!H1243)</f>
        <v>0</v>
      </c>
      <c r="I713" s="12">
        <f ca="1">IF(TOTALCO!I1243="", "",TOTALCO!I1243)</f>
        <v>0</v>
      </c>
      <c r="J713" s="12" t="str">
        <f>IF(TOTALCO!J1243="", "",TOTALCO!J1243)</f>
        <v/>
      </c>
      <c r="K713" s="12" t="str">
        <f>IF(TOTALCO!K1243="", "",TOTALCO!K1243)</f>
        <v/>
      </c>
      <c r="L713" s="12">
        <f ca="1">IF(TOTALCO!L1243="", "",TOTALCO!L1243)</f>
        <v>0</v>
      </c>
      <c r="M713" s="12" t="str">
        <f>IF(TOTALCO!M1243="", "",TOTALCO!M1243)</f>
        <v/>
      </c>
      <c r="N713" s="12">
        <f ca="1">IF(TOTALCO!N1243="", "",TOTALCO!N1243)</f>
        <v>0</v>
      </c>
      <c r="O713" s="12">
        <f ca="1">IF(TOTALCO!O1243="", "",TOTALCO!O1243)</f>
        <v>0</v>
      </c>
      <c r="P713" s="12">
        <f ca="1">IF(TOTALCO!P1243="", "",TOTALCO!P1243)</f>
        <v>0</v>
      </c>
      <c r="Q713" s="12"/>
      <c r="R713" s="13"/>
    </row>
    <row r="714" spans="1:18" ht="15" x14ac:dyDescent="0.2">
      <c r="A714" s="321">
        <f>IF(TOTALCO!A1244="", "",TOTALCO!A1244)</f>
        <v>17</v>
      </c>
      <c r="B714" s="4" t="str">
        <f>IF(TOTALCO!B1244="", "",TOTALCO!B1244)</f>
        <v>TOTAL INVEST TAX CREDIT ADJ</v>
      </c>
      <c r="C714" s="4" t="str">
        <f>IF(TOTALCO!C1244="", "",TOTALCO!C1244)</f>
        <v/>
      </c>
      <c r="D714" s="12">
        <f ca="1">IF(TOTALCO!D1244="", "",TOTALCO!D1244)</f>
        <v>0</v>
      </c>
      <c r="E714" s="12" t="str">
        <f>IF(TOTALCO!E1244="", "",TOTALCO!E1244)</f>
        <v/>
      </c>
      <c r="F714" s="12">
        <f ca="1">IF(TOTALCO!F1244="", "",TOTALCO!F1244)</f>
        <v>0</v>
      </c>
      <c r="G714" s="12" t="str">
        <f>IF(TOTALCO!G1244="", "",TOTALCO!G1244)</f>
        <v/>
      </c>
      <c r="H714" s="12">
        <f ca="1">IF(TOTALCO!H1244="", "",TOTALCO!H1244)</f>
        <v>0</v>
      </c>
      <c r="I714" s="12">
        <f ca="1">IF(TOTALCO!I1244="", "",TOTALCO!I1244)</f>
        <v>0</v>
      </c>
      <c r="J714" s="12" t="str">
        <f>IF(TOTALCO!J1244="", "",TOTALCO!J1244)</f>
        <v/>
      </c>
      <c r="K714" s="12" t="str">
        <f>IF(TOTALCO!K1244="", "",TOTALCO!K1244)</f>
        <v/>
      </c>
      <c r="L714" s="12">
        <f ca="1">IF(TOTALCO!L1244="", "",TOTALCO!L1244)</f>
        <v>0</v>
      </c>
      <c r="M714" s="12" t="str">
        <f>IF(TOTALCO!M1244="", "",TOTALCO!M1244)</f>
        <v/>
      </c>
      <c r="N714" s="12">
        <f ca="1">IF(TOTALCO!N1244="", "",TOTALCO!N1244)</f>
        <v>0</v>
      </c>
      <c r="O714" s="12">
        <f ca="1">IF(TOTALCO!O1244="", "",TOTALCO!O1244)</f>
        <v>0</v>
      </c>
      <c r="P714" s="12">
        <f ca="1">IF(TOTALCO!P1244="", "",TOTALCO!P1244)</f>
        <v>0</v>
      </c>
      <c r="Q714" s="12"/>
      <c r="R714" s="13"/>
    </row>
    <row r="715" spans="1:18" ht="15" x14ac:dyDescent="0.2">
      <c r="A715" s="321" t="str">
        <f>IF(TOTALCO!A1245="", "",TOTALCO!A1245)</f>
        <v/>
      </c>
      <c r="B715" s="4" t="str">
        <f>IF(TOTALCO!B1245="", "",TOTALCO!B1245)</f>
        <v/>
      </c>
      <c r="C715" s="4" t="str">
        <f>IF(TOTALCO!C1245="", "",TOTALCO!C1245)</f>
        <v/>
      </c>
      <c r="D715" s="12" t="str">
        <f>IF(TOTALCO!D1245="", "",TOTALCO!D1245)</f>
        <v/>
      </c>
      <c r="E715" s="12" t="str">
        <f>IF(TOTALCO!E1245="", "",TOTALCO!E1245)</f>
        <v/>
      </c>
      <c r="F715" s="12" t="str">
        <f>IF(TOTALCO!F1245="", "",TOTALCO!F1245)</f>
        <v/>
      </c>
      <c r="G715" s="12" t="str">
        <f>IF(TOTALCO!G1245="", "",TOTALCO!G1245)</f>
        <v/>
      </c>
      <c r="H715" s="12" t="str">
        <f>IF(TOTALCO!H1245="", "",TOTALCO!H1245)</f>
        <v/>
      </c>
      <c r="I715" s="12" t="str">
        <f>IF(TOTALCO!I1245="", "",TOTALCO!I1245)</f>
        <v/>
      </c>
      <c r="J715" s="12" t="str">
        <f>IF(TOTALCO!J1245="", "",TOTALCO!J1245)</f>
        <v/>
      </c>
      <c r="K715" s="12" t="str">
        <f>IF(TOTALCO!K1245="", "",TOTALCO!K1245)</f>
        <v/>
      </c>
      <c r="L715" s="12" t="str">
        <f>IF(TOTALCO!L1245="", "",TOTALCO!L1245)</f>
        <v/>
      </c>
      <c r="M715" s="12" t="str">
        <f>IF(TOTALCO!M1245="", "",TOTALCO!M1245)</f>
        <v/>
      </c>
      <c r="N715" s="12" t="str">
        <f>IF(TOTALCO!N1245="", "",TOTALCO!N1245)</f>
        <v/>
      </c>
      <c r="O715" s="12" t="str">
        <f>IF(TOTALCO!O1245="", "",TOTALCO!O1245)</f>
        <v/>
      </c>
      <c r="P715" s="12" t="str">
        <f>IF(TOTALCO!P1245="", "",TOTALCO!P1245)</f>
        <v/>
      </c>
      <c r="Q715" s="12"/>
      <c r="R715" s="13"/>
    </row>
    <row r="716" spans="1:18" ht="15" x14ac:dyDescent="0.2">
      <c r="A716" s="321">
        <f>IF(TOTALCO!A1246="", "",TOTALCO!A1246)</f>
        <v>18</v>
      </c>
      <c r="B716" s="4" t="str">
        <f>IF(TOTALCO!B1246="", "",TOTALCO!B1246)</f>
        <v>TOTAL EXP OTHER THAN INC TAX</v>
      </c>
      <c r="C716" s="4" t="str">
        <f>IF(TOTALCO!C1246="", "",TOTALCO!C1246)</f>
        <v/>
      </c>
      <c r="D716" s="12">
        <f ca="1">IF(TOTALCO!D1246="", "",TOTALCO!D1246)</f>
        <v>1354895817.3521042</v>
      </c>
      <c r="E716" s="12" t="str">
        <f>IF(TOTALCO!E1246="", "",TOTALCO!E1246)</f>
        <v/>
      </c>
      <c r="F716" s="12">
        <f ca="1">IF(TOTALCO!F1246="", "",TOTALCO!F1246)</f>
        <v>1270002375.940469</v>
      </c>
      <c r="G716" s="12" t="str">
        <f>IF(TOTALCO!G1246="", "",TOTALCO!G1246)</f>
        <v/>
      </c>
      <c r="H716" s="12">
        <f ca="1">IF(TOTALCO!H1246="", "",TOTALCO!H1246)</f>
        <v>63109944.92133633</v>
      </c>
      <c r="I716" s="12">
        <f ca="1">IF(TOTALCO!I1246="", "",TOTALCO!I1246)</f>
        <v>21783496.490298826</v>
      </c>
      <c r="J716" s="12" t="str">
        <f>IF(TOTALCO!J1246="", "",TOTALCO!J1246)</f>
        <v/>
      </c>
      <c r="K716" s="12" t="str">
        <f>IF(TOTALCO!K1246="", "",TOTALCO!K1246)</f>
        <v/>
      </c>
      <c r="L716" s="12">
        <f ca="1">IF(TOTALCO!L1246="", "",TOTALCO!L1246)</f>
        <v>35936.678796062966</v>
      </c>
      <c r="M716" s="12" t="str">
        <f>IF(TOTALCO!M1246="", "",TOTALCO!M1246)</f>
        <v/>
      </c>
      <c r="N716" s="12">
        <f ca="1">IF(TOTALCO!N1246="", "",TOTALCO!N1246)</f>
        <v>21747559.811502762</v>
      </c>
      <c r="O716" s="12">
        <f ca="1">IF(TOTALCO!O1246="", "",TOTALCO!O1246)</f>
        <v>11128623.527770294</v>
      </c>
      <c r="P716" s="12">
        <f ca="1">IF(TOTALCO!P1246="", "",TOTALCO!P1246)</f>
        <v>10618936.28373247</v>
      </c>
      <c r="Q716" s="12"/>
      <c r="R716" s="13"/>
    </row>
    <row r="717" spans="1:18" ht="15" x14ac:dyDescent="0.2">
      <c r="A717" s="321" t="str">
        <f>IF(TOTALCO!A1247="", "",TOTALCO!A1247)</f>
        <v/>
      </c>
      <c r="B717" s="4" t="str">
        <f>IF(TOTALCO!B1247="", "",TOTALCO!B1247)</f>
        <v/>
      </c>
      <c r="C717" s="4" t="str">
        <f>IF(TOTALCO!C1247="", "",TOTALCO!C1247)</f>
        <v/>
      </c>
      <c r="D717" s="12" t="str">
        <f>IF(TOTALCO!D1247="", "",TOTALCO!D1247)</f>
        <v/>
      </c>
      <c r="E717" s="12" t="str">
        <f>IF(TOTALCO!E1247="", "",TOTALCO!E1247)</f>
        <v/>
      </c>
      <c r="F717" s="12" t="str">
        <f>IF(TOTALCO!F1247="", "",TOTALCO!F1247)</f>
        <v/>
      </c>
      <c r="G717" s="12" t="str">
        <f>IF(TOTALCO!G1247="", "",TOTALCO!G1247)</f>
        <v/>
      </c>
      <c r="H717" s="12" t="str">
        <f>IF(TOTALCO!H1247="", "",TOTALCO!H1247)</f>
        <v/>
      </c>
      <c r="I717" s="12" t="str">
        <f>IF(TOTALCO!I1247="", "",TOTALCO!I1247)</f>
        <v/>
      </c>
      <c r="J717" s="12" t="str">
        <f>IF(TOTALCO!J1247="", "",TOTALCO!J1247)</f>
        <v/>
      </c>
      <c r="K717" s="12" t="str">
        <f>IF(TOTALCO!K1247="", "",TOTALCO!K1247)</f>
        <v/>
      </c>
      <c r="L717" s="12" t="str">
        <f>IF(TOTALCO!L1247="", "",TOTALCO!L1247)</f>
        <v/>
      </c>
      <c r="M717" s="12" t="str">
        <f>IF(TOTALCO!M1247="", "",TOTALCO!M1247)</f>
        <v/>
      </c>
      <c r="N717" s="12" t="str">
        <f>IF(TOTALCO!N1247="", "",TOTALCO!N1247)</f>
        <v/>
      </c>
      <c r="O717" s="12" t="str">
        <f>IF(TOTALCO!O1247="", "",TOTALCO!O1247)</f>
        <v/>
      </c>
      <c r="P717" s="12" t="str">
        <f>IF(TOTALCO!P1247="", "",TOTALCO!P1247)</f>
        <v/>
      </c>
      <c r="Q717" s="12"/>
      <c r="R717" s="13"/>
    </row>
    <row r="718" spans="1:18" ht="15" x14ac:dyDescent="0.2">
      <c r="A718" s="321" t="str">
        <f>IF(TOTALCO!A1248="", "",TOTALCO!A1248)</f>
        <v/>
      </c>
      <c r="B718" s="4" t="str">
        <f>IF(TOTALCO!B1248="", "",TOTALCO!B1248)</f>
        <v/>
      </c>
      <c r="C718" s="4" t="str">
        <f>IF(TOTALCO!C1248="", "",TOTALCO!C1248)</f>
        <v/>
      </c>
      <c r="D718" s="12" t="str">
        <f>IF(TOTALCO!D1248="", "",TOTALCO!D1248)</f>
        <v/>
      </c>
      <c r="E718" s="12" t="str">
        <f>IF(TOTALCO!E1248="", "",TOTALCO!E1248)</f>
        <v/>
      </c>
      <c r="F718" s="12" t="str">
        <f>IF(TOTALCO!F1248="", "",TOTALCO!F1248)</f>
        <v/>
      </c>
      <c r="G718" s="12" t="str">
        <f>IF(TOTALCO!G1248="", "",TOTALCO!G1248)</f>
        <v/>
      </c>
      <c r="H718" s="12" t="str">
        <f>IF(TOTALCO!H1248="", "",TOTALCO!H1248)</f>
        <v/>
      </c>
      <c r="I718" s="12" t="str">
        <f>IF(TOTALCO!I1248="", "",TOTALCO!I1248)</f>
        <v/>
      </c>
      <c r="J718" s="12" t="str">
        <f>IF(TOTALCO!J1248="", "",TOTALCO!J1248)</f>
        <v/>
      </c>
      <c r="K718" s="12" t="str">
        <f>IF(TOTALCO!K1248="", "",TOTALCO!K1248)</f>
        <v/>
      </c>
      <c r="L718" s="12" t="str">
        <f>IF(TOTALCO!L1248="", "",TOTALCO!L1248)</f>
        <v/>
      </c>
      <c r="M718" s="12" t="str">
        <f>IF(TOTALCO!M1248="", "",TOTALCO!M1248)</f>
        <v/>
      </c>
      <c r="N718" s="12" t="str">
        <f>IF(TOTALCO!N1248="", "",TOTALCO!N1248)</f>
        <v/>
      </c>
      <c r="O718" s="12" t="str">
        <f>IF(TOTALCO!O1248="", "",TOTALCO!O1248)</f>
        <v/>
      </c>
      <c r="P718" s="12" t="str">
        <f>IF(TOTALCO!P1248="", "",TOTALCO!P1248)</f>
        <v/>
      </c>
      <c r="Q718" s="12"/>
      <c r="R718" s="13"/>
    </row>
    <row r="719" spans="1:18" ht="15" x14ac:dyDescent="0.2">
      <c r="A719" s="321" t="str">
        <f>IF(TOTALCO!A1249="", "",TOTALCO!A1249)</f>
        <v/>
      </c>
      <c r="B719" s="4" t="str">
        <f>IF(TOTALCO!B1249="", "",TOTALCO!B1249)</f>
        <v/>
      </c>
      <c r="C719" s="4" t="str">
        <f>IF(TOTALCO!C1249="", "",TOTALCO!C1249)</f>
        <v/>
      </c>
      <c r="D719" s="12" t="str">
        <f>IF(TOTALCO!D1249="", "",TOTALCO!D1249)</f>
        <v/>
      </c>
      <c r="E719" s="12" t="str">
        <f>IF(TOTALCO!E1249="", "",TOTALCO!E1249)</f>
        <v/>
      </c>
      <c r="F719" s="12" t="str">
        <f>IF(TOTALCO!F1249="", "",TOTALCO!F1249)</f>
        <v/>
      </c>
      <c r="G719" s="12" t="str">
        <f>IF(TOTALCO!G1249="", "",TOTALCO!G1249)</f>
        <v/>
      </c>
      <c r="H719" s="12" t="str">
        <f>IF(TOTALCO!H1249="", "",TOTALCO!H1249)</f>
        <v/>
      </c>
      <c r="I719" s="12" t="str">
        <f>IF(TOTALCO!I1249="", "",TOTALCO!I1249)</f>
        <v/>
      </c>
      <c r="J719" s="12" t="str">
        <f>IF(TOTALCO!J1249="", "",TOTALCO!J1249)</f>
        <v/>
      </c>
      <c r="K719" s="12" t="str">
        <f>IF(TOTALCO!K1249="", "",TOTALCO!K1249)</f>
        <v/>
      </c>
      <c r="L719" s="12" t="str">
        <f>IF(TOTALCO!L1249="", "",TOTALCO!L1249)</f>
        <v/>
      </c>
      <c r="M719" s="12" t="str">
        <f>IF(TOTALCO!M1249="", "",TOTALCO!M1249)</f>
        <v/>
      </c>
      <c r="N719" s="12" t="str">
        <f>IF(TOTALCO!N1249="", "",TOTALCO!N1249)</f>
        <v/>
      </c>
      <c r="O719" s="12" t="str">
        <f>IF(TOTALCO!O1249="", "",TOTALCO!O1249)</f>
        <v/>
      </c>
      <c r="P719" s="12" t="str">
        <f>IF(TOTALCO!P1249="", "",TOTALCO!P1249)</f>
        <v/>
      </c>
      <c r="Q719" s="12"/>
      <c r="R719" s="13"/>
    </row>
    <row r="720" spans="1:18" ht="15" x14ac:dyDescent="0.2">
      <c r="A720" s="321" t="str">
        <f>IF(TOTALCO!A1250="", "",TOTALCO!A1250)</f>
        <v/>
      </c>
      <c r="B720" s="4" t="str">
        <f>IF(TOTALCO!B1250="", "",TOTALCO!B1250)</f>
        <v/>
      </c>
      <c r="C720" s="4" t="str">
        <f>IF(TOTALCO!C1250="", "",TOTALCO!C1250)</f>
        <v/>
      </c>
      <c r="D720" s="12" t="str">
        <f>IF(TOTALCO!D1250="", "",TOTALCO!D1250)</f>
        <v/>
      </c>
      <c r="E720" s="12" t="str">
        <f>IF(TOTALCO!E1250="", "",TOTALCO!E1250)</f>
        <v/>
      </c>
      <c r="F720" s="12" t="str">
        <f>IF(TOTALCO!F1250="", "",TOTALCO!F1250)</f>
        <v/>
      </c>
      <c r="G720" s="12" t="str">
        <f>IF(TOTALCO!G1250="", "",TOTALCO!G1250)</f>
        <v/>
      </c>
      <c r="H720" s="12" t="str">
        <f>IF(TOTALCO!H1250="", "",TOTALCO!H1250)</f>
        <v/>
      </c>
      <c r="I720" s="12" t="str">
        <f>IF(TOTALCO!I1250="", "",TOTALCO!I1250)</f>
        <v/>
      </c>
      <c r="J720" s="12" t="str">
        <f>IF(TOTALCO!J1250="", "",TOTALCO!J1250)</f>
        <v/>
      </c>
      <c r="K720" s="12" t="str">
        <f>IF(TOTALCO!K1250="", "",TOTALCO!K1250)</f>
        <v/>
      </c>
      <c r="L720" s="12" t="str">
        <f>IF(TOTALCO!L1250="", "",TOTALCO!L1250)</f>
        <v/>
      </c>
      <c r="M720" s="12" t="str">
        <f>IF(TOTALCO!M1250="", "",TOTALCO!M1250)</f>
        <v/>
      </c>
      <c r="N720" s="12" t="str">
        <f>IF(TOTALCO!N1250="", "",TOTALCO!N1250)</f>
        <v/>
      </c>
      <c r="O720" s="12" t="str">
        <f>IF(TOTALCO!O1250="", "",TOTALCO!O1250)</f>
        <v/>
      </c>
      <c r="P720" s="12" t="str">
        <f>IF(TOTALCO!P1250="", "",TOTALCO!P1250)</f>
        <v/>
      </c>
      <c r="Q720" s="12"/>
      <c r="R720" s="13"/>
    </row>
    <row r="721" spans="1:18" ht="15" x14ac:dyDescent="0.2">
      <c r="A721" s="321" t="str">
        <f>IF(TOTALCO!A1251="", "",TOTALCO!A1251)</f>
        <v/>
      </c>
      <c r="B721" s="4" t="str">
        <f>IF(TOTALCO!B1251="", "",TOTALCO!B1251)</f>
        <v/>
      </c>
      <c r="C721" s="4" t="str">
        <f>IF(TOTALCO!C1251="", "",TOTALCO!C1251)</f>
        <v/>
      </c>
      <c r="D721" s="12" t="str">
        <f>IF(TOTALCO!D1251="", "",TOTALCO!D1251)</f>
        <v/>
      </c>
      <c r="E721" s="12" t="str">
        <f>IF(TOTALCO!E1251="", "",TOTALCO!E1251)</f>
        <v/>
      </c>
      <c r="F721" s="12" t="str">
        <f>IF(TOTALCO!F1251="", "",TOTALCO!F1251)</f>
        <v/>
      </c>
      <c r="G721" s="12" t="str">
        <f>IF(TOTALCO!G1251="", "",TOTALCO!G1251)</f>
        <v/>
      </c>
      <c r="H721" s="12" t="str">
        <f>IF(TOTALCO!H1251="", "",TOTALCO!H1251)</f>
        <v/>
      </c>
      <c r="I721" s="12" t="str">
        <f>IF(TOTALCO!I1251="", "",TOTALCO!I1251)</f>
        <v/>
      </c>
      <c r="J721" s="12" t="str">
        <f>IF(TOTALCO!J1251="", "",TOTALCO!J1251)</f>
        <v/>
      </c>
      <c r="K721" s="12" t="str">
        <f>IF(TOTALCO!K1251="", "",TOTALCO!K1251)</f>
        <v/>
      </c>
      <c r="L721" s="12" t="str">
        <f>IF(TOTALCO!L1251="", "",TOTALCO!L1251)</f>
        <v/>
      </c>
      <c r="M721" s="12" t="str">
        <f>IF(TOTALCO!M1251="", "",TOTALCO!M1251)</f>
        <v/>
      </c>
      <c r="N721" s="12" t="str">
        <f>IF(TOTALCO!N1251="", "",TOTALCO!N1251)</f>
        <v/>
      </c>
      <c r="O721" s="12" t="str">
        <f>IF(TOTALCO!O1251="", "",TOTALCO!O1251)</f>
        <v/>
      </c>
      <c r="P721" s="12" t="str">
        <f>IF(TOTALCO!P1251="", "",TOTALCO!P1251)</f>
        <v/>
      </c>
      <c r="Q721" s="12"/>
      <c r="R721" s="13"/>
    </row>
    <row r="722" spans="1:18" ht="15" x14ac:dyDescent="0.2">
      <c r="A722" s="321" t="str">
        <f>IF(TOTALCO!A1252="", "",TOTALCO!A1252)</f>
        <v/>
      </c>
      <c r="B722" s="4" t="str">
        <f>IF(TOTALCO!B1252="", "",TOTALCO!B1252)</f>
        <v/>
      </c>
      <c r="C722" s="4" t="str">
        <f>IF(TOTALCO!C1252="", "",TOTALCO!C1252)</f>
        <v/>
      </c>
      <c r="D722" s="12" t="str">
        <f>IF(TOTALCO!D1252="", "",TOTALCO!D1252)</f>
        <v/>
      </c>
      <c r="E722" s="12" t="str">
        <f>IF(TOTALCO!E1252="", "",TOTALCO!E1252)</f>
        <v/>
      </c>
      <c r="F722" s="12" t="str">
        <f>IF(TOTALCO!F1252="", "",TOTALCO!F1252)</f>
        <v/>
      </c>
      <c r="G722" s="12" t="str">
        <f>IF(TOTALCO!G1252="", "",TOTALCO!G1252)</f>
        <v/>
      </c>
      <c r="H722" s="12" t="str">
        <f>IF(TOTALCO!H1252="", "",TOTALCO!H1252)</f>
        <v/>
      </c>
      <c r="I722" s="12" t="str">
        <f>IF(TOTALCO!I1252="", "",TOTALCO!I1252)</f>
        <v/>
      </c>
      <c r="J722" s="12" t="str">
        <f>IF(TOTALCO!J1252="", "",TOTALCO!J1252)</f>
        <v/>
      </c>
      <c r="K722" s="12" t="str">
        <f>IF(TOTALCO!K1252="", "",TOTALCO!K1252)</f>
        <v/>
      </c>
      <c r="L722" s="12" t="str">
        <f>IF(TOTALCO!L1252="", "",TOTALCO!L1252)</f>
        <v/>
      </c>
      <c r="M722" s="12" t="str">
        <f>IF(TOTALCO!M1252="", "",TOTALCO!M1252)</f>
        <v/>
      </c>
      <c r="N722" s="12" t="str">
        <f>IF(TOTALCO!N1252="", "",TOTALCO!N1252)</f>
        <v/>
      </c>
      <c r="O722" s="12" t="str">
        <f>IF(TOTALCO!O1252="", "",TOTALCO!O1252)</f>
        <v/>
      </c>
      <c r="P722" s="12" t="str">
        <f>IF(TOTALCO!P1252="", "",TOTALCO!P1252)</f>
        <v/>
      </c>
      <c r="Q722" s="12"/>
      <c r="R722" s="13"/>
    </row>
    <row r="723" spans="1:18" ht="15" x14ac:dyDescent="0.2">
      <c r="A723" s="321" t="str">
        <f>IF(TOTALCO!A1253="", "",TOTALCO!A1253)</f>
        <v/>
      </c>
      <c r="B723" s="4" t="str">
        <f>IF(TOTALCO!B1253="", "",TOTALCO!B1253)</f>
        <v/>
      </c>
      <c r="C723" s="4" t="str">
        <f>IF(TOTALCO!C1253="", "",TOTALCO!C1253)</f>
        <v/>
      </c>
      <c r="D723" s="12" t="str">
        <f>IF(TOTALCO!D1253="", "",TOTALCO!D1253)</f>
        <v/>
      </c>
      <c r="E723" s="12" t="str">
        <f>IF(TOTALCO!E1253="", "",TOTALCO!E1253)</f>
        <v/>
      </c>
      <c r="F723" s="12" t="str">
        <f>IF(TOTALCO!F1253="", "",TOTALCO!F1253)</f>
        <v/>
      </c>
      <c r="G723" s="12" t="str">
        <f>IF(TOTALCO!G1253="", "",TOTALCO!G1253)</f>
        <v/>
      </c>
      <c r="H723" s="12" t="str">
        <f>IF(TOTALCO!H1253="", "",TOTALCO!H1253)</f>
        <v/>
      </c>
      <c r="I723" s="12" t="str">
        <f>IF(TOTALCO!I1253="", "",TOTALCO!I1253)</f>
        <v/>
      </c>
      <c r="J723" s="12" t="str">
        <f>IF(TOTALCO!J1253="", "",TOTALCO!J1253)</f>
        <v/>
      </c>
      <c r="K723" s="12" t="str">
        <f>IF(TOTALCO!K1253="", "",TOTALCO!K1253)</f>
        <v/>
      </c>
      <c r="L723" s="12" t="str">
        <f>IF(TOTALCO!L1253="", "",TOTALCO!L1253)</f>
        <v/>
      </c>
      <c r="M723" s="12" t="str">
        <f>IF(TOTALCO!M1253="", "",TOTALCO!M1253)</f>
        <v/>
      </c>
      <c r="N723" s="12" t="str">
        <f>IF(TOTALCO!N1253="", "",TOTALCO!N1253)</f>
        <v/>
      </c>
      <c r="O723" s="12" t="str">
        <f>IF(TOTALCO!O1253="", "",TOTALCO!O1253)</f>
        <v/>
      </c>
      <c r="P723" s="12" t="str">
        <f>IF(TOTALCO!P1253="", "",TOTALCO!P1253)</f>
        <v/>
      </c>
      <c r="Q723" s="12"/>
      <c r="R723" s="13"/>
    </row>
    <row r="724" spans="1:18" ht="15" x14ac:dyDescent="0.2">
      <c r="A724" s="321" t="str">
        <f>IF(TOTALCO!A1254="", "",TOTALCO!A1254)</f>
        <v/>
      </c>
      <c r="B724" s="4" t="str">
        <f>IF(TOTALCO!B1254="", "",TOTALCO!B1254)</f>
        <v/>
      </c>
      <c r="C724" s="4" t="str">
        <f>IF(TOTALCO!C1254="", "",TOTALCO!C1254)</f>
        <v/>
      </c>
      <c r="D724" s="12" t="str">
        <f>IF(TOTALCO!D1254="", "",TOTALCO!D1254)</f>
        <v/>
      </c>
      <c r="E724" s="12" t="str">
        <f>IF(TOTALCO!E1254="", "",TOTALCO!E1254)</f>
        <v/>
      </c>
      <c r="F724" s="12" t="str">
        <f>IF(TOTALCO!F1254="", "",TOTALCO!F1254)</f>
        <v/>
      </c>
      <c r="G724" s="12" t="str">
        <f>IF(TOTALCO!G1254="", "",TOTALCO!G1254)</f>
        <v/>
      </c>
      <c r="H724" s="12" t="str">
        <f>IF(TOTALCO!H1254="", "",TOTALCO!H1254)</f>
        <v/>
      </c>
      <c r="I724" s="12" t="str">
        <f>IF(TOTALCO!I1254="", "",TOTALCO!I1254)</f>
        <v/>
      </c>
      <c r="J724" s="12" t="str">
        <f>IF(TOTALCO!J1254="", "",TOTALCO!J1254)</f>
        <v/>
      </c>
      <c r="K724" s="12" t="str">
        <f>IF(TOTALCO!K1254="", "",TOTALCO!K1254)</f>
        <v/>
      </c>
      <c r="L724" s="12" t="str">
        <f>IF(TOTALCO!L1254="", "",TOTALCO!L1254)</f>
        <v/>
      </c>
      <c r="M724" s="12" t="str">
        <f>IF(TOTALCO!M1254="", "",TOTALCO!M1254)</f>
        <v/>
      </c>
      <c r="N724" s="12" t="str">
        <f>IF(TOTALCO!N1254="", "",TOTALCO!N1254)</f>
        <v/>
      </c>
      <c r="O724" s="12" t="str">
        <f>IF(TOTALCO!O1254="", "",TOTALCO!O1254)</f>
        <v/>
      </c>
      <c r="P724" s="12" t="str">
        <f>IF(TOTALCO!P1254="", "",TOTALCO!P1254)</f>
        <v/>
      </c>
      <c r="Q724" s="12"/>
      <c r="R724" s="13"/>
    </row>
    <row r="725" spans="1:18" ht="15" x14ac:dyDescent="0.2">
      <c r="A725" s="321" t="str">
        <f>IF(TOTALCO!A1255="", "",TOTALCO!A1255)</f>
        <v/>
      </c>
      <c r="B725" s="4" t="str">
        <f>IF(TOTALCO!B1255="", "",TOTALCO!B1255)</f>
        <v>INCOME TAXES</v>
      </c>
      <c r="C725" s="4" t="str">
        <f>IF(TOTALCO!C1255="", "",TOTALCO!C1255)</f>
        <v/>
      </c>
      <c r="D725" s="12" t="str">
        <f>IF(TOTALCO!D1255="", "",TOTALCO!D1255)</f>
        <v/>
      </c>
      <c r="E725" s="12" t="str">
        <f>IF(TOTALCO!E1255="", "",TOTALCO!E1255)</f>
        <v/>
      </c>
      <c r="F725" s="12" t="str">
        <f>IF(TOTALCO!F1255="", "",TOTALCO!F1255)</f>
        <v/>
      </c>
      <c r="G725" s="12" t="str">
        <f>IF(TOTALCO!G1255="", "",TOTALCO!G1255)</f>
        <v/>
      </c>
      <c r="H725" s="12" t="str">
        <f>IF(TOTALCO!H1255="", "",TOTALCO!H1255)</f>
        <v/>
      </c>
      <c r="I725" s="12" t="str">
        <f>IF(TOTALCO!I1255="", "",TOTALCO!I1255)</f>
        <v/>
      </c>
      <c r="J725" s="12" t="str">
        <f>IF(TOTALCO!J1255="", "",TOTALCO!J1255)</f>
        <v/>
      </c>
      <c r="K725" s="12" t="str">
        <f>IF(TOTALCO!K1255="", "",TOTALCO!K1255)</f>
        <v/>
      </c>
      <c r="L725" s="12" t="str">
        <f>IF(TOTALCO!L1255="", "",TOTALCO!L1255)</f>
        <v/>
      </c>
      <c r="M725" s="12" t="str">
        <f>IF(TOTALCO!M1255="", "",TOTALCO!M1255)</f>
        <v/>
      </c>
      <c r="N725" s="12" t="str">
        <f>IF(TOTALCO!N1255="", "",TOTALCO!N1255)</f>
        <v/>
      </c>
      <c r="O725" s="12" t="str">
        <f>IF(TOTALCO!O1255="", "",TOTALCO!O1255)</f>
        <v/>
      </c>
      <c r="P725" s="12" t="str">
        <f>IF(TOTALCO!P1255="", "",TOTALCO!P1255)</f>
        <v/>
      </c>
      <c r="Q725" s="12"/>
      <c r="R725" s="13"/>
    </row>
    <row r="726" spans="1:18" ht="15" x14ac:dyDescent="0.2">
      <c r="A726" s="321" t="str">
        <f>IF(TOTALCO!A1256="", "",TOTALCO!A1256)</f>
        <v/>
      </c>
      <c r="B726" s="4" t="str">
        <f>IF(TOTALCO!B1256="", "",TOTALCO!B1256)</f>
        <v/>
      </c>
      <c r="C726" s="4" t="str">
        <f>IF(TOTALCO!C1256="", "",TOTALCO!C1256)</f>
        <v/>
      </c>
      <c r="D726" s="12" t="str">
        <f>IF(TOTALCO!D1256="", "",TOTALCO!D1256)</f>
        <v/>
      </c>
      <c r="E726" s="12" t="str">
        <f>IF(TOTALCO!E1256="", "",TOTALCO!E1256)</f>
        <v/>
      </c>
      <c r="F726" s="12" t="str">
        <f>IF(TOTALCO!F1256="", "",TOTALCO!F1256)</f>
        <v/>
      </c>
      <c r="G726" s="12" t="str">
        <f>IF(TOTALCO!G1256="", "",TOTALCO!G1256)</f>
        <v/>
      </c>
      <c r="H726" s="12" t="str">
        <f>IF(TOTALCO!H1256="", "",TOTALCO!H1256)</f>
        <v/>
      </c>
      <c r="I726" s="12" t="str">
        <f>IF(TOTALCO!I1256="", "",TOTALCO!I1256)</f>
        <v/>
      </c>
      <c r="J726" s="12" t="str">
        <f>IF(TOTALCO!J1256="", "",TOTALCO!J1256)</f>
        <v/>
      </c>
      <c r="K726" s="12" t="str">
        <f>IF(TOTALCO!K1256="", "",TOTALCO!K1256)</f>
        <v/>
      </c>
      <c r="L726" s="12" t="str">
        <f>IF(TOTALCO!L1256="", "",TOTALCO!L1256)</f>
        <v/>
      </c>
      <c r="M726" s="12" t="str">
        <f>IF(TOTALCO!M1256="", "",TOTALCO!M1256)</f>
        <v/>
      </c>
      <c r="N726" s="12" t="str">
        <f>IF(TOTALCO!N1256="", "",TOTALCO!N1256)</f>
        <v/>
      </c>
      <c r="O726" s="12" t="str">
        <f>IF(TOTALCO!O1256="", "",TOTALCO!O1256)</f>
        <v/>
      </c>
      <c r="P726" s="12" t="str">
        <f>IF(TOTALCO!P1256="", "",TOTALCO!P1256)</f>
        <v/>
      </c>
      <c r="Q726" s="12"/>
      <c r="R726" s="13"/>
    </row>
    <row r="727" spans="1:18" ht="15" x14ac:dyDescent="0.2">
      <c r="A727" s="321">
        <f>IF(TOTALCO!A1257="", "",TOTALCO!A1257)</f>
        <v>1</v>
      </c>
      <c r="B727" s="4" t="str">
        <f>IF(TOTALCO!B1257="", "",TOTALCO!B1257)</f>
        <v>OPERATING INC BEFORE INC TAXES</v>
      </c>
      <c r="C727" s="4" t="str">
        <f>IF(TOTALCO!C1257="", "",TOTALCO!C1257)</f>
        <v/>
      </c>
      <c r="D727" s="12">
        <f ca="1">IF(TOTALCO!D1257="", "",TOTALCO!D1257)</f>
        <v>381224687</v>
      </c>
      <c r="E727" s="12" t="str">
        <f>IF(TOTALCO!E1257="", "",TOTALCO!E1257)</f>
        <v/>
      </c>
      <c r="F727" s="12">
        <f ca="1">IF(TOTALCO!F1257="", "",TOTALCO!F1257)</f>
        <v>367066933.66508174</v>
      </c>
      <c r="G727" s="12" t="str">
        <f>IF(TOTALCO!G1257="", "",TOTALCO!G1257)</f>
        <v/>
      </c>
      <c r="H727" s="12">
        <f ca="1">IF(TOTALCO!H1257="", "",TOTALCO!H1257)</f>
        <v>10536323.253660731</v>
      </c>
      <c r="I727" s="12">
        <f ca="1">IF(TOTALCO!I1257="", "",TOTALCO!I1257)</f>
        <v>3621430.289505207</v>
      </c>
      <c r="J727" s="12" t="str">
        <f>IF(TOTALCO!J1257="", "",TOTALCO!J1257)</f>
        <v/>
      </c>
      <c r="K727" s="12" t="str">
        <f>IF(TOTALCO!K1257="", "",TOTALCO!K1257)</f>
        <v/>
      </c>
      <c r="L727" s="12">
        <f ca="1">IF(TOTALCO!L1257="", "",TOTALCO!L1257)</f>
        <v>-35764.54607715943</v>
      </c>
      <c r="M727" s="12" t="str">
        <f>IF(TOTALCO!M1257="", "",TOTALCO!M1257)</f>
        <v/>
      </c>
      <c r="N727" s="12">
        <f ca="1">IF(TOTALCO!N1257="", "",TOTALCO!N1257)</f>
        <v>3657194.8355823662</v>
      </c>
      <c r="O727" s="12">
        <f ca="1">IF(TOTALCO!O1257="", "",TOTALCO!O1257)</f>
        <v>1817419.1790420171</v>
      </c>
      <c r="P727" s="12">
        <f ca="1">IF(TOTALCO!P1257="", "",TOTALCO!P1257)</f>
        <v>1839775.6565403491</v>
      </c>
      <c r="Q727" s="12"/>
      <c r="R727" s="13"/>
    </row>
    <row r="728" spans="1:18" ht="15" x14ac:dyDescent="0.2">
      <c r="A728" s="321" t="str">
        <f>IF(TOTALCO!A1258="", "",TOTALCO!A1258)</f>
        <v/>
      </c>
      <c r="B728" s="4" t="str">
        <f>IF(TOTALCO!B1258="", "",TOTALCO!B1258)</f>
        <v/>
      </c>
      <c r="C728" s="4" t="str">
        <f>IF(TOTALCO!C1258="", "",TOTALCO!C1258)</f>
        <v/>
      </c>
      <c r="D728" s="12" t="str">
        <f>IF(TOTALCO!D1258="", "",TOTALCO!D1258)</f>
        <v/>
      </c>
      <c r="E728" s="12" t="str">
        <f>IF(TOTALCO!E1258="", "",TOTALCO!E1258)</f>
        <v/>
      </c>
      <c r="F728" s="12" t="str">
        <f>IF(TOTALCO!F1258="", "",TOTALCO!F1258)</f>
        <v/>
      </c>
      <c r="G728" s="12" t="str">
        <f>IF(TOTALCO!G1258="", "",TOTALCO!G1258)</f>
        <v/>
      </c>
      <c r="H728" s="12" t="str">
        <f>IF(TOTALCO!H1258="", "",TOTALCO!H1258)</f>
        <v/>
      </c>
      <c r="I728" s="12" t="str">
        <f>IF(TOTALCO!I1258="", "",TOTALCO!I1258)</f>
        <v/>
      </c>
      <c r="J728" s="12" t="str">
        <f>IF(TOTALCO!J1258="", "",TOTALCO!J1258)</f>
        <v/>
      </c>
      <c r="K728" s="12" t="str">
        <f>IF(TOTALCO!K1258="", "",TOTALCO!K1258)</f>
        <v/>
      </c>
      <c r="L728" s="12" t="str">
        <f>IF(TOTALCO!L1258="", "",TOTALCO!L1258)</f>
        <v/>
      </c>
      <c r="M728" s="12" t="str">
        <f>IF(TOTALCO!M1258="", "",TOTALCO!M1258)</f>
        <v/>
      </c>
      <c r="N728" s="12" t="str">
        <f>IF(TOTALCO!N1258="", "",TOTALCO!N1258)</f>
        <v/>
      </c>
      <c r="O728" s="12" t="str">
        <f>IF(TOTALCO!O1258="", "",TOTALCO!O1258)</f>
        <v/>
      </c>
      <c r="P728" s="12" t="str">
        <f>IF(TOTALCO!P1258="", "",TOTALCO!P1258)</f>
        <v/>
      </c>
      <c r="Q728" s="12"/>
      <c r="R728" s="13"/>
    </row>
    <row r="729" spans="1:18" ht="15" x14ac:dyDescent="0.2">
      <c r="A729" s="321" t="str">
        <f>IF(TOTALCO!A1259="", "",TOTALCO!A1259)</f>
        <v/>
      </c>
      <c r="B729" s="4" t="str">
        <f>IF(TOTALCO!B1259="", "",TOTALCO!B1259)</f>
        <v>DEVELOPMENT OF FED INC TAX</v>
      </c>
      <c r="C729" s="4" t="str">
        <f>IF(TOTALCO!C1259="", "",TOTALCO!C1259)</f>
        <v/>
      </c>
      <c r="D729" s="12" t="str">
        <f>IF(TOTALCO!D1259="", "",TOTALCO!D1259)</f>
        <v/>
      </c>
      <c r="E729" s="12" t="str">
        <f>IF(TOTALCO!E1259="", "",TOTALCO!E1259)</f>
        <v/>
      </c>
      <c r="F729" s="12" t="str">
        <f>IF(TOTALCO!F1259="", "",TOTALCO!F1259)</f>
        <v/>
      </c>
      <c r="G729" s="12" t="str">
        <f>IF(TOTALCO!G1259="", "",TOTALCO!G1259)</f>
        <v/>
      </c>
      <c r="H729" s="12" t="str">
        <f>IF(TOTALCO!H1259="", "",TOTALCO!H1259)</f>
        <v/>
      </c>
      <c r="I729" s="12" t="str">
        <f>IF(TOTALCO!I1259="", "",TOTALCO!I1259)</f>
        <v/>
      </c>
      <c r="J729" s="12" t="str">
        <f>IF(TOTALCO!J1259="", "",TOTALCO!J1259)</f>
        <v/>
      </c>
      <c r="K729" s="12" t="str">
        <f>IF(TOTALCO!K1259="", "",TOTALCO!K1259)</f>
        <v/>
      </c>
      <c r="L729" s="12" t="str">
        <f>IF(TOTALCO!L1259="", "",TOTALCO!L1259)</f>
        <v/>
      </c>
      <c r="M729" s="12" t="str">
        <f>IF(TOTALCO!M1259="", "",TOTALCO!M1259)</f>
        <v/>
      </c>
      <c r="N729" s="12" t="str">
        <f>IF(TOTALCO!N1259="", "",TOTALCO!N1259)</f>
        <v/>
      </c>
      <c r="O729" s="12" t="str">
        <f>IF(TOTALCO!O1259="", "",TOTALCO!O1259)</f>
        <v/>
      </c>
      <c r="P729" s="12" t="str">
        <f>IF(TOTALCO!P1259="", "",TOTALCO!P1259)</f>
        <v/>
      </c>
      <c r="Q729" s="12"/>
      <c r="R729" s="13"/>
    </row>
    <row r="730" spans="1:18" ht="15" x14ac:dyDescent="0.2">
      <c r="A730" s="321" t="str">
        <f>IF(TOTALCO!A1260="", "",TOTALCO!A1260)</f>
        <v/>
      </c>
      <c r="B730" s="4" t="str">
        <f>IF(TOTALCO!B1260="", "",TOTALCO!B1260)</f>
        <v xml:space="preserve"> ADDITIONS TO INCOME</v>
      </c>
      <c r="C730" s="4" t="str">
        <f>IF(TOTALCO!C1260="", "",TOTALCO!C1260)</f>
        <v/>
      </c>
      <c r="D730" s="12" t="str">
        <f>IF(TOTALCO!D1260="", "",TOTALCO!D1260)</f>
        <v/>
      </c>
      <c r="E730" s="12" t="str">
        <f>IF(TOTALCO!E1260="", "",TOTALCO!E1260)</f>
        <v/>
      </c>
      <c r="F730" s="12" t="str">
        <f>IF(TOTALCO!F1260="", "",TOTALCO!F1260)</f>
        <v/>
      </c>
      <c r="G730" s="12" t="str">
        <f>IF(TOTALCO!G1260="", "",TOTALCO!G1260)</f>
        <v/>
      </c>
      <c r="H730" s="12" t="str">
        <f>IF(TOTALCO!H1260="", "",TOTALCO!H1260)</f>
        <v/>
      </c>
      <c r="I730" s="12" t="str">
        <f>IF(TOTALCO!I1260="", "",TOTALCO!I1260)</f>
        <v/>
      </c>
      <c r="J730" s="12" t="str">
        <f>IF(TOTALCO!J1260="", "",TOTALCO!J1260)</f>
        <v/>
      </c>
      <c r="K730" s="12" t="str">
        <f>IF(TOTALCO!K1260="", "",TOTALCO!K1260)</f>
        <v/>
      </c>
      <c r="L730" s="12" t="str">
        <f>IF(TOTALCO!L1260="", "",TOTALCO!L1260)</f>
        <v/>
      </c>
      <c r="M730" s="12" t="str">
        <f>IF(TOTALCO!M1260="", "",TOTALCO!M1260)</f>
        <v/>
      </c>
      <c r="N730" s="12" t="str">
        <f>IF(TOTALCO!N1260="", "",TOTALCO!N1260)</f>
        <v/>
      </c>
      <c r="O730" s="12" t="str">
        <f>IF(TOTALCO!O1260="", "",TOTALCO!O1260)</f>
        <v/>
      </c>
      <c r="P730" s="12" t="str">
        <f>IF(TOTALCO!P1260="", "",TOTALCO!P1260)</f>
        <v/>
      </c>
      <c r="Q730" s="12"/>
      <c r="R730" s="13"/>
    </row>
    <row r="731" spans="1:18" ht="15" x14ac:dyDescent="0.2">
      <c r="A731" s="321">
        <f>IF(TOTALCO!A1261="", "",TOTALCO!A1261)</f>
        <v>2</v>
      </c>
      <c r="B731" s="4" t="str">
        <f>IF(TOTALCO!B1261="", "",TOTALCO!B1261)</f>
        <v/>
      </c>
      <c r="C731" s="4" t="str">
        <f>IF(TOTALCO!C1261="", "",TOTALCO!C1261)</f>
        <v/>
      </c>
      <c r="D731" s="12" t="str">
        <f>IF(TOTALCO!D1261="", "",TOTALCO!D1261)</f>
        <v/>
      </c>
      <c r="E731" s="12" t="str">
        <f>IF(TOTALCO!E1261="", "",TOTALCO!E1261)</f>
        <v/>
      </c>
      <c r="F731" s="12" t="str">
        <f>IF(TOTALCO!F1261="", "",TOTALCO!F1261)</f>
        <v/>
      </c>
      <c r="G731" s="12" t="str">
        <f>IF(TOTALCO!G1261="", "",TOTALCO!G1261)</f>
        <v/>
      </c>
      <c r="H731" s="12" t="str">
        <f>IF(TOTALCO!H1261="", "",TOTALCO!H1261)</f>
        <v/>
      </c>
      <c r="I731" s="12" t="str">
        <f>IF(TOTALCO!I1261="", "",TOTALCO!I1261)</f>
        <v/>
      </c>
      <c r="J731" s="12" t="str">
        <f>IF(TOTALCO!J1261="", "",TOTALCO!J1261)</f>
        <v/>
      </c>
      <c r="K731" s="12" t="str">
        <f>IF(TOTALCO!K1261="", "",TOTALCO!K1261)</f>
        <v/>
      </c>
      <c r="L731" s="12" t="str">
        <f>IF(TOTALCO!L1261="", "",TOTALCO!L1261)</f>
        <v/>
      </c>
      <c r="M731" s="12" t="str">
        <f>IF(TOTALCO!M1261="", "",TOTALCO!M1261)</f>
        <v/>
      </c>
      <c r="N731" s="12" t="str">
        <f>IF(TOTALCO!N1261="", "",TOTALCO!N1261)</f>
        <v/>
      </c>
      <c r="O731" s="12" t="str">
        <f>IF(TOTALCO!O1261="", "",TOTALCO!O1261)</f>
        <v/>
      </c>
      <c r="P731" s="12" t="str">
        <f>IF(TOTALCO!P1261="", "",TOTALCO!P1261)</f>
        <v/>
      </c>
      <c r="Q731" s="12"/>
      <c r="R731" s="13"/>
    </row>
    <row r="732" spans="1:18" ht="15" x14ac:dyDescent="0.2">
      <c r="A732" s="321">
        <f>IF(TOTALCO!A1262="", "",TOTALCO!A1262)</f>
        <v>3</v>
      </c>
      <c r="B732" s="4" t="str">
        <f>IF(TOTALCO!B1262="", "",TOTALCO!B1262)</f>
        <v/>
      </c>
      <c r="C732" s="4" t="str">
        <f>IF(TOTALCO!C1262="", "",TOTALCO!C1262)</f>
        <v/>
      </c>
      <c r="D732" s="12" t="str">
        <f>IF(TOTALCO!D1262="", "",TOTALCO!D1262)</f>
        <v/>
      </c>
      <c r="E732" s="12" t="str">
        <f>IF(TOTALCO!E1262="", "",TOTALCO!E1262)</f>
        <v/>
      </c>
      <c r="F732" s="12" t="str">
        <f>IF(TOTALCO!F1262="", "",TOTALCO!F1262)</f>
        <v/>
      </c>
      <c r="G732" s="12" t="str">
        <f>IF(TOTALCO!G1262="", "",TOTALCO!G1262)</f>
        <v/>
      </c>
      <c r="H732" s="12" t="str">
        <f>IF(TOTALCO!H1262="", "",TOTALCO!H1262)</f>
        <v/>
      </c>
      <c r="I732" s="12" t="str">
        <f>IF(TOTALCO!I1262="", "",TOTALCO!I1262)</f>
        <v/>
      </c>
      <c r="J732" s="12" t="str">
        <f>IF(TOTALCO!J1262="", "",TOTALCO!J1262)</f>
        <v/>
      </c>
      <c r="K732" s="12" t="str">
        <f>IF(TOTALCO!K1262="", "",TOTALCO!K1262)</f>
        <v/>
      </c>
      <c r="L732" s="12" t="str">
        <f>IF(TOTALCO!L1262="", "",TOTALCO!L1262)</f>
        <v/>
      </c>
      <c r="M732" s="12" t="str">
        <f>IF(TOTALCO!M1262="", "",TOTALCO!M1262)</f>
        <v/>
      </c>
      <c r="N732" s="12" t="str">
        <f>IF(TOTALCO!N1262="", "",TOTALCO!N1262)</f>
        <v/>
      </c>
      <c r="O732" s="12" t="str">
        <f>IF(TOTALCO!O1262="", "",TOTALCO!O1262)</f>
        <v/>
      </c>
      <c r="P732" s="12" t="str">
        <f>IF(TOTALCO!P1262="", "",TOTALCO!P1262)</f>
        <v/>
      </c>
      <c r="Q732" s="12"/>
      <c r="R732" s="13"/>
    </row>
    <row r="733" spans="1:18" ht="15" x14ac:dyDescent="0.2">
      <c r="A733" s="321">
        <f>IF(TOTALCO!A1263="", "",TOTALCO!A1263)</f>
        <v>4</v>
      </c>
      <c r="B733" s="4" t="str">
        <f>IF(TOTALCO!B1263="", "",TOTALCO!B1263)</f>
        <v xml:space="preserve"> TOTAL ADDITIONS</v>
      </c>
      <c r="C733" s="4" t="str">
        <f>IF(TOTALCO!C1263="", "",TOTALCO!C1263)</f>
        <v/>
      </c>
      <c r="D733" s="12">
        <f>IF(TOTALCO!D1263="", "",TOTALCO!D1263)</f>
        <v>0</v>
      </c>
      <c r="E733" s="12" t="str">
        <f>IF(TOTALCO!E1263="", "",TOTALCO!E1263)</f>
        <v/>
      </c>
      <c r="F733" s="12">
        <f>IF(TOTALCO!F1263="", "",TOTALCO!F1263)</f>
        <v>0</v>
      </c>
      <c r="G733" s="12" t="str">
        <f>IF(TOTALCO!G1263="", "",TOTALCO!G1263)</f>
        <v/>
      </c>
      <c r="H733" s="12">
        <f>IF(TOTALCO!H1263="", "",TOTALCO!H1263)</f>
        <v>0</v>
      </c>
      <c r="I733" s="12">
        <f>IF(TOTALCO!I1263="", "",TOTALCO!I1263)</f>
        <v>0</v>
      </c>
      <c r="J733" s="12" t="str">
        <f>IF(TOTALCO!J1263="", "",TOTALCO!J1263)</f>
        <v/>
      </c>
      <c r="K733" s="12" t="str">
        <f>IF(TOTALCO!K1263="", "",TOTALCO!K1263)</f>
        <v/>
      </c>
      <c r="L733" s="12">
        <f>IF(TOTALCO!L1263="", "",TOTALCO!L1263)</f>
        <v>0</v>
      </c>
      <c r="M733" s="12" t="str">
        <f>IF(TOTALCO!M1263="", "",TOTALCO!M1263)</f>
        <v/>
      </c>
      <c r="N733" s="12">
        <f>IF(TOTALCO!N1263="", "",TOTALCO!N1263)</f>
        <v>0</v>
      </c>
      <c r="O733" s="12">
        <f>IF(TOTALCO!O1263="", "",TOTALCO!O1263)</f>
        <v>0</v>
      </c>
      <c r="P733" s="12">
        <f>IF(TOTALCO!P1263="", "",TOTALCO!P1263)</f>
        <v>0</v>
      </c>
      <c r="Q733" s="12"/>
      <c r="R733" s="13"/>
    </row>
    <row r="734" spans="1:18" ht="15" x14ac:dyDescent="0.2">
      <c r="A734" s="321" t="str">
        <f>IF(TOTALCO!A1264="", "",TOTALCO!A1264)</f>
        <v/>
      </c>
      <c r="B734" s="4" t="str">
        <f>IF(TOTALCO!B1264="", "",TOTALCO!B1264)</f>
        <v/>
      </c>
      <c r="C734" s="4" t="str">
        <f>IF(TOTALCO!C1264="", "",TOTALCO!C1264)</f>
        <v/>
      </c>
      <c r="D734" s="12" t="str">
        <f>IF(TOTALCO!D1264="", "",TOTALCO!D1264)</f>
        <v/>
      </c>
      <c r="E734" s="12" t="str">
        <f>IF(TOTALCO!E1264="", "",TOTALCO!E1264)</f>
        <v/>
      </c>
      <c r="F734" s="12" t="str">
        <f>IF(TOTALCO!F1264="", "",TOTALCO!F1264)</f>
        <v/>
      </c>
      <c r="G734" s="12" t="str">
        <f>IF(TOTALCO!G1264="", "",TOTALCO!G1264)</f>
        <v/>
      </c>
      <c r="H734" s="12" t="str">
        <f>IF(TOTALCO!H1264="", "",TOTALCO!H1264)</f>
        <v/>
      </c>
      <c r="I734" s="12" t="str">
        <f>IF(TOTALCO!I1264="", "",TOTALCO!I1264)</f>
        <v/>
      </c>
      <c r="J734" s="12" t="str">
        <f>IF(TOTALCO!J1264="", "",TOTALCO!J1264)</f>
        <v/>
      </c>
      <c r="K734" s="12" t="str">
        <f>IF(TOTALCO!K1264="", "",TOTALCO!K1264)</f>
        <v/>
      </c>
      <c r="L734" s="12" t="str">
        <f>IF(TOTALCO!L1264="", "",TOTALCO!L1264)</f>
        <v/>
      </c>
      <c r="M734" s="12" t="str">
        <f>IF(TOTALCO!M1264="", "",TOTALCO!M1264)</f>
        <v/>
      </c>
      <c r="N734" s="12" t="str">
        <f>IF(TOTALCO!N1264="", "",TOTALCO!N1264)</f>
        <v/>
      </c>
      <c r="O734" s="12" t="str">
        <f>IF(TOTALCO!O1264="", "",TOTALCO!O1264)</f>
        <v/>
      </c>
      <c r="P734" s="12" t="str">
        <f>IF(TOTALCO!P1264="", "",TOTALCO!P1264)</f>
        <v/>
      </c>
      <c r="Q734" s="12"/>
      <c r="R734" s="13"/>
    </row>
    <row r="735" spans="1:18" ht="15" x14ac:dyDescent="0.2">
      <c r="A735" s="321" t="str">
        <f>IF(TOTALCO!A1265="", "",TOTALCO!A1265)</f>
        <v/>
      </c>
      <c r="B735" s="4" t="str">
        <f>IF(TOTALCO!B1265="", "",TOTALCO!B1265)</f>
        <v xml:space="preserve"> DEDUCTIONS FROM INCOME</v>
      </c>
      <c r="C735" s="4" t="str">
        <f>IF(TOTALCO!C1265="", "",TOTALCO!C1265)</f>
        <v/>
      </c>
      <c r="D735" s="12" t="str">
        <f>IF(TOTALCO!D1265="", "",TOTALCO!D1265)</f>
        <v/>
      </c>
      <c r="E735" s="12" t="str">
        <f>IF(TOTALCO!E1265="", "",TOTALCO!E1265)</f>
        <v/>
      </c>
      <c r="F735" s="12" t="str">
        <f>IF(TOTALCO!F1265="", "",TOTALCO!F1265)</f>
        <v/>
      </c>
      <c r="G735" s="12" t="str">
        <f>IF(TOTALCO!G1265="", "",TOTALCO!G1265)</f>
        <v/>
      </c>
      <c r="H735" s="12" t="str">
        <f>IF(TOTALCO!H1265="", "",TOTALCO!H1265)</f>
        <v/>
      </c>
      <c r="I735" s="12" t="str">
        <f>IF(TOTALCO!I1265="", "",TOTALCO!I1265)</f>
        <v/>
      </c>
      <c r="J735" s="12" t="str">
        <f>IF(TOTALCO!J1265="", "",TOTALCO!J1265)</f>
        <v/>
      </c>
      <c r="K735" s="12" t="str">
        <f>IF(TOTALCO!K1265="", "",TOTALCO!K1265)</f>
        <v/>
      </c>
      <c r="L735" s="12" t="str">
        <f>IF(TOTALCO!L1265="", "",TOTALCO!L1265)</f>
        <v/>
      </c>
      <c r="M735" s="12" t="str">
        <f>IF(TOTALCO!M1265="", "",TOTALCO!M1265)</f>
        <v/>
      </c>
      <c r="N735" s="12" t="str">
        <f>IF(TOTALCO!N1265="", "",TOTALCO!N1265)</f>
        <v/>
      </c>
      <c r="O735" s="12" t="str">
        <f>IF(TOTALCO!O1265="", "",TOTALCO!O1265)</f>
        <v/>
      </c>
      <c r="P735" s="12" t="str">
        <f>IF(TOTALCO!P1265="", "",TOTALCO!P1265)</f>
        <v/>
      </c>
      <c r="Q735" s="12"/>
      <c r="R735" s="13"/>
    </row>
    <row r="736" spans="1:18" ht="15" x14ac:dyDescent="0.2">
      <c r="A736" s="321" t="str">
        <f>IF(TOTALCO!A1266="", "",TOTALCO!A1266)</f>
        <v/>
      </c>
      <c r="B736" s="4" t="str">
        <f>IF(TOTALCO!B1266="", "",TOTALCO!B1266)</f>
        <v xml:space="preserve">  INTEREST EXPENSE</v>
      </c>
      <c r="C736" s="4" t="str">
        <f>IF(TOTALCO!C1266="", "",TOTALCO!C1266)</f>
        <v/>
      </c>
      <c r="D736" s="12" t="str">
        <f>IF(TOTALCO!D1266="", "",TOTALCO!D1266)</f>
        <v/>
      </c>
      <c r="E736" s="12" t="str">
        <f>IF(TOTALCO!E1266="", "",TOTALCO!E1266)</f>
        <v/>
      </c>
      <c r="F736" s="12" t="str">
        <f>IF(TOTALCO!F1266="", "",TOTALCO!F1266)</f>
        <v/>
      </c>
      <c r="G736" s="12" t="str">
        <f>IF(TOTALCO!G1266="", "",TOTALCO!G1266)</f>
        <v/>
      </c>
      <c r="H736" s="12" t="str">
        <f>IF(TOTALCO!H1266="", "",TOTALCO!H1266)</f>
        <v/>
      </c>
      <c r="I736" s="12" t="str">
        <f>IF(TOTALCO!I1266="", "",TOTALCO!I1266)</f>
        <v/>
      </c>
      <c r="J736" s="12" t="str">
        <f>IF(TOTALCO!J1266="", "",TOTALCO!J1266)</f>
        <v/>
      </c>
      <c r="K736" s="12" t="str">
        <f>IF(TOTALCO!K1266="", "",TOTALCO!K1266)</f>
        <v/>
      </c>
      <c r="L736" s="12" t="str">
        <f>IF(TOTALCO!L1266="", "",TOTALCO!L1266)</f>
        <v/>
      </c>
      <c r="M736" s="12" t="str">
        <f>IF(TOTALCO!M1266="", "",TOTALCO!M1266)</f>
        <v/>
      </c>
      <c r="N736" s="12" t="str">
        <f>IF(TOTALCO!N1266="", "",TOTALCO!N1266)</f>
        <v/>
      </c>
      <c r="O736" s="12" t="str">
        <f>IF(TOTALCO!O1266="", "",TOTALCO!O1266)</f>
        <v/>
      </c>
      <c r="P736" s="12" t="str">
        <f>IF(TOTALCO!P1266="", "",TOTALCO!P1266)</f>
        <v/>
      </c>
      <c r="Q736" s="12"/>
      <c r="R736" s="13"/>
    </row>
    <row r="737" spans="1:18" ht="15" x14ac:dyDescent="0.2">
      <c r="A737" s="321">
        <f>IF(TOTALCO!A1267="", "",TOTALCO!A1267)</f>
        <v>5</v>
      </c>
      <c r="B737" s="4" t="str">
        <f>IF(TOTALCO!B1267="", "",TOTALCO!B1267)</f>
        <v xml:space="preserve">    LONG TERM DEBT OTHER</v>
      </c>
      <c r="C737" s="4" t="str">
        <f>IF(TOTALCO!C1267="", "",TOTALCO!C1267)</f>
        <v>RATEBASE</v>
      </c>
      <c r="D737" s="12">
        <f ca="1">IF(TOTALCO!D1267="", "",TOTALCO!D1267)</f>
        <v>116045467.27503477</v>
      </c>
      <c r="E737" s="12" t="str">
        <f>IF(TOTALCO!E1267="", "",TOTALCO!E1267)</f>
        <v/>
      </c>
      <c r="F737" s="12">
        <f ca="1">IF(TOTALCO!F1267="", "",TOTALCO!F1267)</f>
        <v>108870763.21236937</v>
      </c>
      <c r="G737" s="12" t="str">
        <f>IF(TOTALCO!G1267="", "",TOTALCO!G1267)</f>
        <v/>
      </c>
      <c r="H737" s="12">
        <f ca="1">IF(TOTALCO!H1267="", "",TOTALCO!H1267)</f>
        <v>5495866.7742041778</v>
      </c>
      <c r="I737" s="12">
        <f ca="1">IF(TOTALCO!I1267="", "",TOTALCO!I1267)</f>
        <v>1678837.2884612235</v>
      </c>
      <c r="J737" s="12" t="str">
        <f>IF(TOTALCO!J1267="", "",TOTALCO!J1267)</f>
        <v/>
      </c>
      <c r="K737" s="12" t="str">
        <f>IF(TOTALCO!K1267="", "",TOTALCO!K1267)</f>
        <v/>
      </c>
      <c r="L737" s="12">
        <f ca="1">IF(TOTALCO!L1267="", "",TOTALCO!L1267)</f>
        <v>8904.0692421413805</v>
      </c>
      <c r="M737" s="12" t="str">
        <f>IF(TOTALCO!M1267="", "",TOTALCO!M1267)</f>
        <v/>
      </c>
      <c r="N737" s="12">
        <f ca="1">IF(TOTALCO!N1267="", "",TOTALCO!N1267)</f>
        <v>1669933.219219082</v>
      </c>
      <c r="O737" s="12">
        <f ca="1">IF(TOTALCO!O1267="", "",TOTALCO!O1267)</f>
        <v>866315.23409057362</v>
      </c>
      <c r="P737" s="12">
        <f ca="1">IF(TOTALCO!P1267="", "",TOTALCO!P1267)</f>
        <v>803617.98512850842</v>
      </c>
      <c r="Q737" s="12"/>
      <c r="R737" s="13"/>
    </row>
    <row r="738" spans="1:18" ht="15" x14ac:dyDescent="0.2">
      <c r="A738" s="321">
        <f>IF(TOTALCO!A1268="", "",TOTALCO!A1268)</f>
        <v>6</v>
      </c>
      <c r="B738" s="4" t="str">
        <f>IF(TOTALCO!B1268="", "",TOTALCO!B1268)</f>
        <v xml:space="preserve">    INT ON CUSTOMER DEPOSITS</v>
      </c>
      <c r="C738" s="4" t="str">
        <f>IF(TOTALCO!C1268="", "",TOTALCO!C1268)</f>
        <v>CUSTDEPI</v>
      </c>
      <c r="D738" s="12">
        <f>IF(TOTALCO!D1268="", "",TOTALCO!D1268)</f>
        <v>0</v>
      </c>
      <c r="E738" s="12" t="str">
        <f>IF(TOTALCO!E1268="", "",TOTALCO!E1268)</f>
        <v/>
      </c>
      <c r="F738" s="12">
        <f ca="1">IF(TOTALCO!F1268="", "",TOTALCO!F1268)</f>
        <v>0</v>
      </c>
      <c r="G738" s="12" t="str">
        <f>IF(TOTALCO!G1268="", "",TOTALCO!G1268)</f>
        <v/>
      </c>
      <c r="H738" s="12">
        <f ca="1">IF(TOTALCO!H1268="", "",TOTALCO!H1268)</f>
        <v>21902.279497089981</v>
      </c>
      <c r="I738" s="12">
        <f ca="1">IF(TOTALCO!I1268="", "",TOTALCO!I1268)</f>
        <v>0</v>
      </c>
      <c r="J738" s="12" t="str">
        <f>IF(TOTALCO!J1268="", "",TOTALCO!J1268)</f>
        <v/>
      </c>
      <c r="K738" s="12" t="str">
        <f>IF(TOTALCO!K1268="", "",TOTALCO!K1268)</f>
        <v/>
      </c>
      <c r="L738" s="12">
        <f ca="1">IF(TOTALCO!L1268="", "",TOTALCO!L1268)</f>
        <v>0</v>
      </c>
      <c r="M738" s="12" t="str">
        <f>IF(TOTALCO!M1268="", "",TOTALCO!M1268)</f>
        <v/>
      </c>
      <c r="N738" s="12">
        <f ca="1">IF(TOTALCO!N1268="", "",TOTALCO!N1268)</f>
        <v>0</v>
      </c>
      <c r="O738" s="12">
        <f ca="1">IF(TOTALCO!O1268="", "",TOTALCO!O1268)</f>
        <v>0</v>
      </c>
      <c r="P738" s="12">
        <f ca="1">IF(TOTALCO!P1268="", "",TOTALCO!P1268)</f>
        <v>0</v>
      </c>
      <c r="Q738" s="12"/>
      <c r="R738" s="13"/>
    </row>
    <row r="739" spans="1:18" ht="15" x14ac:dyDescent="0.2">
      <c r="A739" s="321">
        <f>IF(TOTALCO!A1269="", "",TOTALCO!A1269)</f>
        <v>7</v>
      </c>
      <c r="B739" s="4" t="str">
        <f>IF(TOTALCO!B1269="", "",TOTALCO!B1269)</f>
        <v xml:space="preserve">    AFUDC-INTEREST POST FERC</v>
      </c>
      <c r="C739" s="4" t="str">
        <f>IF(TOTALCO!C1269="", "",TOTALCO!C1269)</f>
        <v>AFUDC_FERC</v>
      </c>
      <c r="D739" s="12">
        <f ca="1">IF(TOTALCO!D1269="", "",TOTALCO!D1269)</f>
        <v>-2364.2750347616302</v>
      </c>
      <c r="E739" s="12" t="str">
        <f>IF(TOTALCO!E1269="", "",TOTALCO!E1269)</f>
        <v/>
      </c>
      <c r="F739" s="12">
        <f ca="1">IF(TOTALCO!F1269="", "",TOTALCO!F1269)</f>
        <v>0</v>
      </c>
      <c r="G739" s="12" t="str">
        <f>IF(TOTALCO!G1269="", "",TOTALCO!G1269)</f>
        <v/>
      </c>
      <c r="H739" s="12">
        <f ca="1">IF(TOTALCO!H1269="", "",TOTALCO!H1269)</f>
        <v>0</v>
      </c>
      <c r="I739" s="12">
        <f ca="1">IF(TOTALCO!I1269="", "",TOTALCO!I1269)</f>
        <v>-2364.2750347616302</v>
      </c>
      <c r="J739" s="12" t="str">
        <f>IF(TOTALCO!J1269="", "",TOTALCO!J1269)</f>
        <v/>
      </c>
      <c r="K739" s="12" t="str">
        <f>IF(TOTALCO!K1269="", "",TOTALCO!K1269)</f>
        <v/>
      </c>
      <c r="L739" s="12">
        <f ca="1">IF(TOTALCO!L1269="", "",TOTALCO!L1269)</f>
        <v>0</v>
      </c>
      <c r="M739" s="12" t="str">
        <f>IF(TOTALCO!M1269="", "",TOTALCO!M1269)</f>
        <v/>
      </c>
      <c r="N739" s="12">
        <f ca="1">IF(TOTALCO!N1269="", "",TOTALCO!N1269)</f>
        <v>-2364.2750347616302</v>
      </c>
      <c r="O739" s="12">
        <f ca="1">IF(TOTALCO!O1269="", "",TOTALCO!O1269)</f>
        <v>-1199.0942225809104</v>
      </c>
      <c r="P739" s="12">
        <f ca="1">IF(TOTALCO!P1269="", "",TOTALCO!P1269)</f>
        <v>-1165.1808121807198</v>
      </c>
      <c r="Q739" s="12"/>
      <c r="R739" s="13"/>
    </row>
    <row r="740" spans="1:18" ht="15" x14ac:dyDescent="0.2">
      <c r="A740" s="321">
        <f>IF(TOTALCO!A1270="", "",TOTALCO!A1270)</f>
        <v>8</v>
      </c>
      <c r="B740" s="4" t="str">
        <f>IF(TOTALCO!B1270="", "",TOTALCO!B1270)</f>
        <v xml:space="preserve"> TOTAL DEDUCTIONS</v>
      </c>
      <c r="C740" s="4" t="str">
        <f>IF(TOTALCO!C1270="", "",TOTALCO!C1270)</f>
        <v/>
      </c>
      <c r="D740" s="12">
        <f ca="1">IF(TOTALCO!D1270="", "",TOTALCO!D1270)</f>
        <v>116043103.00000001</v>
      </c>
      <c r="E740" s="12" t="str">
        <f>IF(TOTALCO!E1270="", "",TOTALCO!E1270)</f>
        <v/>
      </c>
      <c r="F740" s="12">
        <f ca="1">IF(TOTALCO!F1270="", "",TOTALCO!F1270)</f>
        <v>108870763.21236937</v>
      </c>
      <c r="G740" s="12" t="str">
        <f>IF(TOTALCO!G1270="", "",TOTALCO!G1270)</f>
        <v/>
      </c>
      <c r="H740" s="12">
        <f ca="1">IF(TOTALCO!H1270="", "",TOTALCO!H1270)</f>
        <v>5517769.0537012676</v>
      </c>
      <c r="I740" s="12">
        <f ca="1">IF(TOTALCO!I1270="", "",TOTALCO!I1270)</f>
        <v>1676473.013426462</v>
      </c>
      <c r="J740" s="12" t="str">
        <f>IF(TOTALCO!J1270="", "",TOTALCO!J1270)</f>
        <v/>
      </c>
      <c r="K740" s="12" t="str">
        <f>IF(TOTALCO!K1270="", "",TOTALCO!K1270)</f>
        <v/>
      </c>
      <c r="L740" s="12">
        <f ca="1">IF(TOTALCO!L1270="", "",TOTALCO!L1270)</f>
        <v>8904.0692421413805</v>
      </c>
      <c r="M740" s="12" t="str">
        <f>IF(TOTALCO!M1270="", "",TOTALCO!M1270)</f>
        <v/>
      </c>
      <c r="N740" s="12">
        <f ca="1">IF(TOTALCO!N1270="", "",TOTALCO!N1270)</f>
        <v>1667568.9441843205</v>
      </c>
      <c r="O740" s="12">
        <f ca="1">IF(TOTALCO!O1270="", "",TOTALCO!O1270)</f>
        <v>865116.13986799272</v>
      </c>
      <c r="P740" s="12">
        <f ca="1">IF(TOTALCO!P1270="", "",TOTALCO!P1270)</f>
        <v>802452.80431632767</v>
      </c>
      <c r="Q740" s="12"/>
      <c r="R740" s="13"/>
    </row>
    <row r="741" spans="1:18" ht="15" x14ac:dyDescent="0.2">
      <c r="A741" s="321" t="str">
        <f>IF(TOTALCO!A1271="", "",TOTALCO!A1271)</f>
        <v/>
      </c>
      <c r="B741" s="4" t="str">
        <f>IF(TOTALCO!B1271="", "",TOTALCO!B1271)</f>
        <v/>
      </c>
      <c r="C741" s="4" t="str">
        <f>IF(TOTALCO!C1271="", "",TOTALCO!C1271)</f>
        <v/>
      </c>
      <c r="D741" s="12" t="str">
        <f>IF(TOTALCO!D1271="", "",TOTALCO!D1271)</f>
        <v/>
      </c>
      <c r="E741" s="12" t="str">
        <f>IF(TOTALCO!E1271="", "",TOTALCO!E1271)</f>
        <v/>
      </c>
      <c r="F741" s="12" t="str">
        <f>IF(TOTALCO!F1271="", "",TOTALCO!F1271)</f>
        <v/>
      </c>
      <c r="G741" s="12" t="str">
        <f>IF(TOTALCO!G1271="", "",TOTALCO!G1271)</f>
        <v/>
      </c>
      <c r="H741" s="12" t="str">
        <f>IF(TOTALCO!H1271="", "",TOTALCO!H1271)</f>
        <v/>
      </c>
      <c r="I741" s="12" t="str">
        <f>IF(TOTALCO!I1271="", "",TOTALCO!I1271)</f>
        <v/>
      </c>
      <c r="J741" s="12" t="str">
        <f>IF(TOTALCO!J1271="", "",TOTALCO!J1271)</f>
        <v/>
      </c>
      <c r="K741" s="12" t="str">
        <f>IF(TOTALCO!K1271="", "",TOTALCO!K1271)</f>
        <v/>
      </c>
      <c r="L741" s="12" t="str">
        <f>IF(TOTALCO!L1271="", "",TOTALCO!L1271)</f>
        <v/>
      </c>
      <c r="M741" s="12" t="str">
        <f>IF(TOTALCO!M1271="", "",TOTALCO!M1271)</f>
        <v/>
      </c>
      <c r="N741" s="12" t="str">
        <f>IF(TOTALCO!N1271="", "",TOTALCO!N1271)</f>
        <v/>
      </c>
      <c r="O741" s="12" t="str">
        <f>IF(TOTALCO!O1271="", "",TOTALCO!O1271)</f>
        <v/>
      </c>
      <c r="P741" s="12" t="str">
        <f>IF(TOTALCO!P1271="", "",TOTALCO!P1271)</f>
        <v/>
      </c>
      <c r="Q741" s="12"/>
      <c r="R741" s="13"/>
    </row>
    <row r="742" spans="1:18" ht="15" x14ac:dyDescent="0.2">
      <c r="A742" s="321" t="str">
        <f>IF(TOTALCO!A1272="", "",TOTALCO!A1272)</f>
        <v/>
      </c>
      <c r="B742" s="4" t="str">
        <f>IF(TOTALCO!B1272="", "",TOTALCO!B1272)</f>
        <v xml:space="preserve"> PLUS: ABOVE THE LINE DIFF:</v>
      </c>
      <c r="C742" s="4" t="str">
        <f>IF(TOTALCO!C1272="", "",TOTALCO!C1272)</f>
        <v/>
      </c>
      <c r="D742" s="12" t="str">
        <f>IF(TOTALCO!D1272="", "",TOTALCO!D1272)</f>
        <v/>
      </c>
      <c r="E742" s="12" t="str">
        <f>IF(TOTALCO!E1272="", "",TOTALCO!E1272)</f>
        <v/>
      </c>
      <c r="F742" s="12" t="str">
        <f>IF(TOTALCO!F1272="", "",TOTALCO!F1272)</f>
        <v/>
      </c>
      <c r="G742" s="12" t="str">
        <f>IF(TOTALCO!G1272="", "",TOTALCO!G1272)</f>
        <v/>
      </c>
      <c r="H742" s="12" t="str">
        <f>IF(TOTALCO!H1272="", "",TOTALCO!H1272)</f>
        <v/>
      </c>
      <c r="I742" s="12" t="str">
        <f>IF(TOTALCO!I1272="", "",TOTALCO!I1272)</f>
        <v/>
      </c>
      <c r="J742" s="12" t="str">
        <f>IF(TOTALCO!J1272="", "",TOTALCO!J1272)</f>
        <v/>
      </c>
      <c r="K742" s="12" t="str">
        <f>IF(TOTALCO!K1272="", "",TOTALCO!K1272)</f>
        <v/>
      </c>
      <c r="L742" s="12" t="str">
        <f>IF(TOTALCO!L1272="", "",TOTALCO!L1272)</f>
        <v/>
      </c>
      <c r="M742" s="12" t="str">
        <f>IF(TOTALCO!M1272="", "",TOTALCO!M1272)</f>
        <v/>
      </c>
      <c r="N742" s="12" t="str">
        <f>IF(TOTALCO!N1272="", "",TOTALCO!N1272)</f>
        <v/>
      </c>
      <c r="O742" s="12" t="str">
        <f>IF(TOTALCO!O1272="", "",TOTALCO!O1272)</f>
        <v/>
      </c>
      <c r="P742" s="12" t="str">
        <f>IF(TOTALCO!P1272="", "",TOTALCO!P1272)</f>
        <v/>
      </c>
      <c r="Q742" s="12"/>
      <c r="R742" s="13"/>
    </row>
    <row r="743" spans="1:18" ht="15" x14ac:dyDescent="0.2">
      <c r="A743" s="321">
        <f>IF(TOTALCO!A1273="", "",TOTALCO!A1273)</f>
        <v>9</v>
      </c>
      <c r="B743" s="4" t="str">
        <f>IF(TOTALCO!B1273="", "",TOTALCO!B1273)</f>
        <v xml:space="preserve">  SEC. 199 DEDUCTION-STATE</v>
      </c>
      <c r="C743" s="4" t="str">
        <f>IF(TOTALCO!C1273="", "",TOTALCO!C1273)</f>
        <v>DEMPRODNV</v>
      </c>
      <c r="D743" s="12">
        <f ca="1">IF(TOTALCO!D1273="", "",TOTALCO!D1273)</f>
        <v>0</v>
      </c>
      <c r="E743" s="12" t="str">
        <f>IF(TOTALCO!E1273="", "",TOTALCO!E1273)</f>
        <v/>
      </c>
      <c r="F743" s="12">
        <f ca="1">IF(TOTALCO!F1273="", "",TOTALCO!F1273)</f>
        <v>0</v>
      </c>
      <c r="G743" s="12" t="str">
        <f>IF(TOTALCO!G1273="", "",TOTALCO!G1273)</f>
        <v/>
      </c>
      <c r="H743" s="12">
        <f ca="1">IF(TOTALCO!H1273="", "",TOTALCO!H1273)</f>
        <v>0</v>
      </c>
      <c r="I743" s="12">
        <f ca="1">IF(TOTALCO!I1273="", "",TOTALCO!I1273)</f>
        <v>0</v>
      </c>
      <c r="J743" s="12" t="str">
        <f>IF(TOTALCO!J1273="", "",TOTALCO!J1273)</f>
        <v/>
      </c>
      <c r="K743" s="12" t="str">
        <f>IF(TOTALCO!K1273="", "",TOTALCO!K1273)</f>
        <v/>
      </c>
      <c r="L743" s="12">
        <f ca="1">IF(TOTALCO!L1273="", "",TOTALCO!L1273)</f>
        <v>0</v>
      </c>
      <c r="M743" s="12" t="str">
        <f>IF(TOTALCO!M1273="", "",TOTALCO!M1273)</f>
        <v/>
      </c>
      <c r="N743" s="12">
        <f ca="1">IF(TOTALCO!N1273="", "",TOTALCO!N1273)</f>
        <v>0</v>
      </c>
      <c r="O743" s="12">
        <f ca="1">IF(TOTALCO!O1273="", "",TOTALCO!O1273)</f>
        <v>0</v>
      </c>
      <c r="P743" s="12">
        <f ca="1">IF(TOTALCO!P1273="", "",TOTALCO!P1273)</f>
        <v>0</v>
      </c>
      <c r="Q743" s="12"/>
      <c r="R743" s="13"/>
    </row>
    <row r="744" spans="1:18" ht="15" x14ac:dyDescent="0.2">
      <c r="A744" s="321">
        <f>IF(TOTALCO!A1274="", "",TOTALCO!A1274)</f>
        <v>10</v>
      </c>
      <c r="B744" s="4" t="str">
        <f>IF(TOTALCO!B1274="", "",TOTALCO!B1274)</f>
        <v xml:space="preserve">  SEC. 199 DEDUCTION-FEDERAL</v>
      </c>
      <c r="C744" s="4" t="str">
        <f>IF(TOTALCO!C1274="", "",TOTALCO!C1274)</f>
        <v>STMSYS</v>
      </c>
      <c r="D744" s="12">
        <f ca="1">IF(TOTALCO!D1274="", "",TOTALCO!D1274)</f>
        <v>0</v>
      </c>
      <c r="E744" s="12" t="str">
        <f>IF(TOTALCO!E1274="", "",TOTALCO!E1274)</f>
        <v/>
      </c>
      <c r="F744" s="12">
        <f ca="1">IF(TOTALCO!F1274="", "",TOTALCO!F1274)</f>
        <v>0</v>
      </c>
      <c r="G744" s="12" t="str">
        <f>IF(TOTALCO!G1274="", "",TOTALCO!G1274)</f>
        <v/>
      </c>
      <c r="H744" s="12">
        <f ca="1">IF(TOTALCO!H1274="", "",TOTALCO!H1274)</f>
        <v>0</v>
      </c>
      <c r="I744" s="12">
        <f ca="1">IF(TOTALCO!I1274="", "",TOTALCO!I1274)</f>
        <v>0</v>
      </c>
      <c r="J744" s="12" t="str">
        <f>IF(TOTALCO!J1274="", "",TOTALCO!J1274)</f>
        <v/>
      </c>
      <c r="K744" s="12" t="str">
        <f>IF(TOTALCO!K1274="", "",TOTALCO!K1274)</f>
        <v/>
      </c>
      <c r="L744" s="12">
        <f ca="1">IF(TOTALCO!L1274="", "",TOTALCO!L1274)</f>
        <v>0</v>
      </c>
      <c r="M744" s="12" t="str">
        <f>IF(TOTALCO!M1274="", "",TOTALCO!M1274)</f>
        <v/>
      </c>
      <c r="N744" s="12">
        <f ca="1">IF(TOTALCO!N1274="", "",TOTALCO!N1274)</f>
        <v>0</v>
      </c>
      <c r="O744" s="12">
        <f ca="1">IF(TOTALCO!O1274="", "",TOTALCO!O1274)</f>
        <v>0</v>
      </c>
      <c r="P744" s="12">
        <f ca="1">IF(TOTALCO!P1274="", "",TOTALCO!P1274)</f>
        <v>0</v>
      </c>
      <c r="Q744" s="12"/>
      <c r="R744" s="13"/>
    </row>
    <row r="745" spans="1:18" ht="15" x14ac:dyDescent="0.2">
      <c r="A745" s="321">
        <f>IF(TOTALCO!A1275="", "",TOTALCO!A1275)</f>
        <v>11</v>
      </c>
      <c r="B745" s="4" t="str">
        <f>IF(TOTALCO!B1275="", "",TOTALCO!B1275)</f>
        <v xml:space="preserve">  DEPREC-EQUITY AFUDC PRE</v>
      </c>
      <c r="C745" s="4" t="str">
        <f>IF(TOTALCO!C1275="", "",TOTALCO!C1275)</f>
        <v>DEMFERC</v>
      </c>
      <c r="D745" s="12">
        <f ca="1">IF(TOTALCO!D1275="", "",TOTALCO!D1275)</f>
        <v>204867.33164714897</v>
      </c>
      <c r="E745" s="12" t="str">
        <f>IF(TOTALCO!E1275="", "",TOTALCO!E1275)</f>
        <v/>
      </c>
      <c r="F745" s="12">
        <f ca="1">IF(TOTALCO!F1275="", "",TOTALCO!F1275)</f>
        <v>107587.62273549214</v>
      </c>
      <c r="G745" s="12" t="str">
        <f>IF(TOTALCO!G1275="", "",TOTALCO!G1275)</f>
        <v/>
      </c>
      <c r="H745" s="12">
        <f ca="1">IF(TOTALCO!H1275="", "",TOTALCO!H1275)</f>
        <v>66725.944744563894</v>
      </c>
      <c r="I745" s="12">
        <f ca="1">IF(TOTALCO!I1275="", "",TOTALCO!I1275)</f>
        <v>30553.764167092952</v>
      </c>
      <c r="J745" s="12" t="str">
        <f>IF(TOTALCO!J1275="", "",TOTALCO!J1275)</f>
        <v/>
      </c>
      <c r="K745" s="12" t="str">
        <f>IF(TOTALCO!K1275="", "",TOTALCO!K1275)</f>
        <v/>
      </c>
      <c r="L745" s="12">
        <f ca="1">IF(TOTALCO!L1275="", "",TOTALCO!L1275)</f>
        <v>0</v>
      </c>
      <c r="M745" s="12" t="str">
        <f>IF(TOTALCO!M1275="", "",TOTALCO!M1275)</f>
        <v/>
      </c>
      <c r="N745" s="12">
        <f ca="1">IF(TOTALCO!N1275="", "",TOTALCO!N1275)</f>
        <v>30553.764167092952</v>
      </c>
      <c r="O745" s="12">
        <f ca="1">IF(TOTALCO!O1275="", "",TOTALCO!O1275)</f>
        <v>15496.015291027503</v>
      </c>
      <c r="P745" s="12">
        <f ca="1">IF(TOTALCO!P1275="", "",TOTALCO!P1275)</f>
        <v>15057.748876065451</v>
      </c>
      <c r="Q745" s="12"/>
      <c r="R745" s="13"/>
    </row>
    <row r="746" spans="1:18" ht="15" x14ac:dyDescent="0.2">
      <c r="A746" s="321">
        <f>IF(TOTALCO!A1276="", "",TOTALCO!A1276)</f>
        <v>12</v>
      </c>
      <c r="B746" s="4" t="str">
        <f>IF(TOTALCO!B1276="", "",TOTALCO!B1276)</f>
        <v xml:space="preserve">  DEPREC-EQUITY AFUDC POST</v>
      </c>
      <c r="C746" s="4" t="str">
        <f>IF(TOTALCO!C1276="", "",TOTALCO!C1276)</f>
        <v>DEMFERCP</v>
      </c>
      <c r="D746" s="12">
        <f ca="1">IF(TOTALCO!D1276="", "",TOTALCO!D1276)</f>
        <v>595132.66835285106</v>
      </c>
      <c r="E746" s="12" t="str">
        <f>IF(TOTALCO!E1276="", "",TOTALCO!E1276)</f>
        <v/>
      </c>
      <c r="F746" s="12">
        <f ca="1">IF(TOTALCO!F1276="", "",TOTALCO!F1276)</f>
        <v>463502.72308664006</v>
      </c>
      <c r="G746" s="12" t="str">
        <f>IF(TOTALCO!G1276="", "",TOTALCO!G1276)</f>
        <v/>
      </c>
      <c r="H746" s="12">
        <f ca="1">IF(TOTALCO!H1276="", "",TOTALCO!H1276)</f>
        <v>0</v>
      </c>
      <c r="I746" s="12">
        <f ca="1">IF(TOTALCO!I1276="", "",TOTALCO!I1276)</f>
        <v>131629.945266211</v>
      </c>
      <c r="J746" s="12" t="str">
        <f>IF(TOTALCO!J1276="", "",TOTALCO!J1276)</f>
        <v/>
      </c>
      <c r="K746" s="12" t="str">
        <f>IF(TOTALCO!K1276="", "",TOTALCO!K1276)</f>
        <v/>
      </c>
      <c r="L746" s="12">
        <f ca="1">IF(TOTALCO!L1276="", "",TOTALCO!L1276)</f>
        <v>0</v>
      </c>
      <c r="M746" s="12" t="str">
        <f>IF(TOTALCO!M1276="", "",TOTALCO!M1276)</f>
        <v/>
      </c>
      <c r="N746" s="12">
        <f ca="1">IF(TOTALCO!N1276="", "",TOTALCO!N1276)</f>
        <v>131629.945266211</v>
      </c>
      <c r="O746" s="12">
        <f ca="1">IF(TOTALCO!O1276="", "",TOTALCO!O1276)</f>
        <v>66759.029540430944</v>
      </c>
      <c r="P746" s="12">
        <f ca="1">IF(TOTALCO!P1276="", "",TOTALCO!P1276)</f>
        <v>64870.915725780062</v>
      </c>
      <c r="Q746" s="12"/>
      <c r="R746" s="13"/>
    </row>
    <row r="747" spans="1:18" ht="15" x14ac:dyDescent="0.2">
      <c r="A747" s="321">
        <f>IF(TOTALCO!A1277="", "",TOTALCO!A1277)</f>
        <v>13</v>
      </c>
      <c r="B747" s="4" t="str">
        <f>IF(TOTALCO!B1277="", "",TOTALCO!B1277)</f>
        <v xml:space="preserve">  OTHER</v>
      </c>
      <c r="C747" s="4" t="str">
        <f>IF(TOTALCO!C1277="", "",TOTALCO!C1277)</f>
        <v>RATEBASE</v>
      </c>
      <c r="D747" s="12">
        <f ca="1">IF(TOTALCO!D1277="", "",TOTALCO!D1277)</f>
        <v>339000</v>
      </c>
      <c r="E747" s="12" t="str">
        <f>IF(TOTALCO!E1277="", "",TOTALCO!E1277)</f>
        <v/>
      </c>
      <c r="F747" s="12">
        <f ca="1">IF(TOTALCO!F1277="", "",TOTALCO!F1277)</f>
        <v>318040.76105377689</v>
      </c>
      <c r="G747" s="12" t="str">
        <f>IF(TOTALCO!G1277="", "",TOTALCO!G1277)</f>
        <v/>
      </c>
      <c r="H747" s="12">
        <f ca="1">IF(TOTALCO!H1277="", "",TOTALCO!H1277)</f>
        <v>-397553.71650532814</v>
      </c>
      <c r="I747" s="12">
        <f ca="1">IF(TOTALCO!I1277="", "",TOTALCO!I1277)</f>
        <v>4904.3349486412262</v>
      </c>
      <c r="J747" s="12" t="str">
        <f>IF(TOTALCO!J1277="", "",TOTALCO!J1277)</f>
        <v/>
      </c>
      <c r="K747" s="12" t="str">
        <f>IF(TOTALCO!K1277="", "",TOTALCO!K1277)</f>
        <v/>
      </c>
      <c r="L747" s="12">
        <f ca="1">IF(TOTALCO!L1277="", "",TOTALCO!L1277)</f>
        <v>26.011179445138943</v>
      </c>
      <c r="M747" s="12" t="str">
        <f>IF(TOTALCO!M1277="", "",TOTALCO!M1277)</f>
        <v/>
      </c>
      <c r="N747" s="12">
        <f ca="1">IF(TOTALCO!N1277="", "",TOTALCO!N1277)</f>
        <v>4878.3237691960876</v>
      </c>
      <c r="O747" s="12">
        <f ca="1">IF(TOTALCO!O1277="", "",TOTALCO!O1277)</f>
        <v>2530.7396424253529</v>
      </c>
      <c r="P747" s="12">
        <f ca="1">IF(TOTALCO!P1277="", "",TOTALCO!P1277)</f>
        <v>2347.5841267707347</v>
      </c>
      <c r="Q747" s="12"/>
      <c r="R747" s="13"/>
    </row>
    <row r="748" spans="1:18" ht="15" x14ac:dyDescent="0.2">
      <c r="A748" s="321" t="str">
        <f>IF(TOTALCO!A1278="", "",TOTALCO!A1278)</f>
        <v/>
      </c>
      <c r="B748" s="4" t="str">
        <f>IF(TOTALCO!B1278="", "",TOTALCO!B1278)</f>
        <v/>
      </c>
      <c r="C748" s="4" t="str">
        <f>IF(TOTALCO!C1278="", "",TOTALCO!C1278)</f>
        <v/>
      </c>
      <c r="D748" s="12" t="str">
        <f>IF(TOTALCO!D1278="", "",TOTALCO!D1278)</f>
        <v/>
      </c>
      <c r="E748" s="12" t="str">
        <f>IF(TOTALCO!E1278="", "",TOTALCO!E1278)</f>
        <v/>
      </c>
      <c r="F748" s="12" t="str">
        <f>IF(TOTALCO!F1278="", "",TOTALCO!F1278)</f>
        <v/>
      </c>
      <c r="G748" s="12" t="str">
        <f>IF(TOTALCO!G1278="", "",TOTALCO!G1278)</f>
        <v/>
      </c>
      <c r="H748" s="12" t="str">
        <f>IF(TOTALCO!H1278="", "",TOTALCO!H1278)</f>
        <v/>
      </c>
      <c r="I748" s="12" t="str">
        <f>IF(TOTALCO!I1278="", "",TOTALCO!I1278)</f>
        <v/>
      </c>
      <c r="J748" s="12" t="str">
        <f>IF(TOTALCO!J1278="", "",TOTALCO!J1278)</f>
        <v/>
      </c>
      <c r="K748" s="12" t="str">
        <f>IF(TOTALCO!K1278="", "",TOTALCO!K1278)</f>
        <v/>
      </c>
      <c r="L748" s="12" t="str">
        <f>IF(TOTALCO!L1278="", "",TOTALCO!L1278)</f>
        <v/>
      </c>
      <c r="M748" s="12" t="str">
        <f>IF(TOTALCO!M1278="", "",TOTALCO!M1278)</f>
        <v/>
      </c>
      <c r="N748" s="12" t="str">
        <f>IF(TOTALCO!N1278="", "",TOTALCO!N1278)</f>
        <v/>
      </c>
      <c r="O748" s="12" t="str">
        <f>IF(TOTALCO!O1278="", "",TOTALCO!O1278)</f>
        <v/>
      </c>
      <c r="P748" s="12" t="str">
        <f>IF(TOTALCO!P1278="", "",TOTALCO!P1278)</f>
        <v/>
      </c>
      <c r="Q748" s="12"/>
      <c r="R748" s="13"/>
    </row>
    <row r="749" spans="1:18" ht="15" x14ac:dyDescent="0.2">
      <c r="A749" s="321">
        <f>IF(TOTALCO!A1279="", "",TOTALCO!A1279)</f>
        <v>14</v>
      </c>
      <c r="B749" s="4" t="str">
        <f>IF(TOTALCO!B1279="", "",TOTALCO!B1279)</f>
        <v>STATE TAXABLE INCOME</v>
      </c>
      <c r="C749" s="4" t="str">
        <f>IF(TOTALCO!C1279="", "",TOTALCO!C1279)</f>
        <v/>
      </c>
      <c r="D749" s="12">
        <f ca="1">IF(TOTALCO!D1279="", "",TOTALCO!D1279)</f>
        <v>266320584</v>
      </c>
      <c r="E749" s="12" t="str">
        <f>IF(TOTALCO!E1279="", "",TOTALCO!E1279)</f>
        <v/>
      </c>
      <c r="F749" s="12">
        <f ca="1">IF(TOTALCO!F1279="", "",TOTALCO!F1279)</f>
        <v>259085302</v>
      </c>
      <c r="G749" s="12" t="str">
        <f>IF(TOTALCO!G1279="", "",TOTALCO!G1279)</f>
        <v/>
      </c>
      <c r="H749" s="12">
        <f ca="1">IF(TOTALCO!H1279="", "",TOTALCO!H1279)</f>
        <v>4687726</v>
      </c>
      <c r="I749" s="12">
        <f ca="1">IF(TOTALCO!I1279="", "",TOTALCO!I1279)</f>
        <v>2112045</v>
      </c>
      <c r="J749" s="12" t="str">
        <f>IF(TOTALCO!J1279="", "",TOTALCO!J1279)</f>
        <v/>
      </c>
      <c r="K749" s="12" t="str">
        <f>IF(TOTALCO!K1279="", "",TOTALCO!K1279)</f>
        <v/>
      </c>
      <c r="L749" s="12">
        <f ca="1">IF(TOTALCO!L1279="", "",TOTALCO!L1279)</f>
        <v>-44643</v>
      </c>
      <c r="M749" s="12" t="str">
        <f>IF(TOTALCO!M1279="", "",TOTALCO!M1279)</f>
        <v/>
      </c>
      <c r="N749" s="12">
        <f ca="1">IF(TOTALCO!N1279="", "",TOTALCO!N1279)</f>
        <v>2156688</v>
      </c>
      <c r="O749" s="12">
        <f ca="1">IF(TOTALCO!O1279="", "",TOTALCO!O1279)</f>
        <v>1037089</v>
      </c>
      <c r="P749" s="12">
        <f ca="1">IF(TOTALCO!P1279="", "",TOTALCO!P1279)</f>
        <v>1119599</v>
      </c>
      <c r="Q749" s="12"/>
      <c r="R749" s="13"/>
    </row>
    <row r="750" spans="1:18" ht="15" x14ac:dyDescent="0.2">
      <c r="A750" s="321">
        <f>IF(TOTALCO!A1280="", "",TOTALCO!A1280)</f>
        <v>15</v>
      </c>
      <c r="B750" s="4" t="str">
        <f>IF(TOTALCO!B1280="", "",TOTALCO!B1280)</f>
        <v>APPORTIONED STATE TAXABLE INCOME (LINE 14-9)</v>
      </c>
      <c r="C750" s="4" t="str">
        <f>IF(TOTALCO!C1280="", "",TOTALCO!C1280)</f>
        <v/>
      </c>
      <c r="D750" s="12">
        <f ca="1">IF(TOTALCO!D1280="", "",TOTALCO!D1280)</f>
        <v>266320584</v>
      </c>
      <c r="E750" s="12" t="str">
        <f>IF(TOTALCO!E1280="", "",TOTALCO!E1280)</f>
        <v/>
      </c>
      <c r="F750" s="12">
        <f ca="1">IF(TOTALCO!F1280="", "",TOTALCO!F1280)</f>
        <v>259085302</v>
      </c>
      <c r="G750" s="12" t="str">
        <f>IF(TOTALCO!G1280="", "",TOTALCO!G1280)</f>
        <v/>
      </c>
      <c r="H750" s="12">
        <f ca="1">IF(TOTALCO!H1280="", "",TOTALCO!H1280)</f>
        <v>8886983.353064863</v>
      </c>
      <c r="I750" s="12">
        <f ca="1">IF(TOTALCO!I1280="", "",TOTALCO!I1280)</f>
        <v>2112045</v>
      </c>
      <c r="J750" s="12" t="str">
        <f>IF(TOTALCO!J1280="", "",TOTALCO!J1280)</f>
        <v/>
      </c>
      <c r="K750" s="12" t="str">
        <f>IF(TOTALCO!K1280="", "",TOTALCO!K1280)</f>
        <v/>
      </c>
      <c r="L750" s="12">
        <f ca="1">IF(TOTALCO!L1280="", "",TOTALCO!L1280)</f>
        <v>-44643</v>
      </c>
      <c r="M750" s="12" t="str">
        <f>IF(TOTALCO!M1280="", "",TOTALCO!M1280)</f>
        <v/>
      </c>
      <c r="N750" s="12">
        <f ca="1">IF(TOTALCO!N1280="", "",TOTALCO!N1280)</f>
        <v>2156688</v>
      </c>
      <c r="O750" s="12">
        <f ca="1">IF(TOTALCO!O1280="", "",TOTALCO!O1280)</f>
        <v>1037089</v>
      </c>
      <c r="P750" s="12">
        <f ca="1">IF(TOTALCO!P1280="", "",TOTALCO!P1280)</f>
        <v>1119599</v>
      </c>
      <c r="Q750" s="12"/>
      <c r="R750" s="13"/>
    </row>
    <row r="751" spans="1:18" ht="15" x14ac:dyDescent="0.2">
      <c r="A751" s="321" t="str">
        <f>IF(TOTALCO!A1281="", "",TOTALCO!A1281)</f>
        <v/>
      </c>
      <c r="B751" s="4" t="str">
        <f>IF(TOTALCO!B1281="", "",TOTALCO!B1281)</f>
        <v/>
      </c>
      <c r="C751" s="4" t="str">
        <f>IF(TOTALCO!C1281="", "",TOTALCO!C1281)</f>
        <v/>
      </c>
      <c r="D751" s="12" t="str">
        <f>IF(TOTALCO!D1281="", "",TOTALCO!D1281)</f>
        <v/>
      </c>
      <c r="E751" s="12" t="str">
        <f>IF(TOTALCO!E1281="", "",TOTALCO!E1281)</f>
        <v/>
      </c>
      <c r="F751" s="12" t="str">
        <f>IF(TOTALCO!F1281="", "",TOTALCO!F1281)</f>
        <v/>
      </c>
      <c r="G751" s="12" t="str">
        <f>IF(TOTALCO!G1281="", "",TOTALCO!G1281)</f>
        <v/>
      </c>
      <c r="H751" s="12" t="str">
        <f>IF(TOTALCO!H1281="", "",TOTALCO!H1281)</f>
        <v/>
      </c>
      <c r="I751" s="12" t="str">
        <f>IF(TOTALCO!I1281="", "",TOTALCO!I1281)</f>
        <v/>
      </c>
      <c r="J751" s="12" t="str">
        <f>IF(TOTALCO!J1281="", "",TOTALCO!J1281)</f>
        <v/>
      </c>
      <c r="K751" s="12" t="str">
        <f>IF(TOTALCO!K1281="", "",TOTALCO!K1281)</f>
        <v/>
      </c>
      <c r="L751" s="12" t="str">
        <f>IF(TOTALCO!L1281="", "",TOTALCO!L1281)</f>
        <v/>
      </c>
      <c r="M751" s="12" t="str">
        <f>IF(TOTALCO!M1281="", "",TOTALCO!M1281)</f>
        <v/>
      </c>
      <c r="N751" s="12" t="str">
        <f>IF(TOTALCO!N1281="", "",TOTALCO!N1281)</f>
        <v/>
      </c>
      <c r="O751" s="12" t="str">
        <f>IF(TOTALCO!O1281="", "",TOTALCO!O1281)</f>
        <v/>
      </c>
      <c r="P751" s="12" t="str">
        <f>IF(TOTALCO!P1281="", "",TOTALCO!P1281)</f>
        <v/>
      </c>
      <c r="Q751" s="12"/>
      <c r="R751" s="13"/>
    </row>
    <row r="752" spans="1:18" ht="15" x14ac:dyDescent="0.2">
      <c r="A752" s="321">
        <f>IF(TOTALCO!A1282="", "",TOTALCO!A1282)</f>
        <v>16</v>
      </c>
      <c r="B752" s="4" t="str">
        <f>IF(TOTALCO!B1282="", "",TOTALCO!B1282)</f>
        <v>STATE TAX</v>
      </c>
      <c r="C752" s="4" t="str">
        <f>IF(TOTALCO!C1282="", "",TOTALCO!C1282)</f>
        <v/>
      </c>
      <c r="D752" s="12">
        <f ca="1">IF(TOTALCO!D1282="", "",TOTALCO!D1282)</f>
        <v>13316029.200000001</v>
      </c>
      <c r="E752" s="12" t="str">
        <f>IF(TOTALCO!E1282="", "",TOTALCO!E1282)</f>
        <v/>
      </c>
      <c r="F752" s="12">
        <f ca="1">IF(TOTALCO!F1282="", "",TOTALCO!F1282)</f>
        <v>12954265.100000001</v>
      </c>
      <c r="G752" s="12" t="str">
        <f>IF(TOTALCO!G1282="", "",TOTALCO!G1282)</f>
        <v/>
      </c>
      <c r="H752" s="12">
        <f ca="1">IF(TOTALCO!H1282="", "",TOTALCO!H1282)</f>
        <v>533219.00118389179</v>
      </c>
      <c r="I752" s="12">
        <f ca="1">IF(TOTALCO!I1282="", "",TOTALCO!I1282)</f>
        <v>105602.25000000001</v>
      </c>
      <c r="J752" s="12" t="str">
        <f>IF(TOTALCO!J1282="", "",TOTALCO!J1282)</f>
        <v/>
      </c>
      <c r="K752" s="12" t="str">
        <f>IF(TOTALCO!K1282="", "",TOTALCO!K1282)</f>
        <v/>
      </c>
      <c r="L752" s="12">
        <f ca="1">IF(TOTALCO!L1282="", "",TOTALCO!L1282)</f>
        <v>-2232.15</v>
      </c>
      <c r="M752" s="12" t="str">
        <f>IF(TOTALCO!M1282="", "",TOTALCO!M1282)</f>
        <v/>
      </c>
      <c r="N752" s="12">
        <f ca="1">IF(TOTALCO!N1282="", "",TOTALCO!N1282)</f>
        <v>107834.40000000001</v>
      </c>
      <c r="O752" s="12">
        <f ca="1">IF(TOTALCO!O1282="", "",TOTALCO!O1282)</f>
        <v>51854.450000000004</v>
      </c>
      <c r="P752" s="12">
        <f ca="1">IF(TOTALCO!P1282="", "",TOTALCO!P1282)</f>
        <v>55979.950000000004</v>
      </c>
      <c r="Q752" s="12"/>
      <c r="R752" s="13"/>
    </row>
    <row r="753" spans="1:18" ht="15" x14ac:dyDescent="0.2">
      <c r="A753" s="321">
        <f>IF(TOTALCO!A1283="", "",TOTALCO!A1283)</f>
        <v>17</v>
      </c>
      <c r="B753" s="4" t="str">
        <f>IF(TOTALCO!B1283="", "",TOTALCO!B1283)</f>
        <v>STATE TAX ADJUSTMENTS</v>
      </c>
      <c r="C753" s="4" t="str">
        <f>IF(TOTALCO!C1283="", "",TOTALCO!C1283)</f>
        <v>RATEBASE</v>
      </c>
      <c r="D753" s="12">
        <f ca="1">IF(TOTALCO!D1283="", "",TOTALCO!D1283)</f>
        <v>80824</v>
      </c>
      <c r="E753" s="12" t="str">
        <f>IF(TOTALCO!E1283="", "",TOTALCO!E1283)</f>
        <v/>
      </c>
      <c r="F753" s="12">
        <f ca="1">IF(TOTALCO!F1283="", "",TOTALCO!F1283)</f>
        <v>75827</v>
      </c>
      <c r="G753" s="12" t="str">
        <f>IF(TOTALCO!G1283="", "",TOTALCO!G1283)</f>
        <v/>
      </c>
      <c r="H753" s="12">
        <f ca="1">IF(TOTALCO!H1283="", "",TOTALCO!H1283)</f>
        <v>3828</v>
      </c>
      <c r="I753" s="12">
        <f ca="1">IF(TOTALCO!I1283="", "",TOTALCO!I1283)</f>
        <v>1169</v>
      </c>
      <c r="J753" s="12" t="str">
        <f>IF(TOTALCO!J1283="", "",TOTALCO!J1283)</f>
        <v/>
      </c>
      <c r="K753" s="12" t="str">
        <f>IF(TOTALCO!K1283="", "",TOTALCO!K1283)</f>
        <v/>
      </c>
      <c r="L753" s="12">
        <f ca="1">IF(TOTALCO!L1283="", "",TOTALCO!L1283)</f>
        <v>6</v>
      </c>
      <c r="M753" s="12" t="str">
        <f>IF(TOTALCO!M1283="", "",TOTALCO!M1283)</f>
        <v/>
      </c>
      <c r="N753" s="12">
        <f ca="1">IF(TOTALCO!N1283="", "",TOTALCO!N1283)</f>
        <v>1163</v>
      </c>
      <c r="O753" s="12">
        <f ca="1">IF(TOTALCO!O1283="", "",TOTALCO!O1283)</f>
        <v>603</v>
      </c>
      <c r="P753" s="12">
        <f ca="1">IF(TOTALCO!P1283="", "",TOTALCO!P1283)</f>
        <v>560</v>
      </c>
      <c r="Q753" s="12"/>
      <c r="R753" s="13"/>
    </row>
    <row r="754" spans="1:18" ht="15" x14ac:dyDescent="0.2">
      <c r="A754" s="321">
        <f>IF(TOTALCO!A1284="", "",TOTALCO!A1284)</f>
        <v>18</v>
      </c>
      <c r="B754" s="4" t="str">
        <f>IF(TOTALCO!B1284="", "",TOTALCO!B1284)</f>
        <v>KENTUCKY TAX CREDITS</v>
      </c>
      <c r="C754" s="4" t="str">
        <f>IF(TOTALCO!C1284="", "",TOTALCO!C1284)</f>
        <v>DPRODKY</v>
      </c>
      <c r="D754" s="12">
        <f ca="1">IF(TOTALCO!D1284="", "",TOTALCO!D1284)</f>
        <v>-1620000</v>
      </c>
      <c r="E754" s="12" t="str">
        <f>IF(TOTALCO!E1284="", "",TOTALCO!E1284)</f>
        <v/>
      </c>
      <c r="F754" s="12">
        <f ca="1">IF(TOTALCO!F1284="", "",TOTALCO!F1284)</f>
        <v>-1586730</v>
      </c>
      <c r="G754" s="12" t="str">
        <f>IF(TOTALCO!G1284="", "",TOTALCO!G1284)</f>
        <v/>
      </c>
      <c r="H754" s="12">
        <f ca="1">IF(TOTALCO!H1284="", "",TOTALCO!H1284)</f>
        <v>0</v>
      </c>
      <c r="I754" s="12">
        <f ca="1">IF(TOTALCO!I1284="", "",TOTALCO!I1284)</f>
        <v>-33270</v>
      </c>
      <c r="J754" s="12" t="str">
        <f>IF(TOTALCO!J1284="", "",TOTALCO!J1284)</f>
        <v/>
      </c>
      <c r="K754" s="12" t="str">
        <f>IF(TOTALCO!K1284="", "",TOTALCO!K1284)</f>
        <v/>
      </c>
      <c r="L754" s="12">
        <f ca="1">IF(TOTALCO!L1284="", "",TOTALCO!L1284)</f>
        <v>0</v>
      </c>
      <c r="M754" s="12" t="str">
        <f>IF(TOTALCO!M1284="", "",TOTALCO!M1284)</f>
        <v/>
      </c>
      <c r="N754" s="12">
        <f ca="1">IF(TOTALCO!N1284="", "",TOTALCO!N1284)</f>
        <v>-33270</v>
      </c>
      <c r="O754" s="12">
        <f ca="1">IF(TOTALCO!O1284="", "",TOTALCO!O1284)</f>
        <v>-16874</v>
      </c>
      <c r="P754" s="12">
        <f ca="1">IF(TOTALCO!P1284="", "",TOTALCO!P1284)</f>
        <v>-16396</v>
      </c>
      <c r="Q754" s="12"/>
      <c r="R754" s="13"/>
    </row>
    <row r="755" spans="1:18" ht="15" x14ac:dyDescent="0.2">
      <c r="A755" s="321">
        <f>IF(TOTALCO!A1285="", "",TOTALCO!A1285)</f>
        <v>19</v>
      </c>
      <c r="B755" s="4" t="str">
        <f>IF(TOTALCO!B1285="", "",TOTALCO!B1285)</f>
        <v>203(E) EXCESS</v>
      </c>
      <c r="C755" s="4" t="str">
        <f>IF(TOTALCO!C1285="", "",TOTALCO!C1285)</f>
        <v>PLANTKF</v>
      </c>
      <c r="D755" s="12">
        <f ca="1">IF(TOTALCO!D1285="", "",TOTALCO!D1285)</f>
        <v>-1535639</v>
      </c>
      <c r="E755" s="12" t="str">
        <f>IF(TOTALCO!E1285="", "",TOTALCO!E1285)</f>
        <v/>
      </c>
      <c r="F755" s="12">
        <f ca="1">IF(TOTALCO!F1285="", "",TOTALCO!F1285)</f>
        <v>-1512108</v>
      </c>
      <c r="G755" s="12" t="str">
        <f>IF(TOTALCO!G1285="", "",TOTALCO!G1285)</f>
        <v/>
      </c>
      <c r="H755" s="12">
        <f ca="1">IF(TOTALCO!H1285="", "",TOTALCO!H1285)</f>
        <v>0</v>
      </c>
      <c r="I755" s="12">
        <f ca="1">IF(TOTALCO!I1285="", "",TOTALCO!I1285)</f>
        <v>-23531</v>
      </c>
      <c r="J755" s="12" t="str">
        <f>IF(TOTALCO!J1285="", "",TOTALCO!J1285)</f>
        <v/>
      </c>
      <c r="K755" s="12" t="str">
        <f>IF(TOTALCO!K1285="", "",TOTALCO!K1285)</f>
        <v/>
      </c>
      <c r="L755" s="12">
        <f ca="1">IF(TOTALCO!L1285="", "",TOTALCO!L1285)</f>
        <v>-111</v>
      </c>
      <c r="M755" s="12" t="str">
        <f>IF(TOTALCO!M1285="", "",TOTALCO!M1285)</f>
        <v/>
      </c>
      <c r="N755" s="12">
        <f ca="1">IF(TOTALCO!N1285="", "",TOTALCO!N1285)</f>
        <v>-23420</v>
      </c>
      <c r="O755" s="12">
        <f ca="1">IF(TOTALCO!O1285="", "",TOTALCO!O1285)</f>
        <v>-12173</v>
      </c>
      <c r="P755" s="12">
        <f ca="1">IF(TOTALCO!P1285="", "",TOTALCO!P1285)</f>
        <v>-11247</v>
      </c>
      <c r="Q755" s="12"/>
      <c r="R755" s="13"/>
    </row>
    <row r="756" spans="1:18" ht="15" x14ac:dyDescent="0.2">
      <c r="A756" s="321">
        <f>IF(TOTALCO!A1286="", "",TOTALCO!A1286)</f>
        <v>20</v>
      </c>
      <c r="B756" s="4" t="str">
        <f>IF(TOTALCO!B1286="", "",TOTALCO!B1286)</f>
        <v>STATE TAX TOTAL</v>
      </c>
      <c r="C756" s="4" t="str">
        <f>IF(TOTALCO!C1286="", "",TOTALCO!C1286)</f>
        <v/>
      </c>
      <c r="D756" s="12">
        <f ca="1">IF(TOTALCO!D1286="", "",TOTALCO!D1286)</f>
        <v>10241214.200000001</v>
      </c>
      <c r="E756" s="12" t="str">
        <f>IF(TOTALCO!E1286="", "",TOTALCO!E1286)</f>
        <v/>
      </c>
      <c r="F756" s="12">
        <f ca="1">IF(TOTALCO!F1286="", "",TOTALCO!F1286)</f>
        <v>9931254.1000000015</v>
      </c>
      <c r="G756" s="12" t="str">
        <f>IF(TOTALCO!G1286="", "",TOTALCO!G1286)</f>
        <v/>
      </c>
      <c r="H756" s="12">
        <f ca="1">IF(TOTALCO!H1286="", "",TOTALCO!H1286)</f>
        <v>537047.00118389179</v>
      </c>
      <c r="I756" s="12">
        <f ca="1">IF(TOTALCO!I1286="", "",TOTALCO!I1286)</f>
        <v>49970.250000000007</v>
      </c>
      <c r="J756" s="12" t="str">
        <f>IF(TOTALCO!J1286="", "",TOTALCO!J1286)</f>
        <v/>
      </c>
      <c r="K756" s="12" t="str">
        <f>IF(TOTALCO!K1286="", "",TOTALCO!K1286)</f>
        <v/>
      </c>
      <c r="L756" s="12">
        <f ca="1">IF(TOTALCO!L1286="", "",TOTALCO!L1286)</f>
        <v>-2337.15</v>
      </c>
      <c r="M756" s="12" t="str">
        <f>IF(TOTALCO!M1286="", "",TOTALCO!M1286)</f>
        <v/>
      </c>
      <c r="N756" s="12">
        <f ca="1">IF(TOTALCO!N1286="", "",TOTALCO!N1286)</f>
        <v>52307.400000000009</v>
      </c>
      <c r="O756" s="12">
        <f ca="1">IF(TOTALCO!O1286="", "",TOTALCO!O1286)</f>
        <v>23410.450000000004</v>
      </c>
      <c r="P756" s="12">
        <f ca="1">IF(TOTALCO!P1286="", "",TOTALCO!P1286)</f>
        <v>28896.950000000004</v>
      </c>
      <c r="Q756" s="12"/>
      <c r="R756" s="13"/>
    </row>
    <row r="757" spans="1:18" ht="15" x14ac:dyDescent="0.2">
      <c r="A757" s="321">
        <f>IF(TOTALCO!A1287="", "",TOTALCO!A1287)</f>
        <v>21</v>
      </c>
      <c r="B757" s="4" t="str">
        <f>IF(TOTALCO!B1287="", "",TOTALCO!B1287)</f>
        <v>SEC. 199 DEDUCTION-FEDERAL INCREMENT</v>
      </c>
      <c r="C757" s="4" t="str">
        <f>IF(TOTALCO!C1287="", "",TOTALCO!C1287)</f>
        <v>DEMPRODNV</v>
      </c>
      <c r="D757" s="12">
        <f ca="1">IF(TOTALCO!D1287="", "",TOTALCO!D1287)</f>
        <v>0</v>
      </c>
      <c r="E757" s="12" t="str">
        <f>IF(TOTALCO!E1287="", "",TOTALCO!E1287)</f>
        <v/>
      </c>
      <c r="F757" s="12">
        <f ca="1">IF(TOTALCO!F1287="", "",TOTALCO!F1287)</f>
        <v>0</v>
      </c>
      <c r="G757" s="12" t="str">
        <f>IF(TOTALCO!G1287="", "",TOTALCO!G1287)</f>
        <v/>
      </c>
      <c r="H757" s="12">
        <f ca="1">IF(TOTALCO!H1287="", "",TOTALCO!H1287)</f>
        <v>0</v>
      </c>
      <c r="I757" s="12">
        <f ca="1">IF(TOTALCO!I1287="", "",TOTALCO!I1287)</f>
        <v>0</v>
      </c>
      <c r="J757" s="12" t="str">
        <f>IF(TOTALCO!J1287="", "",TOTALCO!J1287)</f>
        <v/>
      </c>
      <c r="K757" s="12" t="str">
        <f>IF(TOTALCO!K1287="", "",TOTALCO!K1287)</f>
        <v/>
      </c>
      <c r="L757" s="12">
        <f ca="1">IF(TOTALCO!L1287="", "",TOTALCO!L1287)</f>
        <v>0</v>
      </c>
      <c r="M757" s="12" t="str">
        <f>IF(TOTALCO!M1287="", "",TOTALCO!M1287)</f>
        <v/>
      </c>
      <c r="N757" s="12">
        <f ca="1">IF(TOTALCO!N1287="", "",TOTALCO!N1287)</f>
        <v>0</v>
      </c>
      <c r="O757" s="12">
        <f ca="1">IF(TOTALCO!O1287="", "",TOTALCO!O1287)</f>
        <v>0</v>
      </c>
      <c r="P757" s="12">
        <f ca="1">IF(TOTALCO!P1287="", "",TOTALCO!P1287)</f>
        <v>0</v>
      </c>
      <c r="Q757" s="12"/>
      <c r="R757" s="13"/>
    </row>
    <row r="758" spans="1:18" ht="15" x14ac:dyDescent="0.2">
      <c r="A758" s="321">
        <f>IF(TOTALCO!A1288="", "",TOTALCO!A1288)</f>
        <v>22</v>
      </c>
      <c r="B758" s="4" t="str">
        <f>IF(TOTALCO!B1288="", "",TOTALCO!B1288)</f>
        <v>STATE TAX ADJUSTS FOR FEDERAL</v>
      </c>
      <c r="C758" s="4" t="str">
        <f>IF(TOTALCO!C1288="", "",TOTALCO!C1288)</f>
        <v>RATEBASE</v>
      </c>
      <c r="D758" s="12">
        <f ca="1">IF(TOTALCO!D1288="", "",TOTALCO!D1288)</f>
        <v>0</v>
      </c>
      <c r="E758" s="12" t="str">
        <f>IF(TOTALCO!E1288="", "",TOTALCO!E1288)</f>
        <v/>
      </c>
      <c r="F758" s="12">
        <f ca="1">IF(TOTALCO!F1288="", "",TOTALCO!F1288)</f>
        <v>0</v>
      </c>
      <c r="G758" s="12" t="str">
        <f>IF(TOTALCO!G1288="", "",TOTALCO!G1288)</f>
        <v/>
      </c>
      <c r="H758" s="12">
        <f ca="1">IF(TOTALCO!H1288="", "",TOTALCO!H1288)</f>
        <v>413608.62050291005</v>
      </c>
      <c r="I758" s="12">
        <f ca="1">IF(TOTALCO!I1288="", "",TOTALCO!I1288)</f>
        <v>0</v>
      </c>
      <c r="J758" s="12" t="str">
        <f>IF(TOTALCO!J1288="", "",TOTALCO!J1288)</f>
        <v/>
      </c>
      <c r="K758" s="12" t="str">
        <f>IF(TOTALCO!K1288="", "",TOTALCO!K1288)</f>
        <v/>
      </c>
      <c r="L758" s="12">
        <f ca="1">IF(TOTALCO!L1288="", "",TOTALCO!L1288)</f>
        <v>0</v>
      </c>
      <c r="M758" s="12" t="str">
        <f>IF(TOTALCO!M1288="", "",TOTALCO!M1288)</f>
        <v/>
      </c>
      <c r="N758" s="12">
        <f ca="1">IF(TOTALCO!N1288="", "",TOTALCO!N1288)</f>
        <v>0</v>
      </c>
      <c r="O758" s="12">
        <f ca="1">IF(TOTALCO!O1288="", "",TOTALCO!O1288)</f>
        <v>0</v>
      </c>
      <c r="P758" s="12">
        <f ca="1">IF(TOTALCO!P1288="", "",TOTALCO!P1288)</f>
        <v>0</v>
      </c>
      <c r="Q758" s="12"/>
      <c r="R758" s="13"/>
    </row>
    <row r="759" spans="1:18" ht="15" x14ac:dyDescent="0.2">
      <c r="A759" s="321">
        <f>IF(TOTALCO!A1289="", "",TOTALCO!A1289)</f>
        <v>23</v>
      </c>
      <c r="B759" s="4" t="str">
        <f>IF(TOTALCO!B1289="", "",TOTALCO!B1289)</f>
        <v>FEDERAL TAXABLE INCOME</v>
      </c>
      <c r="C759" s="4" t="str">
        <f>IF(TOTALCO!C1289="", "",TOTALCO!C1289)</f>
        <v/>
      </c>
      <c r="D759" s="12">
        <f ca="1">IF(TOTALCO!D1289="", "",TOTALCO!D1289)</f>
        <v>256079369.80000001</v>
      </c>
      <c r="E759" s="12" t="str">
        <f>IF(TOTALCO!E1289="", "",TOTALCO!E1289)</f>
        <v/>
      </c>
      <c r="F759" s="12">
        <f ca="1">IF(TOTALCO!F1289="", "",TOTALCO!F1289)</f>
        <v>249154047.90000001</v>
      </c>
      <c r="G759" s="12" t="str">
        <f>IF(TOTALCO!G1289="", "",TOTALCO!G1289)</f>
        <v/>
      </c>
      <c r="H759" s="12">
        <f ca="1">IF(TOTALCO!H1289="", "",TOTALCO!H1289)</f>
        <v>4564287.619319018</v>
      </c>
      <c r="I759" s="12">
        <f ca="1">IF(TOTALCO!I1289="", "",TOTALCO!I1289)</f>
        <v>2062074.75</v>
      </c>
      <c r="J759" s="12" t="str">
        <f>IF(TOTALCO!J1289="", "",TOTALCO!J1289)</f>
        <v/>
      </c>
      <c r="K759" s="12" t="str">
        <f>IF(TOTALCO!K1289="", "",TOTALCO!K1289)</f>
        <v/>
      </c>
      <c r="L759" s="12">
        <f ca="1">IF(TOTALCO!L1289="", "",TOTALCO!L1289)</f>
        <v>-42305.85</v>
      </c>
      <c r="M759" s="12" t="str">
        <f>IF(TOTALCO!M1289="", "",TOTALCO!M1289)</f>
        <v/>
      </c>
      <c r="N759" s="12">
        <f ca="1">IF(TOTALCO!N1289="", "",TOTALCO!N1289)</f>
        <v>2104380.6</v>
      </c>
      <c r="O759" s="12">
        <f ca="1">IF(TOTALCO!O1289="", "",TOTALCO!O1289)</f>
        <v>1013678.55</v>
      </c>
      <c r="P759" s="12">
        <f ca="1">IF(TOTALCO!P1289="", "",TOTALCO!P1289)</f>
        <v>1090702.05</v>
      </c>
      <c r="Q759" s="12"/>
      <c r="R759" s="13"/>
    </row>
    <row r="760" spans="1:18" ht="15" x14ac:dyDescent="0.2">
      <c r="A760" s="321" t="str">
        <f>IF(TOTALCO!A1290="", "",TOTALCO!A1290)</f>
        <v/>
      </c>
      <c r="B760" s="4" t="str">
        <f>IF(TOTALCO!B1290="", "",TOTALCO!B1290)</f>
        <v/>
      </c>
      <c r="C760" s="4" t="str">
        <f>IF(TOTALCO!C1290="", "",TOTALCO!C1290)</f>
        <v/>
      </c>
      <c r="D760" s="12" t="str">
        <f>IF(TOTALCO!D1290="", "",TOTALCO!D1290)</f>
        <v/>
      </c>
      <c r="E760" s="12" t="str">
        <f>IF(TOTALCO!E1290="", "",TOTALCO!E1290)</f>
        <v/>
      </c>
      <c r="F760" s="12" t="str">
        <f>IF(TOTALCO!F1290="", "",TOTALCO!F1290)</f>
        <v/>
      </c>
      <c r="G760" s="12" t="str">
        <f>IF(TOTALCO!G1290="", "",TOTALCO!G1290)</f>
        <v/>
      </c>
      <c r="H760" s="12" t="str">
        <f>IF(TOTALCO!H1290="", "",TOTALCO!H1290)</f>
        <v/>
      </c>
      <c r="I760" s="12" t="str">
        <f>IF(TOTALCO!I1290="", "",TOTALCO!I1290)</f>
        <v/>
      </c>
      <c r="J760" s="12" t="str">
        <f>IF(TOTALCO!J1290="", "",TOTALCO!J1290)</f>
        <v/>
      </c>
      <c r="K760" s="12" t="str">
        <f>IF(TOTALCO!K1290="", "",TOTALCO!K1290)</f>
        <v/>
      </c>
      <c r="L760" s="12" t="str">
        <f>IF(TOTALCO!L1290="", "",TOTALCO!L1290)</f>
        <v/>
      </c>
      <c r="M760" s="12" t="str">
        <f>IF(TOTALCO!M1290="", "",TOTALCO!M1290)</f>
        <v/>
      </c>
      <c r="N760" s="12" t="str">
        <f>IF(TOTALCO!N1290="", "",TOTALCO!N1290)</f>
        <v/>
      </c>
      <c r="O760" s="12" t="str">
        <f>IF(TOTALCO!O1290="", "",TOTALCO!O1290)</f>
        <v/>
      </c>
      <c r="P760" s="12" t="str">
        <f>IF(TOTALCO!P1290="", "",TOTALCO!P1290)</f>
        <v/>
      </c>
      <c r="Q760" s="12"/>
      <c r="R760" s="13"/>
    </row>
    <row r="761" spans="1:18" ht="15" x14ac:dyDescent="0.2">
      <c r="A761" s="321">
        <f>IF(TOTALCO!A1291="", "",TOTALCO!A1291)</f>
        <v>24</v>
      </c>
      <c r="B761" s="4" t="str">
        <f>IF(TOTALCO!B1291="", "",TOTALCO!B1291)</f>
        <v>FEDERAL TAXES @ 21%</v>
      </c>
      <c r="C761" s="4" t="str">
        <f>IF(TOTALCO!C1291="", "",TOTALCO!C1291)</f>
        <v/>
      </c>
      <c r="D761" s="12">
        <f ca="1">IF(TOTALCO!D1291="", "",TOTALCO!D1291)</f>
        <v>53776668</v>
      </c>
      <c r="E761" s="12" t="str">
        <f>IF(TOTALCO!E1291="", "",TOTALCO!E1291)</f>
        <v/>
      </c>
      <c r="F761" s="12">
        <f ca="1">IF(TOTALCO!F1291="", "",TOTALCO!F1291)</f>
        <v>52322350</v>
      </c>
      <c r="G761" s="12" t="str">
        <f>IF(TOTALCO!G1291="", "",TOTALCO!G1291)</f>
        <v/>
      </c>
      <c r="H761" s="12">
        <f ca="1">IF(TOTALCO!H1291="", "",TOTALCO!H1291)</f>
        <v>958500</v>
      </c>
      <c r="I761" s="12">
        <f ca="1">IF(TOTALCO!I1291="", "",TOTALCO!I1291)</f>
        <v>433035</v>
      </c>
      <c r="J761" s="12" t="str">
        <f>IF(TOTALCO!J1291="", "",TOTALCO!J1291)</f>
        <v/>
      </c>
      <c r="K761" s="12" t="str">
        <f>IF(TOTALCO!K1291="", "",TOTALCO!K1291)</f>
        <v/>
      </c>
      <c r="L761" s="12">
        <f ca="1">IF(TOTALCO!L1291="", "",TOTALCO!L1291)</f>
        <v>-8884</v>
      </c>
      <c r="M761" s="12" t="str">
        <f>IF(TOTALCO!M1291="", "",TOTALCO!M1291)</f>
        <v/>
      </c>
      <c r="N761" s="12">
        <f ca="1">IF(TOTALCO!N1291="", "",TOTALCO!N1291)</f>
        <v>441919</v>
      </c>
      <c r="O761" s="12">
        <f ca="1">IF(TOTALCO!O1291="", "",TOTALCO!O1291)</f>
        <v>212872</v>
      </c>
      <c r="P761" s="12">
        <f ca="1">IF(TOTALCO!P1291="", "",TOTALCO!P1291)</f>
        <v>229047</v>
      </c>
      <c r="Q761" s="12"/>
      <c r="R761" s="13"/>
    </row>
    <row r="762" spans="1:18" ht="15" x14ac:dyDescent="0.2">
      <c r="A762" s="321">
        <f>IF(TOTALCO!A1292="", "",TOTALCO!A1292)</f>
        <v>25</v>
      </c>
      <c r="B762" s="4" t="str">
        <f>IF(TOTALCO!B1292="", "",TOTALCO!B1292)</f>
        <v>EXCESS DEFERRED TAXES</v>
      </c>
      <c r="C762" s="4" t="str">
        <f>IF(TOTALCO!C1292="", "",TOTALCO!C1292)</f>
        <v>RATEBASE</v>
      </c>
      <c r="D762" s="12">
        <f ca="1">IF(TOTALCO!D1292="", "",TOTALCO!D1292)</f>
        <v>-781544.00000000023</v>
      </c>
      <c r="E762" s="12" t="str">
        <f>IF(TOTALCO!E1292="", "",TOTALCO!E1292)</f>
        <v/>
      </c>
      <c r="F762" s="12">
        <f ca="1">IF(TOTALCO!F1292="", "",TOTALCO!F1292)</f>
        <v>-733223.74205608561</v>
      </c>
      <c r="G762" s="12" t="str">
        <f>IF(TOTALCO!G1292="", "",TOTALCO!G1292)</f>
        <v/>
      </c>
      <c r="H762" s="12">
        <f ca="1">IF(TOTALCO!H1292="", "",TOTALCO!H1292)</f>
        <v>-37013.610294649436</v>
      </c>
      <c r="I762" s="12">
        <f ca="1">IF(TOTALCO!I1292="", "",TOTALCO!I1292)</f>
        <v>-11306.647649265071</v>
      </c>
      <c r="J762" s="12" t="str">
        <f>IF(TOTALCO!J1292="", "",TOTALCO!J1292)</f>
        <v/>
      </c>
      <c r="K762" s="12" t="str">
        <f>IF(TOTALCO!K1292="", "",TOTALCO!K1292)</f>
        <v/>
      </c>
      <c r="L762" s="12">
        <f ca="1">IF(TOTALCO!L1292="", "",TOTALCO!L1292)</f>
        <v>-59.967201263338261</v>
      </c>
      <c r="M762" s="12" t="str">
        <f>IF(TOTALCO!M1292="", "",TOTALCO!M1292)</f>
        <v/>
      </c>
      <c r="N762" s="12">
        <f ca="1">IF(TOTALCO!N1292="", "",TOTALCO!N1292)</f>
        <v>-11246.680448001733</v>
      </c>
      <c r="O762" s="12">
        <f ca="1">IF(TOTALCO!O1292="", "",TOTALCO!O1292)</f>
        <v>-5834.4672067837173</v>
      </c>
      <c r="P762" s="12">
        <f ca="1">IF(TOTALCO!P1292="", "",TOTALCO!P1292)</f>
        <v>-5412.2132412180154</v>
      </c>
      <c r="Q762" s="12"/>
      <c r="R762" s="13"/>
    </row>
    <row r="763" spans="1:18" ht="15" x14ac:dyDescent="0.2">
      <c r="A763" s="321">
        <f>IF(TOTALCO!A1293="", "",TOTALCO!A1293)</f>
        <v>26</v>
      </c>
      <c r="B763" s="4" t="str">
        <f>IF(TOTALCO!B1293="", "",TOTALCO!B1293)</f>
        <v>203(E) EXCESS</v>
      </c>
      <c r="C763" s="4" t="str">
        <f>IF(TOTALCO!C1293="", "",TOTALCO!C1293)</f>
        <v>PLANT</v>
      </c>
      <c r="D763" s="12">
        <f ca="1">IF(TOTALCO!D1293="", "",TOTALCO!D1293)</f>
        <v>-15603815</v>
      </c>
      <c r="E763" s="12" t="str">
        <f>IF(TOTALCO!E1293="", "",TOTALCO!E1293)</f>
        <v/>
      </c>
      <c r="F763" s="12">
        <f ca="1">IF(TOTALCO!F1293="", "",TOTALCO!F1293)</f>
        <v>-14589166</v>
      </c>
      <c r="G763" s="12" t="str">
        <f>IF(TOTALCO!G1293="", "",TOTALCO!G1293)</f>
        <v/>
      </c>
      <c r="H763" s="12">
        <f ca="1">IF(TOTALCO!H1293="", "",TOTALCO!H1293)</f>
        <v>-787616</v>
      </c>
      <c r="I763" s="12">
        <f ca="1">IF(TOTALCO!I1293="", "",TOTALCO!I1293)</f>
        <v>-227033</v>
      </c>
      <c r="J763" s="12" t="str">
        <f>IF(TOTALCO!J1293="", "",TOTALCO!J1293)</f>
        <v/>
      </c>
      <c r="K763" s="12" t="str">
        <f>IF(TOTALCO!K1293="", "",TOTALCO!K1293)</f>
        <v/>
      </c>
      <c r="L763" s="12">
        <f ca="1">IF(TOTALCO!L1293="", "",TOTALCO!L1293)</f>
        <v>-1072</v>
      </c>
      <c r="M763" s="12" t="str">
        <f>IF(TOTALCO!M1293="", "",TOTALCO!M1293)</f>
        <v/>
      </c>
      <c r="N763" s="12">
        <f ca="1">IF(TOTALCO!N1293="", "",TOTALCO!N1293)</f>
        <v>-225961</v>
      </c>
      <c r="O763" s="12">
        <f ca="1">IF(TOTALCO!O1293="", "",TOTALCO!O1293)</f>
        <v>-117445</v>
      </c>
      <c r="P763" s="12">
        <f ca="1">IF(TOTALCO!P1293="", "",TOTALCO!P1293)</f>
        <v>-108516</v>
      </c>
      <c r="Q763" s="12"/>
      <c r="R763" s="13"/>
    </row>
    <row r="764" spans="1:18" ht="15" x14ac:dyDescent="0.2">
      <c r="A764" s="321">
        <f>IF(TOTALCO!A1294="", "",TOTALCO!A1294)</f>
        <v>27</v>
      </c>
      <c r="B764" s="4" t="str">
        <f>IF(TOTALCO!B1294="", "",TOTALCO!B1294)</f>
        <v>INVESTMENT TAX CREDIT ADJ</v>
      </c>
      <c r="C764" s="4" t="str">
        <f>IF(TOTALCO!C1294="", "",TOTALCO!C1294)</f>
        <v/>
      </c>
      <c r="D764" s="12">
        <f ca="1">IF(TOTALCO!D1294="", "",TOTALCO!D1294)</f>
        <v>0</v>
      </c>
      <c r="E764" s="12" t="str">
        <f>IF(TOTALCO!E1294="", "",TOTALCO!E1294)</f>
        <v/>
      </c>
      <c r="F764" s="12">
        <f ca="1">IF(TOTALCO!F1294="", "",TOTALCO!F1294)</f>
        <v>0</v>
      </c>
      <c r="G764" s="12" t="str">
        <f>IF(TOTALCO!G1294="", "",TOTALCO!G1294)</f>
        <v/>
      </c>
      <c r="H764" s="12">
        <f ca="1">IF(TOTALCO!H1294="", "",TOTALCO!H1294)</f>
        <v>0</v>
      </c>
      <c r="I764" s="12">
        <f ca="1">IF(TOTALCO!I1294="", "",TOTALCO!I1294)</f>
        <v>0</v>
      </c>
      <c r="J764" s="12" t="str">
        <f>IF(TOTALCO!J1294="", "",TOTALCO!J1294)</f>
        <v/>
      </c>
      <c r="K764" s="12" t="str">
        <f>IF(TOTALCO!K1294="", "",TOTALCO!K1294)</f>
        <v/>
      </c>
      <c r="L764" s="12">
        <f ca="1">IF(TOTALCO!L1294="", "",TOTALCO!L1294)</f>
        <v>0</v>
      </c>
      <c r="M764" s="12" t="str">
        <f>IF(TOTALCO!M1294="", "",TOTALCO!M1294)</f>
        <v/>
      </c>
      <c r="N764" s="12">
        <f ca="1">IF(TOTALCO!N1294="", "",TOTALCO!N1294)</f>
        <v>0</v>
      </c>
      <c r="O764" s="12">
        <f ca="1">IF(TOTALCO!O1294="", "",TOTALCO!O1294)</f>
        <v>0</v>
      </c>
      <c r="P764" s="12">
        <f ca="1">IF(TOTALCO!P1294="", "",TOTALCO!P1294)</f>
        <v>0</v>
      </c>
      <c r="Q764" s="12"/>
      <c r="R764" s="13"/>
    </row>
    <row r="765" spans="1:18" ht="15" x14ac:dyDescent="0.2">
      <c r="A765" s="321">
        <f>IF(TOTALCO!A1295="", "",TOTALCO!A1295)</f>
        <v>28</v>
      </c>
      <c r="B765" s="4" t="str">
        <f>IF(TOTALCO!B1295="", "",TOTALCO!B1295)</f>
        <v>FEDERAL TAX ADJUSTMENTS</v>
      </c>
      <c r="C765" s="4" t="str">
        <f>IF(TOTALCO!C1295="", "",TOTALCO!C1295)</f>
        <v>RATEBASE</v>
      </c>
      <c r="D765" s="12">
        <f ca="1">IF(TOTALCO!D1295="", "",TOTALCO!D1295)</f>
        <v>99863</v>
      </c>
      <c r="E765" s="12" t="str">
        <f>IF(TOTALCO!E1295="", "",TOTALCO!E1295)</f>
        <v/>
      </c>
      <c r="F765" s="12">
        <f ca="1">IF(TOTALCO!F1295="", "",TOTALCO!F1295)</f>
        <v>93688</v>
      </c>
      <c r="G765" s="12" t="str">
        <f>IF(TOTALCO!G1295="", "",TOTALCO!G1295)</f>
        <v/>
      </c>
      <c r="H765" s="12">
        <f ca="1">IF(TOTALCO!H1295="", "",TOTALCO!H1295)</f>
        <v>4729</v>
      </c>
      <c r="I765" s="12">
        <f ca="1">IF(TOTALCO!I1295="", "",TOTALCO!I1295)</f>
        <v>1446</v>
      </c>
      <c r="J765" s="12" t="str">
        <f>IF(TOTALCO!J1295="", "",TOTALCO!J1295)</f>
        <v/>
      </c>
      <c r="K765" s="12" t="str">
        <f>IF(TOTALCO!K1295="", "",TOTALCO!K1295)</f>
        <v/>
      </c>
      <c r="L765" s="12">
        <f ca="1">IF(TOTALCO!L1295="", "",TOTALCO!L1295)</f>
        <v>8</v>
      </c>
      <c r="M765" s="12" t="str">
        <f>IF(TOTALCO!M1295="", "",TOTALCO!M1295)</f>
        <v/>
      </c>
      <c r="N765" s="12">
        <f ca="1">IF(TOTALCO!N1295="", "",TOTALCO!N1295)</f>
        <v>1438</v>
      </c>
      <c r="O765" s="12">
        <f ca="1">IF(TOTALCO!O1295="", "",TOTALCO!O1295)</f>
        <v>746</v>
      </c>
      <c r="P765" s="12">
        <f ca="1">IF(TOTALCO!P1295="", "",TOTALCO!P1295)</f>
        <v>692</v>
      </c>
      <c r="Q765" s="12"/>
      <c r="R765" s="13"/>
    </row>
    <row r="766" spans="1:18" ht="15" x14ac:dyDescent="0.2">
      <c r="A766" s="321">
        <f>IF(TOTALCO!A1296="", "",TOTALCO!A1296)</f>
        <v>29</v>
      </c>
      <c r="B766" s="4" t="str">
        <f>IF(TOTALCO!B1296="", "",TOTALCO!B1296)</f>
        <v xml:space="preserve"> FEDERAL TAX TOTAL</v>
      </c>
      <c r="C766" s="4" t="str">
        <f>IF(TOTALCO!C1296="", "",TOTALCO!C1296)</f>
        <v/>
      </c>
      <c r="D766" s="12">
        <f ca="1">IF(TOTALCO!D1296="", "",TOTALCO!D1296)</f>
        <v>37491172</v>
      </c>
      <c r="E766" s="12" t="str">
        <f>IF(TOTALCO!E1296="", "",TOTALCO!E1296)</f>
        <v/>
      </c>
      <c r="F766" s="12">
        <f ca="1">IF(TOTALCO!F1296="", "",TOTALCO!F1296)</f>
        <v>37093648.257943913</v>
      </c>
      <c r="G766" s="12" t="str">
        <f>IF(TOTALCO!G1296="", "",TOTALCO!G1296)</f>
        <v/>
      </c>
      <c r="H766" s="12">
        <f ca="1">IF(TOTALCO!H1296="", "",TOTALCO!H1296)</f>
        <v>138599.38970535062</v>
      </c>
      <c r="I766" s="12">
        <f ca="1">IF(TOTALCO!I1296="", "",TOTALCO!I1296)</f>
        <v>196141.35235073493</v>
      </c>
      <c r="J766" s="12" t="str">
        <f>IF(TOTALCO!J1296="", "",TOTALCO!J1296)</f>
        <v/>
      </c>
      <c r="K766" s="12" t="str">
        <f>IF(TOTALCO!K1296="", "",TOTALCO!K1296)</f>
        <v/>
      </c>
      <c r="L766" s="12">
        <f ca="1">IF(TOTALCO!L1296="", "",TOTALCO!L1296)</f>
        <v>-10007.967201263338</v>
      </c>
      <c r="M766" s="12" t="str">
        <f>IF(TOTALCO!M1296="", "",TOTALCO!M1296)</f>
        <v/>
      </c>
      <c r="N766" s="12">
        <f ca="1">IF(TOTALCO!N1296="", "",TOTALCO!N1296)</f>
        <v>206149.31955199828</v>
      </c>
      <c r="O766" s="12">
        <f ca="1">IF(TOTALCO!O1296="", "",TOTALCO!O1296)</f>
        <v>90338.532793216291</v>
      </c>
      <c r="P766" s="12">
        <f ca="1">IF(TOTALCO!P1296="", "",TOTALCO!P1296)</f>
        <v>115810.78675878199</v>
      </c>
      <c r="Q766" s="12"/>
      <c r="R766" s="13"/>
    </row>
    <row r="767" spans="1:18" ht="15" x14ac:dyDescent="0.2">
      <c r="A767" s="321" t="str">
        <f>IF(TOTALCO!A1297="", "",TOTALCO!A1297)</f>
        <v/>
      </c>
      <c r="B767" s="4" t="str">
        <f>IF(TOTALCO!B1297="", "",TOTALCO!B1297)</f>
        <v/>
      </c>
      <c r="C767" s="4" t="str">
        <f>IF(TOTALCO!C1297="", "",TOTALCO!C1297)</f>
        <v/>
      </c>
      <c r="D767" s="12" t="str">
        <f>IF(TOTALCO!D1297="", "",TOTALCO!D1297)</f>
        <v/>
      </c>
      <c r="E767" s="12" t="str">
        <f>IF(TOTALCO!E1297="", "",TOTALCO!E1297)</f>
        <v/>
      </c>
      <c r="F767" s="12" t="str">
        <f>IF(TOTALCO!F1297="", "",TOTALCO!F1297)</f>
        <v/>
      </c>
      <c r="G767" s="12" t="str">
        <f>IF(TOTALCO!G1297="", "",TOTALCO!G1297)</f>
        <v/>
      </c>
      <c r="H767" s="12" t="str">
        <f>IF(TOTALCO!H1297="", "",TOTALCO!H1297)</f>
        <v/>
      </c>
      <c r="I767" s="12" t="str">
        <f>IF(TOTALCO!I1297="", "",TOTALCO!I1297)</f>
        <v/>
      </c>
      <c r="J767" s="12" t="str">
        <f>IF(TOTALCO!J1297="", "",TOTALCO!J1297)</f>
        <v/>
      </c>
      <c r="K767" s="12" t="str">
        <f>IF(TOTALCO!K1297="", "",TOTALCO!K1297)</f>
        <v/>
      </c>
      <c r="L767" s="12" t="str">
        <f>IF(TOTALCO!L1297="", "",TOTALCO!L1297)</f>
        <v/>
      </c>
      <c r="M767" s="12" t="str">
        <f>IF(TOTALCO!M1297="", "",TOTALCO!M1297)</f>
        <v/>
      </c>
      <c r="N767" s="12" t="str">
        <f>IF(TOTALCO!N1297="", "",TOTALCO!N1297)</f>
        <v/>
      </c>
      <c r="O767" s="12" t="str">
        <f>IF(TOTALCO!O1297="", "",TOTALCO!O1297)</f>
        <v/>
      </c>
      <c r="P767" s="12" t="str">
        <f>IF(TOTALCO!P1297="", "",TOTALCO!P1297)</f>
        <v/>
      </c>
      <c r="Q767" s="12"/>
      <c r="R767" s="13"/>
    </row>
    <row r="768" spans="1:18" ht="15" x14ac:dyDescent="0.2">
      <c r="A768" s="321">
        <f>IF(TOTALCO!A1298="", "",TOTALCO!A1298)</f>
        <v>30</v>
      </c>
      <c r="B768" s="4" t="str">
        <f>IF(TOTALCO!B1298="", "",TOTALCO!B1298)</f>
        <v>RETURN</v>
      </c>
      <c r="C768" s="4" t="str">
        <f>IF(TOTALCO!C1298="", "",TOTALCO!C1298)</f>
        <v/>
      </c>
      <c r="D768" s="12">
        <f ca="1">IF(TOTALCO!D1298="", "",TOTALCO!D1298)</f>
        <v>333492301.00824767</v>
      </c>
      <c r="E768" s="12" t="str">
        <f>IF(TOTALCO!E1298="", "",TOTALCO!E1298)</f>
        <v/>
      </c>
      <c r="F768" s="12">
        <f ca="1">IF(TOTALCO!F1298="", "",TOTALCO!F1298)</f>
        <v>320042031.30713779</v>
      </c>
      <c r="G768" s="12" t="str">
        <f>IF(TOTALCO!G1298="", "",TOTALCO!G1298)</f>
        <v/>
      </c>
      <c r="H768" s="12">
        <f ca="1">IF(TOTALCO!H1298="", "",TOTALCO!H1298)</f>
        <v>9860676.8627714887</v>
      </c>
      <c r="I768" s="12">
        <f ca="1">IF(TOTALCO!I1298="", "",TOTALCO!I1298)</f>
        <v>3375318.6871544719</v>
      </c>
      <c r="J768" s="12" t="str">
        <f>IF(TOTALCO!J1298="", "",TOTALCO!J1298)</f>
        <v/>
      </c>
      <c r="K768" s="12" t="str">
        <f>IF(TOTALCO!K1298="", "",TOTALCO!K1298)</f>
        <v/>
      </c>
      <c r="L768" s="12">
        <f ca="1">IF(TOTALCO!L1298="", "",TOTALCO!L1298)</f>
        <v>-23419.42887589609</v>
      </c>
      <c r="M768" s="12" t="str">
        <f>IF(TOTALCO!M1298="", "",TOTALCO!M1298)</f>
        <v/>
      </c>
      <c r="N768" s="12">
        <f ca="1">IF(TOTALCO!N1298="", "",TOTALCO!N1298)</f>
        <v>3398738.116030368</v>
      </c>
      <c r="O768" s="12">
        <f ca="1">IF(TOTALCO!O1298="", "",TOTALCO!O1298)</f>
        <v>1703670.196248801</v>
      </c>
      <c r="P768" s="12">
        <f ca="1">IF(TOTALCO!P1298="", "",TOTALCO!P1298)</f>
        <v>1695067.9197815671</v>
      </c>
      <c r="Q768" s="12"/>
      <c r="R768" s="13"/>
    </row>
    <row r="769" spans="1:18" ht="15" x14ac:dyDescent="0.2">
      <c r="A769" s="321">
        <f>IF(TOTALCO!A1299="", "",TOTALCO!A1299)</f>
        <v>31</v>
      </c>
      <c r="B769" s="4" t="str">
        <f>IF(TOTALCO!B1299="", "",TOTALCO!B1299)</f>
        <v>RATE OF RETURN</v>
      </c>
      <c r="C769" s="4" t="str">
        <f>IF(TOTALCO!C1299="", "",TOTALCO!C1299)</f>
        <v/>
      </c>
      <c r="D769" s="15">
        <f ca="1">IF(TOTALCO!D1299="", "",TOTALCO!D1299)</f>
        <v>5.9695220683586077E-2</v>
      </c>
      <c r="E769" s="15" t="str">
        <f>IF(TOTALCO!E1299="", "",TOTALCO!E1299)</f>
        <v/>
      </c>
      <c r="F769" s="15">
        <f ca="1">IF(TOTALCO!F1299="", "",TOTALCO!F1299)</f>
        <v>6.039076685250671E-2</v>
      </c>
      <c r="G769" s="15" t="str">
        <f>IF(TOTALCO!G1299="", "",TOTALCO!G1299)</f>
        <v/>
      </c>
      <c r="H769" s="15">
        <f ca="1">IF(TOTALCO!H1299="", "",TOTALCO!H1299)</f>
        <v>3.6859150717843084E-2</v>
      </c>
      <c r="I769" s="15">
        <f ca="1">IF(TOTALCO!I1299="", "",TOTALCO!I1299)</f>
        <v>4.1302940411266885E-2</v>
      </c>
      <c r="J769" s="15" t="str">
        <f>IF(TOTALCO!J1299="", "",TOTALCO!J1299)</f>
        <v/>
      </c>
      <c r="K769" s="15" t="str">
        <f>IF(TOTALCO!K1299="", "",TOTALCO!K1299)</f>
        <v/>
      </c>
      <c r="L769" s="15">
        <f ca="1">IF(TOTALCO!L1299="", "",TOTALCO!L1299)</f>
        <v>-5.4033433452570563E-2</v>
      </c>
      <c r="M769" s="15" t="str">
        <f>IF(TOTALCO!M1299="", "",TOTALCO!M1299)</f>
        <v/>
      </c>
      <c r="N769" s="15">
        <f ca="1">IF(TOTALCO!N1299="", "",TOTALCO!N1299)</f>
        <v>4.181127311847254E-2</v>
      </c>
      <c r="O769" s="15">
        <f ca="1">IF(TOTALCO!O1299="", "",TOTALCO!O1299)</f>
        <v>4.0400279353177214E-2</v>
      </c>
      <c r="P769" s="15">
        <f ca="1">IF(TOTALCO!P1299="", "",TOTALCO!P1299)</f>
        <v>4.333235081546645E-2</v>
      </c>
      <c r="Q769" s="15"/>
      <c r="R769" s="13"/>
    </row>
    <row r="770" spans="1:18" ht="15" x14ac:dyDescent="0.2">
      <c r="A770" s="321" t="str">
        <f>IF(TOTALCO!A1300="", "",TOTALCO!A1300)</f>
        <v/>
      </c>
      <c r="B770" s="4" t="str">
        <f>IF(TOTALCO!B1300="", "",TOTALCO!B1300)</f>
        <v/>
      </c>
      <c r="C770" s="4" t="str">
        <f>IF(TOTALCO!C1300="", "",TOTALCO!C1300)</f>
        <v/>
      </c>
      <c r="D770" s="12" t="str">
        <f>IF(TOTALCO!D1300="", "",TOTALCO!D1300)</f>
        <v/>
      </c>
      <c r="E770" s="12" t="str">
        <f>IF(TOTALCO!E1300="", "",TOTALCO!E1300)</f>
        <v/>
      </c>
      <c r="F770" s="12" t="str">
        <f>IF(TOTALCO!F1300="", "",TOTALCO!F1300)</f>
        <v/>
      </c>
      <c r="G770" s="12" t="str">
        <f>IF(TOTALCO!G1300="", "",TOTALCO!G1300)</f>
        <v/>
      </c>
      <c r="H770" s="12" t="str">
        <f>IF(TOTALCO!H1300="", "",TOTALCO!H1300)</f>
        <v/>
      </c>
      <c r="I770" s="12" t="str">
        <f>IF(TOTALCO!I1300="", "",TOTALCO!I1300)</f>
        <v/>
      </c>
      <c r="J770" s="12" t="str">
        <f>IF(TOTALCO!J1300="", "",TOTALCO!J1300)</f>
        <v/>
      </c>
      <c r="K770" s="12" t="str">
        <f>IF(TOTALCO!K1300="", "",TOTALCO!K1300)</f>
        <v/>
      </c>
      <c r="L770" s="12" t="str">
        <f>IF(TOTALCO!L1300="", "",TOTALCO!L1300)</f>
        <v/>
      </c>
      <c r="M770" s="12" t="str">
        <f>IF(TOTALCO!M1300="", "",TOTALCO!M1300)</f>
        <v/>
      </c>
      <c r="N770" s="12" t="str">
        <f>IF(TOTALCO!N1300="", "",TOTALCO!N1300)</f>
        <v/>
      </c>
      <c r="O770" s="12" t="str">
        <f>IF(TOTALCO!O1300="", "",TOTALCO!O1300)</f>
        <v/>
      </c>
      <c r="P770" s="12" t="str">
        <f>IF(TOTALCO!P1300="", "",TOTALCO!P1300)</f>
        <v/>
      </c>
      <c r="Q770" s="12"/>
      <c r="R770" s="13"/>
    </row>
    <row r="771" spans="1:18" ht="15" x14ac:dyDescent="0.2">
      <c r="A771" s="321" t="str">
        <f>IF(TOTALCO!A1301="", "",TOTALCO!A1301)</f>
        <v/>
      </c>
      <c r="B771" s="4" t="str">
        <f>IF(TOTALCO!B1301="", "",TOTALCO!B1301)</f>
        <v/>
      </c>
      <c r="C771" s="4" t="str">
        <f>IF(TOTALCO!C1301="", "",TOTALCO!C1301)</f>
        <v/>
      </c>
      <c r="D771" s="12" t="str">
        <f>IF(TOTALCO!D1301="", "",TOTALCO!D1301)</f>
        <v/>
      </c>
      <c r="E771" s="12" t="str">
        <f>IF(TOTALCO!E1301="", "",TOTALCO!E1301)</f>
        <v/>
      </c>
      <c r="F771" s="12" t="str">
        <f>IF(TOTALCO!F1301="", "",TOTALCO!F1301)</f>
        <v/>
      </c>
      <c r="G771" s="12" t="str">
        <f>IF(TOTALCO!G1301="", "",TOTALCO!G1301)</f>
        <v/>
      </c>
      <c r="H771" s="12" t="str">
        <f>IF(TOTALCO!H1301="", "",TOTALCO!H1301)</f>
        <v/>
      </c>
      <c r="I771" s="12" t="str">
        <f>IF(TOTALCO!I1301="", "",TOTALCO!I1301)</f>
        <v/>
      </c>
      <c r="J771" s="12" t="str">
        <f>IF(TOTALCO!J1301="", "",TOTALCO!J1301)</f>
        <v/>
      </c>
      <c r="K771" s="12" t="str">
        <f>IF(TOTALCO!K1301="", "",TOTALCO!K1301)</f>
        <v/>
      </c>
      <c r="L771" s="12" t="str">
        <f>IF(TOTALCO!L1301="", "",TOTALCO!L1301)</f>
        <v/>
      </c>
      <c r="M771" s="12" t="str">
        <f>IF(TOTALCO!M1301="", "",TOTALCO!M1301)</f>
        <v/>
      </c>
      <c r="N771" s="12" t="str">
        <f>IF(TOTALCO!N1301="", "",TOTALCO!N1301)</f>
        <v/>
      </c>
      <c r="O771" s="12" t="str">
        <f>IF(TOTALCO!O1301="", "",TOTALCO!O1301)</f>
        <v/>
      </c>
      <c r="P771" s="12" t="str">
        <f>IF(TOTALCO!P1301="", "",TOTALCO!P1301)</f>
        <v/>
      </c>
      <c r="Q771" s="12"/>
      <c r="R771" s="13"/>
    </row>
    <row r="772" spans="1:18" ht="15" x14ac:dyDescent="0.2">
      <c r="A772" s="321" t="str">
        <f>IF(TOTALCO!A1302="", "",TOTALCO!A1302)</f>
        <v/>
      </c>
      <c r="B772" s="4" t="str">
        <f>IF(TOTALCO!B1302="", "",TOTALCO!B1302)</f>
        <v>STATE TAX RATE</v>
      </c>
      <c r="C772" s="4" t="str">
        <f>IF(TOTALCO!C1302="", "",TOTALCO!C1302)</f>
        <v/>
      </c>
      <c r="D772" s="14">
        <f>IF(TOTALCO!D1302="", "",TOTALCO!D1302)</f>
        <v>0.05</v>
      </c>
      <c r="E772" s="14" t="str">
        <f>IF(TOTALCO!E1302="", "",TOTALCO!E1302)</f>
        <v/>
      </c>
      <c r="F772" s="14">
        <f>IF(TOTALCO!F1302="", "",TOTALCO!F1302)</f>
        <v>0.05</v>
      </c>
      <c r="G772" s="14" t="str">
        <f>IF(TOTALCO!G1302="", "",TOTALCO!G1302)</f>
        <v/>
      </c>
      <c r="H772" s="14">
        <f>IF(TOTALCO!H1302="", "",TOTALCO!H1302)</f>
        <v>0.06</v>
      </c>
      <c r="I772" s="14">
        <f>IF(TOTALCO!I1302="", "",TOTALCO!I1302)</f>
        <v>0.05</v>
      </c>
      <c r="J772" s="14" t="str">
        <f>IF(TOTALCO!J1302="", "",TOTALCO!J1302)</f>
        <v/>
      </c>
      <c r="K772" s="14" t="str">
        <f>IF(TOTALCO!K1302="", "",TOTALCO!K1302)</f>
        <v/>
      </c>
      <c r="L772" s="14">
        <f>IF(TOTALCO!L1302="", "",TOTALCO!L1302)</f>
        <v>0.05</v>
      </c>
      <c r="M772" s="14" t="str">
        <f>IF(TOTALCO!M1302="", "",TOTALCO!M1302)</f>
        <v/>
      </c>
      <c r="N772" s="14">
        <f>IF(TOTALCO!N1302="", "",TOTALCO!N1302)</f>
        <v>0.05</v>
      </c>
      <c r="O772" s="14">
        <f>IF(TOTALCO!O1302="", "",TOTALCO!O1302)</f>
        <v>0.05</v>
      </c>
      <c r="P772" s="14">
        <f>IF(TOTALCO!P1302="", "",TOTALCO!P1302)</f>
        <v>0.05</v>
      </c>
      <c r="Q772" s="14"/>
      <c r="R772" s="13"/>
    </row>
    <row r="773" spans="1:18" ht="15" x14ac:dyDescent="0.2">
      <c r="A773" s="321" t="str">
        <f>IF(TOTALCO!A1303="", "",TOTALCO!A1303)</f>
        <v/>
      </c>
      <c r="B773" s="4" t="str">
        <f>IF(TOTALCO!B1303="", "",TOTALCO!B1303)</f>
        <v>FEDERAL TAX RATE - CURRENT</v>
      </c>
      <c r="C773" s="4" t="str">
        <f>IF(TOTALCO!C1303="", "",TOTALCO!C1303)</f>
        <v/>
      </c>
      <c r="D773" s="14">
        <f>IF(TOTALCO!D1303="", "",TOTALCO!D1303)</f>
        <v>0.21</v>
      </c>
      <c r="E773" s="14" t="str">
        <f>IF(TOTALCO!E1303="", "",TOTALCO!E1303)</f>
        <v/>
      </c>
      <c r="F773" s="14">
        <f>IF(TOTALCO!F1303="", "",TOTALCO!F1303)</f>
        <v>0.21</v>
      </c>
      <c r="G773" s="14" t="str">
        <f>IF(TOTALCO!G1303="", "",TOTALCO!G1303)</f>
        <v/>
      </c>
      <c r="H773" s="14">
        <f>IF(TOTALCO!H1303="", "",TOTALCO!H1303)</f>
        <v>0.21</v>
      </c>
      <c r="I773" s="14">
        <f>IF(TOTALCO!I1303="", "",TOTALCO!I1303)</f>
        <v>0.21</v>
      </c>
      <c r="J773" s="14" t="str">
        <f>IF(TOTALCO!J1303="", "",TOTALCO!J1303)</f>
        <v/>
      </c>
      <c r="K773" s="14" t="str">
        <f>IF(TOTALCO!K1303="", "",TOTALCO!K1303)</f>
        <v/>
      </c>
      <c r="L773" s="14">
        <f>IF(TOTALCO!L1303="", "",TOTALCO!L1303)</f>
        <v>0.21</v>
      </c>
      <c r="M773" s="14" t="str">
        <f>IF(TOTALCO!M1303="", "",TOTALCO!M1303)</f>
        <v/>
      </c>
      <c r="N773" s="14">
        <f>IF(TOTALCO!N1303="", "",TOTALCO!N1303)</f>
        <v>0.21</v>
      </c>
      <c r="O773" s="14">
        <f>IF(TOTALCO!O1303="", "",TOTALCO!O1303)</f>
        <v>0.21</v>
      </c>
      <c r="P773" s="14">
        <f>IF(TOTALCO!P1303="", "",TOTALCO!P1303)</f>
        <v>0.21</v>
      </c>
      <c r="Q773" s="14"/>
      <c r="R773" s="13"/>
    </row>
    <row r="774" spans="1:18" ht="15" x14ac:dyDescent="0.2">
      <c r="A774" s="321" t="str">
        <f>IF(TOTALCO!A1304="", "",TOTALCO!A1304)</f>
        <v/>
      </c>
      <c r="B774" s="4" t="str">
        <f>IF(TOTALCO!B1304="", "",TOTALCO!B1304)</f>
        <v>1 - EFFECTIVE TAX RATE</v>
      </c>
      <c r="C774" s="4" t="str">
        <f>IF(TOTALCO!C1304="", "",TOTALCO!C1304)</f>
        <v/>
      </c>
      <c r="D774" s="14">
        <f>IF(TOTALCO!D1304="", "",TOTALCO!D1304)</f>
        <v>0.75049999999999994</v>
      </c>
      <c r="E774" s="14" t="str">
        <f>IF(TOTALCO!E1304="", "",TOTALCO!E1304)</f>
        <v/>
      </c>
      <c r="F774" s="14">
        <f>IF(TOTALCO!F1304="", "",TOTALCO!F1304)</f>
        <v>0.75049999999999994</v>
      </c>
      <c r="G774" s="14" t="str">
        <f>IF(TOTALCO!G1304="", "",TOTALCO!G1304)</f>
        <v/>
      </c>
      <c r="H774" s="14">
        <f>IF(TOTALCO!H1304="", "",TOTALCO!H1304)</f>
        <v>0.74259999999999993</v>
      </c>
      <c r="I774" s="14">
        <f>IF(TOTALCO!I1304="", "",TOTALCO!I1304)</f>
        <v>0.75049999999999994</v>
      </c>
      <c r="J774" s="14" t="str">
        <f>IF(TOTALCO!J1304="", "",TOTALCO!J1304)</f>
        <v/>
      </c>
      <c r="K774" s="14" t="str">
        <f>IF(TOTALCO!K1304="", "",TOTALCO!K1304)</f>
        <v/>
      </c>
      <c r="L774" s="14">
        <f>IF(TOTALCO!L1304="", "",TOTALCO!L1304)</f>
        <v>0.75049999999999994</v>
      </c>
      <c r="M774" s="14" t="str">
        <f>IF(TOTALCO!M1304="", "",TOTALCO!M1304)</f>
        <v/>
      </c>
      <c r="N774" s="14">
        <f>IF(TOTALCO!N1304="", "",TOTALCO!N1304)</f>
        <v>0.75049999999999994</v>
      </c>
      <c r="O774" s="14">
        <f>IF(TOTALCO!O1304="", "",TOTALCO!O1304)</f>
        <v>0.75049999999999994</v>
      </c>
      <c r="P774" s="14">
        <f>IF(TOTALCO!P1304="", "",TOTALCO!P1304)</f>
        <v>0.75049999999999994</v>
      </c>
      <c r="Q774" s="14"/>
      <c r="R774" s="13"/>
    </row>
    <row r="775" spans="1:18" ht="15" x14ac:dyDescent="0.2">
      <c r="A775" s="321" t="str">
        <f>IF(TOTALCO!A1305="", "",TOTALCO!A1305)</f>
        <v/>
      </c>
      <c r="B775" s="4" t="str">
        <f>IF(TOTALCO!B1305="", "",TOTALCO!B1305)</f>
        <v>EFFECTIVE TAX RATE</v>
      </c>
      <c r="C775" s="4" t="str">
        <f>IF(TOTALCO!C1305="", "",TOTALCO!C1305)</f>
        <v/>
      </c>
      <c r="D775" s="14">
        <f>IF(TOTALCO!D1305="", "",TOTALCO!D1305)</f>
        <v>0.2495</v>
      </c>
      <c r="E775" s="14" t="str">
        <f>IF(TOTALCO!E1305="", "",TOTALCO!E1305)</f>
        <v/>
      </c>
      <c r="F775" s="14">
        <f>IF(TOTALCO!F1305="", "",TOTALCO!F1305)</f>
        <v>0.2495</v>
      </c>
      <c r="G775" s="14" t="str">
        <f>IF(TOTALCO!G1305="", "",TOTALCO!G1305)</f>
        <v/>
      </c>
      <c r="H775" s="14">
        <f>IF(TOTALCO!H1305="", "",TOTALCO!H1305)</f>
        <v>0.25740000000000002</v>
      </c>
      <c r="I775" s="14">
        <f>IF(TOTALCO!I1305="", "",TOTALCO!I1305)</f>
        <v>0.2495</v>
      </c>
      <c r="J775" s="14" t="str">
        <f>IF(TOTALCO!J1305="", "",TOTALCO!J1305)</f>
        <v/>
      </c>
      <c r="K775" s="14" t="str">
        <f>IF(TOTALCO!K1305="", "",TOTALCO!K1305)</f>
        <v/>
      </c>
      <c r="L775" s="14">
        <f>IF(TOTALCO!L1305="", "",TOTALCO!L1305)</f>
        <v>0.2495</v>
      </c>
      <c r="M775" s="14" t="str">
        <f>IF(TOTALCO!M1305="", "",TOTALCO!M1305)</f>
        <v/>
      </c>
      <c r="N775" s="14">
        <f>IF(TOTALCO!N1305="", "",TOTALCO!N1305)</f>
        <v>0.2495</v>
      </c>
      <c r="O775" s="14">
        <f>IF(TOTALCO!O1305="", "",TOTALCO!O1305)</f>
        <v>0.2495</v>
      </c>
      <c r="P775" s="14">
        <f>IF(TOTALCO!P1305="", "",TOTALCO!P1305)</f>
        <v>0.2495</v>
      </c>
      <c r="Q775" s="14"/>
      <c r="R775" s="13"/>
    </row>
    <row r="776" spans="1:18" ht="15" x14ac:dyDescent="0.2">
      <c r="A776" s="321" t="str">
        <f>IF(TOTALCO!A1306="", "",TOTALCO!A1306)</f>
        <v/>
      </c>
      <c r="B776" s="4" t="str">
        <f>IF(TOTALCO!B1306="", "",TOTALCO!B1306)</f>
        <v>FACTOR FOR TAXABLE BASIS</v>
      </c>
      <c r="C776" s="4" t="str">
        <f>IF(TOTALCO!C1306="", "",TOTALCO!C1306)</f>
        <v/>
      </c>
      <c r="D776" s="14">
        <f>IF(TOTALCO!D1306="", "",TOTALCO!D1306)</f>
        <v>1.3324450366422385</v>
      </c>
      <c r="E776" s="14" t="str">
        <f>IF(TOTALCO!E1306="", "",TOTALCO!E1306)</f>
        <v/>
      </c>
      <c r="F776" s="14">
        <f>IF(TOTALCO!F1306="", "",TOTALCO!F1306)</f>
        <v>1.3324450366422385</v>
      </c>
      <c r="G776" s="14" t="str">
        <f>IF(TOTALCO!G1306="", "",TOTALCO!G1306)</f>
        <v/>
      </c>
      <c r="H776" s="14">
        <f>IF(TOTALCO!H1306="", "",TOTALCO!H1306)</f>
        <v>1.3466199838405601</v>
      </c>
      <c r="I776" s="14">
        <f>IF(TOTALCO!I1306="", "",TOTALCO!I1306)</f>
        <v>1.3324450366422385</v>
      </c>
      <c r="J776" s="14" t="str">
        <f>IF(TOTALCO!J1306="", "",TOTALCO!J1306)</f>
        <v/>
      </c>
      <c r="K776" s="14" t="str">
        <f>IF(TOTALCO!K1306="", "",TOTALCO!K1306)</f>
        <v/>
      </c>
      <c r="L776" s="14">
        <f>IF(TOTALCO!L1306="", "",TOTALCO!L1306)</f>
        <v>1.3324450366422385</v>
      </c>
      <c r="M776" s="14" t="str">
        <f>IF(TOTALCO!M1306="", "",TOTALCO!M1306)</f>
        <v/>
      </c>
      <c r="N776" s="14">
        <f>IF(TOTALCO!N1306="", "",TOTALCO!N1306)</f>
        <v>1.3324450366422385</v>
      </c>
      <c r="O776" s="14">
        <f>IF(TOTALCO!O1306="", "",TOTALCO!O1306)</f>
        <v>1.3324450366422385</v>
      </c>
      <c r="P776" s="14">
        <f>IF(TOTALCO!P1306="", "",TOTALCO!P1306)</f>
        <v>1.3324450366422385</v>
      </c>
      <c r="Q776" s="14"/>
      <c r="R776" s="13"/>
    </row>
    <row r="777" spans="1:18" ht="15" x14ac:dyDescent="0.2">
      <c r="A777" s="321" t="str">
        <f>IF(TOTALCO!A1307="", "",TOTALCO!A1307)</f>
        <v/>
      </c>
      <c r="B777" s="4" t="str">
        <f>IF(TOTALCO!B1307="", "",TOTALCO!B1307)</f>
        <v/>
      </c>
      <c r="C777" s="4" t="str">
        <f>IF(TOTALCO!C1307="", "",TOTALCO!C1307)</f>
        <v/>
      </c>
      <c r="D777" s="12" t="str">
        <f>IF(TOTALCO!D1307="", "",TOTALCO!D1307)</f>
        <v/>
      </c>
      <c r="E777" s="12" t="str">
        <f>IF(TOTALCO!E1307="", "",TOTALCO!E1307)</f>
        <v/>
      </c>
      <c r="F777" s="12" t="str">
        <f>IF(TOTALCO!F1307="", "",TOTALCO!F1307)</f>
        <v/>
      </c>
      <c r="G777" s="12" t="str">
        <f>IF(TOTALCO!G1307="", "",TOTALCO!G1307)</f>
        <v/>
      </c>
      <c r="H777" s="12" t="str">
        <f>IF(TOTALCO!H1307="", "",TOTALCO!H1307)</f>
        <v/>
      </c>
      <c r="I777" s="12" t="str">
        <f>IF(TOTALCO!I1307="", "",TOTALCO!I1307)</f>
        <v/>
      </c>
      <c r="J777" s="12" t="str">
        <f>IF(TOTALCO!J1307="", "",TOTALCO!J1307)</f>
        <v/>
      </c>
      <c r="K777" s="12" t="str">
        <f>IF(TOTALCO!K1307="", "",TOTALCO!K1307)</f>
        <v/>
      </c>
      <c r="L777" s="12" t="str">
        <f>IF(TOTALCO!L1307="", "",TOTALCO!L1307)</f>
        <v/>
      </c>
      <c r="M777" s="12" t="str">
        <f>IF(TOTALCO!M1307="", "",TOTALCO!M1307)</f>
        <v/>
      </c>
      <c r="N777" s="12" t="str">
        <f>IF(TOTALCO!N1307="", "",TOTALCO!N1307)</f>
        <v/>
      </c>
      <c r="O777" s="12" t="str">
        <f>IF(TOTALCO!O1307="", "",TOTALCO!O1307)</f>
        <v/>
      </c>
      <c r="P777" s="12" t="str">
        <f>IF(TOTALCO!P1307="", "",TOTALCO!P1307)</f>
        <v/>
      </c>
      <c r="Q777" s="12"/>
      <c r="R777" s="13"/>
    </row>
    <row r="778" spans="1:18" ht="15" x14ac:dyDescent="0.2">
      <c r="A778" s="321" t="str">
        <f>IF(TOTALCO!A1311="", "",TOTALCO!A1311)</f>
        <v/>
      </c>
      <c r="B778" s="4" t="str">
        <f>IF(TOTALCO!B1311="", "",TOTALCO!B1311)</f>
        <v>LABOR ALLOCATOR</v>
      </c>
      <c r="C778" s="4" t="str">
        <f>IF(TOTALCO!C1311="", "",TOTALCO!C1311)</f>
        <v/>
      </c>
      <c r="D778" s="12" t="str">
        <f>IF(TOTALCO!D1311="", "",TOTALCO!D1311)</f>
        <v/>
      </c>
      <c r="E778" s="12" t="str">
        <f>IF(TOTALCO!E1311="", "",TOTALCO!E1311)</f>
        <v/>
      </c>
      <c r="F778" s="12" t="str">
        <f>IF(TOTALCO!F1311="", "",TOTALCO!F1311)</f>
        <v/>
      </c>
      <c r="G778" s="12" t="str">
        <f>IF(TOTALCO!G1311="", "",TOTALCO!G1311)</f>
        <v/>
      </c>
      <c r="H778" s="12" t="str">
        <f>IF(TOTALCO!H1311="", "",TOTALCO!H1311)</f>
        <v/>
      </c>
      <c r="I778" s="12" t="str">
        <f>IF(TOTALCO!I1311="", "",TOTALCO!I1311)</f>
        <v/>
      </c>
      <c r="J778" s="12" t="str">
        <f>IF(TOTALCO!J1311="", "",TOTALCO!J1311)</f>
        <v/>
      </c>
      <c r="K778" s="12" t="str">
        <f>IF(TOTALCO!K1311="", "",TOTALCO!K1311)</f>
        <v/>
      </c>
      <c r="L778" s="12" t="str">
        <f>IF(TOTALCO!L1311="", "",TOTALCO!L1311)</f>
        <v/>
      </c>
      <c r="M778" s="12" t="str">
        <f>IF(TOTALCO!M1311="", "",TOTALCO!M1311)</f>
        <v/>
      </c>
      <c r="N778" s="12" t="str">
        <f>IF(TOTALCO!N1311="", "",TOTALCO!N1311)</f>
        <v/>
      </c>
      <c r="O778" s="12" t="str">
        <f>IF(TOTALCO!O1311="", "",TOTALCO!O1311)</f>
        <v/>
      </c>
      <c r="P778" s="12" t="str">
        <f>IF(TOTALCO!P1311="", "",TOTALCO!P1311)</f>
        <v/>
      </c>
      <c r="Q778" s="12"/>
      <c r="R778" s="13"/>
    </row>
    <row r="779" spans="1:18" ht="15" x14ac:dyDescent="0.2">
      <c r="A779" s="321" t="str">
        <f>IF(TOTALCO!A1312="", "",TOTALCO!A1312)</f>
        <v/>
      </c>
      <c r="B779" s="4" t="str">
        <f>IF(TOTALCO!B1312="", "",TOTALCO!B1312)</f>
        <v/>
      </c>
      <c r="C779" s="4" t="str">
        <f>IF(TOTALCO!C1312="", "",TOTALCO!C1312)</f>
        <v/>
      </c>
      <c r="D779" s="12" t="str">
        <f>IF(TOTALCO!D1312="", "",TOTALCO!D1312)</f>
        <v/>
      </c>
      <c r="E779" s="12" t="str">
        <f>IF(TOTALCO!E1312="", "",TOTALCO!E1312)</f>
        <v/>
      </c>
      <c r="F779" s="12" t="str">
        <f>IF(TOTALCO!F1312="", "",TOTALCO!F1312)</f>
        <v/>
      </c>
      <c r="G779" s="12" t="str">
        <f>IF(TOTALCO!G1312="", "",TOTALCO!G1312)</f>
        <v/>
      </c>
      <c r="H779" s="12" t="str">
        <f>IF(TOTALCO!H1312="", "",TOTALCO!H1312)</f>
        <v/>
      </c>
      <c r="I779" s="12" t="str">
        <f>IF(TOTALCO!I1312="", "",TOTALCO!I1312)</f>
        <v/>
      </c>
      <c r="J779" s="12" t="str">
        <f>IF(TOTALCO!J1312="", "",TOTALCO!J1312)</f>
        <v/>
      </c>
      <c r="K779" s="12" t="str">
        <f>IF(TOTALCO!K1312="", "",TOTALCO!K1312)</f>
        <v/>
      </c>
      <c r="L779" s="12" t="str">
        <f>IF(TOTALCO!L1312="", "",TOTALCO!L1312)</f>
        <v/>
      </c>
      <c r="M779" s="12" t="str">
        <f>IF(TOTALCO!M1312="", "",TOTALCO!M1312)</f>
        <v/>
      </c>
      <c r="N779" s="12" t="str">
        <f>IF(TOTALCO!N1312="", "",TOTALCO!N1312)</f>
        <v/>
      </c>
      <c r="O779" s="12" t="str">
        <f>IF(TOTALCO!O1312="", "",TOTALCO!O1312)</f>
        <v/>
      </c>
      <c r="P779" s="12" t="str">
        <f>IF(TOTALCO!P1312="", "",TOTALCO!P1312)</f>
        <v/>
      </c>
      <c r="Q779" s="12"/>
      <c r="R779" s="13"/>
    </row>
    <row r="780" spans="1:18" ht="15" x14ac:dyDescent="0.2">
      <c r="A780" s="321" t="str">
        <f>IF(TOTALCO!A1313="", "",TOTALCO!A1313)</f>
        <v/>
      </c>
      <c r="B780" s="4" t="str">
        <f>IF(TOTALCO!B1313="", "",TOTALCO!B1313)</f>
        <v>LABOR EXPENSE</v>
      </c>
      <c r="C780" s="4" t="str">
        <f>IF(TOTALCO!C1313="", "",TOTALCO!C1313)</f>
        <v/>
      </c>
      <c r="D780" s="12" t="str">
        <f>IF(TOTALCO!D1313="", "",TOTALCO!D1313)</f>
        <v/>
      </c>
      <c r="E780" s="12" t="str">
        <f>IF(TOTALCO!E1313="", "",TOTALCO!E1313)</f>
        <v/>
      </c>
      <c r="F780" s="12" t="str">
        <f>IF(TOTALCO!F1313="", "",TOTALCO!F1313)</f>
        <v/>
      </c>
      <c r="G780" s="12" t="str">
        <f>IF(TOTALCO!G1313="", "",TOTALCO!G1313)</f>
        <v/>
      </c>
      <c r="H780" s="12" t="str">
        <f>IF(TOTALCO!H1313="", "",TOTALCO!H1313)</f>
        <v/>
      </c>
      <c r="I780" s="12" t="str">
        <f>IF(TOTALCO!I1313="", "",TOTALCO!I1313)</f>
        <v/>
      </c>
      <c r="J780" s="12" t="str">
        <f>IF(TOTALCO!J1313="", "",TOTALCO!J1313)</f>
        <v/>
      </c>
      <c r="K780" s="12" t="str">
        <f>IF(TOTALCO!K1313="", "",TOTALCO!K1313)</f>
        <v/>
      </c>
      <c r="L780" s="12" t="str">
        <f>IF(TOTALCO!L1313="", "",TOTALCO!L1313)</f>
        <v/>
      </c>
      <c r="M780" s="12" t="str">
        <f>IF(TOTALCO!M1313="", "",TOTALCO!M1313)</f>
        <v/>
      </c>
      <c r="N780" s="12" t="str">
        <f>IF(TOTALCO!N1313="", "",TOTALCO!N1313)</f>
        <v/>
      </c>
      <c r="O780" s="12" t="str">
        <f>IF(TOTALCO!O1313="", "",TOTALCO!O1313)</f>
        <v/>
      </c>
      <c r="P780" s="12" t="str">
        <f>IF(TOTALCO!P1313="", "",TOTALCO!P1313)</f>
        <v/>
      </c>
      <c r="Q780" s="12"/>
      <c r="R780" s="13"/>
    </row>
    <row r="781" spans="1:18" ht="15" x14ac:dyDescent="0.2">
      <c r="A781" s="321" t="str">
        <f>IF(TOTALCO!A1314="", "",TOTALCO!A1314)</f>
        <v/>
      </c>
      <c r="B781" s="4" t="str">
        <f>IF(TOTALCO!B1314="", "",TOTALCO!B1314)</f>
        <v xml:space="preserve"> PRODUCTION LABOR</v>
      </c>
      <c r="C781" s="4" t="str">
        <f>IF(TOTALCO!C1314="", "",TOTALCO!C1314)</f>
        <v/>
      </c>
      <c r="D781" s="12" t="str">
        <f>IF(TOTALCO!D1314="", "",TOTALCO!D1314)</f>
        <v/>
      </c>
      <c r="E781" s="12" t="str">
        <f>IF(TOTALCO!E1314="", "",TOTALCO!E1314)</f>
        <v/>
      </c>
      <c r="F781" s="12" t="str">
        <f>IF(TOTALCO!F1314="", "",TOTALCO!F1314)</f>
        <v/>
      </c>
      <c r="G781" s="12" t="str">
        <f>IF(TOTALCO!G1314="", "",TOTALCO!G1314)</f>
        <v/>
      </c>
      <c r="H781" s="12" t="str">
        <f>IF(TOTALCO!H1314="", "",TOTALCO!H1314)</f>
        <v/>
      </c>
      <c r="I781" s="12" t="str">
        <f>IF(TOTALCO!I1314="", "",TOTALCO!I1314)</f>
        <v/>
      </c>
      <c r="J781" s="12" t="str">
        <f>IF(TOTALCO!J1314="", "",TOTALCO!J1314)</f>
        <v/>
      </c>
      <c r="K781" s="12" t="str">
        <f>IF(TOTALCO!K1314="", "",TOTALCO!K1314)</f>
        <v/>
      </c>
      <c r="L781" s="12" t="str">
        <f>IF(TOTALCO!L1314="", "",TOTALCO!L1314)</f>
        <v/>
      </c>
      <c r="M781" s="12" t="str">
        <f>IF(TOTALCO!M1314="", "",TOTALCO!M1314)</f>
        <v/>
      </c>
      <c r="N781" s="12" t="str">
        <f>IF(TOTALCO!N1314="", "",TOTALCO!N1314)</f>
        <v/>
      </c>
      <c r="O781" s="12" t="str">
        <f>IF(TOTALCO!O1314="", "",TOTALCO!O1314)</f>
        <v/>
      </c>
      <c r="P781" s="12" t="str">
        <f>IF(TOTALCO!P1314="", "",TOTALCO!P1314)</f>
        <v/>
      </c>
      <c r="Q781" s="12"/>
      <c r="R781" s="13"/>
    </row>
    <row r="782" spans="1:18" ht="15" x14ac:dyDescent="0.2">
      <c r="A782" s="321" t="str">
        <f>IF(TOTALCO!A1315="", "",TOTALCO!A1315)</f>
        <v/>
      </c>
      <c r="B782" s="4" t="str">
        <f>IF(TOTALCO!B1315="", "",TOTALCO!B1315)</f>
        <v xml:space="preserve">   ENERGY RELATED</v>
      </c>
      <c r="C782" s="4" t="str">
        <f>IF(TOTALCO!C1315="", "",TOTALCO!C1315)</f>
        <v/>
      </c>
      <c r="D782" s="12" t="str">
        <f>IF(TOTALCO!D1315="", "",TOTALCO!D1315)</f>
        <v/>
      </c>
      <c r="E782" s="12" t="str">
        <f>IF(TOTALCO!E1315="", "",TOTALCO!E1315)</f>
        <v/>
      </c>
      <c r="F782" s="12" t="str">
        <f>IF(TOTALCO!F1315="", "",TOTALCO!F1315)</f>
        <v/>
      </c>
      <c r="G782" s="12" t="str">
        <f>IF(TOTALCO!G1315="", "",TOTALCO!G1315)</f>
        <v/>
      </c>
      <c r="H782" s="12" t="str">
        <f>IF(TOTALCO!H1315="", "",TOTALCO!H1315)</f>
        <v/>
      </c>
      <c r="I782" s="12" t="str">
        <f>IF(TOTALCO!I1315="", "",TOTALCO!I1315)</f>
        <v/>
      </c>
      <c r="J782" s="12" t="str">
        <f>IF(TOTALCO!J1315="", "",TOTALCO!J1315)</f>
        <v/>
      </c>
      <c r="K782" s="12" t="str">
        <f>IF(TOTALCO!K1315="", "",TOTALCO!K1315)</f>
        <v/>
      </c>
      <c r="L782" s="12" t="str">
        <f>IF(TOTALCO!L1315="", "",TOTALCO!L1315)</f>
        <v/>
      </c>
      <c r="M782" s="12" t="str">
        <f>IF(TOTALCO!M1315="", "",TOTALCO!M1315)</f>
        <v/>
      </c>
      <c r="N782" s="12" t="str">
        <f>IF(TOTALCO!N1315="", "",TOTALCO!N1315)</f>
        <v/>
      </c>
      <c r="O782" s="12" t="str">
        <f>IF(TOTALCO!O1315="", "",TOTALCO!O1315)</f>
        <v/>
      </c>
      <c r="P782" s="12" t="str">
        <f>IF(TOTALCO!P1315="", "",TOTALCO!P1315)</f>
        <v/>
      </c>
      <c r="Q782" s="12"/>
      <c r="R782" s="13"/>
    </row>
    <row r="783" spans="1:18" ht="15" x14ac:dyDescent="0.2">
      <c r="A783" s="321">
        <f>IF(TOTALCO!A1316="", "",TOTALCO!A1316)</f>
        <v>1</v>
      </c>
      <c r="B783" s="4" t="str">
        <f>IF(TOTALCO!B1316="", "",TOTALCO!B1316)</f>
        <v xml:space="preserve">   FERC 501</v>
      </c>
      <c r="C783" s="4" t="str">
        <f>IF(TOTALCO!C1316="", "",TOTALCO!C1316)</f>
        <v>ENERGY</v>
      </c>
      <c r="D783" s="12">
        <f ca="1">IF(TOTALCO!D1316="", "",TOTALCO!D1316)</f>
        <v>2381202.0000000005</v>
      </c>
      <c r="E783" s="12" t="str">
        <f>IF(TOTALCO!E1316="", "",TOTALCO!E1316)</f>
        <v/>
      </c>
      <c r="F783" s="12">
        <f ca="1">IF(TOTALCO!F1316="", "",TOTALCO!F1316)</f>
        <v>2240732.8927895362</v>
      </c>
      <c r="G783" s="12" t="str">
        <f>IF(TOTALCO!G1316="", "",TOTALCO!G1316)</f>
        <v/>
      </c>
      <c r="H783" s="12">
        <f ca="1">IF(TOTALCO!H1316="", "",TOTALCO!H1316)</f>
        <v>91411.682165207167</v>
      </c>
      <c r="I783" s="12">
        <f ca="1">IF(TOTALCO!I1316="", "",TOTALCO!I1316)</f>
        <v>49057.425045256896</v>
      </c>
      <c r="J783" s="12" t="str">
        <f>IF(TOTALCO!J1316="", "",TOTALCO!J1316)</f>
        <v/>
      </c>
      <c r="K783" s="12" t="str">
        <f>IF(TOTALCO!K1316="", "",TOTALCO!K1316)</f>
        <v/>
      </c>
      <c r="L783" s="12">
        <f ca="1">IF(TOTALCO!L1316="", "",TOTALCO!L1316)</f>
        <v>10.028295910113654</v>
      </c>
      <c r="M783" s="12" t="str">
        <f>IF(TOTALCO!M1316="", "",TOTALCO!M1316)</f>
        <v/>
      </c>
      <c r="N783" s="12">
        <f ca="1">IF(TOTALCO!N1316="", "",TOTALCO!N1316)</f>
        <v>49047.396749346779</v>
      </c>
      <c r="O783" s="12">
        <f ca="1">IF(TOTALCO!O1316="", "",TOTALCO!O1316)</f>
        <v>24837.977313515719</v>
      </c>
      <c r="P783" s="12">
        <f ca="1">IF(TOTALCO!P1316="", "",TOTALCO!P1316)</f>
        <v>24209.419435831063</v>
      </c>
      <c r="Q783" s="12"/>
      <c r="R783" s="13"/>
    </row>
    <row r="784" spans="1:18" ht="15" x14ac:dyDescent="0.2">
      <c r="A784" s="321">
        <f>IF(TOTALCO!A1317="", "",TOTALCO!A1317)</f>
        <v>2</v>
      </c>
      <c r="B784" s="4" t="str">
        <f>IF(TOTALCO!B1317="", "",TOTALCO!B1317)</f>
        <v xml:space="preserve">   FERC 510</v>
      </c>
      <c r="C784" s="4" t="str">
        <f>IF(TOTALCO!C1317="", "",TOTALCO!C1317)</f>
        <v>ENERGY</v>
      </c>
      <c r="D784" s="12">
        <f ca="1">IF(TOTALCO!D1317="", "",TOTALCO!D1317)</f>
        <v>8712114</v>
      </c>
      <c r="E784" s="12" t="str">
        <f>IF(TOTALCO!E1317="", "",TOTALCO!E1317)</f>
        <v/>
      </c>
      <c r="F784" s="12">
        <f ca="1">IF(TOTALCO!F1317="", "",TOTALCO!F1317)</f>
        <v>8198179.0732294936</v>
      </c>
      <c r="G784" s="12" t="str">
        <f>IF(TOTALCO!G1317="", "",TOTALCO!G1317)</f>
        <v/>
      </c>
      <c r="H784" s="12">
        <f ca="1">IF(TOTALCO!H1317="", "",TOTALCO!H1317)</f>
        <v>334448.31473980437</v>
      </c>
      <c r="I784" s="12">
        <f ca="1">IF(TOTALCO!I1317="", "",TOTALCO!I1317)</f>
        <v>179486.61203070264</v>
      </c>
      <c r="J784" s="12" t="str">
        <f>IF(TOTALCO!J1317="", "",TOTALCO!J1317)</f>
        <v/>
      </c>
      <c r="K784" s="12" t="str">
        <f>IF(TOTALCO!K1317="", "",TOTALCO!K1317)</f>
        <v/>
      </c>
      <c r="L784" s="12">
        <f ca="1">IF(TOTALCO!L1317="", "",TOTALCO!L1317)</f>
        <v>36.690569382456381</v>
      </c>
      <c r="M784" s="12" t="str">
        <f>IF(TOTALCO!M1317="", "",TOTALCO!M1317)</f>
        <v/>
      </c>
      <c r="N784" s="12">
        <f ca="1">IF(TOTALCO!N1317="", "",TOTALCO!N1317)</f>
        <v>179449.92146132019</v>
      </c>
      <c r="O784" s="12">
        <f ca="1">IF(TOTALCO!O1317="", "",TOTALCO!O1317)</f>
        <v>90874.814436054847</v>
      </c>
      <c r="P784" s="12">
        <f ca="1">IF(TOTALCO!P1317="", "",TOTALCO!P1317)</f>
        <v>88575.107025265359</v>
      </c>
      <c r="Q784" s="12"/>
      <c r="R784" s="13"/>
    </row>
    <row r="785" spans="1:18" ht="15" x14ac:dyDescent="0.2">
      <c r="A785" s="321">
        <f>IF(TOTALCO!A1318="", "",TOTALCO!A1318)</f>
        <v>3</v>
      </c>
      <c r="B785" s="4" t="str">
        <f>IF(TOTALCO!B1318="", "",TOTALCO!B1318)</f>
        <v xml:space="preserve">   FERC 512</v>
      </c>
      <c r="C785" s="4" t="str">
        <f>IF(TOTALCO!C1318="", "",TOTALCO!C1318)</f>
        <v>ENERGY</v>
      </c>
      <c r="D785" s="12">
        <f ca="1">IF(TOTALCO!D1318="", "",TOTALCO!D1318)</f>
        <v>11890682</v>
      </c>
      <c r="E785" s="12" t="str">
        <f>IF(TOTALCO!E1318="", "",TOTALCO!E1318)</f>
        <v/>
      </c>
      <c r="F785" s="12">
        <f ca="1">IF(TOTALCO!F1318="", "",TOTALCO!F1318)</f>
        <v>11189240.675549772</v>
      </c>
      <c r="G785" s="12" t="str">
        <f>IF(TOTALCO!G1318="", "",TOTALCO!G1318)</f>
        <v/>
      </c>
      <c r="H785" s="12">
        <f ca="1">IF(TOTALCO!H1318="", "",TOTALCO!H1318)</f>
        <v>456469.98604551394</v>
      </c>
      <c r="I785" s="12">
        <f ca="1">IF(TOTALCO!I1318="", "",TOTALCO!I1318)</f>
        <v>244971.3384047155</v>
      </c>
      <c r="J785" s="12" t="str">
        <f>IF(TOTALCO!J1318="", "",TOTALCO!J1318)</f>
        <v/>
      </c>
      <c r="K785" s="12" t="str">
        <f>IF(TOTALCO!K1318="", "",TOTALCO!K1318)</f>
        <v/>
      </c>
      <c r="L785" s="12">
        <f ca="1">IF(TOTALCO!L1318="", "",TOTALCO!L1318)</f>
        <v>50.076926556025924</v>
      </c>
      <c r="M785" s="12" t="str">
        <f>IF(TOTALCO!M1318="", "",TOTALCO!M1318)</f>
        <v/>
      </c>
      <c r="N785" s="12">
        <f ca="1">IF(TOTALCO!N1318="", "",TOTALCO!N1318)</f>
        <v>244921.26147815946</v>
      </c>
      <c r="O785" s="12">
        <f ca="1">IF(TOTALCO!O1318="", "",TOTALCO!O1318)</f>
        <v>124030.00239300559</v>
      </c>
      <c r="P785" s="12">
        <f ca="1">IF(TOTALCO!P1318="", "",TOTALCO!P1318)</f>
        <v>120891.25908515388</v>
      </c>
      <c r="Q785" s="12"/>
      <c r="R785" s="13"/>
    </row>
    <row r="786" spans="1:18" ht="15" x14ac:dyDescent="0.2">
      <c r="A786" s="321">
        <f>IF(TOTALCO!A1319="", "",TOTALCO!A1319)</f>
        <v>4</v>
      </c>
      <c r="B786" s="4" t="str">
        <f>IF(TOTALCO!B1319="", "",TOTALCO!B1319)</f>
        <v xml:space="preserve">   FERC 513</v>
      </c>
      <c r="C786" s="4" t="str">
        <f>IF(TOTALCO!C1319="", "",TOTALCO!C1319)</f>
        <v>ENERGY</v>
      </c>
      <c r="D786" s="12">
        <f ca="1">IF(TOTALCO!D1319="", "",TOTALCO!D1319)</f>
        <v>2243338</v>
      </c>
      <c r="E786" s="12" t="str">
        <f>IF(TOTALCO!E1319="", "",TOTALCO!E1319)</f>
        <v/>
      </c>
      <c r="F786" s="12">
        <f ca="1">IF(TOTALCO!F1319="", "",TOTALCO!F1319)</f>
        <v>2111001.6060143961</v>
      </c>
      <c r="G786" s="12" t="str">
        <f>IF(TOTALCO!G1319="", "",TOTALCO!G1319)</f>
        <v/>
      </c>
      <c r="H786" s="12">
        <f ca="1">IF(TOTALCO!H1319="", "",TOTALCO!H1319)</f>
        <v>86119.237362110187</v>
      </c>
      <c r="I786" s="12">
        <f ca="1">IF(TOTALCO!I1319="", "",TOTALCO!I1319)</f>
        <v>46217.156623493727</v>
      </c>
      <c r="J786" s="12" t="str">
        <f>IF(TOTALCO!J1319="", "",TOTALCO!J1319)</f>
        <v/>
      </c>
      <c r="K786" s="12" t="str">
        <f>IF(TOTALCO!K1319="", "",TOTALCO!K1319)</f>
        <v/>
      </c>
      <c r="L786" s="12">
        <f ca="1">IF(TOTALCO!L1319="", "",TOTALCO!L1319)</f>
        <v>9.4476895661949492</v>
      </c>
      <c r="M786" s="12" t="str">
        <f>IF(TOTALCO!M1319="", "",TOTALCO!M1319)</f>
        <v/>
      </c>
      <c r="N786" s="12">
        <f ca="1">IF(TOTALCO!N1319="", "",TOTALCO!N1319)</f>
        <v>46207.708933927534</v>
      </c>
      <c r="O786" s="12">
        <f ca="1">IF(TOTALCO!O1319="", "",TOTALCO!O1319)</f>
        <v>23399.937657766004</v>
      </c>
      <c r="P786" s="12">
        <f ca="1">IF(TOTALCO!P1319="", "",TOTALCO!P1319)</f>
        <v>22807.771276161529</v>
      </c>
      <c r="Q786" s="12"/>
      <c r="R786" s="13"/>
    </row>
    <row r="787" spans="1:18" ht="15" x14ac:dyDescent="0.2">
      <c r="A787" s="321">
        <f>IF(TOTALCO!A1320="", "",TOTALCO!A1320)</f>
        <v>5</v>
      </c>
      <c r="B787" s="4" t="str">
        <f>IF(TOTALCO!B1320="", "",TOTALCO!B1320)</f>
        <v xml:space="preserve">   FERC 547</v>
      </c>
      <c r="C787" s="4" t="str">
        <f>IF(TOTALCO!C1320="", "",TOTALCO!C1320)</f>
        <v>ENERGY</v>
      </c>
      <c r="D787" s="12">
        <f ca="1">IF(TOTALCO!D1320="", "",TOTALCO!D1320)</f>
        <v>0</v>
      </c>
      <c r="E787" s="12" t="str">
        <f>IF(TOTALCO!E1320="", "",TOTALCO!E1320)</f>
        <v/>
      </c>
      <c r="F787" s="12">
        <f ca="1">IF(TOTALCO!F1320="", "",TOTALCO!F1320)</f>
        <v>0</v>
      </c>
      <c r="G787" s="12" t="str">
        <f>IF(TOTALCO!G1320="", "",TOTALCO!G1320)</f>
        <v/>
      </c>
      <c r="H787" s="12">
        <f ca="1">IF(TOTALCO!H1320="", "",TOTALCO!H1320)</f>
        <v>0</v>
      </c>
      <c r="I787" s="12">
        <f ca="1">IF(TOTALCO!I1320="", "",TOTALCO!I1320)</f>
        <v>0</v>
      </c>
      <c r="J787" s="12" t="str">
        <f>IF(TOTALCO!J1320="", "",TOTALCO!J1320)</f>
        <v/>
      </c>
      <c r="K787" s="12" t="str">
        <f>IF(TOTALCO!K1320="", "",TOTALCO!K1320)</f>
        <v/>
      </c>
      <c r="L787" s="12">
        <f ca="1">IF(TOTALCO!L1320="", "",TOTALCO!L1320)</f>
        <v>0</v>
      </c>
      <c r="M787" s="12" t="str">
        <f>IF(TOTALCO!M1320="", "",TOTALCO!M1320)</f>
        <v/>
      </c>
      <c r="N787" s="12">
        <f ca="1">IF(TOTALCO!N1320="", "",TOTALCO!N1320)</f>
        <v>0</v>
      </c>
      <c r="O787" s="12">
        <f ca="1">IF(TOTALCO!O1320="", "",TOTALCO!O1320)</f>
        <v>0</v>
      </c>
      <c r="P787" s="12">
        <f ca="1">IF(TOTALCO!P1320="", "",TOTALCO!P1320)</f>
        <v>0</v>
      </c>
      <c r="Q787" s="12"/>
      <c r="R787" s="13"/>
    </row>
    <row r="788" spans="1:18" ht="15" x14ac:dyDescent="0.2">
      <c r="A788" s="321" t="str">
        <f>IF(TOTALCO!A1321="", "",TOTALCO!A1321)</f>
        <v/>
      </c>
      <c r="B788" s="4" t="str">
        <f>IF(TOTALCO!B1321="", "",TOTALCO!B1321)</f>
        <v/>
      </c>
      <c r="C788" s="4" t="str">
        <f>IF(TOTALCO!C1321="", "",TOTALCO!C1321)</f>
        <v/>
      </c>
      <c r="D788" s="12" t="str">
        <f>IF(TOTALCO!D1321="", "",TOTALCO!D1321)</f>
        <v/>
      </c>
      <c r="E788" s="12" t="str">
        <f>IF(TOTALCO!E1321="", "",TOTALCO!E1321)</f>
        <v/>
      </c>
      <c r="F788" s="12" t="str">
        <f>IF(TOTALCO!F1321="", "",TOTALCO!F1321)</f>
        <v/>
      </c>
      <c r="G788" s="12" t="str">
        <f>IF(TOTALCO!G1321="", "",TOTALCO!G1321)</f>
        <v/>
      </c>
      <c r="H788" s="12" t="str">
        <f>IF(TOTALCO!H1321="", "",TOTALCO!H1321)</f>
        <v/>
      </c>
      <c r="I788" s="12" t="str">
        <f>IF(TOTALCO!I1321="", "",TOTALCO!I1321)</f>
        <v/>
      </c>
      <c r="J788" s="12" t="str">
        <f>IF(TOTALCO!J1321="", "",TOTALCO!J1321)</f>
        <v/>
      </c>
      <c r="K788" s="12" t="str">
        <f>IF(TOTALCO!K1321="", "",TOTALCO!K1321)</f>
        <v/>
      </c>
      <c r="L788" s="12" t="str">
        <f>IF(TOTALCO!L1321="", "",TOTALCO!L1321)</f>
        <v/>
      </c>
      <c r="M788" s="12" t="str">
        <f>IF(TOTALCO!M1321="", "",TOTALCO!M1321)</f>
        <v/>
      </c>
      <c r="N788" s="12" t="str">
        <f>IF(TOTALCO!N1321="", "",TOTALCO!N1321)</f>
        <v/>
      </c>
      <c r="O788" s="12" t="str">
        <f>IF(TOTALCO!O1321="", "",TOTALCO!O1321)</f>
        <v/>
      </c>
      <c r="P788" s="12" t="str">
        <f>IF(TOTALCO!P1321="", "",TOTALCO!P1321)</f>
        <v/>
      </c>
      <c r="Q788" s="12"/>
      <c r="R788" s="13"/>
    </row>
    <row r="789" spans="1:18" ht="15" x14ac:dyDescent="0.2">
      <c r="A789" s="321">
        <f>IF(TOTALCO!A1322="", "",TOTALCO!A1322)</f>
        <v>6</v>
      </c>
      <c r="B789" s="4" t="str">
        <f>IF(TOTALCO!B1322="", "",TOTALCO!B1322)</f>
        <v xml:space="preserve">     TOTAL ENERGY LABOR</v>
      </c>
      <c r="C789" s="4" t="str">
        <f>IF(TOTALCO!C1322="", "",TOTALCO!C1322)</f>
        <v/>
      </c>
      <c r="D789" s="12">
        <f ca="1">IF(TOTALCO!D1322="", "",TOTALCO!D1322)</f>
        <v>25227336.000000004</v>
      </c>
      <c r="E789" s="12" t="str">
        <f>IF(TOTALCO!E1322="", "",TOTALCO!E1322)</f>
        <v/>
      </c>
      <c r="F789" s="12">
        <f ca="1">IF(TOTALCO!F1322="", "",TOTALCO!F1322)</f>
        <v>23739154.247583199</v>
      </c>
      <c r="G789" s="12" t="str">
        <f>IF(TOTALCO!G1322="", "",TOTALCO!G1322)</f>
        <v/>
      </c>
      <c r="H789" s="12">
        <f ca="1">IF(TOTALCO!H1322="", "",TOTALCO!H1322)</f>
        <v>968449.22031263565</v>
      </c>
      <c r="I789" s="12">
        <f ca="1">IF(TOTALCO!I1322="", "",TOTALCO!I1322)</f>
        <v>519732.53210416873</v>
      </c>
      <c r="J789" s="12" t="str">
        <f>IF(TOTALCO!J1322="", "",TOTALCO!J1322)</f>
        <v/>
      </c>
      <c r="K789" s="12" t="str">
        <f>IF(TOTALCO!K1322="", "",TOTALCO!K1322)</f>
        <v/>
      </c>
      <c r="L789" s="12">
        <f ca="1">IF(TOTALCO!L1322="", "",TOTALCO!L1322)</f>
        <v>106.24348141479092</v>
      </c>
      <c r="M789" s="12" t="str">
        <f>IF(TOTALCO!M1322="", "",TOTALCO!M1322)</f>
        <v/>
      </c>
      <c r="N789" s="12">
        <f ca="1">IF(TOTALCO!N1322="", "",TOTALCO!N1322)</f>
        <v>519626.28862275399</v>
      </c>
      <c r="O789" s="12">
        <f ca="1">IF(TOTALCO!O1322="", "",TOTALCO!O1322)</f>
        <v>263142.73180034215</v>
      </c>
      <c r="P789" s="12">
        <f ca="1">IF(TOTALCO!P1322="", "",TOTALCO!P1322)</f>
        <v>256483.55682241183</v>
      </c>
      <c r="Q789" s="12"/>
      <c r="R789" s="13"/>
    </row>
    <row r="790" spans="1:18" ht="15" x14ac:dyDescent="0.2">
      <c r="A790" s="321" t="str">
        <f>IF(TOTALCO!A1323="", "",TOTALCO!A1323)</f>
        <v/>
      </c>
      <c r="B790" s="4" t="str">
        <f>IF(TOTALCO!B1323="", "",TOTALCO!B1323)</f>
        <v/>
      </c>
      <c r="C790" s="4" t="str">
        <f>IF(TOTALCO!C1323="", "",TOTALCO!C1323)</f>
        <v/>
      </c>
      <c r="D790" s="12" t="str">
        <f>IF(TOTALCO!D1323="", "",TOTALCO!D1323)</f>
        <v/>
      </c>
      <c r="E790" s="12" t="str">
        <f>IF(TOTALCO!E1323="", "",TOTALCO!E1323)</f>
        <v/>
      </c>
      <c r="F790" s="12" t="str">
        <f>IF(TOTALCO!F1323="", "",TOTALCO!F1323)</f>
        <v/>
      </c>
      <c r="G790" s="12" t="str">
        <f>IF(TOTALCO!G1323="", "",TOTALCO!G1323)</f>
        <v/>
      </c>
      <c r="H790" s="12" t="str">
        <f>IF(TOTALCO!H1323="", "",TOTALCO!H1323)</f>
        <v/>
      </c>
      <c r="I790" s="12" t="str">
        <f>IF(TOTALCO!I1323="", "",TOTALCO!I1323)</f>
        <v/>
      </c>
      <c r="J790" s="12" t="str">
        <f>IF(TOTALCO!J1323="", "",TOTALCO!J1323)</f>
        <v/>
      </c>
      <c r="K790" s="12" t="str">
        <f>IF(TOTALCO!K1323="", "",TOTALCO!K1323)</f>
        <v/>
      </c>
      <c r="L790" s="12" t="str">
        <f>IF(TOTALCO!L1323="", "",TOTALCO!L1323)</f>
        <v/>
      </c>
      <c r="M790" s="12" t="str">
        <f>IF(TOTALCO!M1323="", "",TOTALCO!M1323)</f>
        <v/>
      </c>
      <c r="N790" s="12" t="str">
        <f>IF(TOTALCO!N1323="", "",TOTALCO!N1323)</f>
        <v/>
      </c>
      <c r="O790" s="12" t="str">
        <f>IF(TOTALCO!O1323="", "",TOTALCO!O1323)</f>
        <v/>
      </c>
      <c r="P790" s="12" t="str">
        <f>IF(TOTALCO!P1323="", "",TOTALCO!P1323)</f>
        <v/>
      </c>
      <c r="Q790" s="12"/>
      <c r="R790" s="13"/>
    </row>
    <row r="791" spans="1:18" ht="15" x14ac:dyDescent="0.2">
      <c r="A791" s="321" t="str">
        <f>IF(TOTALCO!A1324="", "",TOTALCO!A1324)</f>
        <v/>
      </c>
      <c r="B791" s="4" t="str">
        <f>IF(TOTALCO!B1324="", "",TOTALCO!B1324)</f>
        <v xml:space="preserve">   DEMAND RELATED</v>
      </c>
      <c r="C791" s="4" t="str">
        <f>IF(TOTALCO!C1324="", "",TOTALCO!C1324)</f>
        <v/>
      </c>
      <c r="D791" s="12" t="str">
        <f>IF(TOTALCO!D1324="", "",TOTALCO!D1324)</f>
        <v/>
      </c>
      <c r="E791" s="12" t="str">
        <f>IF(TOTALCO!E1324="", "",TOTALCO!E1324)</f>
        <v/>
      </c>
      <c r="F791" s="12" t="str">
        <f>IF(TOTALCO!F1324="", "",TOTALCO!F1324)</f>
        <v/>
      </c>
      <c r="G791" s="12" t="str">
        <f>IF(TOTALCO!G1324="", "",TOTALCO!G1324)</f>
        <v/>
      </c>
      <c r="H791" s="12" t="str">
        <f>IF(TOTALCO!H1324="", "",TOTALCO!H1324)</f>
        <v/>
      </c>
      <c r="I791" s="12" t="str">
        <f>IF(TOTALCO!I1324="", "",TOTALCO!I1324)</f>
        <v/>
      </c>
      <c r="J791" s="12" t="str">
        <f>IF(TOTALCO!J1324="", "",TOTALCO!J1324)</f>
        <v/>
      </c>
      <c r="K791" s="12" t="str">
        <f>IF(TOTALCO!K1324="", "",TOTALCO!K1324)</f>
        <v/>
      </c>
      <c r="L791" s="12" t="str">
        <f>IF(TOTALCO!L1324="", "",TOTALCO!L1324)</f>
        <v/>
      </c>
      <c r="M791" s="12" t="str">
        <f>IF(TOTALCO!M1324="", "",TOTALCO!M1324)</f>
        <v/>
      </c>
      <c r="N791" s="12" t="str">
        <f>IF(TOTALCO!N1324="", "",TOTALCO!N1324)</f>
        <v/>
      </c>
      <c r="O791" s="12" t="str">
        <f>IF(TOTALCO!O1324="", "",TOTALCO!O1324)</f>
        <v/>
      </c>
      <c r="P791" s="12" t="str">
        <f>IF(TOTALCO!P1324="", "",TOTALCO!P1324)</f>
        <v/>
      </c>
      <c r="Q791" s="12"/>
      <c r="R791" s="13"/>
    </row>
    <row r="792" spans="1:18" ht="15" x14ac:dyDescent="0.2">
      <c r="A792" s="321">
        <f>IF(TOTALCO!A1325="", "",TOTALCO!A1325)</f>
        <v>7</v>
      </c>
      <c r="B792" s="4" t="str">
        <f>IF(TOTALCO!B1325="", "",TOTALCO!B1325)</f>
        <v xml:space="preserve">   FERC 500</v>
      </c>
      <c r="C792" s="4" t="str">
        <f>IF(TOTALCO!C1325="", "",TOTALCO!C1325)</f>
        <v>PRODPLT</v>
      </c>
      <c r="D792" s="12">
        <f ca="1">IF(TOTALCO!D1325="", "",TOTALCO!D1325)</f>
        <v>7794907.0000000009</v>
      </c>
      <c r="E792" s="12" t="str">
        <f>IF(TOTALCO!E1325="", "",TOTALCO!E1325)</f>
        <v/>
      </c>
      <c r="F792" s="12">
        <f ca="1">IF(TOTALCO!F1325="", "",TOTALCO!F1325)</f>
        <v>7293278.8907199493</v>
      </c>
      <c r="G792" s="12" t="str">
        <f>IF(TOTALCO!G1325="", "",TOTALCO!G1325)</f>
        <v/>
      </c>
      <c r="H792" s="12">
        <f ca="1">IF(TOTALCO!H1325="", "",TOTALCO!H1325)</f>
        <v>338720.14564663719</v>
      </c>
      <c r="I792" s="12">
        <f ca="1">IF(TOTALCO!I1325="", "",TOTALCO!I1325)</f>
        <v>162907.9636334145</v>
      </c>
      <c r="J792" s="12" t="str">
        <f>IF(TOTALCO!J1325="", "",TOTALCO!J1325)</f>
        <v/>
      </c>
      <c r="K792" s="12" t="str">
        <f>IF(TOTALCO!K1325="", "",TOTALCO!K1325)</f>
        <v/>
      </c>
      <c r="L792" s="12">
        <f ca="1">IF(TOTALCO!L1325="", "",TOTALCO!L1325)</f>
        <v>23.288849086171858</v>
      </c>
      <c r="M792" s="12" t="str">
        <f>IF(TOTALCO!M1325="", "",TOTALCO!M1325)</f>
        <v/>
      </c>
      <c r="N792" s="12">
        <f ca="1">IF(TOTALCO!N1325="", "",TOTALCO!N1325)</f>
        <v>162884.67478432832</v>
      </c>
      <c r="O792" s="12">
        <f ca="1">IF(TOTALCO!O1325="", "",TOTALCO!O1325)</f>
        <v>82610.554867424915</v>
      </c>
      <c r="P792" s="12">
        <f ca="1">IF(TOTALCO!P1325="", "",TOTALCO!P1325)</f>
        <v>80274.119916903393</v>
      </c>
      <c r="Q792" s="12"/>
      <c r="R792" s="13"/>
    </row>
    <row r="793" spans="1:18" ht="15" x14ac:dyDescent="0.2">
      <c r="A793" s="321">
        <f>IF(TOTALCO!A1326="", "",TOTALCO!A1326)</f>
        <v>8</v>
      </c>
      <c r="B793" s="4" t="str">
        <f>IF(TOTALCO!B1326="", "",TOTALCO!B1326)</f>
        <v xml:space="preserve">   FERC 502</v>
      </c>
      <c r="C793" s="4" t="str">
        <f>IF(TOTALCO!C1326="", "",TOTALCO!C1326)</f>
        <v>PRODPLT</v>
      </c>
      <c r="D793" s="12">
        <f ca="1">IF(TOTALCO!D1326="", "",TOTALCO!D1326)</f>
        <v>9236154.0000000019</v>
      </c>
      <c r="E793" s="12" t="str">
        <f>IF(TOTALCO!E1326="", "",TOTALCO!E1326)</f>
        <v/>
      </c>
      <c r="F793" s="12">
        <f ca="1">IF(TOTALCO!F1326="", "",TOTALCO!F1326)</f>
        <v>8641776.8678495623</v>
      </c>
      <c r="G793" s="12" t="str">
        <f>IF(TOTALCO!G1326="", "",TOTALCO!G1326)</f>
        <v/>
      </c>
      <c r="H793" s="12">
        <f ca="1">IF(TOTALCO!H1326="", "",TOTALCO!H1326)</f>
        <v>401348.14027861663</v>
      </c>
      <c r="I793" s="12">
        <f ca="1">IF(TOTALCO!I1326="", "",TOTALCO!I1326)</f>
        <v>193028.99187182292</v>
      </c>
      <c r="J793" s="12" t="str">
        <f>IF(TOTALCO!J1326="", "",TOTALCO!J1326)</f>
        <v/>
      </c>
      <c r="K793" s="12" t="str">
        <f>IF(TOTALCO!K1326="", "",TOTALCO!K1326)</f>
        <v/>
      </c>
      <c r="L793" s="12">
        <f ca="1">IF(TOTALCO!L1326="", "",TOTALCO!L1326)</f>
        <v>27.59486375432607</v>
      </c>
      <c r="M793" s="12" t="str">
        <f>IF(TOTALCO!M1326="", "",TOTALCO!M1326)</f>
        <v/>
      </c>
      <c r="N793" s="12">
        <f ca="1">IF(TOTALCO!N1326="", "",TOTALCO!N1326)</f>
        <v>193001.3970080686</v>
      </c>
      <c r="O793" s="12">
        <f ca="1">IF(TOTALCO!O1326="", "",TOTALCO!O1326)</f>
        <v>97884.914698916371</v>
      </c>
      <c r="P793" s="12">
        <f ca="1">IF(TOTALCO!P1326="", "",TOTALCO!P1326)</f>
        <v>95116.482309152227</v>
      </c>
      <c r="Q793" s="12"/>
      <c r="R793" s="13"/>
    </row>
    <row r="794" spans="1:18" ht="15" x14ac:dyDescent="0.2">
      <c r="A794" s="321">
        <f>IF(TOTALCO!A1327="", "",TOTALCO!A1327)</f>
        <v>9</v>
      </c>
      <c r="B794" s="4" t="str">
        <f>IF(TOTALCO!B1327="", "",TOTALCO!B1327)</f>
        <v xml:space="preserve">   FERC 505</v>
      </c>
      <c r="C794" s="4" t="str">
        <f>IF(TOTALCO!C1327="", "",TOTALCO!C1327)</f>
        <v>PRODPLT</v>
      </c>
      <c r="D794" s="12">
        <f ca="1">IF(TOTALCO!D1327="", "",TOTALCO!D1327)</f>
        <v>6700236.0000000009</v>
      </c>
      <c r="E794" s="12" t="str">
        <f>IF(TOTALCO!E1327="", "",TOTALCO!E1327)</f>
        <v/>
      </c>
      <c r="F794" s="12">
        <f ca="1">IF(TOTALCO!F1327="", "",TOTALCO!F1327)</f>
        <v>6269053.5989257945</v>
      </c>
      <c r="G794" s="12" t="str">
        <f>IF(TOTALCO!G1327="", "",TOTALCO!G1327)</f>
        <v/>
      </c>
      <c r="H794" s="12">
        <f ca="1">IF(TOTALCO!H1327="", "",TOTALCO!H1327)</f>
        <v>291152.27593951306</v>
      </c>
      <c r="I794" s="12">
        <f ca="1">IF(TOTALCO!I1327="", "",TOTALCO!I1327)</f>
        <v>140030.12513469302</v>
      </c>
      <c r="J794" s="12" t="str">
        <f>IF(TOTALCO!J1327="", "",TOTALCO!J1327)</f>
        <v/>
      </c>
      <c r="K794" s="12" t="str">
        <f>IF(TOTALCO!K1327="", "",TOTALCO!K1327)</f>
        <v/>
      </c>
      <c r="L794" s="12">
        <f ca="1">IF(TOTALCO!L1327="", "",TOTALCO!L1327)</f>
        <v>20.018299775191135</v>
      </c>
      <c r="M794" s="12" t="str">
        <f>IF(TOTALCO!M1327="", "",TOTALCO!M1327)</f>
        <v/>
      </c>
      <c r="N794" s="12">
        <f ca="1">IF(TOTALCO!N1327="", "",TOTALCO!N1327)</f>
        <v>140010.10683491782</v>
      </c>
      <c r="O794" s="12">
        <f ca="1">IF(TOTALCO!O1327="", "",TOTALCO!O1327)</f>
        <v>71009.213285379243</v>
      </c>
      <c r="P794" s="12">
        <f ca="1">IF(TOTALCO!P1327="", "",TOTALCO!P1327)</f>
        <v>69000.893549538581</v>
      </c>
      <c r="Q794" s="12"/>
      <c r="R794" s="13"/>
    </row>
    <row r="795" spans="1:18" ht="15" x14ac:dyDescent="0.2">
      <c r="A795" s="321">
        <f>IF(TOTALCO!A1328="", "",TOTALCO!A1328)</f>
        <v>10</v>
      </c>
      <c r="B795" s="4" t="str">
        <f>IF(TOTALCO!B1328="", "",TOTALCO!B1328)</f>
        <v xml:space="preserve">   FERC 506</v>
      </c>
      <c r="C795" s="4" t="str">
        <f>IF(TOTALCO!C1328="", "",TOTALCO!C1328)</f>
        <v>PRODPLT</v>
      </c>
      <c r="D795" s="12">
        <f ca="1">IF(TOTALCO!D1328="", "",TOTALCO!D1328)</f>
        <v>2779706</v>
      </c>
      <c r="E795" s="12" t="str">
        <f>IF(TOTALCO!E1328="", "",TOTALCO!E1328)</f>
        <v/>
      </c>
      <c r="F795" s="12">
        <f ca="1">IF(TOTALCO!F1328="", "",TOTALCO!F1328)</f>
        <v>2600822.7028504107</v>
      </c>
      <c r="G795" s="12" t="str">
        <f>IF(TOTALCO!G1328="", "",TOTALCO!G1328)</f>
        <v/>
      </c>
      <c r="H795" s="12">
        <f ca="1">IF(TOTALCO!H1328="", "",TOTALCO!H1328)</f>
        <v>120789.43612474545</v>
      </c>
      <c r="I795" s="12">
        <f ca="1">IF(TOTALCO!I1328="", "",TOTALCO!I1328)</f>
        <v>58093.861024844045</v>
      </c>
      <c r="J795" s="12" t="str">
        <f>IF(TOTALCO!J1328="", "",TOTALCO!J1328)</f>
        <v/>
      </c>
      <c r="K795" s="12" t="str">
        <f>IF(TOTALCO!K1328="", "",TOTALCO!K1328)</f>
        <v/>
      </c>
      <c r="L795" s="12">
        <f ca="1">IF(TOTALCO!L1328="", "",TOTALCO!L1328)</f>
        <v>8.3049295569435824</v>
      </c>
      <c r="M795" s="12" t="str">
        <f>IF(TOTALCO!M1328="", "",TOTALCO!M1328)</f>
        <v/>
      </c>
      <c r="N795" s="12">
        <f ca="1">IF(TOTALCO!N1328="", "",TOTALCO!N1328)</f>
        <v>58085.556095287102</v>
      </c>
      <c r="O795" s="12">
        <f ca="1">IF(TOTALCO!O1328="", "",TOTALCO!O1328)</f>
        <v>29459.370718381917</v>
      </c>
      <c r="P795" s="12">
        <f ca="1">IF(TOTALCO!P1328="", "",TOTALCO!P1328)</f>
        <v>28626.185376905181</v>
      </c>
      <c r="Q795" s="12"/>
      <c r="R795" s="13"/>
    </row>
    <row r="796" spans="1:18" ht="15" x14ac:dyDescent="0.2">
      <c r="A796" s="321">
        <f>IF(TOTALCO!A1329="", "",TOTALCO!A1329)</f>
        <v>11</v>
      </c>
      <c r="B796" s="4" t="str">
        <f>IF(TOTALCO!B1329="", "",TOTALCO!B1329)</f>
        <v xml:space="preserve">   FERC 509</v>
      </c>
      <c r="C796" s="4" t="str">
        <f>IF(TOTALCO!C1329="", "",TOTALCO!C1329)</f>
        <v>PRODPLT</v>
      </c>
      <c r="D796" s="12">
        <f ca="1">IF(TOTALCO!D1329="", "",TOTALCO!D1329)</f>
        <v>0</v>
      </c>
      <c r="E796" s="12" t="str">
        <f>IF(TOTALCO!E1329="", "",TOTALCO!E1329)</f>
        <v/>
      </c>
      <c r="F796" s="12">
        <f ca="1">IF(TOTALCO!F1329="", "",TOTALCO!F1329)</f>
        <v>0</v>
      </c>
      <c r="G796" s="12" t="str">
        <f>IF(TOTALCO!G1329="", "",TOTALCO!G1329)</f>
        <v/>
      </c>
      <c r="H796" s="12">
        <f ca="1">IF(TOTALCO!H1329="", "",TOTALCO!H1329)</f>
        <v>0</v>
      </c>
      <c r="I796" s="12">
        <f ca="1">IF(TOTALCO!I1329="", "",TOTALCO!I1329)</f>
        <v>0</v>
      </c>
      <c r="J796" s="12" t="str">
        <f>IF(TOTALCO!J1329="", "",TOTALCO!J1329)</f>
        <v/>
      </c>
      <c r="K796" s="12" t="str">
        <f>IF(TOTALCO!K1329="", "",TOTALCO!K1329)</f>
        <v/>
      </c>
      <c r="L796" s="12">
        <f ca="1">IF(TOTALCO!L1329="", "",TOTALCO!L1329)</f>
        <v>0</v>
      </c>
      <c r="M796" s="12" t="str">
        <f>IF(TOTALCO!M1329="", "",TOTALCO!M1329)</f>
        <v/>
      </c>
      <c r="N796" s="12">
        <f ca="1">IF(TOTALCO!N1329="", "",TOTALCO!N1329)</f>
        <v>0</v>
      </c>
      <c r="O796" s="12">
        <f ca="1">IF(TOTALCO!O1329="", "",TOTALCO!O1329)</f>
        <v>0</v>
      </c>
      <c r="P796" s="12">
        <f ca="1">IF(TOTALCO!P1329="", "",TOTALCO!P1329)</f>
        <v>0</v>
      </c>
      <c r="Q796" s="12"/>
      <c r="R796" s="13"/>
    </row>
    <row r="797" spans="1:18" ht="15" x14ac:dyDescent="0.2">
      <c r="A797" s="321">
        <f>IF(TOTALCO!A1330="", "",TOTALCO!A1330)</f>
        <v>12</v>
      </c>
      <c r="B797" s="4" t="str">
        <f>IF(TOTALCO!B1330="", "",TOTALCO!B1330)</f>
        <v xml:space="preserve">   FERC 511</v>
      </c>
      <c r="C797" s="4" t="str">
        <f>IF(TOTALCO!C1330="", "",TOTALCO!C1330)</f>
        <v>PRODPLT</v>
      </c>
      <c r="D797" s="12">
        <f ca="1">IF(TOTALCO!D1330="", "",TOTALCO!D1330)</f>
        <v>1275449.0000000002</v>
      </c>
      <c r="E797" s="12" t="str">
        <f>IF(TOTALCO!E1330="", "",TOTALCO!E1330)</f>
        <v/>
      </c>
      <c r="F797" s="12">
        <f ca="1">IF(TOTALCO!F1330="", "",TOTALCO!F1330)</f>
        <v>1193369.6281289654</v>
      </c>
      <c r="G797" s="12" t="str">
        <f>IF(TOTALCO!G1330="", "",TOTALCO!G1330)</f>
        <v/>
      </c>
      <c r="H797" s="12">
        <f ca="1">IF(TOTALCO!H1330="", "",TOTALCO!H1330)</f>
        <v>55423.402876372704</v>
      </c>
      <c r="I797" s="12">
        <f ca="1">IF(TOTALCO!I1330="", "",TOTALCO!I1330)</f>
        <v>26655.968994662137</v>
      </c>
      <c r="J797" s="12" t="str">
        <f>IF(TOTALCO!J1330="", "",TOTALCO!J1330)</f>
        <v/>
      </c>
      <c r="K797" s="12" t="str">
        <f>IF(TOTALCO!K1330="", "",TOTALCO!K1330)</f>
        <v/>
      </c>
      <c r="L797" s="12">
        <f ca="1">IF(TOTALCO!L1330="", "",TOTALCO!L1330)</f>
        <v>3.8106598677968591</v>
      </c>
      <c r="M797" s="12" t="str">
        <f>IF(TOTALCO!M1330="", "",TOTALCO!M1330)</f>
        <v/>
      </c>
      <c r="N797" s="12">
        <f ca="1">IF(TOTALCO!N1330="", "",TOTALCO!N1330)</f>
        <v>26652.158334794338</v>
      </c>
      <c r="O797" s="12">
        <f ca="1">IF(TOTALCO!O1330="", "",TOTALCO!O1330)</f>
        <v>13517.229852146053</v>
      </c>
      <c r="P797" s="12">
        <f ca="1">IF(TOTALCO!P1330="", "",TOTALCO!P1330)</f>
        <v>13134.928482648287</v>
      </c>
      <c r="Q797" s="12"/>
      <c r="R797" s="13"/>
    </row>
    <row r="798" spans="1:18" ht="15" x14ac:dyDescent="0.2">
      <c r="A798" s="321">
        <f>IF(TOTALCO!A1331="", "",TOTALCO!A1331)</f>
        <v>13</v>
      </c>
      <c r="B798" s="4" t="str">
        <f>IF(TOTALCO!B1331="", "",TOTALCO!B1331)</f>
        <v xml:space="preserve">   FERC 514</v>
      </c>
      <c r="C798" s="4" t="str">
        <f>IF(TOTALCO!C1331="", "",TOTALCO!C1331)</f>
        <v>PRODPLT</v>
      </c>
      <c r="D798" s="12">
        <f ca="1">IF(TOTALCO!D1331="", "",TOTALCO!D1331)</f>
        <v>275227</v>
      </c>
      <c r="E798" s="12" t="str">
        <f>IF(TOTALCO!E1331="", "",TOTALCO!E1331)</f>
        <v/>
      </c>
      <c r="F798" s="12">
        <f ca="1">IF(TOTALCO!F1331="", "",TOTALCO!F1331)</f>
        <v>257515.23004138208</v>
      </c>
      <c r="G798" s="12" t="str">
        <f>IF(TOTALCO!G1331="", "",TOTALCO!G1331)</f>
        <v/>
      </c>
      <c r="H798" s="12">
        <f ca="1">IF(TOTALCO!H1331="", "",TOTALCO!H1331)</f>
        <v>11959.723127663616</v>
      </c>
      <c r="I798" s="12">
        <f ca="1">IF(TOTALCO!I1331="", "",TOTALCO!I1331)</f>
        <v>5752.0468309543348</v>
      </c>
      <c r="J798" s="12" t="str">
        <f>IF(TOTALCO!J1331="", "",TOTALCO!J1331)</f>
        <v/>
      </c>
      <c r="K798" s="12" t="str">
        <f>IF(TOTALCO!K1331="", "",TOTALCO!K1331)</f>
        <v/>
      </c>
      <c r="L798" s="12">
        <f ca="1">IF(TOTALCO!L1331="", "",TOTALCO!L1331)</f>
        <v>0.82229590005882336</v>
      </c>
      <c r="M798" s="12" t="str">
        <f>IF(TOTALCO!M1331="", "",TOTALCO!M1331)</f>
        <v/>
      </c>
      <c r="N798" s="12">
        <f ca="1">IF(TOTALCO!N1331="", "",TOTALCO!N1331)</f>
        <v>5751.2245350542762</v>
      </c>
      <c r="O798" s="12">
        <f ca="1">IF(TOTALCO!O1331="", "",TOTALCO!O1331)</f>
        <v>2916.8603531121994</v>
      </c>
      <c r="P798" s="12">
        <f ca="1">IF(TOTALCO!P1331="", "",TOTALCO!P1331)</f>
        <v>2834.3641819420768</v>
      </c>
      <c r="Q798" s="12"/>
      <c r="R798" s="13"/>
    </row>
    <row r="799" spans="1:18" ht="15" x14ac:dyDescent="0.2">
      <c r="A799" s="321">
        <f>IF(TOTALCO!A1332="", "",TOTALCO!A1332)</f>
        <v>14</v>
      </c>
      <c r="B799" s="4" t="str">
        <f>IF(TOTALCO!B1332="", "",TOTALCO!B1332)</f>
        <v xml:space="preserve">   FERC 535</v>
      </c>
      <c r="C799" s="4" t="str">
        <f>IF(TOTALCO!C1332="", "",TOTALCO!C1332)</f>
        <v>PRODPLT</v>
      </c>
      <c r="D799" s="12">
        <f ca="1">IF(TOTALCO!D1332="", "",TOTALCO!D1332)</f>
        <v>0</v>
      </c>
      <c r="E799" s="12" t="str">
        <f>IF(TOTALCO!E1332="", "",TOTALCO!E1332)</f>
        <v/>
      </c>
      <c r="F799" s="12">
        <f ca="1">IF(TOTALCO!F1332="", "",TOTALCO!F1332)</f>
        <v>0</v>
      </c>
      <c r="G799" s="12" t="str">
        <f>IF(TOTALCO!G1332="", "",TOTALCO!G1332)</f>
        <v/>
      </c>
      <c r="H799" s="12">
        <f ca="1">IF(TOTALCO!H1332="", "",TOTALCO!H1332)</f>
        <v>0</v>
      </c>
      <c r="I799" s="12">
        <f ca="1">IF(TOTALCO!I1332="", "",TOTALCO!I1332)</f>
        <v>0</v>
      </c>
      <c r="J799" s="12" t="str">
        <f>IF(TOTALCO!J1332="", "",TOTALCO!J1332)</f>
        <v/>
      </c>
      <c r="K799" s="12" t="str">
        <f>IF(TOTALCO!K1332="", "",TOTALCO!K1332)</f>
        <v/>
      </c>
      <c r="L799" s="12">
        <f ca="1">IF(TOTALCO!L1332="", "",TOTALCO!L1332)</f>
        <v>0</v>
      </c>
      <c r="M799" s="12" t="str">
        <f>IF(TOTALCO!M1332="", "",TOTALCO!M1332)</f>
        <v/>
      </c>
      <c r="N799" s="12">
        <f ca="1">IF(TOTALCO!N1332="", "",TOTALCO!N1332)</f>
        <v>0</v>
      </c>
      <c r="O799" s="12">
        <f ca="1">IF(TOTALCO!O1332="", "",TOTALCO!O1332)</f>
        <v>0</v>
      </c>
      <c r="P799" s="12">
        <f ca="1">IF(TOTALCO!P1332="", "",TOTALCO!P1332)</f>
        <v>0</v>
      </c>
      <c r="Q799" s="12"/>
      <c r="R799" s="13"/>
    </row>
    <row r="800" spans="1:18" ht="15" x14ac:dyDescent="0.2">
      <c r="A800" s="321">
        <f>IF(TOTALCO!A1333="", "",TOTALCO!A1333)</f>
        <v>15</v>
      </c>
      <c r="B800" s="4" t="str">
        <f>IF(TOTALCO!B1333="", "",TOTALCO!B1333)</f>
        <v xml:space="preserve">   FERC 538</v>
      </c>
      <c r="C800" s="4" t="str">
        <f>IF(TOTALCO!C1333="", "",TOTALCO!C1333)</f>
        <v>PRODPLT</v>
      </c>
      <c r="D800" s="12">
        <f ca="1">IF(TOTALCO!D1333="", "",TOTALCO!D1333)</f>
        <v>0</v>
      </c>
      <c r="E800" s="12" t="str">
        <f>IF(TOTALCO!E1333="", "",TOTALCO!E1333)</f>
        <v/>
      </c>
      <c r="F800" s="12">
        <f ca="1">IF(TOTALCO!F1333="", "",TOTALCO!F1333)</f>
        <v>0</v>
      </c>
      <c r="G800" s="12" t="str">
        <f>IF(TOTALCO!G1333="", "",TOTALCO!G1333)</f>
        <v/>
      </c>
      <c r="H800" s="12">
        <f ca="1">IF(TOTALCO!H1333="", "",TOTALCO!H1333)</f>
        <v>0</v>
      </c>
      <c r="I800" s="12">
        <f ca="1">IF(TOTALCO!I1333="", "",TOTALCO!I1333)</f>
        <v>0</v>
      </c>
      <c r="J800" s="12" t="str">
        <f>IF(TOTALCO!J1333="", "",TOTALCO!J1333)</f>
        <v/>
      </c>
      <c r="K800" s="12" t="str">
        <f>IF(TOTALCO!K1333="", "",TOTALCO!K1333)</f>
        <v/>
      </c>
      <c r="L800" s="12">
        <f ca="1">IF(TOTALCO!L1333="", "",TOTALCO!L1333)</f>
        <v>0</v>
      </c>
      <c r="M800" s="12" t="str">
        <f>IF(TOTALCO!M1333="", "",TOTALCO!M1333)</f>
        <v/>
      </c>
      <c r="N800" s="12">
        <f ca="1">IF(TOTALCO!N1333="", "",TOTALCO!N1333)</f>
        <v>0</v>
      </c>
      <c r="O800" s="12">
        <f ca="1">IF(TOTALCO!O1333="", "",TOTALCO!O1333)</f>
        <v>0</v>
      </c>
      <c r="P800" s="12">
        <f ca="1">IF(TOTALCO!P1333="", "",TOTALCO!P1333)</f>
        <v>0</v>
      </c>
      <c r="Q800" s="12"/>
      <c r="R800" s="13"/>
    </row>
    <row r="801" spans="1:18" ht="15" x14ac:dyDescent="0.2">
      <c r="A801" s="321">
        <f>IF(TOTALCO!A1334="", "",TOTALCO!A1334)</f>
        <v>16</v>
      </c>
      <c r="B801" s="4" t="str">
        <f>IF(TOTALCO!B1334="", "",TOTALCO!B1334)</f>
        <v xml:space="preserve">   FERC 539</v>
      </c>
      <c r="C801" s="4" t="str">
        <f>IF(TOTALCO!C1334="", "",TOTALCO!C1334)</f>
        <v>PRODPLT</v>
      </c>
      <c r="D801" s="12">
        <f ca="1">IF(TOTALCO!D1334="", "",TOTALCO!D1334)</f>
        <v>0</v>
      </c>
      <c r="E801" s="12" t="str">
        <f>IF(TOTALCO!E1334="", "",TOTALCO!E1334)</f>
        <v/>
      </c>
      <c r="F801" s="12">
        <f ca="1">IF(TOTALCO!F1334="", "",TOTALCO!F1334)</f>
        <v>0</v>
      </c>
      <c r="G801" s="12" t="str">
        <f>IF(TOTALCO!G1334="", "",TOTALCO!G1334)</f>
        <v/>
      </c>
      <c r="H801" s="12">
        <f ca="1">IF(TOTALCO!H1334="", "",TOTALCO!H1334)</f>
        <v>0</v>
      </c>
      <c r="I801" s="12">
        <f ca="1">IF(TOTALCO!I1334="", "",TOTALCO!I1334)</f>
        <v>0</v>
      </c>
      <c r="J801" s="12" t="str">
        <f>IF(TOTALCO!J1334="", "",TOTALCO!J1334)</f>
        <v/>
      </c>
      <c r="K801" s="12" t="str">
        <f>IF(TOTALCO!K1334="", "",TOTALCO!K1334)</f>
        <v/>
      </c>
      <c r="L801" s="12">
        <f ca="1">IF(TOTALCO!L1334="", "",TOTALCO!L1334)</f>
        <v>0</v>
      </c>
      <c r="M801" s="12" t="str">
        <f>IF(TOTALCO!M1334="", "",TOTALCO!M1334)</f>
        <v/>
      </c>
      <c r="N801" s="12">
        <f ca="1">IF(TOTALCO!N1334="", "",TOTALCO!N1334)</f>
        <v>0</v>
      </c>
      <c r="O801" s="12">
        <f ca="1">IF(TOTALCO!O1334="", "",TOTALCO!O1334)</f>
        <v>0</v>
      </c>
      <c r="P801" s="12">
        <f ca="1">IF(TOTALCO!P1334="", "",TOTALCO!P1334)</f>
        <v>0</v>
      </c>
      <c r="Q801" s="12"/>
      <c r="R801" s="13"/>
    </row>
    <row r="802" spans="1:18" ht="15" x14ac:dyDescent="0.2">
      <c r="A802" s="321">
        <f>IF(TOTALCO!A1335="", "",TOTALCO!A1335)</f>
        <v>17</v>
      </c>
      <c r="B802" s="4" t="str">
        <f>IF(TOTALCO!B1335="", "",TOTALCO!B1335)</f>
        <v xml:space="preserve">   FERC 541</v>
      </c>
      <c r="C802" s="4" t="str">
        <f>IF(TOTALCO!C1335="", "",TOTALCO!C1335)</f>
        <v>PRODPLT</v>
      </c>
      <c r="D802" s="12">
        <f ca="1">IF(TOTALCO!D1335="", "",TOTALCO!D1335)</f>
        <v>204027.00000000003</v>
      </c>
      <c r="E802" s="12" t="str">
        <f>IF(TOTALCO!E1335="", "",TOTALCO!E1335)</f>
        <v/>
      </c>
      <c r="F802" s="12">
        <f ca="1">IF(TOTALCO!F1335="", "",TOTALCO!F1335)</f>
        <v>190897.18610330042</v>
      </c>
      <c r="G802" s="12" t="str">
        <f>IF(TOTALCO!G1335="", "",TOTALCO!G1335)</f>
        <v/>
      </c>
      <c r="H802" s="12">
        <f ca="1">IF(TOTALCO!H1335="", "",TOTALCO!H1335)</f>
        <v>8865.7959813820034</v>
      </c>
      <c r="I802" s="12">
        <f ca="1">IF(TOTALCO!I1335="", "",TOTALCO!I1335)</f>
        <v>4264.0179153176114</v>
      </c>
      <c r="J802" s="12" t="str">
        <f>IF(TOTALCO!J1335="", "",TOTALCO!J1335)</f>
        <v/>
      </c>
      <c r="K802" s="12" t="str">
        <f>IF(TOTALCO!K1335="", "",TOTALCO!K1335)</f>
        <v/>
      </c>
      <c r="L802" s="12">
        <f ca="1">IF(TOTALCO!L1335="", "",TOTALCO!L1335)</f>
        <v>0.60957161034819096</v>
      </c>
      <c r="M802" s="12" t="str">
        <f>IF(TOTALCO!M1335="", "",TOTALCO!M1335)</f>
        <v/>
      </c>
      <c r="N802" s="12">
        <f ca="1">IF(TOTALCO!N1335="", "",TOTALCO!N1335)</f>
        <v>4263.4083437072632</v>
      </c>
      <c r="O802" s="12">
        <f ca="1">IF(TOTALCO!O1335="", "",TOTALCO!O1335)</f>
        <v>2162.2815612727777</v>
      </c>
      <c r="P802" s="12">
        <f ca="1">IF(TOTALCO!P1335="", "",TOTALCO!P1335)</f>
        <v>2101.1267824344854</v>
      </c>
      <c r="Q802" s="12"/>
      <c r="R802" s="13"/>
    </row>
    <row r="803" spans="1:18" ht="15" x14ac:dyDescent="0.2">
      <c r="A803" s="321">
        <f>IF(TOTALCO!A1336="", "",TOTALCO!A1336)</f>
        <v>18</v>
      </c>
      <c r="B803" s="4" t="str">
        <f>IF(TOTALCO!B1336="", "",TOTALCO!B1336)</f>
        <v xml:space="preserve">   FERC 542</v>
      </c>
      <c r="C803" s="4" t="str">
        <f>IF(TOTALCO!C1336="", "",TOTALCO!C1336)</f>
        <v>PRODPLT</v>
      </c>
      <c r="D803" s="12">
        <f ca="1">IF(TOTALCO!D1336="", "",TOTALCO!D1336)</f>
        <v>59485.000000000007</v>
      </c>
      <c r="E803" s="12" t="str">
        <f>IF(TOTALCO!E1336="", "",TOTALCO!E1336)</f>
        <v/>
      </c>
      <c r="F803" s="12">
        <f ca="1">IF(TOTALCO!F1336="", "",TOTALCO!F1336)</f>
        <v>55656.943028887472</v>
      </c>
      <c r="G803" s="12" t="str">
        <f>IF(TOTALCO!G1336="", "",TOTALCO!G1336)</f>
        <v/>
      </c>
      <c r="H803" s="12">
        <f ca="1">IF(TOTALCO!H1336="", "",TOTALCO!H1336)</f>
        <v>2584.8631502326084</v>
      </c>
      <c r="I803" s="12">
        <f ca="1">IF(TOTALCO!I1336="", "",TOTALCO!I1336)</f>
        <v>1243.1938208799234</v>
      </c>
      <c r="J803" s="12" t="str">
        <f>IF(TOTALCO!J1336="", "",TOTALCO!J1336)</f>
        <v/>
      </c>
      <c r="K803" s="12" t="str">
        <f>IF(TOTALCO!K1336="", "",TOTALCO!K1336)</f>
        <v/>
      </c>
      <c r="L803" s="12">
        <f ca="1">IF(TOTALCO!L1336="", "",TOTALCO!L1336)</f>
        <v>0.17772337603141808</v>
      </c>
      <c r="M803" s="12" t="str">
        <f>IF(TOTALCO!M1336="", "",TOTALCO!M1336)</f>
        <v/>
      </c>
      <c r="N803" s="12">
        <f ca="1">IF(TOTALCO!N1336="", "",TOTALCO!N1336)</f>
        <v>1243.0160975038918</v>
      </c>
      <c r="O803" s="12">
        <f ca="1">IF(TOTALCO!O1336="", "",TOTALCO!O1336)</f>
        <v>630.42302573831489</v>
      </c>
      <c r="P803" s="12">
        <f ca="1">IF(TOTALCO!P1336="", "",TOTALCO!P1336)</f>
        <v>612.59307176557695</v>
      </c>
      <c r="Q803" s="12"/>
      <c r="R803" s="13"/>
    </row>
    <row r="804" spans="1:18" ht="15" x14ac:dyDescent="0.2">
      <c r="A804" s="321">
        <f>IF(TOTALCO!A1337="", "",TOTALCO!A1337)</f>
        <v>19</v>
      </c>
      <c r="B804" s="4" t="str">
        <f>IF(TOTALCO!B1337="", "",TOTALCO!B1337)</f>
        <v xml:space="preserve">   FERC 543</v>
      </c>
      <c r="C804" s="4" t="str">
        <f>IF(TOTALCO!C1337="", "",TOTALCO!C1337)</f>
        <v>PRODPLT</v>
      </c>
      <c r="D804" s="12">
        <f ca="1">IF(TOTALCO!D1337="", "",TOTALCO!D1337)</f>
        <v>1308.0000000000002</v>
      </c>
      <c r="E804" s="12" t="str">
        <f>IF(TOTALCO!E1337="", "",TOTALCO!E1337)</f>
        <v/>
      </c>
      <c r="F804" s="12">
        <f ca="1">IF(TOTALCO!F1337="", "",TOTALCO!F1337)</f>
        <v>1223.8258633568937</v>
      </c>
      <c r="G804" s="12" t="str">
        <f>IF(TOTALCO!G1337="", "",TOTALCO!G1337)</f>
        <v/>
      </c>
      <c r="H804" s="12">
        <f ca="1">IF(TOTALCO!H1337="", "",TOTALCO!H1337)</f>
        <v>56.837875103038613</v>
      </c>
      <c r="I804" s="12">
        <f ca="1">IF(TOTALCO!I1337="", "",TOTALCO!I1337)</f>
        <v>27.336261540067909</v>
      </c>
      <c r="J804" s="12" t="str">
        <f>IF(TOTALCO!J1337="", "",TOTALCO!J1337)</f>
        <v/>
      </c>
      <c r="K804" s="12" t="str">
        <f>IF(TOTALCO!K1337="", "",TOTALCO!K1337)</f>
        <v/>
      </c>
      <c r="L804" s="12">
        <f ca="1">IF(TOTALCO!L1337="", "",TOTALCO!L1337)</f>
        <v>3.9079125132234155E-3</v>
      </c>
      <c r="M804" s="12" t="str">
        <f>IF(TOTALCO!M1337="", "",TOTALCO!M1337)</f>
        <v/>
      </c>
      <c r="N804" s="12">
        <f ca="1">IF(TOTALCO!N1337="", "",TOTALCO!N1337)</f>
        <v>27.332353627554685</v>
      </c>
      <c r="O804" s="12">
        <f ca="1">IF(TOTALCO!O1337="", "",TOTALCO!O1337)</f>
        <v>13.862205895027584</v>
      </c>
      <c r="P804" s="12">
        <f ca="1">IF(TOTALCO!P1337="", "",TOTALCO!P1337)</f>
        <v>13.470147732527101</v>
      </c>
      <c r="Q804" s="12"/>
      <c r="R804" s="13"/>
    </row>
    <row r="805" spans="1:18" ht="15" x14ac:dyDescent="0.2">
      <c r="A805" s="321">
        <f>IF(TOTALCO!A1338="", "",TOTALCO!A1338)</f>
        <v>20</v>
      </c>
      <c r="B805" s="4" t="str">
        <f>IF(TOTALCO!B1338="", "",TOTALCO!B1338)</f>
        <v xml:space="preserve">   FERC 544</v>
      </c>
      <c r="C805" s="4" t="str">
        <f>IF(TOTALCO!C1338="", "",TOTALCO!C1338)</f>
        <v>PRODPLT</v>
      </c>
      <c r="D805" s="12">
        <f ca="1">IF(TOTALCO!D1338="", "",TOTALCO!D1338)</f>
        <v>1464.0000000000002</v>
      </c>
      <c r="E805" s="12" t="str">
        <f>IF(TOTALCO!E1338="", "",TOTALCO!E1338)</f>
        <v/>
      </c>
      <c r="F805" s="12">
        <f ca="1">IF(TOTALCO!F1338="", "",TOTALCO!F1338)</f>
        <v>1369.7867461425783</v>
      </c>
      <c r="G805" s="12" t="str">
        <f>IF(TOTALCO!G1338="", "",TOTALCO!G1338)</f>
        <v/>
      </c>
      <c r="H805" s="12">
        <f ca="1">IF(TOTALCO!H1338="", "",TOTALCO!H1338)</f>
        <v>63.616704243767991</v>
      </c>
      <c r="I805" s="12">
        <f ca="1">IF(TOTALCO!I1338="", "",TOTALCO!I1338)</f>
        <v>30.596549613653988</v>
      </c>
      <c r="J805" s="12" t="str">
        <f>IF(TOTALCO!J1338="", "",TOTALCO!J1338)</f>
        <v/>
      </c>
      <c r="K805" s="12" t="str">
        <f>IF(TOTALCO!K1338="", "",TOTALCO!K1338)</f>
        <v/>
      </c>
      <c r="L805" s="12">
        <f ca="1">IF(TOTALCO!L1338="", "",TOTALCO!L1338)</f>
        <v>4.3739938221399694E-3</v>
      </c>
      <c r="M805" s="12" t="str">
        <f>IF(TOTALCO!M1338="", "",TOTALCO!M1338)</f>
        <v/>
      </c>
      <c r="N805" s="12">
        <f ca="1">IF(TOTALCO!N1338="", "",TOTALCO!N1338)</f>
        <v>30.592175619831849</v>
      </c>
      <c r="O805" s="12">
        <f ca="1">IF(TOTALCO!O1338="", "",TOTALCO!O1338)</f>
        <v>15.515496506361149</v>
      </c>
      <c r="P805" s="12">
        <f ca="1">IF(TOTALCO!P1338="", "",TOTALCO!P1338)</f>
        <v>15.0766791134707</v>
      </c>
      <c r="Q805" s="12"/>
      <c r="R805" s="13"/>
    </row>
    <row r="806" spans="1:18" ht="15" x14ac:dyDescent="0.2">
      <c r="A806" s="321">
        <f>IF(TOTALCO!A1339="", "",TOTALCO!A1339)</f>
        <v>21</v>
      </c>
      <c r="B806" s="4" t="str">
        <f>IF(TOTALCO!B1339="", "",TOTALCO!B1339)</f>
        <v xml:space="preserve">   FERC 545</v>
      </c>
      <c r="C806" s="4" t="str">
        <f>IF(TOTALCO!C1339="", "",TOTALCO!C1339)</f>
        <v>PRODPLT</v>
      </c>
      <c r="D806" s="12">
        <f ca="1">IF(TOTALCO!D1339="", "",TOTALCO!D1339)</f>
        <v>768.00000000000011</v>
      </c>
      <c r="E806" s="12" t="str">
        <f>IF(TOTALCO!E1339="", "",TOTALCO!E1339)</f>
        <v/>
      </c>
      <c r="F806" s="12">
        <f ca="1">IF(TOTALCO!F1339="", "",TOTALCO!F1339)</f>
        <v>718.57665371413941</v>
      </c>
      <c r="G806" s="12" t="str">
        <f>IF(TOTALCO!G1339="", "",TOTALCO!G1339)</f>
        <v/>
      </c>
      <c r="H806" s="12">
        <f ca="1">IF(TOTALCO!H1339="", "",TOTALCO!H1339)</f>
        <v>33.372697308206156</v>
      </c>
      <c r="I806" s="12">
        <f ca="1">IF(TOTALCO!I1339="", "",TOTALCO!I1339)</f>
        <v>16.050648977654554</v>
      </c>
      <c r="J806" s="12" t="str">
        <f>IF(TOTALCO!J1339="", "",TOTALCO!J1339)</f>
        <v/>
      </c>
      <c r="K806" s="12" t="str">
        <f>IF(TOTALCO!K1339="", "",TOTALCO!K1339)</f>
        <v/>
      </c>
      <c r="L806" s="12">
        <f ca="1">IF(TOTALCO!L1339="", "",TOTALCO!L1339)</f>
        <v>2.294554136204574E-3</v>
      </c>
      <c r="M806" s="12" t="str">
        <f>IF(TOTALCO!M1339="", "",TOTALCO!M1339)</f>
        <v/>
      </c>
      <c r="N806" s="12">
        <f ca="1">IF(TOTALCO!N1339="", "",TOTALCO!N1339)</f>
        <v>16.048354423518347</v>
      </c>
      <c r="O806" s="12">
        <f ca="1">IF(TOTALCO!O1339="", "",TOTALCO!O1339)</f>
        <v>8.1392768557960125</v>
      </c>
      <c r="P806" s="12">
        <f ca="1">IF(TOTALCO!P1339="", "",TOTALCO!P1339)</f>
        <v>7.9090775677223348</v>
      </c>
      <c r="Q806" s="12"/>
      <c r="R806" s="13"/>
    </row>
    <row r="807" spans="1:18" ht="15" x14ac:dyDescent="0.2">
      <c r="A807" s="321">
        <f>IF(TOTALCO!A1340="", "",TOTALCO!A1340)</f>
        <v>22</v>
      </c>
      <c r="B807" s="4" t="str">
        <f>IF(TOTALCO!B1340="", "",TOTALCO!B1340)</f>
        <v xml:space="preserve">   FERC 546</v>
      </c>
      <c r="C807" s="4" t="str">
        <f>IF(TOTALCO!C1340="", "",TOTALCO!C1340)</f>
        <v>PRODPLT</v>
      </c>
      <c r="D807" s="12">
        <f ca="1">IF(TOTALCO!D1340="", "",TOTALCO!D1340)</f>
        <v>1089861.0000000002</v>
      </c>
      <c r="E807" s="12" t="str">
        <f>IF(TOTALCO!E1340="", "",TOTALCO!E1340)</f>
        <v/>
      </c>
      <c r="F807" s="12">
        <f ca="1">IF(TOTALCO!F1340="", "",TOTALCO!F1340)</f>
        <v>1019724.8312415959</v>
      </c>
      <c r="G807" s="12" t="str">
        <f>IF(TOTALCO!G1340="", "",TOTALCO!G1340)</f>
        <v/>
      </c>
      <c r="H807" s="12">
        <f ca="1">IF(TOTALCO!H1340="", "",TOTALCO!H1340)</f>
        <v>47358.855808618326</v>
      </c>
      <c r="I807" s="12">
        <f ca="1">IF(TOTALCO!I1340="", "",TOTALCO!I1340)</f>
        <v>22777.312949785897</v>
      </c>
      <c r="J807" s="12" t="str">
        <f>IF(TOTALCO!J1340="", "",TOTALCO!J1340)</f>
        <v/>
      </c>
      <c r="K807" s="12" t="str">
        <f>IF(TOTALCO!K1340="", "",TOTALCO!K1340)</f>
        <v/>
      </c>
      <c r="L807" s="12">
        <f ca="1">IF(TOTALCO!L1340="", "",TOTALCO!L1340)</f>
        <v>3.2561784706224652</v>
      </c>
      <c r="M807" s="12" t="str">
        <f>IF(TOTALCO!M1340="", "",TOTALCO!M1340)</f>
        <v/>
      </c>
      <c r="N807" s="12">
        <f ca="1">IF(TOTALCO!N1340="", "",TOTALCO!N1340)</f>
        <v>22774.056771315274</v>
      </c>
      <c r="O807" s="12">
        <f ca="1">IF(TOTALCO!O1340="", "",TOTALCO!O1340)</f>
        <v>11550.365121529556</v>
      </c>
      <c r="P807" s="12">
        <f ca="1">IF(TOTALCO!P1340="", "",TOTALCO!P1340)</f>
        <v>11223.691649785718</v>
      </c>
      <c r="Q807" s="12"/>
      <c r="R807" s="13"/>
    </row>
    <row r="808" spans="1:18" ht="15" x14ac:dyDescent="0.2">
      <c r="A808" s="321">
        <f>IF(TOTALCO!A1341="", "",TOTALCO!A1341)</f>
        <v>23</v>
      </c>
      <c r="B808" s="4" t="str">
        <f>IF(TOTALCO!B1341="", "",TOTALCO!B1341)</f>
        <v xml:space="preserve">   FERC 548</v>
      </c>
      <c r="C808" s="4" t="str">
        <f>IF(TOTALCO!C1341="", "",TOTALCO!C1341)</f>
        <v>PRODPLT</v>
      </c>
      <c r="D808" s="12">
        <f ca="1">IF(TOTALCO!D1341="", "",TOTALCO!D1341)</f>
        <v>339571.00000000006</v>
      </c>
      <c r="E808" s="12" t="str">
        <f>IF(TOTALCO!E1341="", "",TOTALCO!E1341)</f>
        <v/>
      </c>
      <c r="F808" s="12">
        <f ca="1">IF(TOTALCO!F1341="", "",TOTALCO!F1341)</f>
        <v>317718.48031036981</v>
      </c>
      <c r="G808" s="12" t="str">
        <f>IF(TOTALCO!G1341="", "",TOTALCO!G1341)</f>
        <v/>
      </c>
      <c r="H808" s="12">
        <f ca="1">IF(TOTALCO!H1341="", "",TOTALCO!H1341)</f>
        <v>14755.729424016763</v>
      </c>
      <c r="I808" s="12">
        <f ca="1">IF(TOTALCO!I1341="", "",TOTALCO!I1341)</f>
        <v>7096.7902656134547</v>
      </c>
      <c r="J808" s="12" t="str">
        <f>IF(TOTALCO!J1341="", "",TOTALCO!J1341)</f>
        <v/>
      </c>
      <c r="K808" s="12" t="str">
        <f>IF(TOTALCO!K1341="", "",TOTALCO!K1341)</f>
        <v/>
      </c>
      <c r="L808" s="12">
        <f ca="1">IF(TOTALCO!L1341="", "",TOTALCO!L1341)</f>
        <v>1.0145365137827127</v>
      </c>
      <c r="M808" s="12" t="str">
        <f>IF(TOTALCO!M1341="", "",TOTALCO!M1341)</f>
        <v/>
      </c>
      <c r="N808" s="12">
        <f ca="1">IF(TOTALCO!N1341="", "",TOTALCO!N1341)</f>
        <v>7095.7757290996724</v>
      </c>
      <c r="O808" s="12">
        <f ca="1">IF(TOTALCO!O1341="", "",TOTALCO!O1341)</f>
        <v>3598.7791421868592</v>
      </c>
      <c r="P808" s="12">
        <f ca="1">IF(TOTALCO!P1341="", "",TOTALCO!P1341)</f>
        <v>3496.9965869128137</v>
      </c>
      <c r="Q808" s="12"/>
      <c r="R808" s="13"/>
    </row>
    <row r="809" spans="1:18" ht="15" x14ac:dyDescent="0.2">
      <c r="A809" s="321">
        <f>IF(TOTALCO!A1342="", "",TOTALCO!A1342)</f>
        <v>24</v>
      </c>
      <c r="B809" s="4" t="str">
        <f>IF(TOTALCO!B1342="", "",TOTALCO!B1342)</f>
        <v xml:space="preserve">   FERC 549</v>
      </c>
      <c r="C809" s="4" t="str">
        <f>IF(TOTALCO!C1342="", "",TOTALCO!C1342)</f>
        <v>PRODPLT</v>
      </c>
      <c r="D809" s="12">
        <f ca="1">IF(TOTALCO!D1342="", "",TOTALCO!D1342)</f>
        <v>2160322.0000000005</v>
      </c>
      <c r="E809" s="12" t="str">
        <f>IF(TOTALCO!E1342="", "",TOTALCO!E1342)</f>
        <v/>
      </c>
      <c r="F809" s="12">
        <f ca="1">IF(TOTALCO!F1342="", "",TOTALCO!F1342)</f>
        <v>2021298.1168034335</v>
      </c>
      <c r="G809" s="12" t="str">
        <f>IF(TOTALCO!G1342="", "",TOTALCO!G1342)</f>
        <v/>
      </c>
      <c r="H809" s="12">
        <f ca="1">IF(TOTALCO!H1342="", "",TOTALCO!H1342)</f>
        <v>93874.703377940823</v>
      </c>
      <c r="I809" s="12">
        <f ca="1">IF(TOTALCO!I1342="", "",TOTALCO!I1342)</f>
        <v>45149.179818625831</v>
      </c>
      <c r="J809" s="12" t="str">
        <f>IF(TOTALCO!J1342="", "",TOTALCO!J1342)</f>
        <v/>
      </c>
      <c r="K809" s="12" t="str">
        <f>IF(TOTALCO!K1342="", "",TOTALCO!K1342)</f>
        <v/>
      </c>
      <c r="L809" s="12">
        <f ca="1">IF(TOTALCO!L1342="", "",TOTALCO!L1342)</f>
        <v>6.4543955477001793</v>
      </c>
      <c r="M809" s="12" t="str">
        <f>IF(TOTALCO!M1342="", "",TOTALCO!M1342)</f>
        <v/>
      </c>
      <c r="N809" s="12">
        <f ca="1">IF(TOTALCO!N1342="", "",TOTALCO!N1342)</f>
        <v>45142.725423078133</v>
      </c>
      <c r="O809" s="12">
        <f ca="1">IF(TOTALCO!O1342="", "",TOTALCO!O1342)</f>
        <v>22895.128718316348</v>
      </c>
      <c r="P809" s="12">
        <f ca="1">IF(TOTALCO!P1342="", "",TOTALCO!P1342)</f>
        <v>22247.596704761785</v>
      </c>
      <c r="Q809" s="12"/>
      <c r="R809" s="13"/>
    </row>
    <row r="810" spans="1:18" ht="15" x14ac:dyDescent="0.2">
      <c r="A810" s="321">
        <f>IF(TOTALCO!A1343="", "",TOTALCO!A1343)</f>
        <v>25</v>
      </c>
      <c r="B810" s="4" t="str">
        <f>IF(TOTALCO!B1343="", "",TOTALCO!B1343)</f>
        <v xml:space="preserve">   FERC 550</v>
      </c>
      <c r="C810" s="4" t="str">
        <f>IF(TOTALCO!C1343="", "",TOTALCO!C1343)</f>
        <v>PRODPLT</v>
      </c>
      <c r="D810" s="12">
        <f ca="1">IF(TOTALCO!D1343="", "",TOTALCO!D1343)</f>
        <v>0</v>
      </c>
      <c r="E810" s="12" t="str">
        <f>IF(TOTALCO!E1343="", "",TOTALCO!E1343)</f>
        <v/>
      </c>
      <c r="F810" s="12">
        <f ca="1">IF(TOTALCO!F1343="", "",TOTALCO!F1343)</f>
        <v>0</v>
      </c>
      <c r="G810" s="12" t="str">
        <f>IF(TOTALCO!G1343="", "",TOTALCO!G1343)</f>
        <v/>
      </c>
      <c r="H810" s="12">
        <f ca="1">IF(TOTALCO!H1343="", "",TOTALCO!H1343)</f>
        <v>0</v>
      </c>
      <c r="I810" s="12">
        <f ca="1">IF(TOTALCO!I1343="", "",TOTALCO!I1343)</f>
        <v>0</v>
      </c>
      <c r="J810" s="12" t="str">
        <f>IF(TOTALCO!J1343="", "",TOTALCO!J1343)</f>
        <v/>
      </c>
      <c r="K810" s="12" t="str">
        <f>IF(TOTALCO!K1343="", "",TOTALCO!K1343)</f>
        <v/>
      </c>
      <c r="L810" s="12">
        <f ca="1">IF(TOTALCO!L1343="", "",TOTALCO!L1343)</f>
        <v>0</v>
      </c>
      <c r="M810" s="12" t="str">
        <f>IF(TOTALCO!M1343="", "",TOTALCO!M1343)</f>
        <v/>
      </c>
      <c r="N810" s="12">
        <f ca="1">IF(TOTALCO!N1343="", "",TOTALCO!N1343)</f>
        <v>0</v>
      </c>
      <c r="O810" s="12">
        <f ca="1">IF(TOTALCO!O1343="", "",TOTALCO!O1343)</f>
        <v>0</v>
      </c>
      <c r="P810" s="12">
        <f ca="1">IF(TOTALCO!P1343="", "",TOTALCO!P1343)</f>
        <v>0</v>
      </c>
      <c r="Q810" s="12"/>
      <c r="R810" s="13"/>
    </row>
    <row r="811" spans="1:18" ht="15" x14ac:dyDescent="0.2">
      <c r="A811" s="321">
        <f>IF(TOTALCO!A1344="", "",TOTALCO!A1344)</f>
        <v>26</v>
      </c>
      <c r="B811" s="4" t="str">
        <f>IF(TOTALCO!B1344="", "",TOTALCO!B1344)</f>
        <v xml:space="preserve">   FERC 551</v>
      </c>
      <c r="C811" s="4" t="str">
        <f>IF(TOTALCO!C1344="", "",TOTALCO!C1344)</f>
        <v>PRODPLT</v>
      </c>
      <c r="D811" s="12">
        <f ca="1">IF(TOTALCO!D1344="", "",TOTALCO!D1344)</f>
        <v>300805.00000000006</v>
      </c>
      <c r="E811" s="12" t="str">
        <f>IF(TOTALCO!E1344="", "",TOTALCO!E1344)</f>
        <v/>
      </c>
      <c r="F811" s="12">
        <f ca="1">IF(TOTALCO!F1344="", "",TOTALCO!F1344)</f>
        <v>281447.20093812724</v>
      </c>
      <c r="G811" s="12" t="str">
        <f>IF(TOTALCO!G1344="", "",TOTALCO!G1344)</f>
        <v/>
      </c>
      <c r="H811" s="12">
        <f ca="1">IF(TOTALCO!H1344="", "",TOTALCO!H1344)</f>
        <v>13071.190382545512</v>
      </c>
      <c r="I811" s="12">
        <f ca="1">IF(TOTALCO!I1344="", "",TOTALCO!I1344)</f>
        <v>6286.6086793273143</v>
      </c>
      <c r="J811" s="12" t="str">
        <f>IF(TOTALCO!J1344="", "",TOTALCO!J1344)</f>
        <v/>
      </c>
      <c r="K811" s="12" t="str">
        <f>IF(TOTALCO!K1344="", "",TOTALCO!K1344)</f>
        <v/>
      </c>
      <c r="L811" s="12">
        <f ca="1">IF(TOTALCO!L1344="", "",TOTALCO!L1344)</f>
        <v>0.89871530851694914</v>
      </c>
      <c r="M811" s="12" t="str">
        <f>IF(TOTALCO!M1344="", "",TOTALCO!M1344)</f>
        <v/>
      </c>
      <c r="N811" s="12">
        <f ca="1">IF(TOTALCO!N1344="", "",TOTALCO!N1344)</f>
        <v>6285.7099640187971</v>
      </c>
      <c r="O811" s="12">
        <f ca="1">IF(TOTALCO!O1344="", "",TOTALCO!O1344)</f>
        <v>3187.9364252704681</v>
      </c>
      <c r="P811" s="12">
        <f ca="1">IF(TOTALCO!P1344="", "",TOTALCO!P1344)</f>
        <v>3097.7735387483294</v>
      </c>
      <c r="Q811" s="12"/>
      <c r="R811" s="13"/>
    </row>
    <row r="812" spans="1:18" ht="15" x14ac:dyDescent="0.2">
      <c r="A812" s="321">
        <f>IF(TOTALCO!A1345="", "",TOTALCO!A1345)</f>
        <v>27</v>
      </c>
      <c r="B812" s="4" t="str">
        <f>IF(TOTALCO!B1345="", "",TOTALCO!B1345)</f>
        <v xml:space="preserve">   FERC 552</v>
      </c>
      <c r="C812" s="4" t="str">
        <f>IF(TOTALCO!C1345="", "",TOTALCO!C1345)</f>
        <v>PRODPLT</v>
      </c>
      <c r="D812" s="12">
        <f ca="1">IF(TOTALCO!D1345="", "",TOTALCO!D1345)</f>
        <v>249049.00000000003</v>
      </c>
      <c r="E812" s="12" t="str">
        <f>IF(TOTALCO!E1345="", "",TOTALCO!E1345)</f>
        <v/>
      </c>
      <c r="F812" s="12">
        <f ca="1">IF(TOTALCO!F1345="", "",TOTALCO!F1345)</f>
        <v>233021.87113392277</v>
      </c>
      <c r="G812" s="12" t="str">
        <f>IF(TOTALCO!G1345="", "",TOTALCO!G1345)</f>
        <v/>
      </c>
      <c r="H812" s="12">
        <f ca="1">IF(TOTALCO!H1345="", "",TOTALCO!H1345)</f>
        <v>10822.183453009682</v>
      </c>
      <c r="I812" s="12">
        <f ca="1">IF(TOTALCO!I1345="", "",TOTALCO!I1345)</f>
        <v>5204.9454130675631</v>
      </c>
      <c r="J812" s="12" t="str">
        <f>IF(TOTALCO!J1345="", "",TOTALCO!J1345)</f>
        <v/>
      </c>
      <c r="K812" s="12" t="str">
        <f>IF(TOTALCO!K1345="", "",TOTALCO!K1345)</f>
        <v/>
      </c>
      <c r="L812" s="12">
        <f ca="1">IF(TOTALCO!L1345="", "",TOTALCO!L1345)</f>
        <v>0.74408387118178776</v>
      </c>
      <c r="M812" s="12" t="str">
        <f>IF(TOTALCO!M1345="", "",TOTALCO!M1345)</f>
        <v/>
      </c>
      <c r="N812" s="12">
        <f ca="1">IF(TOTALCO!N1345="", "",TOTALCO!N1345)</f>
        <v>5204.2013291963813</v>
      </c>
      <c r="O812" s="12">
        <f ca="1">IF(TOTALCO!O1345="", "",TOTALCO!O1345)</f>
        <v>2639.4254709103402</v>
      </c>
      <c r="P812" s="12">
        <f ca="1">IF(TOTALCO!P1345="", "",TOTALCO!P1345)</f>
        <v>2564.7758582860415</v>
      </c>
      <c r="Q812" s="12"/>
      <c r="R812" s="13"/>
    </row>
    <row r="813" spans="1:18" ht="15" x14ac:dyDescent="0.2">
      <c r="A813" s="321">
        <f>IF(TOTALCO!A1346="", "",TOTALCO!A1346)</f>
        <v>28</v>
      </c>
      <c r="B813" s="4" t="str">
        <f>IF(TOTALCO!B1346="", "",TOTALCO!B1346)</f>
        <v xml:space="preserve">   FERC 553</v>
      </c>
      <c r="C813" s="4" t="str">
        <f>IF(TOTALCO!C1346="", "",TOTALCO!C1346)</f>
        <v>PRODPLT</v>
      </c>
      <c r="D813" s="12">
        <f ca="1">IF(TOTALCO!D1346="", "",TOTALCO!D1346)</f>
        <v>1712789.0000000002</v>
      </c>
      <c r="E813" s="12" t="str">
        <f>IF(TOTALCO!E1346="", "",TOTALCO!E1346)</f>
        <v/>
      </c>
      <c r="F813" s="12">
        <f ca="1">IF(TOTALCO!F1346="", "",TOTALCO!F1346)</f>
        <v>1602565.3491385248</v>
      </c>
      <c r="G813" s="12" t="str">
        <f>IF(TOTALCO!G1346="", "",TOTALCO!G1346)</f>
        <v/>
      </c>
      <c r="H813" s="12">
        <f ca="1">IF(TOTALCO!H1346="", "",TOTALCO!H1346)</f>
        <v>74427.589648209789</v>
      </c>
      <c r="I813" s="12">
        <f ca="1">IF(TOTALCO!I1346="", "",TOTALCO!I1346)</f>
        <v>35796.061213265581</v>
      </c>
      <c r="J813" s="12" t="str">
        <f>IF(TOTALCO!J1346="", "",TOTALCO!J1346)</f>
        <v/>
      </c>
      <c r="K813" s="12" t="str">
        <f>IF(TOTALCO!K1346="", "",TOTALCO!K1346)</f>
        <v/>
      </c>
      <c r="L813" s="12">
        <f ca="1">IF(TOTALCO!L1346="", "",TOTALCO!L1346)</f>
        <v>5.1173008911402293</v>
      </c>
      <c r="M813" s="12" t="str">
        <f>IF(TOTALCO!M1346="", "",TOTALCO!M1346)</f>
        <v/>
      </c>
      <c r="N813" s="12">
        <f ca="1">IF(TOTALCO!N1346="", "",TOTALCO!N1346)</f>
        <v>35790.943912374438</v>
      </c>
      <c r="O813" s="12">
        <f ca="1">IF(TOTALCO!O1346="", "",TOTALCO!O1346)</f>
        <v>18152.166492919267</v>
      </c>
      <c r="P813" s="12">
        <f ca="1">IF(TOTALCO!P1346="", "",TOTALCO!P1346)</f>
        <v>17638.777419455171</v>
      </c>
      <c r="Q813" s="12"/>
      <c r="R813" s="13"/>
    </row>
    <row r="814" spans="1:18" ht="15" x14ac:dyDescent="0.2">
      <c r="A814" s="321">
        <f>IF(TOTALCO!A1347="", "",TOTALCO!A1347)</f>
        <v>29</v>
      </c>
      <c r="B814" s="4" t="str">
        <f>IF(TOTALCO!B1347="", "",TOTALCO!B1347)</f>
        <v xml:space="preserve">   FERC 554</v>
      </c>
      <c r="C814" s="4" t="str">
        <f>IF(TOTALCO!C1347="", "",TOTALCO!C1347)</f>
        <v>PRODPLT</v>
      </c>
      <c r="D814" s="12">
        <f ca="1">IF(TOTALCO!D1347="", "",TOTALCO!D1347)</f>
        <v>1532183.0000000002</v>
      </c>
      <c r="E814" s="12" t="str">
        <f>IF(TOTALCO!E1347="", "",TOTALCO!E1347)</f>
        <v/>
      </c>
      <c r="F814" s="12">
        <f ca="1">IF(TOTALCO!F1347="", "",TOTALCO!F1347)</f>
        <v>1433581.9440334521</v>
      </c>
      <c r="G814" s="12" t="str">
        <f>IF(TOTALCO!G1347="", "",TOTALCO!G1347)</f>
        <v/>
      </c>
      <c r="H814" s="12">
        <f ca="1">IF(TOTALCO!H1347="", "",TOTALCO!H1347)</f>
        <v>66579.530572629214</v>
      </c>
      <c r="I814" s="12">
        <f ca="1">IF(TOTALCO!I1347="", "",TOTALCO!I1347)</f>
        <v>32021.525393918862</v>
      </c>
      <c r="J814" s="12" t="str">
        <f>IF(TOTALCO!J1347="", "",TOTALCO!J1347)</f>
        <v/>
      </c>
      <c r="K814" s="12" t="str">
        <f>IF(TOTALCO!K1347="", "",TOTALCO!K1347)</f>
        <v/>
      </c>
      <c r="L814" s="12">
        <f ca="1">IF(TOTALCO!L1347="", "",TOTALCO!L1347)</f>
        <v>4.5777042188441834</v>
      </c>
      <c r="M814" s="12" t="str">
        <f>IF(TOTALCO!M1347="", "",TOTALCO!M1347)</f>
        <v/>
      </c>
      <c r="N814" s="12">
        <f ca="1">IF(TOTALCO!N1347="", "",TOTALCO!N1347)</f>
        <v>32016.947689700017</v>
      </c>
      <c r="O814" s="12">
        <f ca="1">IF(TOTALCO!O1347="", "",TOTALCO!O1347)</f>
        <v>16238.101081698051</v>
      </c>
      <c r="P814" s="12">
        <f ca="1">IF(TOTALCO!P1347="", "",TOTALCO!P1347)</f>
        <v>15778.846608001966</v>
      </c>
      <c r="Q814" s="12"/>
      <c r="R814" s="13"/>
    </row>
    <row r="815" spans="1:18" ht="15" x14ac:dyDescent="0.2">
      <c r="A815" s="321">
        <f>IF(TOTALCO!A1348="", "",TOTALCO!A1348)</f>
        <v>30</v>
      </c>
      <c r="B815" s="4" t="str">
        <f>IF(TOTALCO!B1348="", "",TOTALCO!B1348)</f>
        <v xml:space="preserve">   FERC 555</v>
      </c>
      <c r="C815" s="4" t="str">
        <f>IF(TOTALCO!C1348="", "",TOTALCO!C1348)</f>
        <v>PRODPLT</v>
      </c>
      <c r="D815" s="12">
        <f ca="1">IF(TOTALCO!D1348="", "",TOTALCO!D1348)</f>
        <v>0</v>
      </c>
      <c r="E815" s="12" t="str">
        <f>IF(TOTALCO!E1348="", "",TOTALCO!E1348)</f>
        <v/>
      </c>
      <c r="F815" s="12">
        <f ca="1">IF(TOTALCO!F1348="", "",TOTALCO!F1348)</f>
        <v>0</v>
      </c>
      <c r="G815" s="12" t="str">
        <f>IF(TOTALCO!G1348="", "",TOTALCO!G1348)</f>
        <v/>
      </c>
      <c r="H815" s="12">
        <f ca="1">IF(TOTALCO!H1348="", "",TOTALCO!H1348)</f>
        <v>0</v>
      </c>
      <c r="I815" s="12">
        <f ca="1">IF(TOTALCO!I1348="", "",TOTALCO!I1348)</f>
        <v>0</v>
      </c>
      <c r="J815" s="12" t="str">
        <f>IF(TOTALCO!J1348="", "",TOTALCO!J1348)</f>
        <v/>
      </c>
      <c r="K815" s="12" t="str">
        <f>IF(TOTALCO!K1348="", "",TOTALCO!K1348)</f>
        <v/>
      </c>
      <c r="L815" s="12">
        <f ca="1">IF(TOTALCO!L1348="", "",TOTALCO!L1348)</f>
        <v>0</v>
      </c>
      <c r="M815" s="12" t="str">
        <f>IF(TOTALCO!M1348="", "",TOTALCO!M1348)</f>
        <v/>
      </c>
      <c r="N815" s="12">
        <f ca="1">IF(TOTALCO!N1348="", "",TOTALCO!N1348)</f>
        <v>0</v>
      </c>
      <c r="O815" s="12">
        <f ca="1">IF(TOTALCO!O1348="", "",TOTALCO!O1348)</f>
        <v>0</v>
      </c>
      <c r="P815" s="12">
        <f ca="1">IF(TOTALCO!P1348="", "",TOTALCO!P1348)</f>
        <v>0</v>
      </c>
      <c r="Q815" s="12"/>
      <c r="R815" s="13"/>
    </row>
    <row r="816" spans="1:18" ht="15" x14ac:dyDescent="0.2">
      <c r="A816" s="321">
        <f>IF(TOTALCO!A1349="", "",TOTALCO!A1349)</f>
        <v>31</v>
      </c>
      <c r="B816" s="4" t="str">
        <f>IF(TOTALCO!B1349="", "",TOTALCO!B1349)</f>
        <v xml:space="preserve">   FERC 556</v>
      </c>
      <c r="C816" s="4" t="str">
        <f>IF(TOTALCO!C1349="", "",TOTALCO!C1349)</f>
        <v>PRODPLT</v>
      </c>
      <c r="D816" s="12">
        <f ca="1">IF(TOTALCO!D1349="", "",TOTALCO!D1349)</f>
        <v>1807958.0000000005</v>
      </c>
      <c r="E816" s="12" t="str">
        <f>IF(TOTALCO!E1349="", "",TOTALCO!E1349)</f>
        <v/>
      </c>
      <c r="F816" s="12">
        <f ca="1">IF(TOTALCO!F1349="", "",TOTALCO!F1349)</f>
        <v>1691609.9084579533</v>
      </c>
      <c r="G816" s="12" t="str">
        <f>IF(TOTALCO!G1349="", "",TOTALCO!G1349)</f>
        <v/>
      </c>
      <c r="H816" s="12">
        <f ca="1">IF(TOTALCO!H1349="", "",TOTALCO!H1349)</f>
        <v>78563.066510351287</v>
      </c>
      <c r="I816" s="12">
        <f ca="1">IF(TOTALCO!I1349="", "",TOTALCO!I1349)</f>
        <v>37785.02503169579</v>
      </c>
      <c r="J816" s="12" t="str">
        <f>IF(TOTALCO!J1349="", "",TOTALCO!J1349)</f>
        <v/>
      </c>
      <c r="K816" s="12" t="str">
        <f>IF(TOTALCO!K1349="", "",TOTALCO!K1349)</f>
        <v/>
      </c>
      <c r="L816" s="12">
        <f ca="1">IF(TOTALCO!L1349="", "",TOTALCO!L1349)</f>
        <v>5.4016373788856109</v>
      </c>
      <c r="M816" s="12" t="str">
        <f>IF(TOTALCO!M1349="", "",TOTALCO!M1349)</f>
        <v/>
      </c>
      <c r="N816" s="12">
        <f ca="1">IF(TOTALCO!N1349="", "",TOTALCO!N1349)</f>
        <v>37779.623394316906</v>
      </c>
      <c r="O816" s="12">
        <f ca="1">IF(TOTALCO!O1349="", "",TOTALCO!O1349)</f>
        <v>19160.769147983396</v>
      </c>
      <c r="P816" s="12">
        <f ca="1">IF(TOTALCO!P1349="", "",TOTALCO!P1349)</f>
        <v>18618.854246333511</v>
      </c>
      <c r="Q816" s="12"/>
      <c r="R816" s="13"/>
    </row>
    <row r="817" spans="1:18" ht="15" x14ac:dyDescent="0.2">
      <c r="A817" s="321">
        <f>IF(TOTALCO!A1350="", "",TOTALCO!A1350)</f>
        <v>32</v>
      </c>
      <c r="B817" s="4" t="str">
        <f>IF(TOTALCO!B1350="", "",TOTALCO!B1350)</f>
        <v xml:space="preserve">   FERC 557</v>
      </c>
      <c r="C817" s="4" t="str">
        <f>IF(TOTALCO!C1350="", "",TOTALCO!C1350)</f>
        <v>PRODPLT</v>
      </c>
      <c r="D817" s="12">
        <f ca="1">IF(TOTALCO!D1350="", "",TOTALCO!D1350)</f>
        <v>0</v>
      </c>
      <c r="E817" s="12" t="str">
        <f>IF(TOTALCO!E1350="", "",TOTALCO!E1350)</f>
        <v/>
      </c>
      <c r="F817" s="12">
        <f ca="1">IF(TOTALCO!F1350="", "",TOTALCO!F1350)</f>
        <v>0</v>
      </c>
      <c r="G817" s="12" t="str">
        <f>IF(TOTALCO!G1350="", "",TOTALCO!G1350)</f>
        <v/>
      </c>
      <c r="H817" s="12">
        <f ca="1">IF(TOTALCO!H1350="", "",TOTALCO!H1350)</f>
        <v>0</v>
      </c>
      <c r="I817" s="12">
        <f ca="1">IF(TOTALCO!I1350="", "",TOTALCO!I1350)</f>
        <v>0</v>
      </c>
      <c r="J817" s="12" t="str">
        <f>IF(TOTALCO!J1350="", "",TOTALCO!J1350)</f>
        <v/>
      </c>
      <c r="K817" s="12" t="str">
        <f>IF(TOTALCO!K1350="", "",TOTALCO!K1350)</f>
        <v/>
      </c>
      <c r="L817" s="12">
        <f ca="1">IF(TOTALCO!L1350="", "",TOTALCO!L1350)</f>
        <v>0</v>
      </c>
      <c r="M817" s="12" t="str">
        <f>IF(TOTALCO!M1350="", "",TOTALCO!M1350)</f>
        <v/>
      </c>
      <c r="N817" s="12">
        <f ca="1">IF(TOTALCO!N1350="", "",TOTALCO!N1350)</f>
        <v>0</v>
      </c>
      <c r="O817" s="12">
        <f ca="1">IF(TOTALCO!O1350="", "",TOTALCO!O1350)</f>
        <v>0</v>
      </c>
      <c r="P817" s="12">
        <f ca="1">IF(TOTALCO!P1350="", "",TOTALCO!P1350)</f>
        <v>0</v>
      </c>
      <c r="Q817" s="12"/>
      <c r="R817" s="13"/>
    </row>
    <row r="818" spans="1:18" ht="15" x14ac:dyDescent="0.2">
      <c r="A818" s="321" t="str">
        <f>IF(TOTALCO!A1351="", "",TOTALCO!A1351)</f>
        <v/>
      </c>
      <c r="B818" s="4" t="str">
        <f>IF(TOTALCO!B1351="", "",TOTALCO!B1351)</f>
        <v/>
      </c>
      <c r="C818" s="4" t="str">
        <f>IF(TOTALCO!C1351="", "",TOTALCO!C1351)</f>
        <v/>
      </c>
      <c r="D818" s="12" t="str">
        <f>IF(TOTALCO!D1351="", "",TOTALCO!D1351)</f>
        <v/>
      </c>
      <c r="E818" s="12" t="str">
        <f>IF(TOTALCO!E1351="", "",TOTALCO!E1351)</f>
        <v/>
      </c>
      <c r="F818" s="12" t="str">
        <f>IF(TOTALCO!F1351="", "",TOTALCO!F1351)</f>
        <v/>
      </c>
      <c r="G818" s="12" t="str">
        <f>IF(TOTALCO!G1351="", "",TOTALCO!G1351)</f>
        <v/>
      </c>
      <c r="H818" s="12" t="str">
        <f>IF(TOTALCO!H1351="", "",TOTALCO!H1351)</f>
        <v/>
      </c>
      <c r="I818" s="12" t="str">
        <f>IF(TOTALCO!I1351="", "",TOTALCO!I1351)</f>
        <v/>
      </c>
      <c r="J818" s="12" t="str">
        <f>IF(TOTALCO!J1351="", "",TOTALCO!J1351)</f>
        <v/>
      </c>
      <c r="K818" s="12" t="str">
        <f>IF(TOTALCO!K1351="", "",TOTALCO!K1351)</f>
        <v/>
      </c>
      <c r="L818" s="12" t="str">
        <f>IF(TOTALCO!L1351="", "",TOTALCO!L1351)</f>
        <v/>
      </c>
      <c r="M818" s="12" t="str">
        <f>IF(TOTALCO!M1351="", "",TOTALCO!M1351)</f>
        <v/>
      </c>
      <c r="N818" s="12" t="str">
        <f>IF(TOTALCO!N1351="", "",TOTALCO!N1351)</f>
        <v/>
      </c>
      <c r="O818" s="12" t="str">
        <f>IF(TOTALCO!O1351="", "",TOTALCO!O1351)</f>
        <v/>
      </c>
      <c r="P818" s="12" t="str">
        <f>IF(TOTALCO!P1351="", "",TOTALCO!P1351)</f>
        <v/>
      </c>
      <c r="Q818" s="12"/>
      <c r="R818" s="13"/>
    </row>
    <row r="819" spans="1:18" ht="15" x14ac:dyDescent="0.2">
      <c r="A819" s="321">
        <f>IF(TOTALCO!A1352="", "",TOTALCO!A1352)</f>
        <v>33</v>
      </c>
      <c r="B819" s="4" t="str">
        <f>IF(TOTALCO!B1352="", "",TOTALCO!B1352)</f>
        <v xml:space="preserve">     TOTAL DEMAND</v>
      </c>
      <c r="C819" s="4" t="str">
        <f>IF(TOTALCO!C1352="", "",TOTALCO!C1352)</f>
        <v/>
      </c>
      <c r="D819" s="12">
        <f ca="1">IF(TOTALCO!D1352="", "",TOTALCO!D1352)</f>
        <v>37521269.000000007</v>
      </c>
      <c r="E819" s="12" t="str">
        <f>IF(TOTALCO!E1352="", "",TOTALCO!E1352)</f>
        <v/>
      </c>
      <c r="F819" s="12">
        <f ca="1">IF(TOTALCO!F1352="", "",TOTALCO!F1352)</f>
        <v>35106650.938968845</v>
      </c>
      <c r="G819" s="12" t="str">
        <f>IF(TOTALCO!G1352="", "",TOTALCO!G1352)</f>
        <v/>
      </c>
      <c r="H819" s="12">
        <f ca="1">IF(TOTALCO!H1352="", "",TOTALCO!H1352)</f>
        <v>1630450.4595791399</v>
      </c>
      <c r="I819" s="12">
        <f ca="1">IF(TOTALCO!I1352="", "",TOTALCO!I1352)</f>
        <v>784167.60145202</v>
      </c>
      <c r="J819" s="12" t="str">
        <f>IF(TOTALCO!J1352="", "",TOTALCO!J1352)</f>
        <v/>
      </c>
      <c r="K819" s="12" t="str">
        <f>IF(TOTALCO!K1352="", "",TOTALCO!K1352)</f>
        <v/>
      </c>
      <c r="L819" s="12">
        <f ca="1">IF(TOTALCO!L1352="", "",TOTALCO!L1352)</f>
        <v>112.10232158801362</v>
      </c>
      <c r="M819" s="12" t="str">
        <f>IF(TOTALCO!M1352="", "",TOTALCO!M1352)</f>
        <v/>
      </c>
      <c r="N819" s="12">
        <f ca="1">IF(TOTALCO!N1352="", "",TOTALCO!N1352)</f>
        <v>784055.49913043226</v>
      </c>
      <c r="O819" s="12">
        <f ca="1">IF(TOTALCO!O1352="", "",TOTALCO!O1352)</f>
        <v>397651.03694244323</v>
      </c>
      <c r="P819" s="12">
        <f ca="1">IF(TOTALCO!P1352="", "",TOTALCO!P1352)</f>
        <v>386404.46218798897</v>
      </c>
      <c r="Q819" s="12"/>
      <c r="R819" s="13"/>
    </row>
    <row r="820" spans="1:18" ht="15" x14ac:dyDescent="0.2">
      <c r="A820" s="321" t="str">
        <f>IF(TOTALCO!A1353="", "",TOTALCO!A1353)</f>
        <v/>
      </c>
      <c r="B820" s="4" t="str">
        <f>IF(TOTALCO!B1353="", "",TOTALCO!B1353)</f>
        <v/>
      </c>
      <c r="C820" s="4" t="str">
        <f>IF(TOTALCO!C1353="", "",TOTALCO!C1353)</f>
        <v/>
      </c>
      <c r="D820" s="12" t="str">
        <f>IF(TOTALCO!D1353="", "",TOTALCO!D1353)</f>
        <v/>
      </c>
      <c r="E820" s="12" t="str">
        <f>IF(TOTALCO!E1353="", "",TOTALCO!E1353)</f>
        <v/>
      </c>
      <c r="F820" s="12" t="str">
        <f>IF(TOTALCO!F1353="", "",TOTALCO!F1353)</f>
        <v/>
      </c>
      <c r="G820" s="12" t="str">
        <f>IF(TOTALCO!G1353="", "",TOTALCO!G1353)</f>
        <v/>
      </c>
      <c r="H820" s="12" t="str">
        <f>IF(TOTALCO!H1353="", "",TOTALCO!H1353)</f>
        <v/>
      </c>
      <c r="I820" s="12" t="str">
        <f>IF(TOTALCO!I1353="", "",TOTALCO!I1353)</f>
        <v/>
      </c>
      <c r="J820" s="12" t="str">
        <f>IF(TOTALCO!J1353="", "",TOTALCO!J1353)</f>
        <v/>
      </c>
      <c r="K820" s="12" t="str">
        <f>IF(TOTALCO!K1353="", "",TOTALCO!K1353)</f>
        <v/>
      </c>
      <c r="L820" s="12" t="str">
        <f>IF(TOTALCO!L1353="", "",TOTALCO!L1353)</f>
        <v/>
      </c>
      <c r="M820" s="12" t="str">
        <f>IF(TOTALCO!M1353="", "",TOTALCO!M1353)</f>
        <v/>
      </c>
      <c r="N820" s="12" t="str">
        <f>IF(TOTALCO!N1353="", "",TOTALCO!N1353)</f>
        <v/>
      </c>
      <c r="O820" s="12" t="str">
        <f>IF(TOTALCO!O1353="", "",TOTALCO!O1353)</f>
        <v/>
      </c>
      <c r="P820" s="12" t="str">
        <f>IF(TOTALCO!P1353="", "",TOTALCO!P1353)</f>
        <v/>
      </c>
      <c r="Q820" s="12"/>
      <c r="R820" s="13"/>
    </row>
    <row r="821" spans="1:18" ht="15" x14ac:dyDescent="0.2">
      <c r="A821" s="321">
        <f>IF(TOTALCO!A1354="", "",TOTALCO!A1354)</f>
        <v>34</v>
      </c>
      <c r="B821" s="4" t="str">
        <f>IF(TOTALCO!B1354="", "",TOTALCO!B1354)</f>
        <v xml:space="preserve">     TOTAL PRODUCTION</v>
      </c>
      <c r="C821" s="4" t="str">
        <f>IF(TOTALCO!C1354="", "",TOTALCO!C1354)</f>
        <v/>
      </c>
      <c r="D821" s="12">
        <f ca="1">IF(TOTALCO!D1354="", "",TOTALCO!D1354)</f>
        <v>62748605.000000007</v>
      </c>
      <c r="E821" s="12" t="str">
        <f>IF(TOTALCO!E1354="", "",TOTALCO!E1354)</f>
        <v/>
      </c>
      <c r="F821" s="12">
        <f ca="1">IF(TOTALCO!F1354="", "",TOTALCO!F1354)</f>
        <v>58845805.186552048</v>
      </c>
      <c r="G821" s="12" t="str">
        <f>IF(TOTALCO!G1354="", "",TOTALCO!G1354)</f>
        <v/>
      </c>
      <c r="H821" s="12">
        <f ca="1">IF(TOTALCO!H1354="", "",TOTALCO!H1354)</f>
        <v>2598899.6798917754</v>
      </c>
      <c r="I821" s="12">
        <f ca="1">IF(TOTALCO!I1354="", "",TOTALCO!I1354)</f>
        <v>1303900.1335561888</v>
      </c>
      <c r="J821" s="12" t="str">
        <f>IF(TOTALCO!J1354="", "",TOTALCO!J1354)</f>
        <v/>
      </c>
      <c r="K821" s="12" t="str">
        <f>IF(TOTALCO!K1354="", "",TOTALCO!K1354)</f>
        <v/>
      </c>
      <c r="L821" s="12">
        <f ca="1">IF(TOTALCO!L1354="", "",TOTALCO!L1354)</f>
        <v>218.34580300280453</v>
      </c>
      <c r="M821" s="12" t="str">
        <f>IF(TOTALCO!M1354="", "",TOTALCO!M1354)</f>
        <v/>
      </c>
      <c r="N821" s="12">
        <f ca="1">IF(TOTALCO!N1354="", "",TOTALCO!N1354)</f>
        <v>1303681.7877531862</v>
      </c>
      <c r="O821" s="12">
        <f ca="1">IF(TOTALCO!O1354="", "",TOTALCO!O1354)</f>
        <v>660793.76874278532</v>
      </c>
      <c r="P821" s="12">
        <f ca="1">IF(TOTALCO!P1354="", "",TOTALCO!P1354)</f>
        <v>642888.01901040087</v>
      </c>
      <c r="Q821" s="12"/>
      <c r="R821" s="13"/>
    </row>
    <row r="822" spans="1:18" ht="15" x14ac:dyDescent="0.2">
      <c r="A822" s="321" t="str">
        <f>IF(TOTALCO!A1355="", "",TOTALCO!A1355)</f>
        <v/>
      </c>
      <c r="B822" s="4" t="str">
        <f>IF(TOTALCO!B1355="", "",TOTALCO!B1355)</f>
        <v/>
      </c>
      <c r="C822" s="4" t="str">
        <f>IF(TOTALCO!C1355="", "",TOTALCO!C1355)</f>
        <v/>
      </c>
      <c r="D822" s="12" t="str">
        <f>IF(TOTALCO!D1355="", "",TOTALCO!D1355)</f>
        <v/>
      </c>
      <c r="E822" s="12" t="str">
        <f>IF(TOTALCO!E1355="", "",TOTALCO!E1355)</f>
        <v/>
      </c>
      <c r="F822" s="12" t="str">
        <f>IF(TOTALCO!F1355="", "",TOTALCO!F1355)</f>
        <v/>
      </c>
      <c r="G822" s="12" t="str">
        <f>IF(TOTALCO!G1355="", "",TOTALCO!G1355)</f>
        <v/>
      </c>
      <c r="H822" s="12" t="str">
        <f>IF(TOTALCO!H1355="", "",TOTALCO!H1355)</f>
        <v/>
      </c>
      <c r="I822" s="12" t="str">
        <f>IF(TOTALCO!I1355="", "",TOTALCO!I1355)</f>
        <v/>
      </c>
      <c r="J822" s="12" t="str">
        <f>IF(TOTALCO!J1355="", "",TOTALCO!J1355)</f>
        <v/>
      </c>
      <c r="K822" s="12" t="str">
        <f>IF(TOTALCO!K1355="", "",TOTALCO!K1355)</f>
        <v/>
      </c>
      <c r="L822" s="12" t="str">
        <f>IF(TOTALCO!L1355="", "",TOTALCO!L1355)</f>
        <v/>
      </c>
      <c r="M822" s="12" t="str">
        <f>IF(TOTALCO!M1355="", "",TOTALCO!M1355)</f>
        <v/>
      </c>
      <c r="N822" s="12" t="str">
        <f>IF(TOTALCO!N1355="", "",TOTALCO!N1355)</f>
        <v/>
      </c>
      <c r="O822" s="12" t="str">
        <f>IF(TOTALCO!O1355="", "",TOTALCO!O1355)</f>
        <v/>
      </c>
      <c r="P822" s="12" t="str">
        <f>IF(TOTALCO!P1355="", "",TOTALCO!P1355)</f>
        <v/>
      </c>
      <c r="Q822" s="12"/>
      <c r="R822" s="13"/>
    </row>
    <row r="823" spans="1:18" ht="15" x14ac:dyDescent="0.2">
      <c r="A823" s="321" t="str">
        <f>IF(TOTALCO!A1356="", "",TOTALCO!A1356)</f>
        <v/>
      </c>
      <c r="B823" s="4" t="str">
        <f>IF(TOTALCO!B1356="", "",TOTALCO!B1356)</f>
        <v/>
      </c>
      <c r="C823" s="4" t="str">
        <f>IF(TOTALCO!C1356="", "",TOTALCO!C1356)</f>
        <v/>
      </c>
      <c r="D823" s="12" t="str">
        <f>IF(TOTALCO!D1356="", "",TOTALCO!D1356)</f>
        <v/>
      </c>
      <c r="E823" s="12" t="str">
        <f>IF(TOTALCO!E1356="", "",TOTALCO!E1356)</f>
        <v/>
      </c>
      <c r="F823" s="12" t="str">
        <f>IF(TOTALCO!F1356="", "",TOTALCO!F1356)</f>
        <v/>
      </c>
      <c r="G823" s="12" t="str">
        <f>IF(TOTALCO!G1356="", "",TOTALCO!G1356)</f>
        <v/>
      </c>
      <c r="H823" s="12" t="str">
        <f>IF(TOTALCO!H1356="", "",TOTALCO!H1356)</f>
        <v/>
      </c>
      <c r="I823" s="12" t="str">
        <f>IF(TOTALCO!I1356="", "",TOTALCO!I1356)</f>
        <v/>
      </c>
      <c r="J823" s="12" t="str">
        <f>IF(TOTALCO!J1356="", "",TOTALCO!J1356)</f>
        <v/>
      </c>
      <c r="K823" s="12" t="str">
        <f>IF(TOTALCO!K1356="", "",TOTALCO!K1356)</f>
        <v/>
      </c>
      <c r="L823" s="12" t="str">
        <f>IF(TOTALCO!L1356="", "",TOTALCO!L1356)</f>
        <v/>
      </c>
      <c r="M823" s="12" t="str">
        <f>IF(TOTALCO!M1356="", "",TOTALCO!M1356)</f>
        <v/>
      </c>
      <c r="N823" s="12" t="str">
        <f>IF(TOTALCO!N1356="", "",TOTALCO!N1356)</f>
        <v/>
      </c>
      <c r="O823" s="12" t="str">
        <f>IF(TOTALCO!O1356="", "",TOTALCO!O1356)</f>
        <v/>
      </c>
      <c r="P823" s="12" t="str">
        <f>IF(TOTALCO!P1356="", "",TOTALCO!P1356)</f>
        <v/>
      </c>
      <c r="Q823" s="12"/>
      <c r="R823" s="13"/>
    </row>
    <row r="824" spans="1:18" ht="15" x14ac:dyDescent="0.2">
      <c r="A824" s="321" t="str">
        <f>IF(TOTALCO!A1357="", "",TOTALCO!A1357)</f>
        <v/>
      </c>
      <c r="B824" s="4" t="str">
        <f>IF(TOTALCO!B1357="", "",TOTALCO!B1357)</f>
        <v/>
      </c>
      <c r="C824" s="4" t="str">
        <f>IF(TOTALCO!C1357="", "",TOTALCO!C1357)</f>
        <v/>
      </c>
      <c r="D824" s="12" t="str">
        <f>IF(TOTALCO!D1357="", "",TOTALCO!D1357)</f>
        <v/>
      </c>
      <c r="E824" s="12" t="str">
        <f>IF(TOTALCO!E1357="", "",TOTALCO!E1357)</f>
        <v/>
      </c>
      <c r="F824" s="12" t="str">
        <f>IF(TOTALCO!F1357="", "",TOTALCO!F1357)</f>
        <v/>
      </c>
      <c r="G824" s="12" t="str">
        <f>IF(TOTALCO!G1357="", "",TOTALCO!G1357)</f>
        <v/>
      </c>
      <c r="H824" s="12" t="str">
        <f>IF(TOTALCO!H1357="", "",TOTALCO!H1357)</f>
        <v/>
      </c>
      <c r="I824" s="12" t="str">
        <f>IF(TOTALCO!I1357="", "",TOTALCO!I1357)</f>
        <v/>
      </c>
      <c r="J824" s="12" t="str">
        <f>IF(TOTALCO!J1357="", "",TOTALCO!J1357)</f>
        <v/>
      </c>
      <c r="K824" s="12" t="str">
        <f>IF(TOTALCO!K1357="", "",TOTALCO!K1357)</f>
        <v/>
      </c>
      <c r="L824" s="12" t="str">
        <f>IF(TOTALCO!L1357="", "",TOTALCO!L1357)</f>
        <v/>
      </c>
      <c r="M824" s="12" t="str">
        <f>IF(TOTALCO!M1357="", "",TOTALCO!M1357)</f>
        <v/>
      </c>
      <c r="N824" s="12" t="str">
        <f>IF(TOTALCO!N1357="", "",TOTALCO!N1357)</f>
        <v/>
      </c>
      <c r="O824" s="12" t="str">
        <f>IF(TOTALCO!O1357="", "",TOTALCO!O1357)</f>
        <v/>
      </c>
      <c r="P824" s="12" t="str">
        <f>IF(TOTALCO!P1357="", "",TOTALCO!P1357)</f>
        <v/>
      </c>
      <c r="Q824" s="12"/>
      <c r="R824" s="13"/>
    </row>
    <row r="825" spans="1:18" ht="15" x14ac:dyDescent="0.2">
      <c r="A825" s="321" t="str">
        <f>IF(TOTALCO!A1358="", "",TOTALCO!A1358)</f>
        <v/>
      </c>
      <c r="B825" s="4" t="str">
        <f>IF(TOTALCO!B1358="", "",TOTALCO!B1358)</f>
        <v/>
      </c>
      <c r="C825" s="4" t="str">
        <f>IF(TOTALCO!C1358="", "",TOTALCO!C1358)</f>
        <v/>
      </c>
      <c r="D825" s="12" t="str">
        <f>IF(TOTALCO!D1358="", "",TOTALCO!D1358)</f>
        <v/>
      </c>
      <c r="E825" s="12" t="str">
        <f>IF(TOTALCO!E1358="", "",TOTALCO!E1358)</f>
        <v/>
      </c>
      <c r="F825" s="12" t="str">
        <f>IF(TOTALCO!F1358="", "",TOTALCO!F1358)</f>
        <v/>
      </c>
      <c r="G825" s="12" t="str">
        <f>IF(TOTALCO!G1358="", "",TOTALCO!G1358)</f>
        <v/>
      </c>
      <c r="H825" s="12" t="str">
        <f>IF(TOTALCO!H1358="", "",TOTALCO!H1358)</f>
        <v/>
      </c>
      <c r="I825" s="12" t="str">
        <f>IF(TOTALCO!I1358="", "",TOTALCO!I1358)</f>
        <v/>
      </c>
      <c r="J825" s="12" t="str">
        <f>IF(TOTALCO!J1358="", "",TOTALCO!J1358)</f>
        <v/>
      </c>
      <c r="K825" s="12" t="str">
        <f>IF(TOTALCO!K1358="", "",TOTALCO!K1358)</f>
        <v/>
      </c>
      <c r="L825" s="12" t="str">
        <f>IF(TOTALCO!L1358="", "",TOTALCO!L1358)</f>
        <v/>
      </c>
      <c r="M825" s="12" t="str">
        <f>IF(TOTALCO!M1358="", "",TOTALCO!M1358)</f>
        <v/>
      </c>
      <c r="N825" s="12" t="str">
        <f>IF(TOTALCO!N1358="", "",TOTALCO!N1358)</f>
        <v/>
      </c>
      <c r="O825" s="12" t="str">
        <f>IF(TOTALCO!O1358="", "",TOTALCO!O1358)</f>
        <v/>
      </c>
      <c r="P825" s="12" t="str">
        <f>IF(TOTALCO!P1358="", "",TOTALCO!P1358)</f>
        <v/>
      </c>
      <c r="Q825" s="12"/>
      <c r="R825" s="13"/>
    </row>
    <row r="826" spans="1:18" ht="15" x14ac:dyDescent="0.2">
      <c r="A826" s="321" t="str">
        <f>IF(TOTALCO!A1359="", "",TOTALCO!A1359)</f>
        <v/>
      </c>
      <c r="B826" s="4" t="str">
        <f>IF(TOTALCO!B1359="", "",TOTALCO!B1359)</f>
        <v xml:space="preserve"> TRANSMISSION LABOR</v>
      </c>
      <c r="C826" s="4" t="str">
        <f>IF(TOTALCO!C1359="", "",TOTALCO!C1359)</f>
        <v/>
      </c>
      <c r="D826" s="12" t="str">
        <f>IF(TOTALCO!D1359="", "",TOTALCO!D1359)</f>
        <v/>
      </c>
      <c r="E826" s="12" t="str">
        <f>IF(TOTALCO!E1359="", "",TOTALCO!E1359)</f>
        <v/>
      </c>
      <c r="F826" s="12" t="str">
        <f>IF(TOTALCO!F1359="", "",TOTALCO!F1359)</f>
        <v/>
      </c>
      <c r="G826" s="12" t="str">
        <f>IF(TOTALCO!G1359="", "",TOTALCO!G1359)</f>
        <v/>
      </c>
      <c r="H826" s="12" t="str">
        <f>IF(TOTALCO!H1359="", "",TOTALCO!H1359)</f>
        <v/>
      </c>
      <c r="I826" s="12" t="str">
        <f>IF(TOTALCO!I1359="", "",TOTALCO!I1359)</f>
        <v/>
      </c>
      <c r="J826" s="12" t="str">
        <f>IF(TOTALCO!J1359="", "",TOTALCO!J1359)</f>
        <v/>
      </c>
      <c r="K826" s="12" t="str">
        <f>IF(TOTALCO!K1359="", "",TOTALCO!K1359)</f>
        <v/>
      </c>
      <c r="L826" s="12" t="str">
        <f>IF(TOTALCO!L1359="", "",TOTALCO!L1359)</f>
        <v/>
      </c>
      <c r="M826" s="12" t="str">
        <f>IF(TOTALCO!M1359="", "",TOTALCO!M1359)</f>
        <v/>
      </c>
      <c r="N826" s="12" t="str">
        <f>IF(TOTALCO!N1359="", "",TOTALCO!N1359)</f>
        <v/>
      </c>
      <c r="O826" s="12" t="str">
        <f>IF(TOTALCO!O1359="", "",TOTALCO!O1359)</f>
        <v/>
      </c>
      <c r="P826" s="12" t="str">
        <f>IF(TOTALCO!P1359="", "",TOTALCO!P1359)</f>
        <v/>
      </c>
      <c r="Q826" s="12"/>
      <c r="R826" s="13"/>
    </row>
    <row r="827" spans="1:18" ht="15" x14ac:dyDescent="0.2">
      <c r="A827" s="321">
        <f>IF(TOTALCO!A1360="", "",TOTALCO!A1360)</f>
        <v>1</v>
      </c>
      <c r="B827" s="4" t="str">
        <f>IF(TOTALCO!B1360="", "",TOTALCO!B1360)</f>
        <v xml:space="preserve">      FERC 560</v>
      </c>
      <c r="C827" s="4" t="str">
        <f>IF(TOTALCO!C1360="", "",TOTALCO!C1360)</f>
        <v>TRANPLTXF</v>
      </c>
      <c r="D827" s="12">
        <f ca="1">IF(TOTALCO!D1360="", "",TOTALCO!D1360)</f>
        <v>1672042</v>
      </c>
      <c r="E827" s="12" t="str">
        <f>IF(TOTALCO!E1360="", "",TOTALCO!E1360)</f>
        <v/>
      </c>
      <c r="F827" s="12">
        <f ca="1">IF(TOTALCO!F1360="", "",TOTALCO!F1360)</f>
        <v>1514314.4137726326</v>
      </c>
      <c r="G827" s="12" t="str">
        <f>IF(TOTALCO!G1360="", "",TOTALCO!G1360)</f>
        <v/>
      </c>
      <c r="H827" s="12">
        <f ca="1">IF(TOTALCO!H1360="", "",TOTALCO!H1360)</f>
        <v>157722.73767624859</v>
      </c>
      <c r="I827" s="12">
        <f ca="1">IF(TOTALCO!I1360="", "",TOTALCO!I1360)</f>
        <v>4.8485511188055606</v>
      </c>
      <c r="J827" s="12" t="str">
        <f>IF(TOTALCO!J1360="", "",TOTALCO!J1360)</f>
        <v/>
      </c>
      <c r="K827" s="12" t="str">
        <f>IF(TOTALCO!K1360="", "",TOTALCO!K1360)</f>
        <v/>
      </c>
      <c r="L827" s="12">
        <f ca="1">IF(TOTALCO!L1360="", "",TOTALCO!L1360)</f>
        <v>4.8485511188055606</v>
      </c>
      <c r="M827" s="12" t="str">
        <f>IF(TOTALCO!M1360="", "",TOTALCO!M1360)</f>
        <v/>
      </c>
      <c r="N827" s="12">
        <f ca="1">IF(TOTALCO!N1360="", "",TOTALCO!N1360)</f>
        <v>0</v>
      </c>
      <c r="O827" s="12">
        <f ca="1">IF(TOTALCO!O1360="", "",TOTALCO!O1360)</f>
        <v>0</v>
      </c>
      <c r="P827" s="12">
        <f ca="1">IF(TOTALCO!P1360="", "",TOTALCO!P1360)</f>
        <v>0</v>
      </c>
      <c r="Q827" s="12"/>
      <c r="R827" s="13"/>
    </row>
    <row r="828" spans="1:18" ht="15" x14ac:dyDescent="0.2">
      <c r="A828" s="321">
        <f>IF(TOTALCO!A1361="", "",TOTALCO!A1361)</f>
        <v>2</v>
      </c>
      <c r="B828" s="4" t="str">
        <f>IF(TOTALCO!B1361="", "",TOTALCO!B1361)</f>
        <v xml:space="preserve">      FERC 561</v>
      </c>
      <c r="C828" s="4" t="str">
        <f>IF(TOTALCO!C1361="", "",TOTALCO!C1361)</f>
        <v>TRANPLTXF</v>
      </c>
      <c r="D828" s="12">
        <f ca="1">IF(TOTALCO!D1361="", "",TOTALCO!D1361)</f>
        <v>3437436</v>
      </c>
      <c r="E828" s="12" t="str">
        <f>IF(TOTALCO!E1361="", "",TOTALCO!E1361)</f>
        <v/>
      </c>
      <c r="F828" s="12">
        <f ca="1">IF(TOTALCO!F1361="", "",TOTALCO!F1361)</f>
        <v>3113174.7176332553</v>
      </c>
      <c r="G828" s="12" t="str">
        <f>IF(TOTALCO!G1361="", "",TOTALCO!G1361)</f>
        <v/>
      </c>
      <c r="H828" s="12">
        <f ca="1">IF(TOTALCO!H1361="", "",TOTALCO!H1361)</f>
        <v>324251.3145644028</v>
      </c>
      <c r="I828" s="12">
        <f ca="1">IF(TOTALCO!I1361="", "",TOTALCO!I1361)</f>
        <v>9.9678023420598958</v>
      </c>
      <c r="J828" s="12" t="str">
        <f>IF(TOTALCO!J1361="", "",TOTALCO!J1361)</f>
        <v/>
      </c>
      <c r="K828" s="12" t="str">
        <f>IF(TOTALCO!K1361="", "",TOTALCO!K1361)</f>
        <v/>
      </c>
      <c r="L828" s="12">
        <f ca="1">IF(TOTALCO!L1361="", "",TOTALCO!L1361)</f>
        <v>9.9678023420598958</v>
      </c>
      <c r="M828" s="12" t="str">
        <f>IF(TOTALCO!M1361="", "",TOTALCO!M1361)</f>
        <v/>
      </c>
      <c r="N828" s="12">
        <f ca="1">IF(TOTALCO!N1361="", "",TOTALCO!N1361)</f>
        <v>0</v>
      </c>
      <c r="O828" s="12">
        <f ca="1">IF(TOTALCO!O1361="", "",TOTALCO!O1361)</f>
        <v>0</v>
      </c>
      <c r="P828" s="12">
        <f ca="1">IF(TOTALCO!P1361="", "",TOTALCO!P1361)</f>
        <v>0</v>
      </c>
      <c r="Q828" s="12"/>
      <c r="R828" s="13"/>
    </row>
    <row r="829" spans="1:18" ht="15" x14ac:dyDescent="0.2">
      <c r="A829" s="321">
        <f>IF(TOTALCO!A1362="", "",TOTALCO!A1362)</f>
        <v>3</v>
      </c>
      <c r="B829" s="4" t="str">
        <f>IF(TOTALCO!B1362="", "",TOTALCO!B1362)</f>
        <v xml:space="preserve">      FERC 562</v>
      </c>
      <c r="C829" s="4" t="str">
        <f>IF(TOTALCO!C1362="", "",TOTALCO!C1362)</f>
        <v>TRANPLTXF</v>
      </c>
      <c r="D829" s="12">
        <f ca="1">IF(TOTALCO!D1362="", "",TOTALCO!D1362)</f>
        <v>527592</v>
      </c>
      <c r="E829" s="12" t="str">
        <f>IF(TOTALCO!E1362="", "",TOTALCO!E1362)</f>
        <v/>
      </c>
      <c r="F829" s="12">
        <f ca="1">IF(TOTALCO!F1362="", "",TOTALCO!F1362)</f>
        <v>477823.02728707221</v>
      </c>
      <c r="G829" s="12" t="str">
        <f>IF(TOTALCO!G1362="", "",TOTALCO!G1362)</f>
        <v/>
      </c>
      <c r="H829" s="12">
        <f ca="1">IF(TOTALCO!H1362="", "",TOTALCO!H1362)</f>
        <v>49767.44281309162</v>
      </c>
      <c r="I829" s="12">
        <f ca="1">IF(TOTALCO!I1362="", "",TOTALCO!I1362)</f>
        <v>1.5298998361720959</v>
      </c>
      <c r="J829" s="12" t="str">
        <f>IF(TOTALCO!J1362="", "",TOTALCO!J1362)</f>
        <v/>
      </c>
      <c r="K829" s="12" t="str">
        <f>IF(TOTALCO!K1362="", "",TOTALCO!K1362)</f>
        <v/>
      </c>
      <c r="L829" s="12">
        <f ca="1">IF(TOTALCO!L1362="", "",TOTALCO!L1362)</f>
        <v>1.5298998361720959</v>
      </c>
      <c r="M829" s="12" t="str">
        <f>IF(TOTALCO!M1362="", "",TOTALCO!M1362)</f>
        <v/>
      </c>
      <c r="N829" s="12">
        <f ca="1">IF(TOTALCO!N1362="", "",TOTALCO!N1362)</f>
        <v>0</v>
      </c>
      <c r="O829" s="12">
        <f ca="1">IF(TOTALCO!O1362="", "",TOTALCO!O1362)</f>
        <v>0</v>
      </c>
      <c r="P829" s="12">
        <f ca="1">IF(TOTALCO!P1362="", "",TOTALCO!P1362)</f>
        <v>0</v>
      </c>
      <c r="Q829" s="12"/>
      <c r="R829" s="13"/>
    </row>
    <row r="830" spans="1:18" ht="15" x14ac:dyDescent="0.2">
      <c r="A830" s="321">
        <f>IF(TOTALCO!A1363="", "",TOTALCO!A1363)</f>
        <v>4</v>
      </c>
      <c r="B830" s="4" t="str">
        <f>IF(TOTALCO!B1363="", "",TOTALCO!B1363)</f>
        <v xml:space="preserve">      FERC 563</v>
      </c>
      <c r="C830" s="4" t="str">
        <f>IF(TOTALCO!C1363="", "",TOTALCO!C1363)</f>
        <v>TRANPLTXF</v>
      </c>
      <c r="D830" s="12">
        <f ca="1">IF(TOTALCO!D1363="", "",TOTALCO!D1363)</f>
        <v>45680</v>
      </c>
      <c r="E830" s="12" t="str">
        <f>IF(TOTALCO!E1363="", "",TOTALCO!E1363)</f>
        <v/>
      </c>
      <c r="F830" s="12">
        <f ca="1">IF(TOTALCO!F1363="", "",TOTALCO!F1363)</f>
        <v>41370.90002591673</v>
      </c>
      <c r="G830" s="12" t="str">
        <f>IF(TOTALCO!G1363="", "",TOTALCO!G1363)</f>
        <v/>
      </c>
      <c r="H830" s="12">
        <f ca="1">IF(TOTALCO!H1363="", "",TOTALCO!H1363)</f>
        <v>4308.9675122102408</v>
      </c>
      <c r="I830" s="12">
        <f ca="1">IF(TOTALCO!I1363="", "",TOTALCO!I1363)</f>
        <v>0.13246187303132217</v>
      </c>
      <c r="J830" s="12" t="str">
        <f>IF(TOTALCO!J1363="", "",TOTALCO!J1363)</f>
        <v/>
      </c>
      <c r="K830" s="12" t="str">
        <f>IF(TOTALCO!K1363="", "",TOTALCO!K1363)</f>
        <v/>
      </c>
      <c r="L830" s="12">
        <f ca="1">IF(TOTALCO!L1363="", "",TOTALCO!L1363)</f>
        <v>0.13246187303132217</v>
      </c>
      <c r="M830" s="12" t="str">
        <f>IF(TOTALCO!M1363="", "",TOTALCO!M1363)</f>
        <v/>
      </c>
      <c r="N830" s="12">
        <f ca="1">IF(TOTALCO!N1363="", "",TOTALCO!N1363)</f>
        <v>0</v>
      </c>
      <c r="O830" s="12">
        <f ca="1">IF(TOTALCO!O1363="", "",TOTALCO!O1363)</f>
        <v>0</v>
      </c>
      <c r="P830" s="12">
        <f ca="1">IF(TOTALCO!P1363="", "",TOTALCO!P1363)</f>
        <v>0</v>
      </c>
      <c r="Q830" s="12"/>
      <c r="R830" s="13"/>
    </row>
    <row r="831" spans="1:18" ht="15" x14ac:dyDescent="0.2">
      <c r="A831" s="321">
        <f>IF(TOTALCO!A1364="", "",TOTALCO!A1364)</f>
        <v>5</v>
      </c>
      <c r="B831" s="4" t="str">
        <f>IF(TOTALCO!B1364="", "",TOTALCO!B1364)</f>
        <v xml:space="preserve">      FERC 565</v>
      </c>
      <c r="C831" s="4" t="str">
        <f>IF(TOTALCO!C1364="", "",TOTALCO!C1364)</f>
        <v>TRANPLTXF</v>
      </c>
      <c r="D831" s="12">
        <f ca="1">IF(TOTALCO!D1364="", "",TOTALCO!D1364)</f>
        <v>0</v>
      </c>
      <c r="E831" s="12" t="str">
        <f>IF(TOTALCO!E1364="", "",TOTALCO!E1364)</f>
        <v/>
      </c>
      <c r="F831" s="12">
        <f ca="1">IF(TOTALCO!F1364="", "",TOTALCO!F1364)</f>
        <v>0</v>
      </c>
      <c r="G831" s="12" t="str">
        <f>IF(TOTALCO!G1364="", "",TOTALCO!G1364)</f>
        <v/>
      </c>
      <c r="H831" s="12">
        <f ca="1">IF(TOTALCO!H1364="", "",TOTALCO!H1364)</f>
        <v>0</v>
      </c>
      <c r="I831" s="12">
        <f ca="1">IF(TOTALCO!I1364="", "",TOTALCO!I1364)</f>
        <v>0</v>
      </c>
      <c r="J831" s="12" t="str">
        <f>IF(TOTALCO!J1364="", "",TOTALCO!J1364)</f>
        <v/>
      </c>
      <c r="K831" s="12" t="str">
        <f>IF(TOTALCO!K1364="", "",TOTALCO!K1364)</f>
        <v/>
      </c>
      <c r="L831" s="12">
        <f ca="1">IF(TOTALCO!L1364="", "",TOTALCO!L1364)</f>
        <v>0</v>
      </c>
      <c r="M831" s="12" t="str">
        <f>IF(TOTALCO!M1364="", "",TOTALCO!M1364)</f>
        <v/>
      </c>
      <c r="N831" s="12">
        <f ca="1">IF(TOTALCO!N1364="", "",TOTALCO!N1364)</f>
        <v>0</v>
      </c>
      <c r="O831" s="12">
        <f ca="1">IF(TOTALCO!O1364="", "",TOTALCO!O1364)</f>
        <v>0</v>
      </c>
      <c r="P831" s="12">
        <f ca="1">IF(TOTALCO!P1364="", "",TOTALCO!P1364)</f>
        <v>0</v>
      </c>
      <c r="Q831" s="12"/>
      <c r="R831" s="13"/>
    </row>
    <row r="832" spans="1:18" ht="15" x14ac:dyDescent="0.2">
      <c r="A832" s="321">
        <f>IF(TOTALCO!A1365="", "",TOTALCO!A1365)</f>
        <v>6</v>
      </c>
      <c r="B832" s="4" t="str">
        <f>IF(TOTALCO!B1365="", "",TOTALCO!B1365)</f>
        <v xml:space="preserve">      FERC 566</v>
      </c>
      <c r="C832" s="4" t="str">
        <f>IF(TOTALCO!C1365="", "",TOTALCO!C1365)</f>
        <v>TRANPLTXF</v>
      </c>
      <c r="D832" s="12">
        <f ca="1">IF(TOTALCO!D1365="", "",TOTALCO!D1365)</f>
        <v>256224.00000000003</v>
      </c>
      <c r="E832" s="12" t="str">
        <f>IF(TOTALCO!E1365="", "",TOTALCO!E1365)</f>
        <v/>
      </c>
      <c r="F832" s="12">
        <f ca="1">IF(TOTALCO!F1365="", "",TOTALCO!F1365)</f>
        <v>232053.79790368845</v>
      </c>
      <c r="G832" s="12" t="str">
        <f>IF(TOTALCO!G1365="", "",TOTALCO!G1365)</f>
        <v/>
      </c>
      <c r="H832" s="12">
        <f ca="1">IF(TOTALCO!H1365="", "",TOTALCO!H1365)</f>
        <v>24169.459103514815</v>
      </c>
      <c r="I832" s="12">
        <f ca="1">IF(TOTALCO!I1365="", "",TOTALCO!I1365)</f>
        <v>0.74299279675082086</v>
      </c>
      <c r="J832" s="12" t="str">
        <f>IF(TOTALCO!J1365="", "",TOTALCO!J1365)</f>
        <v/>
      </c>
      <c r="K832" s="12" t="str">
        <f>IF(TOTALCO!K1365="", "",TOTALCO!K1365)</f>
        <v/>
      </c>
      <c r="L832" s="12">
        <f ca="1">IF(TOTALCO!L1365="", "",TOTALCO!L1365)</f>
        <v>0.74299279675082086</v>
      </c>
      <c r="M832" s="12" t="str">
        <f>IF(TOTALCO!M1365="", "",TOTALCO!M1365)</f>
        <v/>
      </c>
      <c r="N832" s="12">
        <f ca="1">IF(TOTALCO!N1365="", "",TOTALCO!N1365)</f>
        <v>0</v>
      </c>
      <c r="O832" s="12">
        <f ca="1">IF(TOTALCO!O1365="", "",TOTALCO!O1365)</f>
        <v>0</v>
      </c>
      <c r="P832" s="12">
        <f ca="1">IF(TOTALCO!P1365="", "",TOTALCO!P1365)</f>
        <v>0</v>
      </c>
      <c r="Q832" s="12"/>
      <c r="R832" s="13"/>
    </row>
    <row r="833" spans="1:18" ht="15" x14ac:dyDescent="0.2">
      <c r="A833" s="321">
        <f>IF(TOTALCO!A1366="", "",TOTALCO!A1366)</f>
        <v>7</v>
      </c>
      <c r="B833" s="4" t="str">
        <f>IF(TOTALCO!B1366="", "",TOTALCO!B1366)</f>
        <v xml:space="preserve">      FERC 567</v>
      </c>
      <c r="C833" s="4" t="str">
        <f>IF(TOTALCO!C1366="", "",TOTALCO!C1366)</f>
        <v>TRANPLTXF</v>
      </c>
      <c r="D833" s="12">
        <f ca="1">IF(TOTALCO!D1366="", "",TOTALCO!D1366)</f>
        <v>0</v>
      </c>
      <c r="E833" s="12" t="str">
        <f>IF(TOTALCO!E1366="", "",TOTALCO!E1366)</f>
        <v/>
      </c>
      <c r="F833" s="12">
        <f ca="1">IF(TOTALCO!F1366="", "",TOTALCO!F1366)</f>
        <v>0</v>
      </c>
      <c r="G833" s="12" t="str">
        <f>IF(TOTALCO!G1366="", "",TOTALCO!G1366)</f>
        <v/>
      </c>
      <c r="H833" s="12">
        <f ca="1">IF(TOTALCO!H1366="", "",TOTALCO!H1366)</f>
        <v>0</v>
      </c>
      <c r="I833" s="12">
        <f ca="1">IF(TOTALCO!I1366="", "",TOTALCO!I1366)</f>
        <v>0</v>
      </c>
      <c r="J833" s="12" t="str">
        <f>IF(TOTALCO!J1366="", "",TOTALCO!J1366)</f>
        <v/>
      </c>
      <c r="K833" s="12" t="str">
        <f>IF(TOTALCO!K1366="", "",TOTALCO!K1366)</f>
        <v/>
      </c>
      <c r="L833" s="12">
        <f ca="1">IF(TOTALCO!L1366="", "",TOTALCO!L1366)</f>
        <v>0</v>
      </c>
      <c r="M833" s="12" t="str">
        <f>IF(TOTALCO!M1366="", "",TOTALCO!M1366)</f>
        <v/>
      </c>
      <c r="N833" s="12">
        <f ca="1">IF(TOTALCO!N1366="", "",TOTALCO!N1366)</f>
        <v>0</v>
      </c>
      <c r="O833" s="12">
        <f ca="1">IF(TOTALCO!O1366="", "",TOTALCO!O1366)</f>
        <v>0</v>
      </c>
      <c r="P833" s="12">
        <f ca="1">IF(TOTALCO!P1366="", "",TOTALCO!P1366)</f>
        <v>0</v>
      </c>
      <c r="Q833" s="12"/>
      <c r="R833" s="13"/>
    </row>
    <row r="834" spans="1:18" ht="15" x14ac:dyDescent="0.2">
      <c r="A834" s="321">
        <f>IF(TOTALCO!A1367="", "",TOTALCO!A1367)</f>
        <v>8</v>
      </c>
      <c r="B834" s="4" t="str">
        <f>IF(TOTALCO!B1367="", "",TOTALCO!B1367)</f>
        <v xml:space="preserve">      FERC 569</v>
      </c>
      <c r="C834" s="4" t="str">
        <f>IF(TOTALCO!C1367="", "",TOTALCO!C1367)</f>
        <v>TRANPLTXF</v>
      </c>
      <c r="D834" s="12">
        <f ca="1">IF(TOTALCO!D1367="", "",TOTALCO!D1367)</f>
        <v>0</v>
      </c>
      <c r="E834" s="12" t="str">
        <f>IF(TOTALCO!E1367="", "",TOTALCO!E1367)</f>
        <v/>
      </c>
      <c r="F834" s="12">
        <f ca="1">IF(TOTALCO!F1367="", "",TOTALCO!F1367)</f>
        <v>0</v>
      </c>
      <c r="G834" s="12" t="str">
        <f>IF(TOTALCO!G1367="", "",TOTALCO!G1367)</f>
        <v/>
      </c>
      <c r="H834" s="12">
        <f ca="1">IF(TOTALCO!H1367="", "",TOTALCO!H1367)</f>
        <v>0</v>
      </c>
      <c r="I834" s="12">
        <f ca="1">IF(TOTALCO!I1367="", "",TOTALCO!I1367)</f>
        <v>0</v>
      </c>
      <c r="J834" s="12" t="str">
        <f>IF(TOTALCO!J1367="", "",TOTALCO!J1367)</f>
        <v/>
      </c>
      <c r="K834" s="12" t="str">
        <f>IF(TOTALCO!K1367="", "",TOTALCO!K1367)</f>
        <v/>
      </c>
      <c r="L834" s="12">
        <f ca="1">IF(TOTALCO!L1367="", "",TOTALCO!L1367)</f>
        <v>0</v>
      </c>
      <c r="M834" s="12" t="str">
        <f>IF(TOTALCO!M1367="", "",TOTALCO!M1367)</f>
        <v/>
      </c>
      <c r="N834" s="12">
        <f ca="1">IF(TOTALCO!N1367="", "",TOTALCO!N1367)</f>
        <v>0</v>
      </c>
      <c r="O834" s="12">
        <f ca="1">IF(TOTALCO!O1367="", "",TOTALCO!O1367)</f>
        <v>0</v>
      </c>
      <c r="P834" s="12">
        <f ca="1">IF(TOTALCO!P1367="", "",TOTALCO!P1367)</f>
        <v>0</v>
      </c>
      <c r="Q834" s="12"/>
      <c r="R834" s="13"/>
    </row>
    <row r="835" spans="1:18" ht="15" x14ac:dyDescent="0.2">
      <c r="A835" s="321">
        <f>IF(TOTALCO!A1368="", "",TOTALCO!A1368)</f>
        <v>9</v>
      </c>
      <c r="B835" s="4" t="str">
        <f>IF(TOTALCO!B1368="", "",TOTALCO!B1368)</f>
        <v xml:space="preserve">      FERC 570</v>
      </c>
      <c r="C835" s="4" t="str">
        <f>IF(TOTALCO!C1368="", "",TOTALCO!C1368)</f>
        <v>TRANPLTXF</v>
      </c>
      <c r="D835" s="12">
        <f ca="1">IF(TOTALCO!D1368="", "",TOTALCO!D1368)</f>
        <v>1149232</v>
      </c>
      <c r="E835" s="12" t="str">
        <f>IF(TOTALCO!E1368="", "",TOTALCO!E1368)</f>
        <v/>
      </c>
      <c r="F835" s="12">
        <f ca="1">IF(TOTALCO!F1368="", "",TOTALCO!F1368)</f>
        <v>1040822.2893735626</v>
      </c>
      <c r="G835" s="12" t="str">
        <f>IF(TOTALCO!G1368="", "",TOTALCO!G1368)</f>
        <v/>
      </c>
      <c r="H835" s="12">
        <f ca="1">IF(TOTALCO!H1368="", "",TOTALCO!H1368)</f>
        <v>108406.37810841504</v>
      </c>
      <c r="I835" s="12">
        <f ca="1">IF(TOTALCO!I1368="", "",TOTALCO!I1368)</f>
        <v>3.3325180224941433</v>
      </c>
      <c r="J835" s="12" t="str">
        <f>IF(TOTALCO!J1368="", "",TOTALCO!J1368)</f>
        <v/>
      </c>
      <c r="K835" s="12" t="str">
        <f>IF(TOTALCO!K1368="", "",TOTALCO!K1368)</f>
        <v/>
      </c>
      <c r="L835" s="12">
        <f ca="1">IF(TOTALCO!L1368="", "",TOTALCO!L1368)</f>
        <v>3.3325180224941433</v>
      </c>
      <c r="M835" s="12" t="str">
        <f>IF(TOTALCO!M1368="", "",TOTALCO!M1368)</f>
        <v/>
      </c>
      <c r="N835" s="12">
        <f ca="1">IF(TOTALCO!N1368="", "",TOTALCO!N1368)</f>
        <v>0</v>
      </c>
      <c r="O835" s="12">
        <f ca="1">IF(TOTALCO!O1368="", "",TOTALCO!O1368)</f>
        <v>0</v>
      </c>
      <c r="P835" s="12">
        <f ca="1">IF(TOTALCO!P1368="", "",TOTALCO!P1368)</f>
        <v>0</v>
      </c>
      <c r="Q835" s="12"/>
      <c r="R835" s="13"/>
    </row>
    <row r="836" spans="1:18" ht="15" x14ac:dyDescent="0.2">
      <c r="A836" s="321">
        <f>IF(TOTALCO!A1369="", "",TOTALCO!A1369)</f>
        <v>10</v>
      </c>
      <c r="B836" s="4" t="str">
        <f>IF(TOTALCO!B1369="", "",TOTALCO!B1369)</f>
        <v xml:space="preserve">      FERC 571</v>
      </c>
      <c r="C836" s="4" t="str">
        <f>IF(TOTALCO!C1369="", "",TOTALCO!C1369)</f>
        <v>TRANPLTXF</v>
      </c>
      <c r="D836" s="12">
        <f ca="1">IF(TOTALCO!D1369="", "",TOTALCO!D1369)</f>
        <v>321555</v>
      </c>
      <c r="E836" s="12" t="str">
        <f>IF(TOTALCO!E1369="", "",TOTALCO!E1369)</f>
        <v/>
      </c>
      <c r="F836" s="12">
        <f ca="1">IF(TOTALCO!F1369="", "",TOTALCO!F1369)</f>
        <v>291221.97368287336</v>
      </c>
      <c r="G836" s="12" t="str">
        <f>IF(TOTALCO!G1369="", "",TOTALCO!G1369)</f>
        <v/>
      </c>
      <c r="H836" s="12">
        <f ca="1">IF(TOTALCO!H1369="", "",TOTALCO!H1369)</f>
        <v>30332.093878913394</v>
      </c>
      <c r="I836" s="12">
        <f ca="1">IF(TOTALCO!I1369="", "",TOTALCO!I1369)</f>
        <v>0.93243821327904564</v>
      </c>
      <c r="J836" s="12" t="str">
        <f>IF(TOTALCO!J1369="", "",TOTALCO!J1369)</f>
        <v/>
      </c>
      <c r="K836" s="12" t="str">
        <f>IF(TOTALCO!K1369="", "",TOTALCO!K1369)</f>
        <v/>
      </c>
      <c r="L836" s="12">
        <f ca="1">IF(TOTALCO!L1369="", "",TOTALCO!L1369)</f>
        <v>0.93243821327904564</v>
      </c>
      <c r="M836" s="12" t="str">
        <f>IF(TOTALCO!M1369="", "",TOTALCO!M1369)</f>
        <v/>
      </c>
      <c r="N836" s="12">
        <f ca="1">IF(TOTALCO!N1369="", "",TOTALCO!N1369)</f>
        <v>0</v>
      </c>
      <c r="O836" s="12">
        <f ca="1">IF(TOTALCO!O1369="", "",TOTALCO!O1369)</f>
        <v>0</v>
      </c>
      <c r="P836" s="12">
        <f ca="1">IF(TOTALCO!P1369="", "",TOTALCO!P1369)</f>
        <v>0</v>
      </c>
      <c r="Q836" s="12"/>
      <c r="R836" s="13"/>
    </row>
    <row r="837" spans="1:18" ht="15" x14ac:dyDescent="0.2">
      <c r="A837" s="321">
        <f>IF(TOTALCO!A1370="", "",TOTALCO!A1370)</f>
        <v>11</v>
      </c>
      <c r="B837" s="4" t="str">
        <f>IF(TOTALCO!B1370="", "",TOTALCO!B1370)</f>
        <v xml:space="preserve">      FERC 572</v>
      </c>
      <c r="C837" s="4" t="str">
        <f>IF(TOTALCO!C1370="", "",TOTALCO!C1370)</f>
        <v>TRANPLTXF</v>
      </c>
      <c r="D837" s="12">
        <f ca="1">IF(TOTALCO!D1370="", "",TOTALCO!D1370)</f>
        <v>0</v>
      </c>
      <c r="E837" s="12" t="str">
        <f>IF(TOTALCO!E1370="", "",TOTALCO!E1370)</f>
        <v/>
      </c>
      <c r="F837" s="12">
        <f ca="1">IF(TOTALCO!F1370="", "",TOTALCO!F1370)</f>
        <v>0</v>
      </c>
      <c r="G837" s="12" t="str">
        <f>IF(TOTALCO!G1370="", "",TOTALCO!G1370)</f>
        <v/>
      </c>
      <c r="H837" s="12">
        <f ca="1">IF(TOTALCO!H1370="", "",TOTALCO!H1370)</f>
        <v>0</v>
      </c>
      <c r="I837" s="12">
        <f ca="1">IF(TOTALCO!I1370="", "",TOTALCO!I1370)</f>
        <v>0</v>
      </c>
      <c r="J837" s="12" t="str">
        <f>IF(TOTALCO!J1370="", "",TOTALCO!J1370)</f>
        <v/>
      </c>
      <c r="K837" s="12" t="str">
        <f>IF(TOTALCO!K1370="", "",TOTALCO!K1370)</f>
        <v/>
      </c>
      <c r="L837" s="12">
        <f ca="1">IF(TOTALCO!L1370="", "",TOTALCO!L1370)</f>
        <v>0</v>
      </c>
      <c r="M837" s="12" t="str">
        <f>IF(TOTALCO!M1370="", "",TOTALCO!M1370)</f>
        <v/>
      </c>
      <c r="N837" s="12">
        <f ca="1">IF(TOTALCO!N1370="", "",TOTALCO!N1370)</f>
        <v>0</v>
      </c>
      <c r="O837" s="12">
        <f ca="1">IF(TOTALCO!O1370="", "",TOTALCO!O1370)</f>
        <v>0</v>
      </c>
      <c r="P837" s="12">
        <f ca="1">IF(TOTALCO!P1370="", "",TOTALCO!P1370)</f>
        <v>0</v>
      </c>
      <c r="Q837" s="12"/>
      <c r="R837" s="13"/>
    </row>
    <row r="838" spans="1:18" ht="15" x14ac:dyDescent="0.2">
      <c r="A838" s="321">
        <f>IF(TOTALCO!A1371="", "",TOTALCO!A1371)</f>
        <v>12</v>
      </c>
      <c r="B838" s="4" t="str">
        <f>IF(TOTALCO!B1371="", "",TOTALCO!B1371)</f>
        <v xml:space="preserve">      FERC 573</v>
      </c>
      <c r="C838" s="4" t="str">
        <f>IF(TOTALCO!C1371="", "",TOTALCO!C1371)</f>
        <v>TRANPLTXF</v>
      </c>
      <c r="D838" s="12">
        <f ca="1">IF(TOTALCO!D1371="", "",TOTALCO!D1371)</f>
        <v>0</v>
      </c>
      <c r="E838" s="12" t="str">
        <f>IF(TOTALCO!E1371="", "",TOTALCO!E1371)</f>
        <v/>
      </c>
      <c r="F838" s="12">
        <f ca="1">IF(TOTALCO!F1371="", "",TOTALCO!F1371)</f>
        <v>0</v>
      </c>
      <c r="G838" s="12" t="str">
        <f>IF(TOTALCO!G1371="", "",TOTALCO!G1371)</f>
        <v/>
      </c>
      <c r="H838" s="12">
        <f ca="1">IF(TOTALCO!H1371="", "",TOTALCO!H1371)</f>
        <v>0</v>
      </c>
      <c r="I838" s="12">
        <f ca="1">IF(TOTALCO!I1371="", "",TOTALCO!I1371)</f>
        <v>0</v>
      </c>
      <c r="J838" s="12" t="str">
        <f>IF(TOTALCO!J1371="", "",TOTALCO!J1371)</f>
        <v/>
      </c>
      <c r="K838" s="12" t="str">
        <f>IF(TOTALCO!K1371="", "",TOTALCO!K1371)</f>
        <v/>
      </c>
      <c r="L838" s="12">
        <f ca="1">IF(TOTALCO!L1371="", "",TOTALCO!L1371)</f>
        <v>0</v>
      </c>
      <c r="M838" s="12" t="str">
        <f>IF(TOTALCO!M1371="", "",TOTALCO!M1371)</f>
        <v/>
      </c>
      <c r="N838" s="12">
        <f ca="1">IF(TOTALCO!N1371="", "",TOTALCO!N1371)</f>
        <v>0</v>
      </c>
      <c r="O838" s="12">
        <f ca="1">IF(TOTALCO!O1371="", "",TOTALCO!O1371)</f>
        <v>0</v>
      </c>
      <c r="P838" s="12">
        <f ca="1">IF(TOTALCO!P1371="", "",TOTALCO!P1371)</f>
        <v>0</v>
      </c>
      <c r="Q838" s="12"/>
      <c r="R838" s="13"/>
    </row>
    <row r="839" spans="1:18" ht="15" x14ac:dyDescent="0.2">
      <c r="A839" s="321" t="str">
        <f>IF(TOTALCO!A1372="", "",TOTALCO!A1372)</f>
        <v/>
      </c>
      <c r="B839" s="4" t="str">
        <f>IF(TOTALCO!B1372="", "",TOTALCO!B1372)</f>
        <v/>
      </c>
      <c r="C839" s="4" t="str">
        <f>IF(TOTALCO!C1372="", "",TOTALCO!C1372)</f>
        <v/>
      </c>
      <c r="D839" s="12" t="str">
        <f>IF(TOTALCO!D1372="", "",TOTALCO!D1372)</f>
        <v/>
      </c>
      <c r="E839" s="12" t="str">
        <f>IF(TOTALCO!E1372="", "",TOTALCO!E1372)</f>
        <v/>
      </c>
      <c r="F839" s="12" t="str">
        <f>IF(TOTALCO!F1372="", "",TOTALCO!F1372)</f>
        <v/>
      </c>
      <c r="G839" s="12" t="str">
        <f>IF(TOTALCO!G1372="", "",TOTALCO!G1372)</f>
        <v/>
      </c>
      <c r="H839" s="12" t="str">
        <f>IF(TOTALCO!H1372="", "",TOTALCO!H1372)</f>
        <v/>
      </c>
      <c r="I839" s="12" t="str">
        <f>IF(TOTALCO!I1372="", "",TOTALCO!I1372)</f>
        <v/>
      </c>
      <c r="J839" s="12" t="str">
        <f>IF(TOTALCO!J1372="", "",TOTALCO!J1372)</f>
        <v/>
      </c>
      <c r="K839" s="12" t="str">
        <f>IF(TOTALCO!K1372="", "",TOTALCO!K1372)</f>
        <v/>
      </c>
      <c r="L839" s="12" t="str">
        <f>IF(TOTALCO!L1372="", "",TOTALCO!L1372)</f>
        <v/>
      </c>
      <c r="M839" s="12" t="str">
        <f>IF(TOTALCO!M1372="", "",TOTALCO!M1372)</f>
        <v/>
      </c>
      <c r="N839" s="12" t="str">
        <f>IF(TOTALCO!N1372="", "",TOTALCO!N1372)</f>
        <v/>
      </c>
      <c r="O839" s="12" t="str">
        <f>IF(TOTALCO!O1372="", "",TOTALCO!O1372)</f>
        <v/>
      </c>
      <c r="P839" s="12" t="str">
        <f>IF(TOTALCO!P1372="", "",TOTALCO!P1372)</f>
        <v/>
      </c>
      <c r="Q839" s="12"/>
      <c r="R839" s="13"/>
    </row>
    <row r="840" spans="1:18" ht="15" x14ac:dyDescent="0.2">
      <c r="A840" s="321">
        <f>IF(TOTALCO!A1373="", "",TOTALCO!A1373)</f>
        <v>13</v>
      </c>
      <c r="B840" s="4" t="str">
        <f>IF(TOTALCO!B1373="", "",TOTALCO!B1373)</f>
        <v xml:space="preserve"> TOTAL TRANSMISSION LABOR</v>
      </c>
      <c r="C840" s="4" t="str">
        <f>IF(TOTALCO!C1373="", "",TOTALCO!C1373)</f>
        <v>TRANPLTXF</v>
      </c>
      <c r="D840" s="12">
        <f ca="1">IF(TOTALCO!D1373="", "",TOTALCO!D1373)</f>
        <v>7409761.0000000009</v>
      </c>
      <c r="E840" s="12" t="str">
        <f>IF(TOTALCO!E1373="", "",TOTALCO!E1373)</f>
        <v/>
      </c>
      <c r="F840" s="12">
        <f ca="1">IF(TOTALCO!F1373="", "",TOTALCO!F1373)</f>
        <v>6710781.1196790012</v>
      </c>
      <c r="G840" s="12" t="str">
        <f>IF(TOTALCO!G1373="", "",TOTALCO!G1373)</f>
        <v/>
      </c>
      <c r="H840" s="12">
        <f ca="1">IF(TOTALCO!H1373="", "",TOTALCO!H1373)</f>
        <v>698958.39365679654</v>
      </c>
      <c r="I840" s="12">
        <f ca="1">IF(TOTALCO!I1373="", "",TOTALCO!I1373)</f>
        <v>21.48666420259288</v>
      </c>
      <c r="J840" s="12" t="str">
        <f>IF(TOTALCO!J1373="", "",TOTALCO!J1373)</f>
        <v/>
      </c>
      <c r="K840" s="12" t="str">
        <f>IF(TOTALCO!K1373="", "",TOTALCO!K1373)</f>
        <v/>
      </c>
      <c r="L840" s="12">
        <f ca="1">IF(TOTALCO!L1373="", "",TOTALCO!L1373)</f>
        <v>21.48666420259288</v>
      </c>
      <c r="M840" s="12" t="str">
        <f>IF(TOTALCO!M1373="", "",TOTALCO!M1373)</f>
        <v/>
      </c>
      <c r="N840" s="12">
        <f ca="1">IF(TOTALCO!N1373="", "",TOTALCO!N1373)</f>
        <v>0</v>
      </c>
      <c r="O840" s="12">
        <f ca="1">IF(TOTALCO!O1373="", "",TOTALCO!O1373)</f>
        <v>0</v>
      </c>
      <c r="P840" s="12">
        <f ca="1">IF(TOTALCO!P1373="", "",TOTALCO!P1373)</f>
        <v>0</v>
      </c>
      <c r="Q840" s="12"/>
      <c r="R840" s="13"/>
    </row>
    <row r="841" spans="1:18" ht="15" x14ac:dyDescent="0.2">
      <c r="A841" s="321" t="str">
        <f>IF(TOTALCO!A1374="", "",TOTALCO!A1374)</f>
        <v/>
      </c>
      <c r="B841" s="4" t="str">
        <f>IF(TOTALCO!B1374="", "",TOTALCO!B1374)</f>
        <v/>
      </c>
      <c r="C841" s="4" t="str">
        <f>IF(TOTALCO!C1374="", "",TOTALCO!C1374)</f>
        <v/>
      </c>
      <c r="D841" s="12" t="str">
        <f>IF(TOTALCO!D1374="", "",TOTALCO!D1374)</f>
        <v/>
      </c>
      <c r="E841" s="12" t="str">
        <f>IF(TOTALCO!E1374="", "",TOTALCO!E1374)</f>
        <v/>
      </c>
      <c r="F841" s="12" t="str">
        <f>IF(TOTALCO!F1374="", "",TOTALCO!F1374)</f>
        <v/>
      </c>
      <c r="G841" s="12" t="str">
        <f>IF(TOTALCO!G1374="", "",TOTALCO!G1374)</f>
        <v/>
      </c>
      <c r="H841" s="12" t="str">
        <f>IF(TOTALCO!H1374="", "",TOTALCO!H1374)</f>
        <v/>
      </c>
      <c r="I841" s="12" t="str">
        <f>IF(TOTALCO!I1374="", "",TOTALCO!I1374)</f>
        <v/>
      </c>
      <c r="J841" s="12" t="str">
        <f>IF(TOTALCO!J1374="", "",TOTALCO!J1374)</f>
        <v/>
      </c>
      <c r="K841" s="12" t="str">
        <f>IF(TOTALCO!K1374="", "",TOTALCO!K1374)</f>
        <v/>
      </c>
      <c r="L841" s="12" t="str">
        <f>IF(TOTALCO!L1374="", "",TOTALCO!L1374)</f>
        <v/>
      </c>
      <c r="M841" s="12" t="str">
        <f>IF(TOTALCO!M1374="", "",TOTALCO!M1374)</f>
        <v/>
      </c>
      <c r="N841" s="12" t="str">
        <f>IF(TOTALCO!N1374="", "",TOTALCO!N1374)</f>
        <v/>
      </c>
      <c r="O841" s="12" t="str">
        <f>IF(TOTALCO!O1374="", "",TOTALCO!O1374)</f>
        <v/>
      </c>
      <c r="P841" s="12" t="str">
        <f>IF(TOTALCO!P1374="", "",TOTALCO!P1374)</f>
        <v/>
      </c>
      <c r="Q841" s="12"/>
      <c r="R841" s="13"/>
    </row>
    <row r="842" spans="1:18" ht="15" x14ac:dyDescent="0.2">
      <c r="A842" s="321" t="str">
        <f>IF(TOTALCO!A1375="", "",TOTALCO!A1375)</f>
        <v/>
      </c>
      <c r="B842" s="4" t="str">
        <f>IF(TOTALCO!B1375="", "",TOTALCO!B1375)</f>
        <v xml:space="preserve"> DISTRIBUTION LABOR</v>
      </c>
      <c r="C842" s="4" t="str">
        <f>IF(TOTALCO!C1375="", "",TOTALCO!C1375)</f>
        <v/>
      </c>
      <c r="D842" s="12" t="str">
        <f>IF(TOTALCO!D1375="", "",TOTALCO!D1375)</f>
        <v/>
      </c>
      <c r="E842" s="12" t="str">
        <f>IF(TOTALCO!E1375="", "",TOTALCO!E1375)</f>
        <v/>
      </c>
      <c r="F842" s="12" t="str">
        <f>IF(TOTALCO!F1375="", "",TOTALCO!F1375)</f>
        <v/>
      </c>
      <c r="G842" s="12" t="str">
        <f>IF(TOTALCO!G1375="", "",TOTALCO!G1375)</f>
        <v/>
      </c>
      <c r="H842" s="12" t="str">
        <f>IF(TOTALCO!H1375="", "",TOTALCO!H1375)</f>
        <v/>
      </c>
      <c r="I842" s="12" t="str">
        <f>IF(TOTALCO!I1375="", "",TOTALCO!I1375)</f>
        <v/>
      </c>
      <c r="J842" s="12" t="str">
        <f>IF(TOTALCO!J1375="", "",TOTALCO!J1375)</f>
        <v/>
      </c>
      <c r="K842" s="12" t="str">
        <f>IF(TOTALCO!K1375="", "",TOTALCO!K1375)</f>
        <v/>
      </c>
      <c r="L842" s="12" t="str">
        <f>IF(TOTALCO!L1375="", "",TOTALCO!L1375)</f>
        <v/>
      </c>
      <c r="M842" s="12" t="str">
        <f>IF(TOTALCO!M1375="", "",TOTALCO!M1375)</f>
        <v/>
      </c>
      <c r="N842" s="12" t="str">
        <f>IF(TOTALCO!N1375="", "",TOTALCO!N1375)</f>
        <v/>
      </c>
      <c r="O842" s="12" t="str">
        <f>IF(TOTALCO!O1375="", "",TOTALCO!O1375)</f>
        <v/>
      </c>
      <c r="P842" s="12" t="str">
        <f>IF(TOTALCO!P1375="", "",TOTALCO!P1375)</f>
        <v/>
      </c>
      <c r="Q842" s="12"/>
      <c r="R842" s="13"/>
    </row>
    <row r="843" spans="1:18" ht="15" x14ac:dyDescent="0.2">
      <c r="A843" s="321">
        <f>IF(TOTALCO!A1376="", "",TOTALCO!A1376)</f>
        <v>1</v>
      </c>
      <c r="B843" s="4" t="str">
        <f>IF(TOTALCO!B1376="", "",TOTALCO!B1376)</f>
        <v xml:space="preserve">      FERC 580</v>
      </c>
      <c r="C843" s="4" t="str">
        <f>IF(TOTALCO!C1376="", "",TOTALCO!C1376)</f>
        <v>DISTPLT</v>
      </c>
      <c r="D843" s="12">
        <f ca="1">IF(TOTALCO!D1376="", "",TOTALCO!D1376)</f>
        <v>1432223.0000000002</v>
      </c>
      <c r="E843" s="12" t="str">
        <f>IF(TOTALCO!E1376="", "",TOTALCO!E1376)</f>
        <v/>
      </c>
      <c r="F843" s="12">
        <f ca="1">IF(TOTALCO!F1376="", "",TOTALCO!F1376)</f>
        <v>1358901.2560498344</v>
      </c>
      <c r="G843" s="12" t="str">
        <f>IF(TOTALCO!G1376="", "",TOTALCO!G1376)</f>
        <v/>
      </c>
      <c r="H843" s="12">
        <f ca="1">IF(TOTALCO!H1376="", "",TOTALCO!H1376)</f>
        <v>70276.454229907074</v>
      </c>
      <c r="I843" s="12">
        <f ca="1">IF(TOTALCO!I1376="", "",TOTALCO!I1376)</f>
        <v>3045.2897202585636</v>
      </c>
      <c r="J843" s="12" t="str">
        <f>IF(TOTALCO!J1376="", "",TOTALCO!J1376)</f>
        <v/>
      </c>
      <c r="K843" s="12" t="str">
        <f>IF(TOTALCO!K1376="", "",TOTALCO!K1376)</f>
        <v/>
      </c>
      <c r="L843" s="12">
        <f ca="1">IF(TOTALCO!L1376="", "",TOTALCO!L1376)</f>
        <v>457.01019438654617</v>
      </c>
      <c r="M843" s="12" t="str">
        <f>IF(TOTALCO!M1376="", "",TOTALCO!M1376)</f>
        <v/>
      </c>
      <c r="N843" s="12">
        <f ca="1">IF(TOTALCO!N1376="", "",TOTALCO!N1376)</f>
        <v>2588.2795258720175</v>
      </c>
      <c r="O843" s="12">
        <f ca="1">IF(TOTALCO!O1376="", "",TOTALCO!O1376)</f>
        <v>2569.3160223607333</v>
      </c>
      <c r="P843" s="12">
        <f ca="1">IF(TOTALCO!P1376="", "",TOTALCO!P1376)</f>
        <v>18.963503511283999</v>
      </c>
      <c r="Q843" s="12"/>
      <c r="R843" s="13"/>
    </row>
    <row r="844" spans="1:18" ht="15" x14ac:dyDescent="0.2">
      <c r="A844" s="321">
        <f>IF(TOTALCO!A1377="", "",TOTALCO!A1377)</f>
        <v>2</v>
      </c>
      <c r="B844" s="4" t="str">
        <f>IF(TOTALCO!B1377="", "",TOTALCO!B1377)</f>
        <v xml:space="preserve">      FERC 581</v>
      </c>
      <c r="C844" s="4" t="str">
        <f>IF(TOTALCO!C1377="", "",TOTALCO!C1377)</f>
        <v>DISTPLT</v>
      </c>
      <c r="D844" s="12">
        <f ca="1">IF(TOTALCO!D1377="", "",TOTALCO!D1377)</f>
        <v>352345.99999999994</v>
      </c>
      <c r="E844" s="12" t="str">
        <f>IF(TOTALCO!E1377="", "",TOTALCO!E1377)</f>
        <v/>
      </c>
      <c r="F844" s="12">
        <f ca="1">IF(TOTALCO!F1377="", "",TOTALCO!F1377)</f>
        <v>334307.87102576549</v>
      </c>
      <c r="G844" s="12" t="str">
        <f>IF(TOTALCO!G1377="", "",TOTALCO!G1377)</f>
        <v/>
      </c>
      <c r="H844" s="12">
        <f ca="1">IF(TOTALCO!H1377="", "",TOTALCO!H1377)</f>
        <v>17288.947002031695</v>
      </c>
      <c r="I844" s="12">
        <f ca="1">IF(TOTALCO!I1377="", "",TOTALCO!I1377)</f>
        <v>749.18197220280899</v>
      </c>
      <c r="J844" s="12" t="str">
        <f>IF(TOTALCO!J1377="", "",TOTALCO!J1377)</f>
        <v/>
      </c>
      <c r="K844" s="12" t="str">
        <f>IF(TOTALCO!K1377="", "",TOTALCO!K1377)</f>
        <v/>
      </c>
      <c r="L844" s="12">
        <f ca="1">IF(TOTALCO!L1377="", "",TOTALCO!L1377)</f>
        <v>112.43061586870341</v>
      </c>
      <c r="M844" s="12" t="str">
        <f>IF(TOTALCO!M1377="", "",TOTALCO!M1377)</f>
        <v/>
      </c>
      <c r="N844" s="12">
        <f ca="1">IF(TOTALCO!N1377="", "",TOTALCO!N1377)</f>
        <v>636.75135633410559</v>
      </c>
      <c r="O844" s="12">
        <f ca="1">IF(TOTALCO!O1377="", "",TOTALCO!O1377)</f>
        <v>632.08608101860875</v>
      </c>
      <c r="P844" s="12">
        <f ca="1">IF(TOTALCO!P1377="", "",TOTALCO!P1377)</f>
        <v>4.6652753154968689</v>
      </c>
      <c r="Q844" s="12"/>
      <c r="R844" s="13"/>
    </row>
    <row r="845" spans="1:18" ht="15" x14ac:dyDescent="0.2">
      <c r="A845" s="321">
        <f>IF(TOTALCO!A1378="", "",TOTALCO!A1378)</f>
        <v>3</v>
      </c>
      <c r="B845" s="4" t="str">
        <f>IF(TOTALCO!B1378="", "",TOTALCO!B1378)</f>
        <v xml:space="preserve">      FERC 582</v>
      </c>
      <c r="C845" s="4" t="str">
        <f>IF(TOTALCO!C1378="", "",TOTALCO!C1378)</f>
        <v>DISTPLT</v>
      </c>
      <c r="D845" s="12">
        <f ca="1">IF(TOTALCO!D1378="", "",TOTALCO!D1378)</f>
        <v>1156139.9999999998</v>
      </c>
      <c r="E845" s="12" t="str">
        <f>IF(TOTALCO!E1378="", "",TOTALCO!E1378)</f>
        <v/>
      </c>
      <c r="F845" s="12">
        <f ca="1">IF(TOTALCO!F1378="", "",TOTALCO!F1378)</f>
        <v>1096952.149329717</v>
      </c>
      <c r="G845" s="12" t="str">
        <f>IF(TOTALCO!G1378="", "",TOTALCO!G1378)</f>
        <v/>
      </c>
      <c r="H845" s="12">
        <f ca="1">IF(TOTALCO!H1378="", "",TOTALCO!H1378)</f>
        <v>56729.587357111828</v>
      </c>
      <c r="I845" s="12">
        <f ca="1">IF(TOTALCO!I1378="", "",TOTALCO!I1378)</f>
        <v>2458.2633131710181</v>
      </c>
      <c r="J845" s="12" t="str">
        <f>IF(TOTALCO!J1378="", "",TOTALCO!J1378)</f>
        <v/>
      </c>
      <c r="K845" s="12" t="str">
        <f>IF(TOTALCO!K1378="", "",TOTALCO!K1378)</f>
        <v/>
      </c>
      <c r="L845" s="12">
        <f ca="1">IF(TOTALCO!L1378="", "",TOTALCO!L1378)</f>
        <v>368.91445406061871</v>
      </c>
      <c r="M845" s="12" t="str">
        <f>IF(TOTALCO!M1378="", "",TOTALCO!M1378)</f>
        <v/>
      </c>
      <c r="N845" s="12">
        <f ca="1">IF(TOTALCO!N1378="", "",TOTALCO!N1378)</f>
        <v>2089.3488591103996</v>
      </c>
      <c r="O845" s="12">
        <f ca="1">IF(TOTALCO!O1378="", "",TOTALCO!O1378)</f>
        <v>2074.040862416075</v>
      </c>
      <c r="P845" s="12">
        <f ca="1">IF(TOTALCO!P1378="", "",TOTALCO!P1378)</f>
        <v>15.307996694324755</v>
      </c>
      <c r="Q845" s="12"/>
      <c r="R845" s="13"/>
    </row>
    <row r="846" spans="1:18" ht="15" x14ac:dyDescent="0.2">
      <c r="A846" s="321">
        <f>IF(TOTALCO!A1379="", "",TOTALCO!A1379)</f>
        <v>4</v>
      </c>
      <c r="B846" s="4" t="str">
        <f>IF(TOTALCO!B1379="", "",TOTALCO!B1379)</f>
        <v xml:space="preserve">      FERC 583</v>
      </c>
      <c r="C846" s="4" t="str">
        <f>IF(TOTALCO!C1379="", "",TOTALCO!C1379)</f>
        <v>DISTPLT</v>
      </c>
      <c r="D846" s="12">
        <f ca="1">IF(TOTALCO!D1379="", "",TOTALCO!D1379)</f>
        <v>2662524.9999999995</v>
      </c>
      <c r="E846" s="12" t="str">
        <f>IF(TOTALCO!E1379="", "",TOTALCO!E1379)</f>
        <v/>
      </c>
      <c r="F846" s="12">
        <f ca="1">IF(TOTALCO!F1379="", "",TOTALCO!F1379)</f>
        <v>2526218.7290415564</v>
      </c>
      <c r="G846" s="12" t="str">
        <f>IF(TOTALCO!G1379="", "",TOTALCO!G1379)</f>
        <v/>
      </c>
      <c r="H846" s="12">
        <f ca="1">IF(TOTALCO!H1379="", "",TOTALCO!H1379)</f>
        <v>130645.02964865342</v>
      </c>
      <c r="I846" s="12">
        <f ca="1">IF(TOTALCO!I1379="", "",TOTALCO!I1379)</f>
        <v>5661.2413097900471</v>
      </c>
      <c r="J846" s="12" t="str">
        <f>IF(TOTALCO!J1379="", "",TOTALCO!J1379)</f>
        <v/>
      </c>
      <c r="K846" s="12" t="str">
        <f>IF(TOTALCO!K1379="", "",TOTALCO!K1379)</f>
        <v/>
      </c>
      <c r="L846" s="12">
        <f ca="1">IF(TOTALCO!L1379="", "",TOTALCO!L1379)</f>
        <v>849.58911273526462</v>
      </c>
      <c r="M846" s="12" t="str">
        <f>IF(TOTALCO!M1379="", "",TOTALCO!M1379)</f>
        <v/>
      </c>
      <c r="N846" s="12">
        <f ca="1">IF(TOTALCO!N1379="", "",TOTALCO!N1379)</f>
        <v>4811.6521970547828</v>
      </c>
      <c r="O846" s="12">
        <f ca="1">IF(TOTALCO!O1379="", "",TOTALCO!O1379)</f>
        <v>4776.3987468683372</v>
      </c>
      <c r="P846" s="12">
        <f ca="1">IF(TOTALCO!P1379="", "",TOTALCO!P1379)</f>
        <v>35.253450186445427</v>
      </c>
      <c r="Q846" s="12"/>
      <c r="R846" s="13"/>
    </row>
    <row r="847" spans="1:18" ht="15" x14ac:dyDescent="0.2">
      <c r="A847" s="321">
        <f>IF(TOTALCO!A1380="", "",TOTALCO!A1380)</f>
        <v>5</v>
      </c>
      <c r="B847" s="4" t="str">
        <f>IF(TOTALCO!B1380="", "",TOTALCO!B1380)</f>
        <v xml:space="preserve">      FERC 584</v>
      </c>
      <c r="C847" s="4" t="str">
        <f>IF(TOTALCO!C1380="", "",TOTALCO!C1380)</f>
        <v>DISTPLT</v>
      </c>
      <c r="D847" s="12">
        <f ca="1">IF(TOTALCO!D1380="", "",TOTALCO!D1380)</f>
        <v>0</v>
      </c>
      <c r="E847" s="12" t="str">
        <f>IF(TOTALCO!E1380="", "",TOTALCO!E1380)</f>
        <v/>
      </c>
      <c r="F847" s="12">
        <f ca="1">IF(TOTALCO!F1380="", "",TOTALCO!F1380)</f>
        <v>0</v>
      </c>
      <c r="G847" s="12" t="str">
        <f>IF(TOTALCO!G1380="", "",TOTALCO!G1380)</f>
        <v/>
      </c>
      <c r="H847" s="12">
        <f ca="1">IF(TOTALCO!H1380="", "",TOTALCO!H1380)</f>
        <v>0</v>
      </c>
      <c r="I847" s="12">
        <f ca="1">IF(TOTALCO!I1380="", "",TOTALCO!I1380)</f>
        <v>0</v>
      </c>
      <c r="J847" s="12" t="str">
        <f>IF(TOTALCO!J1380="", "",TOTALCO!J1380)</f>
        <v/>
      </c>
      <c r="K847" s="12" t="str">
        <f>IF(TOTALCO!K1380="", "",TOTALCO!K1380)</f>
        <v/>
      </c>
      <c r="L847" s="12">
        <f ca="1">IF(TOTALCO!L1380="", "",TOTALCO!L1380)</f>
        <v>0</v>
      </c>
      <c r="M847" s="12" t="str">
        <f>IF(TOTALCO!M1380="", "",TOTALCO!M1380)</f>
        <v/>
      </c>
      <c r="N847" s="12">
        <f ca="1">IF(TOTALCO!N1380="", "",TOTALCO!N1380)</f>
        <v>0</v>
      </c>
      <c r="O847" s="12">
        <f ca="1">IF(TOTALCO!O1380="", "",TOTALCO!O1380)</f>
        <v>0</v>
      </c>
      <c r="P847" s="12">
        <f ca="1">IF(TOTALCO!P1380="", "",TOTALCO!P1380)</f>
        <v>0</v>
      </c>
      <c r="Q847" s="12"/>
      <c r="R847" s="13"/>
    </row>
    <row r="848" spans="1:18" ht="15" x14ac:dyDescent="0.2">
      <c r="A848" s="321">
        <f>IF(TOTALCO!A1381="", "",TOTALCO!A1381)</f>
        <v>6</v>
      </c>
      <c r="B848" s="4" t="str">
        <f>IF(TOTALCO!B1381="", "",TOTALCO!B1381)</f>
        <v xml:space="preserve">      FERC 585</v>
      </c>
      <c r="C848" s="4" t="str">
        <f>IF(TOTALCO!C1381="", "",TOTALCO!C1381)</f>
        <v>DISTPLT</v>
      </c>
      <c r="D848" s="12">
        <f ca="1">IF(TOTALCO!D1381="", "",TOTALCO!D1381)</f>
        <v>0</v>
      </c>
      <c r="E848" s="12" t="str">
        <f>IF(TOTALCO!E1381="", "",TOTALCO!E1381)</f>
        <v/>
      </c>
      <c r="F848" s="12">
        <f ca="1">IF(TOTALCO!F1381="", "",TOTALCO!F1381)</f>
        <v>0</v>
      </c>
      <c r="G848" s="12" t="str">
        <f>IF(TOTALCO!G1381="", "",TOTALCO!G1381)</f>
        <v/>
      </c>
      <c r="H848" s="12">
        <f ca="1">IF(TOTALCO!H1381="", "",TOTALCO!H1381)</f>
        <v>0</v>
      </c>
      <c r="I848" s="12">
        <f ca="1">IF(TOTALCO!I1381="", "",TOTALCO!I1381)</f>
        <v>0</v>
      </c>
      <c r="J848" s="12" t="str">
        <f>IF(TOTALCO!J1381="", "",TOTALCO!J1381)</f>
        <v/>
      </c>
      <c r="K848" s="12" t="str">
        <f>IF(TOTALCO!K1381="", "",TOTALCO!K1381)</f>
        <v/>
      </c>
      <c r="L848" s="12">
        <f ca="1">IF(TOTALCO!L1381="", "",TOTALCO!L1381)</f>
        <v>0</v>
      </c>
      <c r="M848" s="12" t="str">
        <f>IF(TOTALCO!M1381="", "",TOTALCO!M1381)</f>
        <v/>
      </c>
      <c r="N848" s="12">
        <f ca="1">IF(TOTALCO!N1381="", "",TOTALCO!N1381)</f>
        <v>0</v>
      </c>
      <c r="O848" s="12">
        <f ca="1">IF(TOTALCO!O1381="", "",TOTALCO!O1381)</f>
        <v>0</v>
      </c>
      <c r="P848" s="12">
        <f ca="1">IF(TOTALCO!P1381="", "",TOTALCO!P1381)</f>
        <v>0</v>
      </c>
      <c r="Q848" s="12"/>
      <c r="R848" s="13"/>
    </row>
    <row r="849" spans="1:18" ht="15" x14ac:dyDescent="0.2">
      <c r="A849" s="321">
        <f>IF(TOTALCO!A1382="", "",TOTALCO!A1382)</f>
        <v>7</v>
      </c>
      <c r="B849" s="4" t="str">
        <f>IF(TOTALCO!B1382="", "",TOTALCO!B1382)</f>
        <v xml:space="preserve">      FERC 586</v>
      </c>
      <c r="C849" s="4" t="str">
        <f>IF(TOTALCO!C1382="", "",TOTALCO!C1382)</f>
        <v>DISTPLT</v>
      </c>
      <c r="D849" s="12">
        <f ca="1">IF(TOTALCO!D1382="", "",TOTALCO!D1382)</f>
        <v>5283131</v>
      </c>
      <c r="E849" s="12" t="str">
        <f>IF(TOTALCO!E1382="", "",TOTALCO!E1382)</f>
        <v/>
      </c>
      <c r="F849" s="12">
        <f ca="1">IF(TOTALCO!F1382="", "",TOTALCO!F1382)</f>
        <v>5012664.4745795988</v>
      </c>
      <c r="G849" s="12" t="str">
        <f>IF(TOTALCO!G1382="", "",TOTALCO!G1382)</f>
        <v/>
      </c>
      <c r="H849" s="12">
        <f ca="1">IF(TOTALCO!H1382="", "",TOTALCO!H1382)</f>
        <v>259233.17382286364</v>
      </c>
      <c r="I849" s="12">
        <f ca="1">IF(TOTALCO!I1382="", "",TOTALCO!I1382)</f>
        <v>11233.351597537077</v>
      </c>
      <c r="J849" s="12" t="str">
        <f>IF(TOTALCO!J1382="", "",TOTALCO!J1382)</f>
        <v/>
      </c>
      <c r="K849" s="12" t="str">
        <f>IF(TOTALCO!K1382="", "",TOTALCO!K1382)</f>
        <v/>
      </c>
      <c r="L849" s="12">
        <f ca="1">IF(TOTALCO!L1382="", "",TOTALCO!L1382)</f>
        <v>1685.8022286191383</v>
      </c>
      <c r="M849" s="12" t="str">
        <f>IF(TOTALCO!M1382="", "",TOTALCO!M1382)</f>
        <v/>
      </c>
      <c r="N849" s="12">
        <f ca="1">IF(TOTALCO!N1382="", "",TOTALCO!N1382)</f>
        <v>9547.5493689179384</v>
      </c>
      <c r="O849" s="12">
        <f ca="1">IF(TOTALCO!O1382="", "",TOTALCO!O1382)</f>
        <v>9477.5975015976437</v>
      </c>
      <c r="P849" s="12">
        <f ca="1">IF(TOTALCO!P1382="", "",TOTALCO!P1382)</f>
        <v>69.951867320293942</v>
      </c>
      <c r="Q849" s="12"/>
      <c r="R849" s="13"/>
    </row>
    <row r="850" spans="1:18" ht="15" x14ac:dyDescent="0.2">
      <c r="A850" s="321">
        <f>IF(TOTALCO!A1383="", "",TOTALCO!A1383)</f>
        <v>8</v>
      </c>
      <c r="B850" s="4" t="str">
        <f>IF(TOTALCO!B1383="", "",TOTALCO!B1383)</f>
        <v xml:space="preserve">      FERC 587</v>
      </c>
      <c r="C850" s="4" t="str">
        <f>IF(TOTALCO!C1383="", "",TOTALCO!C1383)</f>
        <v>DISTPLT</v>
      </c>
      <c r="D850" s="12">
        <f ca="1">IF(TOTALCO!D1383="", "",TOTALCO!D1383)</f>
        <v>0</v>
      </c>
      <c r="E850" s="12" t="str">
        <f>IF(TOTALCO!E1383="", "",TOTALCO!E1383)</f>
        <v/>
      </c>
      <c r="F850" s="12">
        <f ca="1">IF(TOTALCO!F1383="", "",TOTALCO!F1383)</f>
        <v>0</v>
      </c>
      <c r="G850" s="12" t="str">
        <f>IF(TOTALCO!G1383="", "",TOTALCO!G1383)</f>
        <v/>
      </c>
      <c r="H850" s="12">
        <f ca="1">IF(TOTALCO!H1383="", "",TOTALCO!H1383)</f>
        <v>0</v>
      </c>
      <c r="I850" s="12">
        <f ca="1">IF(TOTALCO!I1383="", "",TOTALCO!I1383)</f>
        <v>0</v>
      </c>
      <c r="J850" s="12" t="str">
        <f>IF(TOTALCO!J1383="", "",TOTALCO!J1383)</f>
        <v/>
      </c>
      <c r="K850" s="12" t="str">
        <f>IF(TOTALCO!K1383="", "",TOTALCO!K1383)</f>
        <v/>
      </c>
      <c r="L850" s="12">
        <f ca="1">IF(TOTALCO!L1383="", "",TOTALCO!L1383)</f>
        <v>0</v>
      </c>
      <c r="M850" s="12" t="str">
        <f>IF(TOTALCO!M1383="", "",TOTALCO!M1383)</f>
        <v/>
      </c>
      <c r="N850" s="12">
        <f ca="1">IF(TOTALCO!N1383="", "",TOTALCO!N1383)</f>
        <v>0</v>
      </c>
      <c r="O850" s="12">
        <f ca="1">IF(TOTALCO!O1383="", "",TOTALCO!O1383)</f>
        <v>0</v>
      </c>
      <c r="P850" s="12">
        <f ca="1">IF(TOTALCO!P1383="", "",TOTALCO!P1383)</f>
        <v>0</v>
      </c>
      <c r="Q850" s="12"/>
      <c r="R850" s="13"/>
    </row>
    <row r="851" spans="1:18" ht="15" x14ac:dyDescent="0.2">
      <c r="A851" s="321">
        <f>IF(TOTALCO!A1384="", "",TOTALCO!A1384)</f>
        <v>9</v>
      </c>
      <c r="B851" s="4" t="str">
        <f>IF(TOTALCO!B1384="", "",TOTALCO!B1384)</f>
        <v xml:space="preserve">      FERC 588</v>
      </c>
      <c r="C851" s="4" t="str">
        <f>IF(TOTALCO!C1384="", "",TOTALCO!C1384)</f>
        <v>DISTPLT</v>
      </c>
      <c r="D851" s="12">
        <f ca="1">IF(TOTALCO!D1384="", "",TOTALCO!D1384)</f>
        <v>3424186</v>
      </c>
      <c r="E851" s="12" t="str">
        <f>IF(TOTALCO!E1384="", "",TOTALCO!E1384)</f>
        <v/>
      </c>
      <c r="F851" s="12">
        <f ca="1">IF(TOTALCO!F1384="", "",TOTALCO!F1384)</f>
        <v>3248886.979435645</v>
      </c>
      <c r="G851" s="12" t="str">
        <f>IF(TOTALCO!G1384="", "",TOTALCO!G1384)</f>
        <v/>
      </c>
      <c r="H851" s="12">
        <f ca="1">IF(TOTALCO!H1384="", "",TOTALCO!H1384)</f>
        <v>168018.28395695964</v>
      </c>
      <c r="I851" s="12">
        <f ca="1">IF(TOTALCO!I1384="", "",TOTALCO!I1384)</f>
        <v>7280.7366073951398</v>
      </c>
      <c r="J851" s="12" t="str">
        <f>IF(TOTALCO!J1384="", "",TOTALCO!J1384)</f>
        <v/>
      </c>
      <c r="K851" s="12" t="str">
        <f>IF(TOTALCO!K1384="", "",TOTALCO!K1384)</f>
        <v/>
      </c>
      <c r="L851" s="12">
        <f ca="1">IF(TOTALCO!L1384="", "",TOTALCO!L1384)</f>
        <v>1092.6286684934469</v>
      </c>
      <c r="M851" s="12" t="str">
        <f>IF(TOTALCO!M1384="", "",TOTALCO!M1384)</f>
        <v/>
      </c>
      <c r="N851" s="12">
        <f ca="1">IF(TOTALCO!N1384="", "",TOTALCO!N1384)</f>
        <v>6188.1079389016932</v>
      </c>
      <c r="O851" s="12">
        <f ca="1">IF(TOTALCO!O1384="", "",TOTALCO!O1384)</f>
        <v>6142.7696338791584</v>
      </c>
      <c r="P851" s="12">
        <f ca="1">IF(TOTALCO!P1384="", "",TOTALCO!P1384)</f>
        <v>45.338305022534556</v>
      </c>
      <c r="Q851" s="12"/>
      <c r="R851" s="13"/>
    </row>
    <row r="852" spans="1:18" ht="15" x14ac:dyDescent="0.2">
      <c r="A852" s="321">
        <f>IF(TOTALCO!A1385="", "",TOTALCO!A1385)</f>
        <v>10</v>
      </c>
      <c r="B852" s="4" t="str">
        <f>IF(TOTALCO!B1385="", "",TOTALCO!B1385)</f>
        <v xml:space="preserve">      FERC 589</v>
      </c>
      <c r="C852" s="4" t="str">
        <f>IF(TOTALCO!C1385="", "",TOTALCO!C1385)</f>
        <v>DISTPLT</v>
      </c>
      <c r="D852" s="12">
        <f ca="1">IF(TOTALCO!D1385="", "",TOTALCO!D1385)</f>
        <v>0</v>
      </c>
      <c r="E852" s="12" t="str">
        <f>IF(TOTALCO!E1385="", "",TOTALCO!E1385)</f>
        <v/>
      </c>
      <c r="F852" s="12">
        <f ca="1">IF(TOTALCO!F1385="", "",TOTALCO!F1385)</f>
        <v>0</v>
      </c>
      <c r="G852" s="12" t="str">
        <f>IF(TOTALCO!G1385="", "",TOTALCO!G1385)</f>
        <v/>
      </c>
      <c r="H852" s="12">
        <f ca="1">IF(TOTALCO!H1385="", "",TOTALCO!H1385)</f>
        <v>0</v>
      </c>
      <c r="I852" s="12">
        <f ca="1">IF(TOTALCO!I1385="", "",TOTALCO!I1385)</f>
        <v>0</v>
      </c>
      <c r="J852" s="12" t="str">
        <f>IF(TOTALCO!J1385="", "",TOTALCO!J1385)</f>
        <v/>
      </c>
      <c r="K852" s="12" t="str">
        <f>IF(TOTALCO!K1385="", "",TOTALCO!K1385)</f>
        <v/>
      </c>
      <c r="L852" s="12">
        <f ca="1">IF(TOTALCO!L1385="", "",TOTALCO!L1385)</f>
        <v>0</v>
      </c>
      <c r="M852" s="12" t="str">
        <f>IF(TOTALCO!M1385="", "",TOTALCO!M1385)</f>
        <v/>
      </c>
      <c r="N852" s="12">
        <f ca="1">IF(TOTALCO!N1385="", "",TOTALCO!N1385)</f>
        <v>0</v>
      </c>
      <c r="O852" s="12">
        <f ca="1">IF(TOTALCO!O1385="", "",TOTALCO!O1385)</f>
        <v>0</v>
      </c>
      <c r="P852" s="12">
        <f ca="1">IF(TOTALCO!P1385="", "",TOTALCO!P1385)</f>
        <v>0</v>
      </c>
      <c r="Q852" s="12"/>
      <c r="R852" s="13"/>
    </row>
    <row r="853" spans="1:18" ht="15" x14ac:dyDescent="0.2">
      <c r="A853" s="321">
        <f>IF(TOTALCO!A1386="", "",TOTALCO!A1386)</f>
        <v>11</v>
      </c>
      <c r="B853" s="4" t="str">
        <f>IF(TOTALCO!B1386="", "",TOTALCO!B1386)</f>
        <v xml:space="preserve">      FERC 590</v>
      </c>
      <c r="C853" s="4" t="str">
        <f>IF(TOTALCO!C1386="", "",TOTALCO!C1386)</f>
        <v>DISTPLT</v>
      </c>
      <c r="D853" s="12">
        <f ca="1">IF(TOTALCO!D1386="", "",TOTALCO!D1386)</f>
        <v>0</v>
      </c>
      <c r="E853" s="12" t="str">
        <f>IF(TOTALCO!E1386="", "",TOTALCO!E1386)</f>
        <v/>
      </c>
      <c r="F853" s="12">
        <f ca="1">IF(TOTALCO!F1386="", "",TOTALCO!F1386)</f>
        <v>0</v>
      </c>
      <c r="G853" s="12" t="str">
        <f>IF(TOTALCO!G1386="", "",TOTALCO!G1386)</f>
        <v/>
      </c>
      <c r="H853" s="12">
        <f ca="1">IF(TOTALCO!H1386="", "",TOTALCO!H1386)</f>
        <v>0</v>
      </c>
      <c r="I853" s="12">
        <f ca="1">IF(TOTALCO!I1386="", "",TOTALCO!I1386)</f>
        <v>0</v>
      </c>
      <c r="J853" s="12" t="str">
        <f>IF(TOTALCO!J1386="", "",TOTALCO!J1386)</f>
        <v/>
      </c>
      <c r="K853" s="12" t="str">
        <f>IF(TOTALCO!K1386="", "",TOTALCO!K1386)</f>
        <v/>
      </c>
      <c r="L853" s="12">
        <f ca="1">IF(TOTALCO!L1386="", "",TOTALCO!L1386)</f>
        <v>0</v>
      </c>
      <c r="M853" s="12" t="str">
        <f>IF(TOTALCO!M1386="", "",TOTALCO!M1386)</f>
        <v/>
      </c>
      <c r="N853" s="12">
        <f ca="1">IF(TOTALCO!N1386="", "",TOTALCO!N1386)</f>
        <v>0</v>
      </c>
      <c r="O853" s="12">
        <f ca="1">IF(TOTALCO!O1386="", "",TOTALCO!O1386)</f>
        <v>0</v>
      </c>
      <c r="P853" s="12">
        <f ca="1">IF(TOTALCO!P1386="", "",TOTALCO!P1386)</f>
        <v>0</v>
      </c>
      <c r="Q853" s="12"/>
      <c r="R853" s="13"/>
    </row>
    <row r="854" spans="1:18" ht="15" x14ac:dyDescent="0.2">
      <c r="A854" s="321">
        <f>IF(TOTALCO!A1388="", "",TOTALCO!A1388)</f>
        <v>13</v>
      </c>
      <c r="B854" s="4" t="str">
        <f>IF(TOTALCO!B1388="", "",TOTALCO!B1388)</f>
        <v xml:space="preserve">      FERC 592</v>
      </c>
      <c r="C854" s="4" t="str">
        <f>IF(TOTALCO!C1388="", "",TOTALCO!C1388)</f>
        <v>DISTPLT</v>
      </c>
      <c r="D854" s="12">
        <f ca="1">IF(TOTALCO!D1388="", "",TOTALCO!D1388)</f>
        <v>634557.00000000012</v>
      </c>
      <c r="E854" s="12" t="str">
        <f>IF(TOTALCO!E1388="", "",TOTALCO!E1388)</f>
        <v/>
      </c>
      <c r="F854" s="12">
        <f ca="1">IF(TOTALCO!F1388="", "",TOTALCO!F1388)</f>
        <v>602071.25869031204</v>
      </c>
      <c r="G854" s="12" t="str">
        <f>IF(TOTALCO!G1388="", "",TOTALCO!G1388)</f>
        <v/>
      </c>
      <c r="H854" s="12">
        <f ca="1">IF(TOTALCO!H1388="", "",TOTALCO!H1388)</f>
        <v>31136.503161007153</v>
      </c>
      <c r="I854" s="12">
        <f ca="1">IF(TOTALCO!I1388="", "",TOTALCO!I1388)</f>
        <v>1349.2381486808363</v>
      </c>
      <c r="J854" s="12" t="str">
        <f>IF(TOTALCO!J1388="", "",TOTALCO!J1388)</f>
        <v/>
      </c>
      <c r="K854" s="12" t="str">
        <f>IF(TOTALCO!K1388="", "",TOTALCO!K1388)</f>
        <v/>
      </c>
      <c r="L854" s="12">
        <f ca="1">IF(TOTALCO!L1388="", "",TOTALCO!L1388)</f>
        <v>202.48174894506204</v>
      </c>
      <c r="M854" s="12" t="str">
        <f>IF(TOTALCO!M1388="", "",TOTALCO!M1388)</f>
        <v/>
      </c>
      <c r="N854" s="12">
        <f ca="1">IF(TOTALCO!N1388="", "",TOTALCO!N1388)</f>
        <v>1146.7563997357743</v>
      </c>
      <c r="O854" s="12">
        <f ca="1">IF(TOTALCO!O1388="", "",TOTALCO!O1388)</f>
        <v>1138.3544791566396</v>
      </c>
      <c r="P854" s="12">
        <f ca="1">IF(TOTALCO!P1388="", "",TOTALCO!P1388)</f>
        <v>8.401920579134563</v>
      </c>
      <c r="Q854" s="12"/>
      <c r="R854" s="13"/>
    </row>
    <row r="855" spans="1:18" ht="15" x14ac:dyDescent="0.2">
      <c r="A855" s="321">
        <f>IF(TOTALCO!A1389="", "",TOTALCO!A1389)</f>
        <v>14</v>
      </c>
      <c r="B855" s="4" t="str">
        <f>IF(TOTALCO!B1389="", "",TOTALCO!B1389)</f>
        <v xml:space="preserve">      FERC 593</v>
      </c>
      <c r="C855" s="4" t="str">
        <f>IF(TOTALCO!C1389="", "",TOTALCO!C1389)</f>
        <v>DISTPLT</v>
      </c>
      <c r="D855" s="12">
        <f ca="1">IF(TOTALCO!D1389="", "",TOTALCO!D1389)</f>
        <v>7440115.9999999991</v>
      </c>
      <c r="E855" s="12" t="str">
        <f>IF(TOTALCO!E1389="", "",TOTALCO!E1389)</f>
        <v/>
      </c>
      <c r="F855" s="12">
        <f ca="1">IF(TOTALCO!F1389="", "",TOTALCO!F1389)</f>
        <v>7059224.00181848</v>
      </c>
      <c r="G855" s="12" t="str">
        <f>IF(TOTALCO!G1389="", "",TOTALCO!G1389)</f>
        <v/>
      </c>
      <c r="H855" s="12">
        <f ca="1">IF(TOTALCO!H1389="", "",TOTALCO!H1389)</f>
        <v>365072.3187235503</v>
      </c>
      <c r="I855" s="12">
        <f ca="1">IF(TOTALCO!I1389="", "",TOTALCO!I1389)</f>
        <v>15819.679457969367</v>
      </c>
      <c r="J855" s="12" t="str">
        <f>IF(TOTALCO!J1389="", "",TOTALCO!J1389)</f>
        <v/>
      </c>
      <c r="K855" s="12" t="str">
        <f>IF(TOTALCO!K1389="", "",TOTALCO!K1389)</f>
        <v/>
      </c>
      <c r="L855" s="12">
        <f ca="1">IF(TOTALCO!L1389="", "",TOTALCO!L1389)</f>
        <v>2374.0778212739583</v>
      </c>
      <c r="M855" s="12" t="str">
        <f>IF(TOTALCO!M1389="", "",TOTALCO!M1389)</f>
        <v/>
      </c>
      <c r="N855" s="12">
        <f ca="1">IF(TOTALCO!N1389="", "",TOTALCO!N1389)</f>
        <v>13445.601636695408</v>
      </c>
      <c r="O855" s="12">
        <f ca="1">IF(TOTALCO!O1389="", "",TOTALCO!O1389)</f>
        <v>13347.089976227478</v>
      </c>
      <c r="P855" s="12">
        <f ca="1">IF(TOTALCO!P1389="", "",TOTALCO!P1389)</f>
        <v>98.511660467930113</v>
      </c>
      <c r="Q855" s="12"/>
      <c r="R855" s="13"/>
    </row>
    <row r="856" spans="1:18" ht="15" x14ac:dyDescent="0.2">
      <c r="A856" s="321">
        <f>IF(TOTALCO!A1390="", "",TOTALCO!A1390)</f>
        <v>15</v>
      </c>
      <c r="B856" s="4" t="str">
        <f>IF(TOTALCO!B1390="", "",TOTALCO!B1390)</f>
        <v xml:space="preserve">      FERC 594</v>
      </c>
      <c r="C856" s="4" t="str">
        <f>IF(TOTALCO!C1390="", "",TOTALCO!C1390)</f>
        <v>DISTPLT</v>
      </c>
      <c r="D856" s="12">
        <f ca="1">IF(TOTALCO!D1390="", "",TOTALCO!D1390)</f>
        <v>341755</v>
      </c>
      <c r="E856" s="12" t="str">
        <f>IF(TOTALCO!E1390="", "",TOTALCO!E1390)</f>
        <v/>
      </c>
      <c r="F856" s="12">
        <f ca="1">IF(TOTALCO!F1390="", "",TOTALCO!F1390)</f>
        <v>324259.07052275457</v>
      </c>
      <c r="G856" s="12" t="str">
        <f>IF(TOTALCO!G1390="", "",TOTALCO!G1390)</f>
        <v/>
      </c>
      <c r="H856" s="12">
        <f ca="1">IF(TOTALCO!H1390="", "",TOTALCO!H1390)</f>
        <v>16769.266807851775</v>
      </c>
      <c r="I856" s="12">
        <f ca="1">IF(TOTALCO!I1390="", "",TOTALCO!I1390)</f>
        <v>726.66266939363857</v>
      </c>
      <c r="J856" s="12" t="str">
        <f>IF(TOTALCO!J1390="", "",TOTALCO!J1390)</f>
        <v/>
      </c>
      <c r="K856" s="12" t="str">
        <f>IF(TOTALCO!K1390="", "",TOTALCO!K1390)</f>
        <v/>
      </c>
      <c r="L856" s="12">
        <f ca="1">IF(TOTALCO!L1390="", "",TOTALCO!L1390)</f>
        <v>109.05111772578299</v>
      </c>
      <c r="M856" s="12" t="str">
        <f>IF(TOTALCO!M1390="", "",TOTALCO!M1390)</f>
        <v/>
      </c>
      <c r="N856" s="12">
        <f ca="1">IF(TOTALCO!N1390="", "",TOTALCO!N1390)</f>
        <v>617.61155166785557</v>
      </c>
      <c r="O856" s="12">
        <f ca="1">IF(TOTALCO!O1390="", "",TOTALCO!O1390)</f>
        <v>613.08650763316348</v>
      </c>
      <c r="P856" s="12">
        <f ca="1">IF(TOTALCO!P1390="", "",TOTALCO!P1390)</f>
        <v>4.5250440346921277</v>
      </c>
      <c r="Q856" s="12"/>
      <c r="R856" s="13"/>
    </row>
    <row r="857" spans="1:18" ht="15" x14ac:dyDescent="0.2">
      <c r="A857" s="321">
        <f>IF(TOTALCO!A1391="", "",TOTALCO!A1391)</f>
        <v>16</v>
      </c>
      <c r="B857" s="4" t="str">
        <f>IF(TOTALCO!B1391="", "",TOTALCO!B1391)</f>
        <v xml:space="preserve">      FERC 595</v>
      </c>
      <c r="C857" s="4" t="str">
        <f>IF(TOTALCO!C1391="", "",TOTALCO!C1391)</f>
        <v>DISTPLT</v>
      </c>
      <c r="D857" s="12">
        <f ca="1">IF(TOTALCO!D1391="", "",TOTALCO!D1391)</f>
        <v>57972</v>
      </c>
      <c r="E857" s="12" t="str">
        <f>IF(TOTALCO!E1391="", "",TOTALCO!E1391)</f>
        <v/>
      </c>
      <c r="F857" s="12">
        <f ca="1">IF(TOTALCO!F1391="", "",TOTALCO!F1391)</f>
        <v>55004.160396614912</v>
      </c>
      <c r="G857" s="12" t="str">
        <f>IF(TOTALCO!G1391="", "",TOTALCO!G1391)</f>
        <v/>
      </c>
      <c r="H857" s="12">
        <f ca="1">IF(TOTALCO!H1391="", "",TOTALCO!H1391)</f>
        <v>2844.5756035311351</v>
      </c>
      <c r="I857" s="12">
        <f ca="1">IF(TOTALCO!I1391="", "",TOTALCO!I1391)</f>
        <v>123.26399985395392</v>
      </c>
      <c r="J857" s="12" t="str">
        <f>IF(TOTALCO!J1391="", "",TOTALCO!J1391)</f>
        <v/>
      </c>
      <c r="K857" s="12" t="str">
        <f>IF(TOTALCO!K1391="", "",TOTALCO!K1391)</f>
        <v/>
      </c>
      <c r="L857" s="12">
        <f ca="1">IF(TOTALCO!L1391="", "",TOTALCO!L1391)</f>
        <v>18.498372801565715</v>
      </c>
      <c r="M857" s="12" t="str">
        <f>IF(TOTALCO!M1391="", "",TOTALCO!M1391)</f>
        <v/>
      </c>
      <c r="N857" s="12">
        <f ca="1">IF(TOTALCO!N1391="", "",TOTALCO!N1391)</f>
        <v>104.7656270523882</v>
      </c>
      <c r="O857" s="12">
        <f ca="1">IF(TOTALCO!O1391="", "",TOTALCO!O1391)</f>
        <v>103.99804251732895</v>
      </c>
      <c r="P857" s="12">
        <f ca="1">IF(TOTALCO!P1391="", "",TOTALCO!P1391)</f>
        <v>0.76758453505924429</v>
      </c>
      <c r="Q857" s="12"/>
      <c r="R857" s="13"/>
    </row>
    <row r="858" spans="1:18" ht="15" x14ac:dyDescent="0.2">
      <c r="A858" s="321">
        <f>IF(TOTALCO!A1392="", "",TOTALCO!A1392)</f>
        <v>17</v>
      </c>
      <c r="B858" s="4" t="str">
        <f>IF(TOTALCO!B1392="", "",TOTALCO!B1392)</f>
        <v xml:space="preserve">      FERC 596</v>
      </c>
      <c r="C858" s="4" t="str">
        <f>IF(TOTALCO!C1392="", "",TOTALCO!C1392)</f>
        <v>DISTPLT</v>
      </c>
      <c r="D858" s="12">
        <f ca="1">IF(TOTALCO!D1392="", "",TOTALCO!D1392)</f>
        <v>0</v>
      </c>
      <c r="E858" s="12" t="str">
        <f>IF(TOTALCO!E1392="", "",TOTALCO!E1392)</f>
        <v/>
      </c>
      <c r="F858" s="12">
        <f ca="1">IF(TOTALCO!F1392="", "",TOTALCO!F1392)</f>
        <v>0</v>
      </c>
      <c r="G858" s="12" t="str">
        <f>IF(TOTALCO!G1392="", "",TOTALCO!G1392)</f>
        <v/>
      </c>
      <c r="H858" s="12">
        <f ca="1">IF(TOTALCO!H1392="", "",TOTALCO!H1392)</f>
        <v>0</v>
      </c>
      <c r="I858" s="12">
        <f ca="1">IF(TOTALCO!I1392="", "",TOTALCO!I1392)</f>
        <v>0</v>
      </c>
      <c r="J858" s="12" t="str">
        <f>IF(TOTALCO!J1392="", "",TOTALCO!J1392)</f>
        <v/>
      </c>
      <c r="K858" s="12" t="str">
        <f>IF(TOTALCO!K1392="", "",TOTALCO!K1392)</f>
        <v/>
      </c>
      <c r="L858" s="12">
        <f ca="1">IF(TOTALCO!L1392="", "",TOTALCO!L1392)</f>
        <v>0</v>
      </c>
      <c r="M858" s="12" t="str">
        <f>IF(TOTALCO!M1392="", "",TOTALCO!M1392)</f>
        <v/>
      </c>
      <c r="N858" s="12">
        <f ca="1">IF(TOTALCO!N1392="", "",TOTALCO!N1392)</f>
        <v>0</v>
      </c>
      <c r="O858" s="12">
        <f ca="1">IF(TOTALCO!O1392="", "",TOTALCO!O1392)</f>
        <v>0</v>
      </c>
      <c r="P858" s="12">
        <f ca="1">IF(TOTALCO!P1392="", "",TOTALCO!P1392)</f>
        <v>0</v>
      </c>
      <c r="Q858" s="12"/>
      <c r="R858" s="13"/>
    </row>
    <row r="859" spans="1:18" ht="15" x14ac:dyDescent="0.2">
      <c r="A859" s="321">
        <f>IF(TOTALCO!A1393="", "",TOTALCO!A1393)</f>
        <v>18</v>
      </c>
      <c r="B859" s="4" t="str">
        <f>IF(TOTALCO!B1393="", "",TOTALCO!B1393)</f>
        <v xml:space="preserve">      FERC 597</v>
      </c>
      <c r="C859" s="4" t="str">
        <f>IF(TOTALCO!C1393="", "",TOTALCO!C1393)</f>
        <v>DISTPLT</v>
      </c>
      <c r="D859" s="12">
        <f ca="1">IF(TOTALCO!D1393="", "",TOTALCO!D1393)</f>
        <v>0</v>
      </c>
      <c r="E859" s="12" t="str">
        <f>IF(TOTALCO!E1393="", "",TOTALCO!E1393)</f>
        <v/>
      </c>
      <c r="F859" s="12">
        <f ca="1">IF(TOTALCO!F1393="", "",TOTALCO!F1393)</f>
        <v>0</v>
      </c>
      <c r="G859" s="12" t="str">
        <f>IF(TOTALCO!G1393="", "",TOTALCO!G1393)</f>
        <v/>
      </c>
      <c r="H859" s="12">
        <f ca="1">IF(TOTALCO!H1393="", "",TOTALCO!H1393)</f>
        <v>0</v>
      </c>
      <c r="I859" s="12">
        <f ca="1">IF(TOTALCO!I1393="", "",TOTALCO!I1393)</f>
        <v>0</v>
      </c>
      <c r="J859" s="12" t="str">
        <f>IF(TOTALCO!J1393="", "",TOTALCO!J1393)</f>
        <v/>
      </c>
      <c r="K859" s="12" t="str">
        <f>IF(TOTALCO!K1393="", "",TOTALCO!K1393)</f>
        <v/>
      </c>
      <c r="L859" s="12">
        <f ca="1">IF(TOTALCO!L1393="", "",TOTALCO!L1393)</f>
        <v>0</v>
      </c>
      <c r="M859" s="12" t="str">
        <f>IF(TOTALCO!M1393="", "",TOTALCO!M1393)</f>
        <v/>
      </c>
      <c r="N859" s="12">
        <f ca="1">IF(TOTALCO!N1393="", "",TOTALCO!N1393)</f>
        <v>0</v>
      </c>
      <c r="O859" s="12">
        <f ca="1">IF(TOTALCO!O1393="", "",TOTALCO!O1393)</f>
        <v>0</v>
      </c>
      <c r="P859" s="12">
        <f ca="1">IF(TOTALCO!P1393="", "",TOTALCO!P1393)</f>
        <v>0</v>
      </c>
      <c r="Q859" s="12"/>
      <c r="R859" s="13"/>
    </row>
    <row r="860" spans="1:18" ht="15" x14ac:dyDescent="0.2">
      <c r="A860" s="321">
        <f>IF(TOTALCO!A1394="", "",TOTALCO!A1394)</f>
        <v>19</v>
      </c>
      <c r="B860" s="4" t="str">
        <f>IF(TOTALCO!B1394="", "",TOTALCO!B1394)</f>
        <v xml:space="preserve">      FERC 598</v>
      </c>
      <c r="C860" s="4" t="str">
        <f>IF(TOTALCO!C1394="", "",TOTALCO!C1394)</f>
        <v>DISTPLT</v>
      </c>
      <c r="D860" s="12">
        <f ca="1">IF(TOTALCO!D1394="", "",TOTALCO!D1394)</f>
        <v>9209</v>
      </c>
      <c r="E860" s="12" t="str">
        <f>IF(TOTALCO!E1394="", "",TOTALCO!E1394)</f>
        <v/>
      </c>
      <c r="F860" s="12">
        <f ca="1">IF(TOTALCO!F1394="", "",TOTALCO!F1394)</f>
        <v>8737.5511124754485</v>
      </c>
      <c r="G860" s="12" t="str">
        <f>IF(TOTALCO!G1394="", "",TOTALCO!G1394)</f>
        <v/>
      </c>
      <c r="H860" s="12">
        <f ca="1">IF(TOTALCO!H1394="", "",TOTALCO!H1394)</f>
        <v>451.86808688536235</v>
      </c>
      <c r="I860" s="12">
        <f ca="1">IF(TOTALCO!I1394="", "",TOTALCO!I1394)</f>
        <v>19.580800639188944</v>
      </c>
      <c r="J860" s="12" t="str">
        <f>IF(TOTALCO!J1394="", "",TOTALCO!J1394)</f>
        <v/>
      </c>
      <c r="K860" s="12" t="str">
        <f>IF(TOTALCO!K1394="", "",TOTALCO!K1394)</f>
        <v/>
      </c>
      <c r="L860" s="12">
        <f ca="1">IF(TOTALCO!L1394="", "",TOTALCO!L1394)</f>
        <v>2.9385136812533408</v>
      </c>
      <c r="M860" s="12" t="str">
        <f>IF(TOTALCO!M1394="", "",TOTALCO!M1394)</f>
        <v/>
      </c>
      <c r="N860" s="12">
        <f ca="1">IF(TOTALCO!N1394="", "",TOTALCO!N1394)</f>
        <v>16.642286957935603</v>
      </c>
      <c r="O860" s="12">
        <f ca="1">IF(TOTALCO!O1394="", "",TOTALCO!O1394)</f>
        <v>16.520354197579561</v>
      </c>
      <c r="P860" s="12">
        <f ca="1">IF(TOTALCO!P1394="", "",TOTALCO!P1394)</f>
        <v>0.12193276035604396</v>
      </c>
      <c r="Q860" s="12"/>
      <c r="R860" s="13"/>
    </row>
    <row r="861" spans="1:18" ht="15" x14ac:dyDescent="0.2">
      <c r="A861" s="321" t="str">
        <f>IF(TOTALCO!A1395="", "",TOTALCO!A1395)</f>
        <v/>
      </c>
      <c r="B861" s="4" t="str">
        <f>IF(TOTALCO!B1395="", "",TOTALCO!B1395)</f>
        <v/>
      </c>
      <c r="C861" s="4" t="str">
        <f>IF(TOTALCO!C1395="", "",TOTALCO!C1395)</f>
        <v/>
      </c>
      <c r="D861" s="12" t="str">
        <f>IF(TOTALCO!D1395="", "",TOTALCO!D1395)</f>
        <v/>
      </c>
      <c r="E861" s="12" t="str">
        <f>IF(TOTALCO!E1395="", "",TOTALCO!E1395)</f>
        <v/>
      </c>
      <c r="F861" s="12" t="str">
        <f>IF(TOTALCO!F1395="", "",TOTALCO!F1395)</f>
        <v/>
      </c>
      <c r="G861" s="12" t="str">
        <f>IF(TOTALCO!G1395="", "",TOTALCO!G1395)</f>
        <v/>
      </c>
      <c r="H861" s="12" t="str">
        <f>IF(TOTALCO!H1395="", "",TOTALCO!H1395)</f>
        <v/>
      </c>
      <c r="I861" s="12" t="str">
        <f>IF(TOTALCO!I1395="", "",TOTALCO!I1395)</f>
        <v/>
      </c>
      <c r="J861" s="12" t="str">
        <f>IF(TOTALCO!J1395="", "",TOTALCO!J1395)</f>
        <v/>
      </c>
      <c r="K861" s="12" t="str">
        <f>IF(TOTALCO!K1395="", "",TOTALCO!K1395)</f>
        <v/>
      </c>
      <c r="L861" s="12" t="str">
        <f>IF(TOTALCO!L1395="", "",TOTALCO!L1395)</f>
        <v/>
      </c>
      <c r="M861" s="12" t="str">
        <f>IF(TOTALCO!M1395="", "",TOTALCO!M1395)</f>
        <v/>
      </c>
      <c r="N861" s="12" t="str">
        <f>IF(TOTALCO!N1395="", "",TOTALCO!N1395)</f>
        <v/>
      </c>
      <c r="O861" s="12" t="str">
        <f>IF(TOTALCO!O1395="", "",TOTALCO!O1395)</f>
        <v/>
      </c>
      <c r="P861" s="12" t="str">
        <f>IF(TOTALCO!P1395="", "",TOTALCO!P1395)</f>
        <v/>
      </c>
      <c r="Q861" s="12"/>
      <c r="R861" s="13"/>
    </row>
    <row r="862" spans="1:18" ht="15" x14ac:dyDescent="0.2">
      <c r="A862" s="321">
        <f>IF(TOTALCO!A1396="", "",TOTALCO!A1396)</f>
        <v>20</v>
      </c>
      <c r="B862" s="4" t="str">
        <f>IF(TOTALCO!B1396="", "",TOTALCO!B1396)</f>
        <v xml:space="preserve"> TOTAL DISTRIBUTION LABOR</v>
      </c>
      <c r="C862" s="4" t="str">
        <f>IF(TOTALCO!C1396="", "",TOTALCO!C1396)</f>
        <v>DISTPLT</v>
      </c>
      <c r="D862" s="12">
        <f ca="1">IF(TOTALCO!D1396="", "",TOTALCO!D1396)</f>
        <v>22794160.000000004</v>
      </c>
      <c r="E862" s="12" t="str">
        <f>IF(TOTALCO!E1396="", "",TOTALCO!E1396)</f>
        <v/>
      </c>
      <c r="F862" s="12">
        <f ca="1">IF(TOTALCO!F1396="", "",TOTALCO!F1396)</f>
        <v>21627227.502002757</v>
      </c>
      <c r="G862" s="12" t="str">
        <f>IF(TOTALCO!G1396="", "",TOTALCO!G1396)</f>
        <v/>
      </c>
      <c r="H862" s="12">
        <f ca="1">IF(TOTALCO!H1396="", "",TOTALCO!H1396)</f>
        <v>1118466.0084003534</v>
      </c>
      <c r="I862" s="12">
        <f ca="1">IF(TOTALCO!I1396="", "",TOTALCO!I1396)</f>
        <v>48466.489596891646</v>
      </c>
      <c r="J862" s="12" t="str">
        <f>IF(TOTALCO!J1396="", "",TOTALCO!J1396)</f>
        <v/>
      </c>
      <c r="K862" s="12" t="str">
        <f>IF(TOTALCO!K1396="", "",TOTALCO!K1396)</f>
        <v/>
      </c>
      <c r="L862" s="12">
        <f ca="1">IF(TOTALCO!L1396="", "",TOTALCO!L1396)</f>
        <v>7273.4228485913409</v>
      </c>
      <c r="M862" s="12" t="str">
        <f>IF(TOTALCO!M1396="", "",TOTALCO!M1396)</f>
        <v/>
      </c>
      <c r="N862" s="12">
        <f ca="1">IF(TOTALCO!N1396="", "",TOTALCO!N1396)</f>
        <v>41193.066748300291</v>
      </c>
      <c r="O862" s="12">
        <f ca="1">IF(TOTALCO!O1396="", "",TOTALCO!O1396)</f>
        <v>40891.258207872736</v>
      </c>
      <c r="P862" s="12">
        <f ca="1">IF(TOTALCO!P1396="", "",TOTALCO!P1396)</f>
        <v>301.80854042755169</v>
      </c>
      <c r="Q862" s="12"/>
      <c r="R862" s="13"/>
    </row>
    <row r="863" spans="1:18" ht="15" x14ac:dyDescent="0.2">
      <c r="A863" s="321" t="str">
        <f>IF(TOTALCO!A1397="", "",TOTALCO!A1397)</f>
        <v/>
      </c>
      <c r="B863" s="4" t="str">
        <f>IF(TOTALCO!B1397="", "",TOTALCO!B1397)</f>
        <v/>
      </c>
      <c r="C863" s="4" t="str">
        <f>IF(TOTALCO!C1397="", "",TOTALCO!C1397)</f>
        <v/>
      </c>
      <c r="D863" s="12" t="str">
        <f>IF(TOTALCO!D1397="", "",TOTALCO!D1397)</f>
        <v/>
      </c>
      <c r="E863" s="12" t="str">
        <f>IF(TOTALCO!E1397="", "",TOTALCO!E1397)</f>
        <v/>
      </c>
      <c r="F863" s="12" t="str">
        <f>IF(TOTALCO!F1397="", "",TOTALCO!F1397)</f>
        <v/>
      </c>
      <c r="G863" s="12" t="str">
        <f>IF(TOTALCO!G1397="", "",TOTALCO!G1397)</f>
        <v/>
      </c>
      <c r="H863" s="12" t="str">
        <f>IF(TOTALCO!H1397="", "",TOTALCO!H1397)</f>
        <v/>
      </c>
      <c r="I863" s="12" t="str">
        <f>IF(TOTALCO!I1397="", "",TOTALCO!I1397)</f>
        <v/>
      </c>
      <c r="J863" s="12" t="str">
        <f>IF(TOTALCO!J1397="", "",TOTALCO!J1397)</f>
        <v/>
      </c>
      <c r="K863" s="12" t="str">
        <f>IF(TOTALCO!K1397="", "",TOTALCO!K1397)</f>
        <v/>
      </c>
      <c r="L863" s="12" t="str">
        <f>IF(TOTALCO!L1397="", "",TOTALCO!L1397)</f>
        <v/>
      </c>
      <c r="M863" s="12" t="str">
        <f>IF(TOTALCO!M1397="", "",TOTALCO!M1397)</f>
        <v/>
      </c>
      <c r="N863" s="12" t="str">
        <f>IF(TOTALCO!N1397="", "",TOTALCO!N1397)</f>
        <v/>
      </c>
      <c r="O863" s="12" t="str">
        <f>IF(TOTALCO!O1397="", "",TOTALCO!O1397)</f>
        <v/>
      </c>
      <c r="P863" s="12" t="str">
        <f>IF(TOTALCO!P1397="", "",TOTALCO!P1397)</f>
        <v/>
      </c>
      <c r="Q863" s="12"/>
      <c r="R863" s="13"/>
    </row>
    <row r="864" spans="1:18" ht="15" x14ac:dyDescent="0.2">
      <c r="A864" s="321">
        <f>IF(TOTALCO!A1398="", "",TOTALCO!A1398)</f>
        <v>21</v>
      </c>
      <c r="B864" s="4" t="str">
        <f>IF(TOTALCO!B1398="", "",TOTALCO!B1398)</f>
        <v xml:space="preserve"> TOT PROD, TRNS &amp; DISTR LABOR</v>
      </c>
      <c r="C864" s="4" t="str">
        <f>IF(TOTALCO!C1398="", "",TOTALCO!C1398)</f>
        <v/>
      </c>
      <c r="D864" s="12">
        <f ca="1">IF(TOTALCO!D1398="", "",TOTALCO!D1398)</f>
        <v>92952526.000000015</v>
      </c>
      <c r="E864" s="12" t="str">
        <f>IF(TOTALCO!E1398="", "",TOTALCO!E1398)</f>
        <v/>
      </c>
      <c r="F864" s="12">
        <f ca="1">IF(TOTALCO!F1398="", "",TOTALCO!F1398)</f>
        <v>87183813.808233812</v>
      </c>
      <c r="G864" s="12" t="str">
        <f>IF(TOTALCO!G1398="", "",TOTALCO!G1398)</f>
        <v/>
      </c>
      <c r="H864" s="12">
        <f ca="1">IF(TOTALCO!H1398="", "",TOTALCO!H1398)</f>
        <v>4416324.0819489257</v>
      </c>
      <c r="I864" s="12">
        <f ca="1">IF(TOTALCO!I1398="", "",TOTALCO!I1398)</f>
        <v>1352388.1098172832</v>
      </c>
      <c r="J864" s="12" t="str">
        <f>IF(TOTALCO!J1398="", "",TOTALCO!J1398)</f>
        <v/>
      </c>
      <c r="K864" s="12" t="str">
        <f>IF(TOTALCO!K1398="", "",TOTALCO!K1398)</f>
        <v/>
      </c>
      <c r="L864" s="12">
        <f ca="1">IF(TOTALCO!L1398="", "",TOTALCO!L1398)</f>
        <v>7513.2553157967386</v>
      </c>
      <c r="M864" s="12" t="str">
        <f>IF(TOTALCO!M1398="", "",TOTALCO!M1398)</f>
        <v/>
      </c>
      <c r="N864" s="12">
        <f ca="1">IF(TOTALCO!N1398="", "",TOTALCO!N1398)</f>
        <v>1344874.8545014865</v>
      </c>
      <c r="O864" s="12">
        <f ca="1">IF(TOTALCO!O1398="", "",TOTALCO!O1398)</f>
        <v>701685.02695065807</v>
      </c>
      <c r="P864" s="12">
        <f ca="1">IF(TOTALCO!P1398="", "",TOTALCO!P1398)</f>
        <v>643189.82755082846</v>
      </c>
      <c r="Q864" s="12"/>
      <c r="R864" s="13"/>
    </row>
    <row r="865" spans="1:18" ht="15" x14ac:dyDescent="0.2">
      <c r="A865" s="321" t="str">
        <f>IF(TOTALCO!A1399="", "",TOTALCO!A1399)</f>
        <v/>
      </c>
      <c r="B865" s="4" t="str">
        <f>IF(TOTALCO!B1399="", "",TOTALCO!B1399)</f>
        <v/>
      </c>
      <c r="C865" s="4" t="str">
        <f>IF(TOTALCO!C1399="", "",TOTALCO!C1399)</f>
        <v/>
      </c>
      <c r="D865" s="12" t="str">
        <f>IF(TOTALCO!D1399="", "",TOTALCO!D1399)</f>
        <v/>
      </c>
      <c r="E865" s="12" t="str">
        <f>IF(TOTALCO!E1399="", "",TOTALCO!E1399)</f>
        <v/>
      </c>
      <c r="F865" s="12" t="str">
        <f>IF(TOTALCO!F1399="", "",TOTALCO!F1399)</f>
        <v/>
      </c>
      <c r="G865" s="12" t="str">
        <f>IF(TOTALCO!G1399="", "",TOTALCO!G1399)</f>
        <v/>
      </c>
      <c r="H865" s="12" t="str">
        <f>IF(TOTALCO!H1399="", "",TOTALCO!H1399)</f>
        <v/>
      </c>
      <c r="I865" s="12" t="str">
        <f>IF(TOTALCO!I1399="", "",TOTALCO!I1399)</f>
        <v/>
      </c>
      <c r="J865" s="12" t="str">
        <f>IF(TOTALCO!J1399="", "",TOTALCO!J1399)</f>
        <v/>
      </c>
      <c r="K865" s="12" t="str">
        <f>IF(TOTALCO!K1399="", "",TOTALCO!K1399)</f>
        <v/>
      </c>
      <c r="L865" s="12" t="str">
        <f>IF(TOTALCO!L1399="", "",TOTALCO!L1399)</f>
        <v/>
      </c>
      <c r="M865" s="12" t="str">
        <f>IF(TOTALCO!M1399="", "",TOTALCO!M1399)</f>
        <v/>
      </c>
      <c r="N865" s="12" t="str">
        <f>IF(TOTALCO!N1399="", "",TOTALCO!N1399)</f>
        <v/>
      </c>
      <c r="O865" s="12" t="str">
        <f>IF(TOTALCO!O1399="", "",TOTALCO!O1399)</f>
        <v/>
      </c>
      <c r="P865" s="12" t="str">
        <f>IF(TOTALCO!P1399="", "",TOTALCO!P1399)</f>
        <v/>
      </c>
      <c r="Q865" s="12"/>
      <c r="R865" s="13"/>
    </row>
    <row r="866" spans="1:18" ht="15" x14ac:dyDescent="0.2">
      <c r="A866" s="321" t="str">
        <f>IF(TOTALCO!A1400="", "",TOTALCO!A1400)</f>
        <v/>
      </c>
      <c r="B866" s="4" t="str">
        <f>IF(TOTALCO!B1400="", "",TOTALCO!B1400)</f>
        <v/>
      </c>
      <c r="C866" s="4" t="str">
        <f>IF(TOTALCO!C1400="", "",TOTALCO!C1400)</f>
        <v/>
      </c>
      <c r="D866" s="12" t="str">
        <f>IF(TOTALCO!D1400="", "",TOTALCO!D1400)</f>
        <v/>
      </c>
      <c r="E866" s="12" t="str">
        <f>IF(TOTALCO!E1400="", "",TOTALCO!E1400)</f>
        <v/>
      </c>
      <c r="F866" s="12" t="str">
        <f>IF(TOTALCO!F1400="", "",TOTALCO!F1400)</f>
        <v/>
      </c>
      <c r="G866" s="12" t="str">
        <f>IF(TOTALCO!G1400="", "",TOTALCO!G1400)</f>
        <v/>
      </c>
      <c r="H866" s="12" t="str">
        <f>IF(TOTALCO!H1400="", "",TOTALCO!H1400)</f>
        <v/>
      </c>
      <c r="I866" s="12" t="str">
        <f>IF(TOTALCO!I1400="", "",TOTALCO!I1400)</f>
        <v/>
      </c>
      <c r="J866" s="12" t="str">
        <f>IF(TOTALCO!J1400="", "",TOTALCO!J1400)</f>
        <v/>
      </c>
      <c r="K866" s="12" t="str">
        <f>IF(TOTALCO!K1400="", "",TOTALCO!K1400)</f>
        <v/>
      </c>
      <c r="L866" s="12" t="str">
        <f>IF(TOTALCO!L1400="", "",TOTALCO!L1400)</f>
        <v/>
      </c>
      <c r="M866" s="12" t="str">
        <f>IF(TOTALCO!M1400="", "",TOTALCO!M1400)</f>
        <v/>
      </c>
      <c r="N866" s="12" t="str">
        <f>IF(TOTALCO!N1400="", "",TOTALCO!N1400)</f>
        <v/>
      </c>
      <c r="O866" s="12" t="str">
        <f>IF(TOTALCO!O1400="", "",TOTALCO!O1400)</f>
        <v/>
      </c>
      <c r="P866" s="12" t="str">
        <f>IF(TOTALCO!P1400="", "",TOTALCO!P1400)</f>
        <v/>
      </c>
      <c r="Q866" s="12"/>
      <c r="R866" s="13"/>
    </row>
    <row r="867" spans="1:18" ht="15" x14ac:dyDescent="0.2">
      <c r="A867" s="321" t="str">
        <f>IF(TOTALCO!A1401="", "",TOTALCO!A1401)</f>
        <v/>
      </c>
      <c r="B867" s="4" t="str">
        <f>IF(TOTALCO!B1401="", "",TOTALCO!B1401)</f>
        <v/>
      </c>
      <c r="C867" s="4" t="str">
        <f>IF(TOTALCO!C1401="", "",TOTALCO!C1401)</f>
        <v/>
      </c>
      <c r="D867" s="12" t="str">
        <f>IF(TOTALCO!D1401="", "",TOTALCO!D1401)</f>
        <v/>
      </c>
      <c r="E867" s="12" t="str">
        <f>IF(TOTALCO!E1401="", "",TOTALCO!E1401)</f>
        <v/>
      </c>
      <c r="F867" s="12" t="str">
        <f>IF(TOTALCO!F1401="", "",TOTALCO!F1401)</f>
        <v/>
      </c>
      <c r="G867" s="12" t="str">
        <f>IF(TOTALCO!G1401="", "",TOTALCO!G1401)</f>
        <v/>
      </c>
      <c r="H867" s="12" t="str">
        <f>IF(TOTALCO!H1401="", "",TOTALCO!H1401)</f>
        <v/>
      </c>
      <c r="I867" s="12" t="str">
        <f>IF(TOTALCO!I1401="", "",TOTALCO!I1401)</f>
        <v/>
      </c>
      <c r="J867" s="12" t="str">
        <f>IF(TOTALCO!J1401="", "",TOTALCO!J1401)</f>
        <v/>
      </c>
      <c r="K867" s="12" t="str">
        <f>IF(TOTALCO!K1401="", "",TOTALCO!K1401)</f>
        <v/>
      </c>
      <c r="L867" s="12" t="str">
        <f>IF(TOTALCO!L1401="", "",TOTALCO!L1401)</f>
        <v/>
      </c>
      <c r="M867" s="12" t="str">
        <f>IF(TOTALCO!M1401="", "",TOTALCO!M1401)</f>
        <v/>
      </c>
      <c r="N867" s="12" t="str">
        <f>IF(TOTALCO!N1401="", "",TOTALCO!N1401)</f>
        <v/>
      </c>
      <c r="O867" s="12" t="str">
        <f>IF(TOTALCO!O1401="", "",TOTALCO!O1401)</f>
        <v/>
      </c>
      <c r="P867" s="12" t="str">
        <f>IF(TOTALCO!P1401="", "",TOTALCO!P1401)</f>
        <v/>
      </c>
      <c r="Q867" s="12"/>
      <c r="R867" s="13"/>
    </row>
    <row r="868" spans="1:18" ht="15" x14ac:dyDescent="0.2">
      <c r="A868" s="321" t="str">
        <f>IF(TOTALCO!A1402="", "",TOTALCO!A1402)</f>
        <v/>
      </c>
      <c r="B868" s="4" t="str">
        <f>IF(TOTALCO!B1402="", "",TOTALCO!B1402)</f>
        <v/>
      </c>
      <c r="C868" s="4" t="str">
        <f>IF(TOTALCO!C1402="", "",TOTALCO!C1402)</f>
        <v/>
      </c>
      <c r="D868" s="12" t="str">
        <f>IF(TOTALCO!D1402="", "",TOTALCO!D1402)</f>
        <v/>
      </c>
      <c r="E868" s="12" t="str">
        <f>IF(TOTALCO!E1402="", "",TOTALCO!E1402)</f>
        <v/>
      </c>
      <c r="F868" s="12" t="str">
        <f>IF(TOTALCO!F1402="", "",TOTALCO!F1402)</f>
        <v/>
      </c>
      <c r="G868" s="12" t="str">
        <f>IF(TOTALCO!G1402="", "",TOTALCO!G1402)</f>
        <v/>
      </c>
      <c r="H868" s="12" t="str">
        <f>IF(TOTALCO!H1402="", "",TOTALCO!H1402)</f>
        <v/>
      </c>
      <c r="I868" s="12" t="str">
        <f>IF(TOTALCO!I1402="", "",TOTALCO!I1402)</f>
        <v/>
      </c>
      <c r="J868" s="12" t="str">
        <f>IF(TOTALCO!J1402="", "",TOTALCO!J1402)</f>
        <v/>
      </c>
      <c r="K868" s="12" t="str">
        <f>IF(TOTALCO!K1402="", "",TOTALCO!K1402)</f>
        <v/>
      </c>
      <c r="L868" s="12" t="str">
        <f>IF(TOTALCO!L1402="", "",TOTALCO!L1402)</f>
        <v/>
      </c>
      <c r="M868" s="12" t="str">
        <f>IF(TOTALCO!M1402="", "",TOTALCO!M1402)</f>
        <v/>
      </c>
      <c r="N868" s="12" t="str">
        <f>IF(TOTALCO!N1402="", "",TOTALCO!N1402)</f>
        <v/>
      </c>
      <c r="O868" s="12" t="str">
        <f>IF(TOTALCO!O1402="", "",TOTALCO!O1402)</f>
        <v/>
      </c>
      <c r="P868" s="12" t="str">
        <f>IF(TOTALCO!P1402="", "",TOTALCO!P1402)</f>
        <v/>
      </c>
      <c r="Q868" s="12"/>
      <c r="R868" s="13"/>
    </row>
    <row r="869" spans="1:18" ht="15" x14ac:dyDescent="0.2">
      <c r="A869" s="321" t="str">
        <f>IF(TOTALCO!A1403="", "",TOTALCO!A1403)</f>
        <v/>
      </c>
      <c r="B869" s="4" t="str">
        <f>IF(TOTALCO!B1403="", "",TOTALCO!B1403)</f>
        <v xml:space="preserve"> CUSTOMER ACCOUNTING</v>
      </c>
      <c r="C869" s="4" t="str">
        <f>IF(TOTALCO!C1403="", "",TOTALCO!C1403)</f>
        <v/>
      </c>
      <c r="D869" s="12" t="str">
        <f>IF(TOTALCO!D1403="", "",TOTALCO!D1403)</f>
        <v/>
      </c>
      <c r="E869" s="12" t="str">
        <f>IF(TOTALCO!E1403="", "",TOTALCO!E1403)</f>
        <v/>
      </c>
      <c r="F869" s="12" t="str">
        <f>IF(TOTALCO!F1403="", "",TOTALCO!F1403)</f>
        <v/>
      </c>
      <c r="G869" s="12" t="str">
        <f>IF(TOTALCO!G1403="", "",TOTALCO!G1403)</f>
        <v/>
      </c>
      <c r="H869" s="12" t="str">
        <f>IF(TOTALCO!H1403="", "",TOTALCO!H1403)</f>
        <v/>
      </c>
      <c r="I869" s="12" t="str">
        <f>IF(TOTALCO!I1403="", "",TOTALCO!I1403)</f>
        <v/>
      </c>
      <c r="J869" s="12" t="str">
        <f>IF(TOTALCO!J1403="", "",TOTALCO!J1403)</f>
        <v/>
      </c>
      <c r="K869" s="12" t="str">
        <f>IF(TOTALCO!K1403="", "",TOTALCO!K1403)</f>
        <v/>
      </c>
      <c r="L869" s="12" t="str">
        <f>IF(TOTALCO!L1403="", "",TOTALCO!L1403)</f>
        <v/>
      </c>
      <c r="M869" s="12" t="str">
        <f>IF(TOTALCO!M1403="", "",TOTALCO!M1403)</f>
        <v/>
      </c>
      <c r="N869" s="12" t="str">
        <f>IF(TOTALCO!N1403="", "",TOTALCO!N1403)</f>
        <v/>
      </c>
      <c r="O869" s="12" t="str">
        <f>IF(TOTALCO!O1403="", "",TOTALCO!O1403)</f>
        <v/>
      </c>
      <c r="P869" s="12" t="str">
        <f>IF(TOTALCO!P1403="", "",TOTALCO!P1403)</f>
        <v/>
      </c>
      <c r="Q869" s="12"/>
      <c r="R869" s="13"/>
    </row>
    <row r="870" spans="1:18" ht="15" x14ac:dyDescent="0.2">
      <c r="A870" s="321">
        <f>IF(TOTALCO!A1404="", "",TOTALCO!A1404)</f>
        <v>1</v>
      </c>
      <c r="B870" s="4" t="str">
        <f>IF(TOTALCO!B1404="", "",TOTALCO!B1404)</f>
        <v xml:space="preserve">      FERC 901</v>
      </c>
      <c r="C870" s="4" t="str">
        <f>IF(TOTALCO!C1404="", "",TOTALCO!C1404)</f>
        <v>EXP9025CA</v>
      </c>
      <c r="D870" s="12">
        <f ca="1">IF(TOTALCO!D1404="", "",TOTALCO!D1404)</f>
        <v>3641154</v>
      </c>
      <c r="E870" s="12" t="str">
        <f>IF(TOTALCO!E1404="", "",TOTALCO!E1404)</f>
        <v/>
      </c>
      <c r="F870" s="12">
        <f ca="1">IF(TOTALCO!F1404="", "",TOTALCO!F1404)</f>
        <v>3459212.6491932455</v>
      </c>
      <c r="G870" s="12" t="str">
        <f>IF(TOTALCO!G1404="", "",TOTALCO!G1404)</f>
        <v/>
      </c>
      <c r="H870" s="12">
        <f ca="1">IF(TOTALCO!H1404="", "",TOTALCO!H1404)</f>
        <v>180900.20544863981</v>
      </c>
      <c r="I870" s="12">
        <f ca="1">IF(TOTALCO!I1404="", "",TOTALCO!I1404)</f>
        <v>1041.145358114652</v>
      </c>
      <c r="J870" s="12" t="str">
        <f>IF(TOTALCO!J1404="", "",TOTALCO!J1404)</f>
        <v/>
      </c>
      <c r="K870" s="12" t="str">
        <f>IF(TOTALCO!K1404="", "",TOTALCO!K1404)</f>
        <v/>
      </c>
      <c r="L870" s="12">
        <f ca="1">IF(TOTALCO!L1404="", "",TOTALCO!L1404)</f>
        <v>23.989524380521935</v>
      </c>
      <c r="M870" s="12" t="str">
        <f>IF(TOTALCO!M1404="", "",TOTALCO!M1404)</f>
        <v/>
      </c>
      <c r="N870" s="12">
        <f ca="1">IF(TOTALCO!N1404="", "",TOTALCO!N1404)</f>
        <v>1017.1558337341302</v>
      </c>
      <c r="O870" s="12">
        <f ca="1">IF(TOTALCO!O1404="", "",TOTALCO!O1404)</f>
        <v>407.82191446887293</v>
      </c>
      <c r="P870" s="12">
        <f ca="1">IF(TOTALCO!P1404="", "",TOTALCO!P1404)</f>
        <v>609.33391926525724</v>
      </c>
      <c r="Q870" s="12"/>
      <c r="R870" s="13"/>
    </row>
    <row r="871" spans="1:18" ht="15" x14ac:dyDescent="0.2">
      <c r="A871" s="321">
        <f>IF(TOTALCO!A1405="", "",TOTALCO!A1405)</f>
        <v>2</v>
      </c>
      <c r="B871" s="4" t="str">
        <f>IF(TOTALCO!B1405="", "",TOTALCO!B1405)</f>
        <v xml:space="preserve">      FERC 902</v>
      </c>
      <c r="C871" s="4" t="str">
        <f>IF(TOTALCO!C1405="", "",TOTALCO!C1405)</f>
        <v>EXP9025CA</v>
      </c>
      <c r="D871" s="12">
        <f ca="1">IF(TOTALCO!D1405="", "",TOTALCO!D1405)</f>
        <v>724506</v>
      </c>
      <c r="E871" s="12" t="str">
        <f>IF(TOTALCO!E1405="", "",TOTALCO!E1405)</f>
        <v/>
      </c>
      <c r="F871" s="12">
        <f ca="1">IF(TOTALCO!F1405="", "",TOTALCO!F1405)</f>
        <v>688303.85081663716</v>
      </c>
      <c r="G871" s="12" t="str">
        <f>IF(TOTALCO!G1405="", "",TOTALCO!G1405)</f>
        <v/>
      </c>
      <c r="H871" s="12">
        <f ca="1">IF(TOTALCO!H1405="", "",TOTALCO!H1405)</f>
        <v>35994.985174692483</v>
      </c>
      <c r="I871" s="12">
        <f ca="1">IF(TOTALCO!I1405="", "",TOTALCO!I1405)</f>
        <v>207.16400867038692</v>
      </c>
      <c r="J871" s="12" t="str">
        <f>IF(TOTALCO!J1405="", "",TOTALCO!J1405)</f>
        <v/>
      </c>
      <c r="K871" s="12" t="str">
        <f>IF(TOTALCO!K1405="", "",TOTALCO!K1405)</f>
        <v/>
      </c>
      <c r="L871" s="12">
        <f ca="1">IF(TOTALCO!L1405="", "",TOTALCO!L1405)</f>
        <v>4.7733642550780395</v>
      </c>
      <c r="M871" s="12" t="str">
        <f>IF(TOTALCO!M1405="", "",TOTALCO!M1405)</f>
        <v/>
      </c>
      <c r="N871" s="12">
        <f ca="1">IF(TOTALCO!N1405="", "",TOTALCO!N1405)</f>
        <v>202.39064441530888</v>
      </c>
      <c r="O871" s="12">
        <f ca="1">IF(TOTALCO!O1405="", "",TOTALCO!O1405)</f>
        <v>81.147192336326682</v>
      </c>
      <c r="P871" s="12">
        <f ca="1">IF(TOTALCO!P1405="", "",TOTALCO!P1405)</f>
        <v>121.24345207898222</v>
      </c>
      <c r="Q871" s="12"/>
      <c r="R871" s="13"/>
    </row>
    <row r="872" spans="1:18" ht="15" x14ac:dyDescent="0.2">
      <c r="A872" s="321">
        <f>IF(TOTALCO!A1406="", "",TOTALCO!A1406)</f>
        <v>3</v>
      </c>
      <c r="B872" s="4" t="str">
        <f>IF(TOTALCO!B1406="", "",TOTALCO!B1406)</f>
        <v xml:space="preserve">      FERC 903</v>
      </c>
      <c r="C872" s="4" t="str">
        <f>IF(TOTALCO!C1406="", "",TOTALCO!C1406)</f>
        <v>EXP9025CA</v>
      </c>
      <c r="D872" s="12">
        <f ca="1">IF(TOTALCO!D1406="", "",TOTALCO!D1406)</f>
        <v>14347203</v>
      </c>
      <c r="E872" s="12" t="str">
        <f>IF(TOTALCO!E1406="", "",TOTALCO!E1406)</f>
        <v/>
      </c>
      <c r="F872" s="12">
        <f ca="1">IF(TOTALCO!F1406="", "",TOTALCO!F1406)</f>
        <v>13630301.29957241</v>
      </c>
      <c r="G872" s="12" t="str">
        <f>IF(TOTALCO!G1406="", "",TOTALCO!G1406)</f>
        <v/>
      </c>
      <c r="H872" s="12">
        <f ca="1">IF(TOTALCO!H1406="", "",TOTALCO!H1406)</f>
        <v>712799.28569715575</v>
      </c>
      <c r="I872" s="12">
        <f ca="1">IF(TOTALCO!I1406="", "",TOTALCO!I1406)</f>
        <v>4102.4147304339804</v>
      </c>
      <c r="J872" s="12" t="str">
        <f>IF(TOTALCO!J1406="", "",TOTALCO!J1406)</f>
        <v/>
      </c>
      <c r="K872" s="12" t="str">
        <f>IF(TOTALCO!K1406="", "",TOTALCO!K1406)</f>
        <v/>
      </c>
      <c r="L872" s="12">
        <f ca="1">IF(TOTALCO!L1406="", "",TOTALCO!L1406)</f>
        <v>94.525685033041029</v>
      </c>
      <c r="M872" s="12" t="str">
        <f>IF(TOTALCO!M1406="", "",TOTALCO!M1406)</f>
        <v/>
      </c>
      <c r="N872" s="12">
        <f ca="1">IF(TOTALCO!N1406="", "",TOTALCO!N1406)</f>
        <v>4007.8890454009393</v>
      </c>
      <c r="O872" s="12">
        <f ca="1">IF(TOTALCO!O1406="", "",TOTALCO!O1406)</f>
        <v>1606.9366455616973</v>
      </c>
      <c r="P872" s="12">
        <f ca="1">IF(TOTALCO!P1406="", "",TOTALCO!P1406)</f>
        <v>2400.9523998392419</v>
      </c>
      <c r="Q872" s="12"/>
      <c r="R872" s="13"/>
    </row>
    <row r="873" spans="1:18" ht="15" x14ac:dyDescent="0.2">
      <c r="A873" s="321">
        <f>IF(TOTALCO!A1407="", "",TOTALCO!A1407)</f>
        <v>4</v>
      </c>
      <c r="B873" s="4" t="str">
        <f>IF(TOTALCO!B1407="", "",TOTALCO!B1407)</f>
        <v xml:space="preserve">      FERC 904</v>
      </c>
      <c r="C873" s="4" t="str">
        <f>IF(TOTALCO!C1407="", "",TOTALCO!C1407)</f>
        <v>EXP9025CA</v>
      </c>
      <c r="D873" s="12">
        <f ca="1">IF(TOTALCO!D1407="", "",TOTALCO!D1407)</f>
        <v>0</v>
      </c>
      <c r="E873" s="12" t="str">
        <f>IF(TOTALCO!E1407="", "",TOTALCO!E1407)</f>
        <v/>
      </c>
      <c r="F873" s="12">
        <f ca="1">IF(TOTALCO!F1407="", "",TOTALCO!F1407)</f>
        <v>0</v>
      </c>
      <c r="G873" s="12" t="str">
        <f>IF(TOTALCO!G1407="", "",TOTALCO!G1407)</f>
        <v/>
      </c>
      <c r="H873" s="12">
        <f ca="1">IF(TOTALCO!H1407="", "",TOTALCO!H1407)</f>
        <v>0</v>
      </c>
      <c r="I873" s="12">
        <f ca="1">IF(TOTALCO!I1407="", "",TOTALCO!I1407)</f>
        <v>0</v>
      </c>
      <c r="J873" s="12" t="str">
        <f>IF(TOTALCO!J1407="", "",TOTALCO!J1407)</f>
        <v/>
      </c>
      <c r="K873" s="12" t="str">
        <f>IF(TOTALCO!K1407="", "",TOTALCO!K1407)</f>
        <v/>
      </c>
      <c r="L873" s="12">
        <f ca="1">IF(TOTALCO!L1407="", "",TOTALCO!L1407)</f>
        <v>0</v>
      </c>
      <c r="M873" s="12" t="str">
        <f>IF(TOTALCO!M1407="", "",TOTALCO!M1407)</f>
        <v/>
      </c>
      <c r="N873" s="12">
        <f ca="1">IF(TOTALCO!N1407="", "",TOTALCO!N1407)</f>
        <v>0</v>
      </c>
      <c r="O873" s="12">
        <f ca="1">IF(TOTALCO!O1407="", "",TOTALCO!O1407)</f>
        <v>0</v>
      </c>
      <c r="P873" s="12">
        <f ca="1">IF(TOTALCO!P1407="", "",TOTALCO!P1407)</f>
        <v>0</v>
      </c>
      <c r="Q873" s="12"/>
      <c r="R873" s="13"/>
    </row>
    <row r="874" spans="1:18" ht="15" x14ac:dyDescent="0.2">
      <c r="A874" s="321">
        <f>IF(TOTALCO!A1408="", "",TOTALCO!A1408)</f>
        <v>5</v>
      </c>
      <c r="B874" s="4" t="str">
        <f>IF(TOTALCO!B1408="", "",TOTALCO!B1408)</f>
        <v xml:space="preserve">      FERC 905</v>
      </c>
      <c r="C874" s="4" t="str">
        <f>IF(TOTALCO!C1408="", "",TOTALCO!C1408)</f>
        <v>EXP9025CA</v>
      </c>
      <c r="D874" s="12">
        <f ca="1">IF(TOTALCO!D1408="", "",TOTALCO!D1408)</f>
        <v>0</v>
      </c>
      <c r="E874" s="12" t="str">
        <f>IF(TOTALCO!E1408="", "",TOTALCO!E1408)</f>
        <v/>
      </c>
      <c r="F874" s="12">
        <f ca="1">IF(TOTALCO!F1408="", "",TOTALCO!F1408)</f>
        <v>0</v>
      </c>
      <c r="G874" s="12" t="str">
        <f>IF(TOTALCO!G1408="", "",TOTALCO!G1408)</f>
        <v/>
      </c>
      <c r="H874" s="12">
        <f ca="1">IF(TOTALCO!H1408="", "",TOTALCO!H1408)</f>
        <v>0</v>
      </c>
      <c r="I874" s="12">
        <f ca="1">IF(TOTALCO!I1408="", "",TOTALCO!I1408)</f>
        <v>0</v>
      </c>
      <c r="J874" s="12" t="str">
        <f>IF(TOTALCO!J1408="", "",TOTALCO!J1408)</f>
        <v/>
      </c>
      <c r="K874" s="12" t="str">
        <f>IF(TOTALCO!K1408="", "",TOTALCO!K1408)</f>
        <v/>
      </c>
      <c r="L874" s="12">
        <f ca="1">IF(TOTALCO!L1408="", "",TOTALCO!L1408)</f>
        <v>0</v>
      </c>
      <c r="M874" s="12" t="str">
        <f>IF(TOTALCO!M1408="", "",TOTALCO!M1408)</f>
        <v/>
      </c>
      <c r="N874" s="12">
        <f ca="1">IF(TOTALCO!N1408="", "",TOTALCO!N1408)</f>
        <v>0</v>
      </c>
      <c r="O874" s="12">
        <f ca="1">IF(TOTALCO!O1408="", "",TOTALCO!O1408)</f>
        <v>0</v>
      </c>
      <c r="P874" s="12">
        <f ca="1">IF(TOTALCO!P1408="", "",TOTALCO!P1408)</f>
        <v>0</v>
      </c>
      <c r="Q874" s="12"/>
      <c r="R874" s="13"/>
    </row>
    <row r="875" spans="1:18" ht="15" x14ac:dyDescent="0.2">
      <c r="A875" s="321" t="str">
        <f>IF(TOTALCO!A1409="", "",TOTALCO!A1409)</f>
        <v/>
      </c>
      <c r="B875" s="4" t="str">
        <f>IF(TOTALCO!B1409="", "",TOTALCO!B1409)</f>
        <v/>
      </c>
      <c r="C875" s="4" t="str">
        <f>IF(TOTALCO!C1409="", "",TOTALCO!C1409)</f>
        <v/>
      </c>
      <c r="D875" s="12" t="str">
        <f>IF(TOTALCO!D1409="", "",TOTALCO!D1409)</f>
        <v/>
      </c>
      <c r="E875" s="12" t="str">
        <f>IF(TOTALCO!E1409="", "",TOTALCO!E1409)</f>
        <v/>
      </c>
      <c r="F875" s="12" t="str">
        <f>IF(TOTALCO!F1409="", "",TOTALCO!F1409)</f>
        <v/>
      </c>
      <c r="G875" s="12" t="str">
        <f>IF(TOTALCO!G1409="", "",TOTALCO!G1409)</f>
        <v/>
      </c>
      <c r="H875" s="12" t="str">
        <f>IF(TOTALCO!H1409="", "",TOTALCO!H1409)</f>
        <v/>
      </c>
      <c r="I875" s="12" t="str">
        <f>IF(TOTALCO!I1409="", "",TOTALCO!I1409)</f>
        <v/>
      </c>
      <c r="J875" s="12" t="str">
        <f>IF(TOTALCO!J1409="", "",TOTALCO!J1409)</f>
        <v/>
      </c>
      <c r="K875" s="12" t="str">
        <f>IF(TOTALCO!K1409="", "",TOTALCO!K1409)</f>
        <v/>
      </c>
      <c r="L875" s="12" t="str">
        <f>IF(TOTALCO!L1409="", "",TOTALCO!L1409)</f>
        <v/>
      </c>
      <c r="M875" s="12" t="str">
        <f>IF(TOTALCO!M1409="", "",TOTALCO!M1409)</f>
        <v/>
      </c>
      <c r="N875" s="12" t="str">
        <f>IF(TOTALCO!N1409="", "",TOTALCO!N1409)</f>
        <v/>
      </c>
      <c r="O875" s="12" t="str">
        <f>IF(TOTALCO!O1409="", "",TOTALCO!O1409)</f>
        <v/>
      </c>
      <c r="P875" s="12" t="str">
        <f>IF(TOTALCO!P1409="", "",TOTALCO!P1409)</f>
        <v/>
      </c>
      <c r="Q875" s="12"/>
      <c r="R875" s="13"/>
    </row>
    <row r="876" spans="1:18" ht="15" x14ac:dyDescent="0.2">
      <c r="A876" s="321">
        <f>IF(TOTALCO!A1410="", "",TOTALCO!A1410)</f>
        <v>6</v>
      </c>
      <c r="B876" s="4" t="str">
        <f>IF(TOTALCO!B1410="", "",TOTALCO!B1410)</f>
        <v xml:space="preserve"> TOTAL CUSTOMER ACCOUNTING LABOR</v>
      </c>
      <c r="C876" s="4" t="str">
        <f>IF(TOTALCO!C1410="", "",TOTALCO!C1410)</f>
        <v/>
      </c>
      <c r="D876" s="12">
        <f ca="1">IF(TOTALCO!D1410="", "",TOTALCO!D1410)</f>
        <v>18712862.999999996</v>
      </c>
      <c r="E876" s="12" t="str">
        <f>IF(TOTALCO!E1410="", "",TOTALCO!E1410)</f>
        <v/>
      </c>
      <c r="F876" s="12">
        <f ca="1">IF(TOTALCO!F1410="", "",TOTALCO!F1410)</f>
        <v>17777817.799582291</v>
      </c>
      <c r="G876" s="12" t="str">
        <f>IF(TOTALCO!G1410="", "",TOTALCO!G1410)</f>
        <v/>
      </c>
      <c r="H876" s="12">
        <f ca="1">IF(TOTALCO!H1410="", "",TOTALCO!H1410)</f>
        <v>929694.47632048803</v>
      </c>
      <c r="I876" s="12">
        <f ca="1">IF(TOTALCO!I1410="", "",TOTALCO!I1410)</f>
        <v>5350.7240972190202</v>
      </c>
      <c r="J876" s="12" t="str">
        <f>IF(TOTALCO!J1410="", "",TOTALCO!J1410)</f>
        <v/>
      </c>
      <c r="K876" s="12" t="str">
        <f>IF(TOTALCO!K1410="", "",TOTALCO!K1410)</f>
        <v/>
      </c>
      <c r="L876" s="12">
        <f ca="1">IF(TOTALCO!L1410="", "",TOTALCO!L1410)</f>
        <v>123.28857366864101</v>
      </c>
      <c r="M876" s="12" t="str">
        <f>IF(TOTALCO!M1410="", "",TOTALCO!M1410)</f>
        <v/>
      </c>
      <c r="N876" s="12">
        <f ca="1">IF(TOTALCO!N1410="", "",TOTALCO!N1410)</f>
        <v>5227.435523550379</v>
      </c>
      <c r="O876" s="12">
        <f ca="1">IF(TOTALCO!O1410="", "",TOTALCO!O1410)</f>
        <v>2095.9057523668971</v>
      </c>
      <c r="P876" s="12">
        <f ca="1">IF(TOTALCO!P1410="", "",TOTALCO!P1410)</f>
        <v>3131.5297711834814</v>
      </c>
      <c r="Q876" s="12"/>
      <c r="R876" s="13"/>
    </row>
    <row r="877" spans="1:18" ht="15" x14ac:dyDescent="0.2">
      <c r="A877" s="321" t="str">
        <f>IF(TOTALCO!A1411="", "",TOTALCO!A1411)</f>
        <v/>
      </c>
      <c r="B877" s="4" t="str">
        <f>IF(TOTALCO!B1411="", "",TOTALCO!B1411)</f>
        <v/>
      </c>
      <c r="C877" s="4" t="str">
        <f>IF(TOTALCO!C1411="", "",TOTALCO!C1411)</f>
        <v/>
      </c>
      <c r="D877" s="12" t="str">
        <f>IF(TOTALCO!D1411="", "",TOTALCO!D1411)</f>
        <v/>
      </c>
      <c r="E877" s="12" t="str">
        <f>IF(TOTALCO!E1411="", "",TOTALCO!E1411)</f>
        <v/>
      </c>
      <c r="F877" s="12" t="str">
        <f>IF(TOTALCO!F1411="", "",TOTALCO!F1411)</f>
        <v/>
      </c>
      <c r="G877" s="12" t="str">
        <f>IF(TOTALCO!G1411="", "",TOTALCO!G1411)</f>
        <v/>
      </c>
      <c r="H877" s="12" t="str">
        <f>IF(TOTALCO!H1411="", "",TOTALCO!H1411)</f>
        <v/>
      </c>
      <c r="I877" s="12" t="str">
        <f>IF(TOTALCO!I1411="", "",TOTALCO!I1411)</f>
        <v/>
      </c>
      <c r="J877" s="12" t="str">
        <f>IF(TOTALCO!J1411="", "",TOTALCO!J1411)</f>
        <v/>
      </c>
      <c r="K877" s="12" t="str">
        <f>IF(TOTALCO!K1411="", "",TOTALCO!K1411)</f>
        <v/>
      </c>
      <c r="L877" s="12" t="str">
        <f>IF(TOTALCO!L1411="", "",TOTALCO!L1411)</f>
        <v/>
      </c>
      <c r="M877" s="12" t="str">
        <f>IF(TOTALCO!M1411="", "",TOTALCO!M1411)</f>
        <v/>
      </c>
      <c r="N877" s="12" t="str">
        <f>IF(TOTALCO!N1411="", "",TOTALCO!N1411)</f>
        <v/>
      </c>
      <c r="O877" s="12" t="str">
        <f>IF(TOTALCO!O1411="", "",TOTALCO!O1411)</f>
        <v/>
      </c>
      <c r="P877" s="12" t="str">
        <f>IF(TOTALCO!P1411="", "",TOTALCO!P1411)</f>
        <v/>
      </c>
      <c r="Q877" s="12"/>
      <c r="R877" s="13"/>
    </row>
    <row r="878" spans="1:18" ht="15" x14ac:dyDescent="0.2">
      <c r="A878" s="321" t="str">
        <f>IF(TOTALCO!A1412="", "",TOTALCO!A1412)</f>
        <v/>
      </c>
      <c r="B878" s="4" t="str">
        <f>IF(TOTALCO!B1412="", "",TOTALCO!B1412)</f>
        <v xml:space="preserve"> CUSTOMER SERVICE &amp; SALES EXP</v>
      </c>
      <c r="C878" s="4" t="str">
        <f>IF(TOTALCO!C1412="", "",TOTALCO!C1412)</f>
        <v/>
      </c>
      <c r="D878" s="12" t="str">
        <f>IF(TOTALCO!D1412="", "",TOTALCO!D1412)</f>
        <v/>
      </c>
      <c r="E878" s="12" t="str">
        <f>IF(TOTALCO!E1412="", "",TOTALCO!E1412)</f>
        <v/>
      </c>
      <c r="F878" s="12" t="str">
        <f>IF(TOTALCO!F1412="", "",TOTALCO!F1412)</f>
        <v/>
      </c>
      <c r="G878" s="12" t="str">
        <f>IF(TOTALCO!G1412="", "",TOTALCO!G1412)</f>
        <v/>
      </c>
      <c r="H878" s="12" t="str">
        <f>IF(TOTALCO!H1412="", "",TOTALCO!H1412)</f>
        <v/>
      </c>
      <c r="I878" s="12" t="str">
        <f>IF(TOTALCO!I1412="", "",TOTALCO!I1412)</f>
        <v/>
      </c>
      <c r="J878" s="12" t="str">
        <f>IF(TOTALCO!J1412="", "",TOTALCO!J1412)</f>
        <v/>
      </c>
      <c r="K878" s="12" t="str">
        <f>IF(TOTALCO!K1412="", "",TOTALCO!K1412)</f>
        <v/>
      </c>
      <c r="L878" s="12" t="str">
        <f>IF(TOTALCO!L1412="", "",TOTALCO!L1412)</f>
        <v/>
      </c>
      <c r="M878" s="12" t="str">
        <f>IF(TOTALCO!M1412="", "",TOTALCO!M1412)</f>
        <v/>
      </c>
      <c r="N878" s="12" t="str">
        <f>IF(TOTALCO!N1412="", "",TOTALCO!N1412)</f>
        <v/>
      </c>
      <c r="O878" s="12" t="str">
        <f>IF(TOTALCO!O1412="", "",TOTALCO!O1412)</f>
        <v/>
      </c>
      <c r="P878" s="12" t="str">
        <f>IF(TOTALCO!P1412="", "",TOTALCO!P1412)</f>
        <v/>
      </c>
      <c r="Q878" s="12"/>
      <c r="R878" s="13"/>
    </row>
    <row r="879" spans="1:18" ht="15" x14ac:dyDescent="0.2">
      <c r="A879" s="321">
        <f>IF(TOTALCO!A1413="", "",TOTALCO!A1413)</f>
        <v>7</v>
      </c>
      <c r="B879" s="4" t="str">
        <f>IF(TOTALCO!B1413="", "",TOTALCO!B1413)</f>
        <v xml:space="preserve">      FERC 907</v>
      </c>
      <c r="C879" s="4" t="str">
        <f>IF(TOTALCO!C1413="", "",TOTALCO!C1413)</f>
        <v>EXP9080CS</v>
      </c>
      <c r="D879" s="12">
        <f ca="1">IF(TOTALCO!D1413="", "",TOTALCO!D1413)</f>
        <v>624043.99999999988</v>
      </c>
      <c r="E879" s="12" t="str">
        <f>IF(TOTALCO!E1413="", "",TOTALCO!E1413)</f>
        <v/>
      </c>
      <c r="F879" s="12">
        <f ca="1">IF(TOTALCO!F1413="", "",TOTALCO!F1413)</f>
        <v>616104.90533865418</v>
      </c>
      <c r="G879" s="12" t="str">
        <f>IF(TOTALCO!G1413="", "",TOTALCO!G1413)</f>
        <v/>
      </c>
      <c r="H879" s="12">
        <f ca="1">IF(TOTALCO!H1413="", "",TOTALCO!H1413)</f>
        <v>7938.2478546905377</v>
      </c>
      <c r="I879" s="12">
        <f ca="1">IF(TOTALCO!I1413="", "",TOTALCO!I1413)</f>
        <v>0.84680665519580456</v>
      </c>
      <c r="J879" s="12" t="str">
        <f>IF(TOTALCO!J1413="", "",TOTALCO!J1413)</f>
        <v/>
      </c>
      <c r="K879" s="12" t="str">
        <f>IF(TOTALCO!K1413="", "",TOTALCO!K1413)</f>
        <v/>
      </c>
      <c r="L879" s="12">
        <f ca="1">IF(TOTALCO!L1413="", "",TOTALCO!L1413)</f>
        <v>0.84680665519580456</v>
      </c>
      <c r="M879" s="12" t="str">
        <f>IF(TOTALCO!M1413="", "",TOTALCO!M1413)</f>
        <v/>
      </c>
      <c r="N879" s="12">
        <f ca="1">IF(TOTALCO!N1413="", "",TOTALCO!N1413)</f>
        <v>0</v>
      </c>
      <c r="O879" s="12">
        <f ca="1">IF(TOTALCO!O1413="", "",TOTALCO!O1413)</f>
        <v>0</v>
      </c>
      <c r="P879" s="12">
        <f ca="1">IF(TOTALCO!P1413="", "",TOTALCO!P1413)</f>
        <v>0</v>
      </c>
      <c r="Q879" s="12"/>
      <c r="R879" s="13"/>
    </row>
    <row r="880" spans="1:18" ht="15" x14ac:dyDescent="0.2">
      <c r="A880" s="321">
        <f>IF(TOTALCO!A1414="", "",TOTALCO!A1414)</f>
        <v>8</v>
      </c>
      <c r="B880" s="4" t="str">
        <f>IF(TOTALCO!B1414="", "",TOTALCO!B1414)</f>
        <v xml:space="preserve">      FERC 908</v>
      </c>
      <c r="C880" s="4" t="str">
        <f>IF(TOTALCO!C1414="", "",TOTALCO!C1414)</f>
        <v>EXP9080CS</v>
      </c>
      <c r="D880" s="12">
        <f ca="1">IF(TOTALCO!D1414="", "",TOTALCO!D1414)</f>
        <v>1077180.9999999998</v>
      </c>
      <c r="E880" s="12" t="str">
        <f>IF(TOTALCO!E1414="", "",TOTALCO!E1414)</f>
        <v/>
      </c>
      <c r="F880" s="12">
        <f ca="1">IF(TOTALCO!F1414="", "",TOTALCO!F1414)</f>
        <v>1063477.0914191897</v>
      </c>
      <c r="G880" s="12" t="str">
        <f>IF(TOTALCO!G1414="", "",TOTALCO!G1414)</f>
        <v/>
      </c>
      <c r="H880" s="12">
        <f ca="1">IF(TOTALCO!H1414="", "",TOTALCO!H1414)</f>
        <v>13702.446882532975</v>
      </c>
      <c r="I880" s="12">
        <f ca="1">IF(TOTALCO!I1414="", "",TOTALCO!I1414)</f>
        <v>1.4616982771254461</v>
      </c>
      <c r="J880" s="12" t="str">
        <f>IF(TOTALCO!J1414="", "",TOTALCO!J1414)</f>
        <v/>
      </c>
      <c r="K880" s="12" t="str">
        <f>IF(TOTALCO!K1414="", "",TOTALCO!K1414)</f>
        <v/>
      </c>
      <c r="L880" s="12">
        <f ca="1">IF(TOTALCO!L1414="", "",TOTALCO!L1414)</f>
        <v>1.4616982771254461</v>
      </c>
      <c r="M880" s="12" t="str">
        <f>IF(TOTALCO!M1414="", "",TOTALCO!M1414)</f>
        <v/>
      </c>
      <c r="N880" s="12">
        <f ca="1">IF(TOTALCO!N1414="", "",TOTALCO!N1414)</f>
        <v>0</v>
      </c>
      <c r="O880" s="12">
        <f ca="1">IF(TOTALCO!O1414="", "",TOTALCO!O1414)</f>
        <v>0</v>
      </c>
      <c r="P880" s="12">
        <f ca="1">IF(TOTALCO!P1414="", "",TOTALCO!P1414)</f>
        <v>0</v>
      </c>
      <c r="Q880" s="12"/>
      <c r="R880" s="13"/>
    </row>
    <row r="881" spans="1:18" ht="15" x14ac:dyDescent="0.2">
      <c r="A881" s="321">
        <f>IF(TOTALCO!A1415="", "",TOTALCO!A1415)</f>
        <v>9</v>
      </c>
      <c r="B881" s="4" t="str">
        <f>IF(TOTALCO!B1415="", "",TOTALCO!B1415)</f>
        <v xml:space="preserve">      FERC 909</v>
      </c>
      <c r="C881" s="4" t="str">
        <f>IF(TOTALCO!C1415="", "",TOTALCO!C1415)</f>
        <v>EXP9080CS</v>
      </c>
      <c r="D881" s="12">
        <f ca="1">IF(TOTALCO!D1415="", "",TOTALCO!D1415)</f>
        <v>0</v>
      </c>
      <c r="E881" s="12" t="str">
        <f>IF(TOTALCO!E1415="", "",TOTALCO!E1415)</f>
        <v/>
      </c>
      <c r="F881" s="12">
        <f ca="1">IF(TOTALCO!F1415="", "",TOTALCO!F1415)</f>
        <v>0</v>
      </c>
      <c r="G881" s="12" t="str">
        <f>IF(TOTALCO!G1415="", "",TOTALCO!G1415)</f>
        <v/>
      </c>
      <c r="H881" s="12">
        <f ca="1">IF(TOTALCO!H1415="", "",TOTALCO!H1415)</f>
        <v>0</v>
      </c>
      <c r="I881" s="12">
        <f ca="1">IF(TOTALCO!I1415="", "",TOTALCO!I1415)</f>
        <v>0</v>
      </c>
      <c r="J881" s="12" t="str">
        <f>IF(TOTALCO!J1415="", "",TOTALCO!J1415)</f>
        <v/>
      </c>
      <c r="K881" s="12" t="str">
        <f>IF(TOTALCO!K1415="", "",TOTALCO!K1415)</f>
        <v/>
      </c>
      <c r="L881" s="12">
        <f ca="1">IF(TOTALCO!L1415="", "",TOTALCO!L1415)</f>
        <v>0</v>
      </c>
      <c r="M881" s="12" t="str">
        <f>IF(TOTALCO!M1415="", "",TOTALCO!M1415)</f>
        <v/>
      </c>
      <c r="N881" s="12">
        <f ca="1">IF(TOTALCO!N1415="", "",TOTALCO!N1415)</f>
        <v>0</v>
      </c>
      <c r="O881" s="12">
        <f ca="1">IF(TOTALCO!O1415="", "",TOTALCO!O1415)</f>
        <v>0</v>
      </c>
      <c r="P881" s="12">
        <f ca="1">IF(TOTALCO!P1415="", "",TOTALCO!P1415)</f>
        <v>0</v>
      </c>
      <c r="Q881" s="12"/>
      <c r="R881" s="13"/>
    </row>
    <row r="882" spans="1:18" ht="15" x14ac:dyDescent="0.2">
      <c r="A882" s="321">
        <f>IF(TOTALCO!A1416="", "",TOTALCO!A1416)</f>
        <v>10</v>
      </c>
      <c r="B882" s="4" t="str">
        <f>IF(TOTALCO!B1416="", "",TOTALCO!B1416)</f>
        <v xml:space="preserve">      FERC 910</v>
      </c>
      <c r="C882" s="4" t="str">
        <f>IF(TOTALCO!C1416="", "",TOTALCO!C1416)</f>
        <v>EXP9080CS</v>
      </c>
      <c r="D882" s="12">
        <f ca="1">IF(TOTALCO!D1416="", "",TOTALCO!D1416)</f>
        <v>0</v>
      </c>
      <c r="E882" s="12" t="str">
        <f>IF(TOTALCO!E1416="", "",TOTALCO!E1416)</f>
        <v/>
      </c>
      <c r="F882" s="12">
        <f ca="1">IF(TOTALCO!F1416="", "",TOTALCO!F1416)</f>
        <v>0</v>
      </c>
      <c r="G882" s="12" t="str">
        <f>IF(TOTALCO!G1416="", "",TOTALCO!G1416)</f>
        <v/>
      </c>
      <c r="H882" s="12">
        <f ca="1">IF(TOTALCO!H1416="", "",TOTALCO!H1416)</f>
        <v>0</v>
      </c>
      <c r="I882" s="12">
        <f ca="1">IF(TOTALCO!I1416="", "",TOTALCO!I1416)</f>
        <v>0</v>
      </c>
      <c r="J882" s="12" t="str">
        <f>IF(TOTALCO!J1416="", "",TOTALCO!J1416)</f>
        <v/>
      </c>
      <c r="K882" s="12" t="str">
        <f>IF(TOTALCO!K1416="", "",TOTALCO!K1416)</f>
        <v/>
      </c>
      <c r="L882" s="12">
        <f ca="1">IF(TOTALCO!L1416="", "",TOTALCO!L1416)</f>
        <v>0</v>
      </c>
      <c r="M882" s="12" t="str">
        <f>IF(TOTALCO!M1416="", "",TOTALCO!M1416)</f>
        <v/>
      </c>
      <c r="N882" s="12">
        <f ca="1">IF(TOTALCO!N1416="", "",TOTALCO!N1416)</f>
        <v>0</v>
      </c>
      <c r="O882" s="12">
        <f ca="1">IF(TOTALCO!O1416="", "",TOTALCO!O1416)</f>
        <v>0</v>
      </c>
      <c r="P882" s="12">
        <f ca="1">IF(TOTALCO!P1416="", "",TOTALCO!P1416)</f>
        <v>0</v>
      </c>
      <c r="Q882" s="12"/>
      <c r="R882" s="13"/>
    </row>
    <row r="883" spans="1:18" ht="15" x14ac:dyDescent="0.2">
      <c r="A883" s="321">
        <f>IF(TOTALCO!A1417="", "",TOTALCO!A1417)</f>
        <v>11</v>
      </c>
      <c r="B883" s="4" t="str">
        <f>IF(TOTALCO!B1417="", "",TOTALCO!B1417)</f>
        <v xml:space="preserve">      FERC 912</v>
      </c>
      <c r="C883" s="4" t="str">
        <f>IF(TOTALCO!C1417="", "",TOTALCO!C1417)</f>
        <v>EXP9080CS</v>
      </c>
      <c r="D883" s="12">
        <f ca="1">IF(TOTALCO!D1417="", "",TOTALCO!D1417)</f>
        <v>0</v>
      </c>
      <c r="E883" s="12" t="str">
        <f>IF(TOTALCO!E1417="", "",TOTALCO!E1417)</f>
        <v/>
      </c>
      <c r="F883" s="12">
        <f ca="1">IF(TOTALCO!F1417="", "",TOTALCO!F1417)</f>
        <v>0</v>
      </c>
      <c r="G883" s="12" t="str">
        <f>IF(TOTALCO!G1417="", "",TOTALCO!G1417)</f>
        <v/>
      </c>
      <c r="H883" s="12">
        <f ca="1">IF(TOTALCO!H1417="", "",TOTALCO!H1417)</f>
        <v>0</v>
      </c>
      <c r="I883" s="12">
        <f ca="1">IF(TOTALCO!I1417="", "",TOTALCO!I1417)</f>
        <v>0</v>
      </c>
      <c r="J883" s="12" t="str">
        <f>IF(TOTALCO!J1417="", "",TOTALCO!J1417)</f>
        <v/>
      </c>
      <c r="K883" s="12" t="str">
        <f>IF(TOTALCO!K1417="", "",TOTALCO!K1417)</f>
        <v/>
      </c>
      <c r="L883" s="12">
        <f ca="1">IF(TOTALCO!L1417="", "",TOTALCO!L1417)</f>
        <v>0</v>
      </c>
      <c r="M883" s="12" t="str">
        <f>IF(TOTALCO!M1417="", "",TOTALCO!M1417)</f>
        <v/>
      </c>
      <c r="N883" s="12">
        <f ca="1">IF(TOTALCO!N1417="", "",TOTALCO!N1417)</f>
        <v>0</v>
      </c>
      <c r="O883" s="12">
        <f ca="1">IF(TOTALCO!O1417="", "",TOTALCO!O1417)</f>
        <v>0</v>
      </c>
      <c r="P883" s="12">
        <f ca="1">IF(TOTALCO!P1417="", "",TOTALCO!P1417)</f>
        <v>0</v>
      </c>
      <c r="Q883" s="12"/>
      <c r="R883" s="13"/>
    </row>
    <row r="884" spans="1:18" ht="15" x14ac:dyDescent="0.2">
      <c r="A884" s="321">
        <f>IF(TOTALCO!A1418="", "",TOTALCO!A1418)</f>
        <v>12</v>
      </c>
      <c r="B884" s="4" t="str">
        <f>IF(TOTALCO!B1418="", "",TOTALCO!B1418)</f>
        <v xml:space="preserve">      FERC 913</v>
      </c>
      <c r="C884" s="4" t="str">
        <f>IF(TOTALCO!C1418="", "",TOTALCO!C1418)</f>
        <v>EXP9080CS</v>
      </c>
      <c r="D884" s="12">
        <f ca="1">IF(TOTALCO!D1418="", "",TOTALCO!D1418)</f>
        <v>0</v>
      </c>
      <c r="E884" s="12" t="str">
        <f>IF(TOTALCO!E1418="", "",TOTALCO!E1418)</f>
        <v/>
      </c>
      <c r="F884" s="12">
        <f ca="1">IF(TOTALCO!F1418="", "",TOTALCO!F1418)</f>
        <v>0</v>
      </c>
      <c r="G884" s="12" t="str">
        <f>IF(TOTALCO!G1418="", "",TOTALCO!G1418)</f>
        <v/>
      </c>
      <c r="H884" s="12">
        <f ca="1">IF(TOTALCO!H1418="", "",TOTALCO!H1418)</f>
        <v>0</v>
      </c>
      <c r="I884" s="12">
        <f ca="1">IF(TOTALCO!I1418="", "",TOTALCO!I1418)</f>
        <v>0</v>
      </c>
      <c r="J884" s="12" t="str">
        <f>IF(TOTALCO!J1418="", "",TOTALCO!J1418)</f>
        <v/>
      </c>
      <c r="K884" s="12" t="str">
        <f>IF(TOTALCO!K1418="", "",TOTALCO!K1418)</f>
        <v/>
      </c>
      <c r="L884" s="12">
        <f ca="1">IF(TOTALCO!L1418="", "",TOTALCO!L1418)</f>
        <v>0</v>
      </c>
      <c r="M884" s="12" t="str">
        <f>IF(TOTALCO!M1418="", "",TOTALCO!M1418)</f>
        <v/>
      </c>
      <c r="N884" s="12">
        <f ca="1">IF(TOTALCO!N1418="", "",TOTALCO!N1418)</f>
        <v>0</v>
      </c>
      <c r="O884" s="12">
        <f ca="1">IF(TOTALCO!O1418="", "",TOTALCO!O1418)</f>
        <v>0</v>
      </c>
      <c r="P884" s="12">
        <f ca="1">IF(TOTALCO!P1418="", "",TOTALCO!P1418)</f>
        <v>0</v>
      </c>
      <c r="Q884" s="12"/>
      <c r="R884" s="13"/>
    </row>
    <row r="885" spans="1:18" ht="15" x14ac:dyDescent="0.2">
      <c r="A885" s="321">
        <f>IF(TOTALCO!A1419="", "",TOTALCO!A1419)</f>
        <v>13</v>
      </c>
      <c r="B885" s="4" t="str">
        <f>IF(TOTALCO!B1419="", "",TOTALCO!B1419)</f>
        <v xml:space="preserve">      FERC 916</v>
      </c>
      <c r="C885" s="4" t="str">
        <f>IF(TOTALCO!C1419="", "",TOTALCO!C1419)</f>
        <v>EXP9080CS</v>
      </c>
      <c r="D885" s="12">
        <f ca="1">IF(TOTALCO!D1419="", "",TOTALCO!D1419)</f>
        <v>0</v>
      </c>
      <c r="E885" s="12" t="str">
        <f>IF(TOTALCO!E1419="", "",TOTALCO!E1419)</f>
        <v/>
      </c>
      <c r="F885" s="12">
        <f ca="1">IF(TOTALCO!F1419="", "",TOTALCO!F1419)</f>
        <v>0</v>
      </c>
      <c r="G885" s="12" t="str">
        <f>IF(TOTALCO!G1419="", "",TOTALCO!G1419)</f>
        <v/>
      </c>
      <c r="H885" s="12">
        <f ca="1">IF(TOTALCO!H1419="", "",TOTALCO!H1419)</f>
        <v>0</v>
      </c>
      <c r="I885" s="12">
        <f ca="1">IF(TOTALCO!I1419="", "",TOTALCO!I1419)</f>
        <v>0</v>
      </c>
      <c r="J885" s="12" t="str">
        <f>IF(TOTALCO!J1419="", "",TOTALCO!J1419)</f>
        <v/>
      </c>
      <c r="K885" s="12" t="str">
        <f>IF(TOTALCO!K1419="", "",TOTALCO!K1419)</f>
        <v/>
      </c>
      <c r="L885" s="12">
        <f ca="1">IF(TOTALCO!L1419="", "",TOTALCO!L1419)</f>
        <v>0</v>
      </c>
      <c r="M885" s="12" t="str">
        <f>IF(TOTALCO!M1419="", "",TOTALCO!M1419)</f>
        <v/>
      </c>
      <c r="N885" s="12">
        <f ca="1">IF(TOTALCO!N1419="", "",TOTALCO!N1419)</f>
        <v>0</v>
      </c>
      <c r="O885" s="12">
        <f ca="1">IF(TOTALCO!O1419="", "",TOTALCO!O1419)</f>
        <v>0</v>
      </c>
      <c r="P885" s="12">
        <f ca="1">IF(TOTALCO!P1419="", "",TOTALCO!P1419)</f>
        <v>0</v>
      </c>
      <c r="Q885" s="12"/>
      <c r="R885" s="13"/>
    </row>
    <row r="886" spans="1:18" ht="15" x14ac:dyDescent="0.2">
      <c r="A886" s="321" t="str">
        <f>IF(TOTALCO!A1420="", "",TOTALCO!A1420)</f>
        <v/>
      </c>
      <c r="B886" s="4" t="str">
        <f>IF(TOTALCO!B1420="", "",TOTALCO!B1420)</f>
        <v/>
      </c>
      <c r="C886" s="4" t="str">
        <f>IF(TOTALCO!C1420="", "",TOTALCO!C1420)</f>
        <v/>
      </c>
      <c r="D886" s="12" t="str">
        <f>IF(TOTALCO!D1420="", "",TOTALCO!D1420)</f>
        <v/>
      </c>
      <c r="E886" s="12" t="str">
        <f>IF(TOTALCO!E1420="", "",TOTALCO!E1420)</f>
        <v/>
      </c>
      <c r="F886" s="12" t="str">
        <f>IF(TOTALCO!F1420="", "",TOTALCO!F1420)</f>
        <v/>
      </c>
      <c r="G886" s="12" t="str">
        <f>IF(TOTALCO!G1420="", "",TOTALCO!G1420)</f>
        <v/>
      </c>
      <c r="H886" s="12" t="str">
        <f>IF(TOTALCO!H1420="", "",TOTALCO!H1420)</f>
        <v/>
      </c>
      <c r="I886" s="12" t="str">
        <f>IF(TOTALCO!I1420="", "",TOTALCO!I1420)</f>
        <v/>
      </c>
      <c r="J886" s="12" t="str">
        <f>IF(TOTALCO!J1420="", "",TOTALCO!J1420)</f>
        <v/>
      </c>
      <c r="K886" s="12" t="str">
        <f>IF(TOTALCO!K1420="", "",TOTALCO!K1420)</f>
        <v/>
      </c>
      <c r="L886" s="12" t="str">
        <f>IF(TOTALCO!L1420="", "",TOTALCO!L1420)</f>
        <v/>
      </c>
      <c r="M886" s="12" t="str">
        <f>IF(TOTALCO!M1420="", "",TOTALCO!M1420)</f>
        <v/>
      </c>
      <c r="N886" s="12" t="str">
        <f>IF(TOTALCO!N1420="", "",TOTALCO!N1420)</f>
        <v/>
      </c>
      <c r="O886" s="12" t="str">
        <f>IF(TOTALCO!O1420="", "",TOTALCO!O1420)</f>
        <v/>
      </c>
      <c r="P886" s="12" t="str">
        <f>IF(TOTALCO!P1420="", "",TOTALCO!P1420)</f>
        <v/>
      </c>
      <c r="Q886" s="12"/>
      <c r="R886" s="13"/>
    </row>
    <row r="887" spans="1:18" ht="15" x14ac:dyDescent="0.2">
      <c r="A887" s="321">
        <f>IF(TOTALCO!A1421="", "",TOTALCO!A1421)</f>
        <v>14</v>
      </c>
      <c r="B887" s="4" t="str">
        <f>IF(TOTALCO!B1421="", "",TOTALCO!B1421)</f>
        <v xml:space="preserve"> TOTAL CUSTOMER SERVICE AND SALES LABOR</v>
      </c>
      <c r="C887" s="4" t="str">
        <f>IF(TOTALCO!C1421="", "",TOTALCO!C1421)</f>
        <v/>
      </c>
      <c r="D887" s="12">
        <f ca="1">IF(TOTALCO!D1421="", "",TOTALCO!D1421)</f>
        <v>1701224.9999999998</v>
      </c>
      <c r="E887" s="12" t="str">
        <f>IF(TOTALCO!E1421="", "",TOTALCO!E1421)</f>
        <v/>
      </c>
      <c r="F887" s="12">
        <f ca="1">IF(TOTALCO!F1421="", "",TOTALCO!F1421)</f>
        <v>1679581.996757844</v>
      </c>
      <c r="G887" s="12" t="str">
        <f>IF(TOTALCO!G1421="", "",TOTALCO!G1421)</f>
        <v/>
      </c>
      <c r="H887" s="12">
        <f ca="1">IF(TOTALCO!H1421="", "",TOTALCO!H1421)</f>
        <v>21640.694737223512</v>
      </c>
      <c r="I887" s="12">
        <f ca="1">IF(TOTALCO!I1421="", "",TOTALCO!I1421)</f>
        <v>2.3085049323212505</v>
      </c>
      <c r="J887" s="12" t="str">
        <f>IF(TOTALCO!J1421="", "",TOTALCO!J1421)</f>
        <v/>
      </c>
      <c r="K887" s="12" t="str">
        <f>IF(TOTALCO!K1421="", "",TOTALCO!K1421)</f>
        <v/>
      </c>
      <c r="L887" s="12">
        <f ca="1">IF(TOTALCO!L1421="", "",TOTALCO!L1421)</f>
        <v>2.3085049323212505</v>
      </c>
      <c r="M887" s="12" t="str">
        <f>IF(TOTALCO!M1421="", "",TOTALCO!M1421)</f>
        <v/>
      </c>
      <c r="N887" s="12">
        <f ca="1">IF(TOTALCO!N1421="", "",TOTALCO!N1421)</f>
        <v>0</v>
      </c>
      <c r="O887" s="12">
        <f ca="1">IF(TOTALCO!O1421="", "",TOTALCO!O1421)</f>
        <v>0</v>
      </c>
      <c r="P887" s="12">
        <f ca="1">IF(TOTALCO!P1421="", "",TOTALCO!P1421)</f>
        <v>0</v>
      </c>
      <c r="Q887" s="12"/>
      <c r="R887" s="13"/>
    </row>
    <row r="888" spans="1:18" ht="15" x14ac:dyDescent="0.2">
      <c r="A888" s="321" t="str">
        <f>IF(TOTALCO!A1422="", "",TOTALCO!A1422)</f>
        <v/>
      </c>
      <c r="B888" s="4" t="str">
        <f>IF(TOTALCO!B1422="", "",TOTALCO!B1422)</f>
        <v/>
      </c>
      <c r="C888" s="4" t="str">
        <f>IF(TOTALCO!C1422="", "",TOTALCO!C1422)</f>
        <v/>
      </c>
      <c r="D888" s="12" t="str">
        <f>IF(TOTALCO!D1422="", "",TOTALCO!D1422)</f>
        <v/>
      </c>
      <c r="E888" s="12" t="str">
        <f>IF(TOTALCO!E1422="", "",TOTALCO!E1422)</f>
        <v/>
      </c>
      <c r="F888" s="12" t="str">
        <f>IF(TOTALCO!F1422="", "",TOTALCO!F1422)</f>
        <v/>
      </c>
      <c r="G888" s="12" t="str">
        <f>IF(TOTALCO!G1422="", "",TOTALCO!G1422)</f>
        <v/>
      </c>
      <c r="H888" s="12" t="str">
        <f>IF(TOTALCO!H1422="", "",TOTALCO!H1422)</f>
        <v/>
      </c>
      <c r="I888" s="12" t="str">
        <f>IF(TOTALCO!I1422="", "",TOTALCO!I1422)</f>
        <v/>
      </c>
      <c r="J888" s="12" t="str">
        <f>IF(TOTALCO!J1422="", "",TOTALCO!J1422)</f>
        <v/>
      </c>
      <c r="K888" s="12" t="str">
        <f>IF(TOTALCO!K1422="", "",TOTALCO!K1422)</f>
        <v/>
      </c>
      <c r="L888" s="12" t="str">
        <f>IF(TOTALCO!L1422="", "",TOTALCO!L1422)</f>
        <v/>
      </c>
      <c r="M888" s="12" t="str">
        <f>IF(TOTALCO!M1422="", "",TOTALCO!M1422)</f>
        <v/>
      </c>
      <c r="N888" s="12" t="str">
        <f>IF(TOTALCO!N1422="", "",TOTALCO!N1422)</f>
        <v/>
      </c>
      <c r="O888" s="12" t="str">
        <f>IF(TOTALCO!O1422="", "",TOTALCO!O1422)</f>
        <v/>
      </c>
      <c r="P888" s="12" t="str">
        <f>IF(TOTALCO!P1422="", "",TOTALCO!P1422)</f>
        <v/>
      </c>
      <c r="Q888" s="12"/>
      <c r="R888" s="13"/>
    </row>
    <row r="889" spans="1:18" ht="15" x14ac:dyDescent="0.2">
      <c r="A889" s="321">
        <f>IF(TOTALCO!A1423="", "",TOTALCO!A1423)</f>
        <v>15</v>
      </c>
      <c r="B889" s="4" t="str">
        <f>IF(TOTALCO!B1423="", "",TOTALCO!B1423)</f>
        <v>TOTAL PROD, TRAN, DIST, CUSTOMER LABOR</v>
      </c>
      <c r="C889" s="4" t="str">
        <f>IF(TOTALCO!C1423="", "",TOTALCO!C1423)</f>
        <v/>
      </c>
      <c r="D889" s="12">
        <f ca="1">IF(TOTALCO!D1423="", "",TOTALCO!D1423)</f>
        <v>113366614.00000001</v>
      </c>
      <c r="E889" s="12" t="str">
        <f>IF(TOTALCO!E1423="", "",TOTALCO!E1423)</f>
        <v/>
      </c>
      <c r="F889" s="12">
        <f ca="1">IF(TOTALCO!F1423="", "",TOTALCO!F1423)</f>
        <v>106641213.60457395</v>
      </c>
      <c r="G889" s="12" t="str">
        <f>IF(TOTALCO!G1423="", "",TOTALCO!G1423)</f>
        <v/>
      </c>
      <c r="H889" s="12">
        <f ca="1">IF(TOTALCO!H1423="", "",TOTALCO!H1423)</f>
        <v>5367659.2530066371</v>
      </c>
      <c r="I889" s="12">
        <f ca="1">IF(TOTALCO!I1423="", "",TOTALCO!I1423)</f>
        <v>1357741.1424194344</v>
      </c>
      <c r="J889" s="12" t="str">
        <f>IF(TOTALCO!J1423="", "",TOTALCO!J1423)</f>
        <v/>
      </c>
      <c r="K889" s="12" t="str">
        <f>IF(TOTALCO!K1423="", "",TOTALCO!K1423)</f>
        <v/>
      </c>
      <c r="L889" s="12">
        <f ca="1">IF(TOTALCO!L1423="", "",TOTALCO!L1423)</f>
        <v>7638.8523943977007</v>
      </c>
      <c r="M889" s="12" t="str">
        <f>IF(TOTALCO!M1423="", "",TOTALCO!M1423)</f>
        <v/>
      </c>
      <c r="N889" s="12">
        <f ca="1">IF(TOTALCO!N1423="", "",TOTALCO!N1423)</f>
        <v>1350102.2900250368</v>
      </c>
      <c r="O889" s="12">
        <f ca="1">IF(TOTALCO!O1423="", "",TOTALCO!O1423)</f>
        <v>703780.93270302494</v>
      </c>
      <c r="P889" s="12">
        <f ca="1">IF(TOTALCO!P1423="", "",TOTALCO!P1423)</f>
        <v>646321.35732201196</v>
      </c>
      <c r="Q889" s="12"/>
      <c r="R889" s="13"/>
    </row>
    <row r="890" spans="1:18" ht="15" x14ac:dyDescent="0.2">
      <c r="A890" s="321" t="str">
        <f>IF(TOTALCO!A1424="", "",TOTALCO!A1424)</f>
        <v/>
      </c>
      <c r="B890" s="4" t="str">
        <f>IF(TOTALCO!B1424="", "",TOTALCO!B1424)</f>
        <v/>
      </c>
      <c r="C890" s="4" t="str">
        <f>IF(TOTALCO!C1424="", "",TOTALCO!C1424)</f>
        <v/>
      </c>
      <c r="D890" s="12" t="str">
        <f>IF(TOTALCO!D1424="", "",TOTALCO!D1424)</f>
        <v/>
      </c>
      <c r="E890" s="12" t="str">
        <f>IF(TOTALCO!E1424="", "",TOTALCO!E1424)</f>
        <v/>
      </c>
      <c r="F890" s="12" t="str">
        <f>IF(TOTALCO!F1424="", "",TOTALCO!F1424)</f>
        <v/>
      </c>
      <c r="G890" s="12" t="str">
        <f>IF(TOTALCO!G1424="", "",TOTALCO!G1424)</f>
        <v/>
      </c>
      <c r="H890" s="12" t="str">
        <f>IF(TOTALCO!H1424="", "",TOTALCO!H1424)</f>
        <v/>
      </c>
      <c r="I890" s="12" t="str">
        <f>IF(TOTALCO!I1424="", "",TOTALCO!I1424)</f>
        <v/>
      </c>
      <c r="J890" s="12" t="str">
        <f>IF(TOTALCO!J1424="", "",TOTALCO!J1424)</f>
        <v/>
      </c>
      <c r="K890" s="12" t="str">
        <f>IF(TOTALCO!K1424="", "",TOTALCO!K1424)</f>
        <v/>
      </c>
      <c r="L890" s="12" t="str">
        <f>IF(TOTALCO!L1424="", "",TOTALCO!L1424)</f>
        <v/>
      </c>
      <c r="M890" s="12" t="str">
        <f>IF(TOTALCO!M1424="", "",TOTALCO!M1424)</f>
        <v/>
      </c>
      <c r="N890" s="12" t="str">
        <f>IF(TOTALCO!N1424="", "",TOTALCO!N1424)</f>
        <v/>
      </c>
      <c r="O890" s="12" t="str">
        <f>IF(TOTALCO!O1424="", "",TOTALCO!O1424)</f>
        <v/>
      </c>
      <c r="P890" s="12" t="str">
        <f>IF(TOTALCO!P1424="", "",TOTALCO!P1424)</f>
        <v/>
      </c>
      <c r="Q890" s="12"/>
      <c r="R890" s="13"/>
    </row>
    <row r="891" spans="1:18" ht="15" x14ac:dyDescent="0.2">
      <c r="A891" s="321" t="str">
        <f>IF(TOTALCO!A1425="", "",TOTALCO!A1425)</f>
        <v/>
      </c>
      <c r="B891" s="4" t="str">
        <f>IF(TOTALCO!B1425="", "",TOTALCO!B1425)</f>
        <v>ADMIN &amp; GENERAL LABOR</v>
      </c>
      <c r="C891" s="4" t="str">
        <f>IF(TOTALCO!C1425="", "",TOTALCO!C1425)</f>
        <v/>
      </c>
      <c r="D891" s="12" t="str">
        <f>IF(TOTALCO!D1425="", "",TOTALCO!D1425)</f>
        <v/>
      </c>
      <c r="E891" s="12" t="str">
        <f>IF(TOTALCO!E1425="", "",TOTALCO!E1425)</f>
        <v/>
      </c>
      <c r="F891" s="12" t="str">
        <f>IF(TOTALCO!F1425="", "",TOTALCO!F1425)</f>
        <v/>
      </c>
      <c r="G891" s="12" t="str">
        <f>IF(TOTALCO!G1425="", "",TOTALCO!G1425)</f>
        <v/>
      </c>
      <c r="H891" s="12" t="str">
        <f>IF(TOTALCO!H1425="", "",TOTALCO!H1425)</f>
        <v/>
      </c>
      <c r="I891" s="12" t="str">
        <f>IF(TOTALCO!I1425="", "",TOTALCO!I1425)</f>
        <v/>
      </c>
      <c r="J891" s="12" t="str">
        <f>IF(TOTALCO!J1425="", "",TOTALCO!J1425)</f>
        <v/>
      </c>
      <c r="K891" s="12" t="str">
        <f>IF(TOTALCO!K1425="", "",TOTALCO!K1425)</f>
        <v/>
      </c>
      <c r="L891" s="12" t="str">
        <f>IF(TOTALCO!L1425="", "",TOTALCO!L1425)</f>
        <v/>
      </c>
      <c r="M891" s="12" t="str">
        <f>IF(TOTALCO!M1425="", "",TOTALCO!M1425)</f>
        <v/>
      </c>
      <c r="N891" s="12" t="str">
        <f>IF(TOTALCO!N1425="", "",TOTALCO!N1425)</f>
        <v/>
      </c>
      <c r="O891" s="12" t="str">
        <f>IF(TOTALCO!O1425="", "",TOTALCO!O1425)</f>
        <v/>
      </c>
      <c r="P891" s="12" t="str">
        <f>IF(TOTALCO!P1425="", "",TOTALCO!P1425)</f>
        <v/>
      </c>
      <c r="Q891" s="12"/>
      <c r="R891" s="13"/>
    </row>
    <row r="892" spans="1:18" ht="15" x14ac:dyDescent="0.2">
      <c r="A892" s="321">
        <f>IF(TOTALCO!A1426="", "",TOTALCO!A1426)</f>
        <v>16</v>
      </c>
      <c r="B892" s="4" t="str">
        <f>IF(TOTALCO!B1426="", "",TOTALCO!B1426)</f>
        <v xml:space="preserve">      FERC 920</v>
      </c>
      <c r="C892" s="4" t="str">
        <f>IF(TOTALCO!C1426="", "",TOTALCO!C1426)</f>
        <v>PTDCUSTLABOR</v>
      </c>
      <c r="D892" s="12">
        <f ca="1">IF(TOTALCO!D1426="", "",TOTALCO!D1426)</f>
        <v>37810562</v>
      </c>
      <c r="E892" s="12" t="str">
        <f>IF(TOTALCO!E1426="", "",TOTALCO!E1426)</f>
        <v/>
      </c>
      <c r="F892" s="12">
        <f ca="1">IF(TOTALCO!F1426="", "",TOTALCO!F1426)</f>
        <v>35567475.08354608</v>
      </c>
      <c r="G892" s="12" t="str">
        <f>IF(TOTALCO!G1426="", "",TOTALCO!G1426)</f>
        <v/>
      </c>
      <c r="H892" s="12">
        <f ca="1">IF(TOTALCO!H1426="", "",TOTALCO!H1426)</f>
        <v>1790246.7562511931</v>
      </c>
      <c r="I892" s="12">
        <f ca="1">IF(TOTALCO!I1426="", "",TOTALCO!I1426)</f>
        <v>452840.16020272824</v>
      </c>
      <c r="J892" s="12" t="str">
        <f>IF(TOTALCO!J1426="", "",TOTALCO!J1426)</f>
        <v/>
      </c>
      <c r="K892" s="12" t="str">
        <f>IF(TOTALCO!K1426="", "",TOTALCO!K1426)</f>
        <v/>
      </c>
      <c r="L892" s="12">
        <f ca="1">IF(TOTALCO!L1426="", "",TOTALCO!L1426)</f>
        <v>2547.7456887547391</v>
      </c>
      <c r="M892" s="12" t="str">
        <f>IF(TOTALCO!M1426="", "",TOTALCO!M1426)</f>
        <v/>
      </c>
      <c r="N892" s="12">
        <f ca="1">IF(TOTALCO!N1426="", "",TOTALCO!N1426)</f>
        <v>450292.41451397352</v>
      </c>
      <c r="O892" s="12">
        <f ca="1">IF(TOTALCO!O1426="", "",TOTALCO!O1426)</f>
        <v>234728.30008299928</v>
      </c>
      <c r="P892" s="12">
        <f ca="1">IF(TOTALCO!P1426="", "",TOTALCO!P1426)</f>
        <v>215564.11443097421</v>
      </c>
      <c r="Q892" s="12"/>
      <c r="R892" s="13"/>
    </row>
    <row r="893" spans="1:18" ht="15" x14ac:dyDescent="0.2">
      <c r="A893" s="321">
        <f>IF(TOTALCO!A1427="", "",TOTALCO!A1427)</f>
        <v>17</v>
      </c>
      <c r="B893" s="4" t="str">
        <f>IF(TOTALCO!B1427="", "",TOTALCO!B1427)</f>
        <v xml:space="preserve">      FERC 921</v>
      </c>
      <c r="C893" s="4" t="str">
        <f>IF(TOTALCO!C1427="", "",TOTALCO!C1427)</f>
        <v>PTDCUSTLABOR</v>
      </c>
      <c r="D893" s="12">
        <f ca="1">IF(TOTALCO!D1427="", "",TOTALCO!D1427)</f>
        <v>76625.000000000015</v>
      </c>
      <c r="E893" s="12" t="str">
        <f>IF(TOTALCO!E1427="", "",TOTALCO!E1427)</f>
        <v/>
      </c>
      <c r="F893" s="12">
        <f ca="1">IF(TOTALCO!F1427="", "",TOTALCO!F1427)</f>
        <v>72079.271878495711</v>
      </c>
      <c r="G893" s="12" t="str">
        <f>IF(TOTALCO!G1427="", "",TOTALCO!G1427)</f>
        <v/>
      </c>
      <c r="H893" s="12">
        <f ca="1">IF(TOTALCO!H1427="", "",TOTALCO!H1427)</f>
        <v>3628.0248280294718</v>
      </c>
      <c r="I893" s="12">
        <f ca="1">IF(TOTALCO!I1427="", "",TOTALCO!I1427)</f>
        <v>917.7032934748247</v>
      </c>
      <c r="J893" s="12" t="str">
        <f>IF(TOTALCO!J1427="", "",TOTALCO!J1427)</f>
        <v/>
      </c>
      <c r="K893" s="12" t="str">
        <f>IF(TOTALCO!K1427="", "",TOTALCO!K1427)</f>
        <v/>
      </c>
      <c r="L893" s="12">
        <f ca="1">IF(TOTALCO!L1427="", "",TOTALCO!L1427)</f>
        <v>5.1631344014625302</v>
      </c>
      <c r="M893" s="12" t="str">
        <f>IF(TOTALCO!M1427="", "",TOTALCO!M1427)</f>
        <v/>
      </c>
      <c r="N893" s="12">
        <f ca="1">IF(TOTALCO!N1427="", "",TOTALCO!N1427)</f>
        <v>912.54015907336213</v>
      </c>
      <c r="O893" s="12">
        <f ca="1">IF(TOTALCO!O1427="", "",TOTALCO!O1427)</f>
        <v>475.6886711670623</v>
      </c>
      <c r="P893" s="12">
        <f ca="1">IF(TOTALCO!P1427="", "",TOTALCO!P1427)</f>
        <v>436.85148790629984</v>
      </c>
      <c r="Q893" s="12"/>
      <c r="R893" s="13"/>
    </row>
    <row r="894" spans="1:18" ht="15" x14ac:dyDescent="0.2">
      <c r="A894" s="321">
        <f>IF(TOTALCO!A1428="", "",TOTALCO!A1428)</f>
        <v>18</v>
      </c>
      <c r="B894" s="4" t="str">
        <f>IF(TOTALCO!B1428="", "",TOTALCO!B1428)</f>
        <v xml:space="preserve">      FERC 922</v>
      </c>
      <c r="C894" s="4" t="str">
        <f>IF(TOTALCO!C1428="", "",TOTALCO!C1428)</f>
        <v>PTDCUSTLABOR</v>
      </c>
      <c r="D894" s="12">
        <f ca="1">IF(TOTALCO!D1428="", "",TOTALCO!D1428)</f>
        <v>-4521751</v>
      </c>
      <c r="E894" s="12" t="str">
        <f>IF(TOTALCO!E1428="", "",TOTALCO!E1428)</f>
        <v/>
      </c>
      <c r="F894" s="12">
        <f ca="1">IF(TOTALCO!F1428="", "",TOTALCO!F1428)</f>
        <v>-4253501.0727029014</v>
      </c>
      <c r="G894" s="12" t="str">
        <f>IF(TOTALCO!G1428="", "",TOTALCO!G1428)</f>
        <v/>
      </c>
      <c r="H894" s="12">
        <f ca="1">IF(TOTALCO!H1428="", "",TOTALCO!H1428)</f>
        <v>-214094.94152257216</v>
      </c>
      <c r="I894" s="12">
        <f ca="1">IF(TOTALCO!I1428="", "",TOTALCO!I1428)</f>
        <v>-54154.985774526351</v>
      </c>
      <c r="J894" s="12" t="str">
        <f>IF(TOTALCO!J1428="", "",TOTALCO!J1428)</f>
        <v/>
      </c>
      <c r="K894" s="12" t="str">
        <f>IF(TOTALCO!K1428="", "",TOTALCO!K1428)</f>
        <v/>
      </c>
      <c r="L894" s="12">
        <f ca="1">IF(TOTALCO!L1428="", "",TOTALCO!L1428)</f>
        <v>-304.68395618854942</v>
      </c>
      <c r="M894" s="12" t="str">
        <f>IF(TOTALCO!M1428="", "",TOTALCO!M1428)</f>
        <v/>
      </c>
      <c r="N894" s="12">
        <f ca="1">IF(TOTALCO!N1428="", "",TOTALCO!N1428)</f>
        <v>-53850.301818337801</v>
      </c>
      <c r="O894" s="12">
        <f ca="1">IF(TOTALCO!O1428="", "",TOTALCO!O1428)</f>
        <v>-28071.069814529656</v>
      </c>
      <c r="P894" s="12">
        <f ca="1">IF(TOTALCO!P1428="", "",TOTALCO!P1428)</f>
        <v>-25779.232003808145</v>
      </c>
      <c r="Q894" s="12"/>
      <c r="R894" s="13"/>
    </row>
    <row r="895" spans="1:18" ht="15" x14ac:dyDescent="0.2">
      <c r="A895" s="321">
        <f>IF(TOTALCO!A1429="", "",TOTALCO!A1429)</f>
        <v>19</v>
      </c>
      <c r="B895" s="4" t="str">
        <f>IF(TOTALCO!B1429="", "",TOTALCO!B1429)</f>
        <v xml:space="preserve">      FERC 923</v>
      </c>
      <c r="C895" s="4" t="str">
        <f>IF(TOTALCO!C1429="", "",TOTALCO!C1429)</f>
        <v>PTDCUSTLABOR</v>
      </c>
      <c r="D895" s="12">
        <f ca="1">IF(TOTALCO!D1429="", "",TOTALCO!D1429)</f>
        <v>0</v>
      </c>
      <c r="E895" s="12" t="str">
        <f>IF(TOTALCO!E1429="", "",TOTALCO!E1429)</f>
        <v/>
      </c>
      <c r="F895" s="12">
        <f ca="1">IF(TOTALCO!F1429="", "",TOTALCO!F1429)</f>
        <v>0</v>
      </c>
      <c r="G895" s="12" t="str">
        <f>IF(TOTALCO!G1429="", "",TOTALCO!G1429)</f>
        <v/>
      </c>
      <c r="H895" s="12">
        <f ca="1">IF(TOTALCO!H1429="", "",TOTALCO!H1429)</f>
        <v>0</v>
      </c>
      <c r="I895" s="12">
        <f ca="1">IF(TOTALCO!I1429="", "",TOTALCO!I1429)</f>
        <v>0</v>
      </c>
      <c r="J895" s="12" t="str">
        <f>IF(TOTALCO!J1429="", "",TOTALCO!J1429)</f>
        <v/>
      </c>
      <c r="K895" s="12" t="str">
        <f>IF(TOTALCO!K1429="", "",TOTALCO!K1429)</f>
        <v/>
      </c>
      <c r="L895" s="12">
        <f ca="1">IF(TOTALCO!L1429="", "",TOTALCO!L1429)</f>
        <v>0</v>
      </c>
      <c r="M895" s="12" t="str">
        <f>IF(TOTALCO!M1429="", "",TOTALCO!M1429)</f>
        <v/>
      </c>
      <c r="N895" s="12">
        <f ca="1">IF(TOTALCO!N1429="", "",TOTALCO!N1429)</f>
        <v>0</v>
      </c>
      <c r="O895" s="12">
        <f ca="1">IF(TOTALCO!O1429="", "",TOTALCO!O1429)</f>
        <v>0</v>
      </c>
      <c r="P895" s="12">
        <f ca="1">IF(TOTALCO!P1429="", "",TOTALCO!P1429)</f>
        <v>0</v>
      </c>
      <c r="Q895" s="12"/>
      <c r="R895" s="13"/>
    </row>
    <row r="896" spans="1:18" ht="15" x14ac:dyDescent="0.2">
      <c r="A896" s="321">
        <f>IF(TOTALCO!A1430="", "",TOTALCO!A1430)</f>
        <v>20</v>
      </c>
      <c r="B896" s="4" t="str">
        <f>IF(TOTALCO!B1430="", "",TOTALCO!B1430)</f>
        <v xml:space="preserve">      FERC 924</v>
      </c>
      <c r="C896" s="4" t="str">
        <f>IF(TOTALCO!C1430="", "",TOTALCO!C1430)</f>
        <v>PTDCUSTLABOR</v>
      </c>
      <c r="D896" s="12">
        <f ca="1">IF(TOTALCO!D1430="", "",TOTALCO!D1430)</f>
        <v>0</v>
      </c>
      <c r="E896" s="12" t="str">
        <f>IF(TOTALCO!E1430="", "",TOTALCO!E1430)</f>
        <v/>
      </c>
      <c r="F896" s="12">
        <f ca="1">IF(TOTALCO!F1430="", "",TOTALCO!F1430)</f>
        <v>0</v>
      </c>
      <c r="G896" s="12" t="str">
        <f>IF(TOTALCO!G1430="", "",TOTALCO!G1430)</f>
        <v/>
      </c>
      <c r="H896" s="12">
        <f ca="1">IF(TOTALCO!H1430="", "",TOTALCO!H1430)</f>
        <v>0</v>
      </c>
      <c r="I896" s="12">
        <f ca="1">IF(TOTALCO!I1430="", "",TOTALCO!I1430)</f>
        <v>0</v>
      </c>
      <c r="J896" s="12" t="str">
        <f>IF(TOTALCO!J1430="", "",TOTALCO!J1430)</f>
        <v/>
      </c>
      <c r="K896" s="12" t="str">
        <f>IF(TOTALCO!K1430="", "",TOTALCO!K1430)</f>
        <v/>
      </c>
      <c r="L896" s="12">
        <f ca="1">IF(TOTALCO!L1430="", "",TOTALCO!L1430)</f>
        <v>0</v>
      </c>
      <c r="M896" s="12" t="str">
        <f>IF(TOTALCO!M1430="", "",TOTALCO!M1430)</f>
        <v/>
      </c>
      <c r="N896" s="12">
        <f ca="1">IF(TOTALCO!N1430="", "",TOTALCO!N1430)</f>
        <v>0</v>
      </c>
      <c r="O896" s="12">
        <f ca="1">IF(TOTALCO!O1430="", "",TOTALCO!O1430)</f>
        <v>0</v>
      </c>
      <c r="P896" s="12">
        <f ca="1">IF(TOTALCO!P1430="", "",TOTALCO!P1430)</f>
        <v>0</v>
      </c>
      <c r="Q896" s="12"/>
      <c r="R896" s="13"/>
    </row>
    <row r="897" spans="1:18" ht="15" x14ac:dyDescent="0.2">
      <c r="A897" s="321">
        <f>IF(TOTALCO!A1431="", "",TOTALCO!A1431)</f>
        <v>21</v>
      </c>
      <c r="B897" s="4" t="str">
        <f>IF(TOTALCO!B1431="", "",TOTALCO!B1431)</f>
        <v xml:space="preserve">      FERC 925</v>
      </c>
      <c r="C897" s="4" t="str">
        <f>IF(TOTALCO!C1431="", "",TOTALCO!C1431)</f>
        <v>PTDCUSTLABOR</v>
      </c>
      <c r="D897" s="12">
        <f ca="1">IF(TOTALCO!D1431="", "",TOTALCO!D1431)</f>
        <v>757233</v>
      </c>
      <c r="E897" s="12" t="str">
        <f>IF(TOTALCO!E1431="", "",TOTALCO!E1431)</f>
        <v/>
      </c>
      <c r="F897" s="12">
        <f ca="1">IF(TOTALCO!F1431="", "",TOTALCO!F1431)</f>
        <v>712310.64642569574</v>
      </c>
      <c r="G897" s="12" t="str">
        <f>IF(TOTALCO!G1431="", "",TOTALCO!G1431)</f>
        <v/>
      </c>
      <c r="H897" s="12">
        <f ca="1">IF(TOTALCO!H1431="", "",TOTALCO!H1431)</f>
        <v>35853.313208525164</v>
      </c>
      <c r="I897" s="12">
        <f ca="1">IF(TOTALCO!I1431="", "",TOTALCO!I1431)</f>
        <v>9069.0403657790794</v>
      </c>
      <c r="J897" s="12" t="str">
        <f>IF(TOTALCO!J1431="", "",TOTALCO!J1431)</f>
        <v/>
      </c>
      <c r="K897" s="12" t="str">
        <f>IF(TOTALCO!K1431="", "",TOTALCO!K1431)</f>
        <v/>
      </c>
      <c r="L897" s="12">
        <f ca="1">IF(TOTALCO!L1431="", "",TOTALCO!L1431)</f>
        <v>51.023761856087127</v>
      </c>
      <c r="M897" s="12" t="str">
        <f>IF(TOTALCO!M1431="", "",TOTALCO!M1431)</f>
        <v/>
      </c>
      <c r="N897" s="12">
        <f ca="1">IF(TOTALCO!N1431="", "",TOTALCO!N1431)</f>
        <v>9018.0166039229916</v>
      </c>
      <c r="O897" s="12">
        <f ca="1">IF(TOTALCO!O1431="", "",TOTALCO!O1431)</f>
        <v>4700.9090966896974</v>
      </c>
      <c r="P897" s="12">
        <f ca="1">IF(TOTALCO!P1431="", "",TOTALCO!P1431)</f>
        <v>4317.1075072332942</v>
      </c>
      <c r="Q897" s="12"/>
      <c r="R897" s="13"/>
    </row>
    <row r="898" spans="1:18" ht="15" x14ac:dyDescent="0.2">
      <c r="A898" s="321">
        <f>IF(TOTALCO!A1432="", "",TOTALCO!A1432)</f>
        <v>22</v>
      </c>
      <c r="B898" s="4" t="str">
        <f>IF(TOTALCO!B1432="", "",TOTALCO!B1432)</f>
        <v xml:space="preserve">      FERC 926</v>
      </c>
      <c r="C898" s="4" t="str">
        <f>IF(TOTALCO!C1432="", "",TOTALCO!C1432)</f>
        <v>PTDCUSTLABOR</v>
      </c>
      <c r="D898" s="12">
        <f ca="1">IF(TOTALCO!D1432="", "",TOTALCO!D1432)</f>
        <v>30537150</v>
      </c>
      <c r="E898" s="12" t="str">
        <f>IF(TOTALCO!E1432="", "",TOTALCO!E1432)</f>
        <v/>
      </c>
      <c r="F898" s="12">
        <f ca="1">IF(TOTALCO!F1432="", "",TOTALCO!F1432)</f>
        <v>28725553.504005287</v>
      </c>
      <c r="G898" s="12" t="str">
        <f>IF(TOTALCO!G1432="", "",TOTALCO!G1432)</f>
        <v/>
      </c>
      <c r="H898" s="12">
        <f ca="1">IF(TOTALCO!H1432="", "",TOTALCO!H1432)</f>
        <v>1445866.732492792</v>
      </c>
      <c r="I898" s="12">
        <f ca="1">IF(TOTALCO!I1432="", "",TOTALCO!I1432)</f>
        <v>365729.76350192155</v>
      </c>
      <c r="J898" s="12" t="str">
        <f>IF(TOTALCO!J1432="", "",TOTALCO!J1432)</f>
        <v/>
      </c>
      <c r="K898" s="12" t="str">
        <f>IF(TOTALCO!K1432="", "",TOTALCO!K1432)</f>
        <v/>
      </c>
      <c r="L898" s="12">
        <f ca="1">IF(TOTALCO!L1432="", "",TOTALCO!L1432)</f>
        <v>2057.6497185986491</v>
      </c>
      <c r="M898" s="12" t="str">
        <f>IF(TOTALCO!M1432="", "",TOTALCO!M1432)</f>
        <v/>
      </c>
      <c r="N898" s="12">
        <f ca="1">IF(TOTALCO!N1432="", "",TOTALCO!N1432)</f>
        <v>363672.11378332291</v>
      </c>
      <c r="O898" s="12">
        <f ca="1">IF(TOTALCO!O1432="", "",TOTALCO!O1432)</f>
        <v>189574.89467835895</v>
      </c>
      <c r="P898" s="12">
        <f ca="1">IF(TOTALCO!P1432="", "",TOTALCO!P1432)</f>
        <v>174097.21910496397</v>
      </c>
      <c r="Q898" s="12"/>
      <c r="R898" s="13"/>
    </row>
    <row r="899" spans="1:18" ht="15" x14ac:dyDescent="0.2">
      <c r="A899" s="321">
        <f>IF(TOTALCO!A1433="", "",TOTALCO!A1433)</f>
        <v>23</v>
      </c>
      <c r="B899" s="4" t="str">
        <f>IF(TOTALCO!B1433="", "",TOTALCO!B1433)</f>
        <v xml:space="preserve">      FERC 927</v>
      </c>
      <c r="C899" s="4" t="str">
        <f>IF(TOTALCO!C1433="", "",TOTALCO!C1433)</f>
        <v>PTDCUSTLABOR</v>
      </c>
      <c r="D899" s="12">
        <f ca="1">IF(TOTALCO!D1433="", "",TOTALCO!D1433)</f>
        <v>0</v>
      </c>
      <c r="E899" s="12" t="str">
        <f>IF(TOTALCO!E1433="", "",TOTALCO!E1433)</f>
        <v/>
      </c>
      <c r="F899" s="12">
        <f ca="1">IF(TOTALCO!F1433="", "",TOTALCO!F1433)</f>
        <v>0</v>
      </c>
      <c r="G899" s="12" t="str">
        <f>IF(TOTALCO!G1433="", "",TOTALCO!G1433)</f>
        <v/>
      </c>
      <c r="H899" s="12">
        <f ca="1">IF(TOTALCO!H1433="", "",TOTALCO!H1433)</f>
        <v>0</v>
      </c>
      <c r="I899" s="12">
        <f ca="1">IF(TOTALCO!I1433="", "",TOTALCO!I1433)</f>
        <v>0</v>
      </c>
      <c r="J899" s="12" t="str">
        <f>IF(TOTALCO!J1433="", "",TOTALCO!J1433)</f>
        <v/>
      </c>
      <c r="K899" s="12" t="str">
        <f>IF(TOTALCO!K1433="", "",TOTALCO!K1433)</f>
        <v/>
      </c>
      <c r="L899" s="12">
        <f ca="1">IF(TOTALCO!L1433="", "",TOTALCO!L1433)</f>
        <v>0</v>
      </c>
      <c r="M899" s="12" t="str">
        <f>IF(TOTALCO!M1433="", "",TOTALCO!M1433)</f>
        <v/>
      </c>
      <c r="N899" s="12">
        <f ca="1">IF(TOTALCO!N1433="", "",TOTALCO!N1433)</f>
        <v>0</v>
      </c>
      <c r="O899" s="12">
        <f ca="1">IF(TOTALCO!O1433="", "",TOTALCO!O1433)</f>
        <v>0</v>
      </c>
      <c r="P899" s="12">
        <f ca="1">IF(TOTALCO!P1433="", "",TOTALCO!P1433)</f>
        <v>0</v>
      </c>
      <c r="Q899" s="12"/>
      <c r="R899" s="13"/>
    </row>
    <row r="900" spans="1:18" ht="15" x14ac:dyDescent="0.2">
      <c r="A900" s="321">
        <f>IF(TOTALCO!A1434="", "",TOTALCO!A1434)</f>
        <v>24</v>
      </c>
      <c r="B900" s="4" t="str">
        <f>IF(TOTALCO!B1434="", "",TOTALCO!B1434)</f>
        <v xml:space="preserve">      FERC 929</v>
      </c>
      <c r="C900" s="4" t="str">
        <f>IF(TOTALCO!C1434="", "",TOTALCO!C1434)</f>
        <v>PTDCUSTLABOR</v>
      </c>
      <c r="D900" s="12">
        <f ca="1">IF(TOTALCO!D1434="", "",TOTALCO!D1434)</f>
        <v>0</v>
      </c>
      <c r="E900" s="12" t="str">
        <f>IF(TOTALCO!E1434="", "",TOTALCO!E1434)</f>
        <v/>
      </c>
      <c r="F900" s="12">
        <f ca="1">IF(TOTALCO!F1434="", "",TOTALCO!F1434)</f>
        <v>0</v>
      </c>
      <c r="G900" s="12" t="str">
        <f>IF(TOTALCO!G1434="", "",TOTALCO!G1434)</f>
        <v/>
      </c>
      <c r="H900" s="12">
        <f ca="1">IF(TOTALCO!H1434="", "",TOTALCO!H1434)</f>
        <v>0</v>
      </c>
      <c r="I900" s="12">
        <f ca="1">IF(TOTALCO!I1434="", "",TOTALCO!I1434)</f>
        <v>0</v>
      </c>
      <c r="J900" s="12" t="str">
        <f>IF(TOTALCO!J1434="", "",TOTALCO!J1434)</f>
        <v/>
      </c>
      <c r="K900" s="12" t="str">
        <f>IF(TOTALCO!K1434="", "",TOTALCO!K1434)</f>
        <v/>
      </c>
      <c r="L900" s="12">
        <f ca="1">IF(TOTALCO!L1434="", "",TOTALCO!L1434)</f>
        <v>0</v>
      </c>
      <c r="M900" s="12" t="str">
        <f>IF(TOTALCO!M1434="", "",TOTALCO!M1434)</f>
        <v/>
      </c>
      <c r="N900" s="12">
        <f ca="1">IF(TOTALCO!N1434="", "",TOTALCO!N1434)</f>
        <v>0</v>
      </c>
      <c r="O900" s="12">
        <f ca="1">IF(TOTALCO!O1434="", "",TOTALCO!O1434)</f>
        <v>0</v>
      </c>
      <c r="P900" s="12">
        <f ca="1">IF(TOTALCO!P1434="", "",TOTALCO!P1434)</f>
        <v>0</v>
      </c>
      <c r="Q900" s="12"/>
      <c r="R900" s="13"/>
    </row>
    <row r="901" spans="1:18" ht="15" x14ac:dyDescent="0.2">
      <c r="A901" s="321">
        <f>IF(TOTALCO!A1435="", "",TOTALCO!A1435)</f>
        <v>25</v>
      </c>
      <c r="B901" s="4" t="str">
        <f>IF(TOTALCO!B1435="", "",TOTALCO!B1435)</f>
        <v xml:space="preserve">      FERC 930</v>
      </c>
      <c r="C901" s="4" t="str">
        <f>IF(TOTALCO!C1435="", "",TOTALCO!C1435)</f>
        <v>PTDCUSTLABOR</v>
      </c>
      <c r="D901" s="12">
        <f ca="1">IF(TOTALCO!D1435="", "",TOTALCO!D1435)</f>
        <v>0</v>
      </c>
      <c r="E901" s="12" t="str">
        <f>IF(TOTALCO!E1435="", "",TOTALCO!E1435)</f>
        <v/>
      </c>
      <c r="F901" s="12">
        <f ca="1">IF(TOTALCO!F1435="", "",TOTALCO!F1435)</f>
        <v>0</v>
      </c>
      <c r="G901" s="12" t="str">
        <f>IF(TOTALCO!G1435="", "",TOTALCO!G1435)</f>
        <v/>
      </c>
      <c r="H901" s="12">
        <f ca="1">IF(TOTALCO!H1435="", "",TOTALCO!H1435)</f>
        <v>0</v>
      </c>
      <c r="I901" s="12">
        <f ca="1">IF(TOTALCO!I1435="", "",TOTALCO!I1435)</f>
        <v>0</v>
      </c>
      <c r="J901" s="12" t="str">
        <f>IF(TOTALCO!J1435="", "",TOTALCO!J1435)</f>
        <v/>
      </c>
      <c r="K901" s="12" t="str">
        <f>IF(TOTALCO!K1435="", "",TOTALCO!K1435)</f>
        <v/>
      </c>
      <c r="L901" s="12">
        <f ca="1">IF(TOTALCO!L1435="", "",TOTALCO!L1435)</f>
        <v>0</v>
      </c>
      <c r="M901" s="12" t="str">
        <f>IF(TOTALCO!M1435="", "",TOTALCO!M1435)</f>
        <v/>
      </c>
      <c r="N901" s="12">
        <f ca="1">IF(TOTALCO!N1435="", "",TOTALCO!N1435)</f>
        <v>0</v>
      </c>
      <c r="O901" s="12">
        <f ca="1">IF(TOTALCO!O1435="", "",TOTALCO!O1435)</f>
        <v>0</v>
      </c>
      <c r="P901" s="12">
        <f ca="1">IF(TOTALCO!P1435="", "",TOTALCO!P1435)</f>
        <v>0</v>
      </c>
      <c r="Q901" s="12"/>
      <c r="R901" s="13"/>
    </row>
    <row r="902" spans="1:18" ht="15" x14ac:dyDescent="0.2">
      <c r="A902" s="321">
        <f>IF(TOTALCO!A1436="", "",TOTALCO!A1436)</f>
        <v>26</v>
      </c>
      <c r="B902" s="4" t="str">
        <f>IF(TOTALCO!B1436="", "",TOTALCO!B1436)</f>
        <v xml:space="preserve">      FERC 931</v>
      </c>
      <c r="C902" s="4" t="str">
        <f>IF(TOTALCO!C1436="", "",TOTALCO!C1436)</f>
        <v>PTDCUSTLABOR</v>
      </c>
      <c r="D902" s="12">
        <f ca="1">IF(TOTALCO!D1436="", "",TOTALCO!D1436)</f>
        <v>0</v>
      </c>
      <c r="E902" s="12" t="str">
        <f>IF(TOTALCO!E1436="", "",TOTALCO!E1436)</f>
        <v/>
      </c>
      <c r="F902" s="12">
        <f ca="1">IF(TOTALCO!F1436="", "",TOTALCO!F1436)</f>
        <v>0</v>
      </c>
      <c r="G902" s="12" t="str">
        <f>IF(TOTALCO!G1436="", "",TOTALCO!G1436)</f>
        <v/>
      </c>
      <c r="H902" s="12">
        <f ca="1">IF(TOTALCO!H1436="", "",TOTALCO!H1436)</f>
        <v>0</v>
      </c>
      <c r="I902" s="12">
        <f ca="1">IF(TOTALCO!I1436="", "",TOTALCO!I1436)</f>
        <v>0</v>
      </c>
      <c r="J902" s="12" t="str">
        <f>IF(TOTALCO!J1436="", "",TOTALCO!J1436)</f>
        <v/>
      </c>
      <c r="K902" s="12" t="str">
        <f>IF(TOTALCO!K1436="", "",TOTALCO!K1436)</f>
        <v/>
      </c>
      <c r="L902" s="12">
        <f ca="1">IF(TOTALCO!L1436="", "",TOTALCO!L1436)</f>
        <v>0</v>
      </c>
      <c r="M902" s="12" t="str">
        <f>IF(TOTALCO!M1436="", "",TOTALCO!M1436)</f>
        <v/>
      </c>
      <c r="N902" s="12">
        <f ca="1">IF(TOTALCO!N1436="", "",TOTALCO!N1436)</f>
        <v>0</v>
      </c>
      <c r="O902" s="12">
        <f ca="1">IF(TOTALCO!O1436="", "",TOTALCO!O1436)</f>
        <v>0</v>
      </c>
      <c r="P902" s="12">
        <f ca="1">IF(TOTALCO!P1436="", "",TOTALCO!P1436)</f>
        <v>0</v>
      </c>
      <c r="Q902" s="12"/>
      <c r="R902" s="13"/>
    </row>
    <row r="903" spans="1:18" ht="15" x14ac:dyDescent="0.2">
      <c r="A903" s="321">
        <f>IF(TOTALCO!A1437="", "",TOTALCO!A1437)</f>
        <v>27</v>
      </c>
      <c r="B903" s="4" t="str">
        <f>IF(TOTALCO!B1437="", "",TOTALCO!B1437)</f>
        <v xml:space="preserve">      FERC 935</v>
      </c>
      <c r="C903" s="4" t="str">
        <f>IF(TOTALCO!C1437="", "",TOTALCO!C1437)</f>
        <v>PTDCUSTLABOR</v>
      </c>
      <c r="D903" s="12">
        <f ca="1">IF(TOTALCO!D1437="", "",TOTALCO!D1437)</f>
        <v>840740.99999999988</v>
      </c>
      <c r="E903" s="12" t="str">
        <f>IF(TOTALCO!E1437="", "",TOTALCO!E1437)</f>
        <v/>
      </c>
      <c r="F903" s="12">
        <f ca="1">IF(TOTALCO!F1437="", "",TOTALCO!F1437)</f>
        <v>790864.58882085944</v>
      </c>
      <c r="G903" s="12" t="str">
        <f>IF(TOTALCO!G1437="", "",TOTALCO!G1437)</f>
        <v/>
      </c>
      <c r="H903" s="12">
        <f ca="1">IF(TOTALCO!H1437="", "",TOTALCO!H1437)</f>
        <v>39807.232912787287</v>
      </c>
      <c r="I903" s="12">
        <f ca="1">IF(TOTALCO!I1437="", "",TOTALCO!I1437)</f>
        <v>10069.178266353247</v>
      </c>
      <c r="J903" s="12" t="str">
        <f>IF(TOTALCO!J1437="", "",TOTALCO!J1437)</f>
        <v/>
      </c>
      <c r="K903" s="12" t="str">
        <f>IF(TOTALCO!K1437="", "",TOTALCO!K1437)</f>
        <v/>
      </c>
      <c r="L903" s="12">
        <f ca="1">IF(TOTALCO!L1437="", "",TOTALCO!L1437)</f>
        <v>56.650685544143677</v>
      </c>
      <c r="M903" s="12" t="str">
        <f>IF(TOTALCO!M1437="", "",TOTALCO!M1437)</f>
        <v/>
      </c>
      <c r="N903" s="12">
        <f ca="1">IF(TOTALCO!N1437="", "",TOTALCO!N1437)</f>
        <v>10012.527580809103</v>
      </c>
      <c r="O903" s="12">
        <f ca="1">IF(TOTALCO!O1437="", "",TOTALCO!O1437)</f>
        <v>5219.3274921457369</v>
      </c>
      <c r="P903" s="12">
        <f ca="1">IF(TOTALCO!P1437="", "",TOTALCO!P1437)</f>
        <v>4793.2000886633659</v>
      </c>
      <c r="Q903" s="12"/>
      <c r="R903" s="13"/>
    </row>
    <row r="904" spans="1:18" ht="15" x14ac:dyDescent="0.2">
      <c r="A904" s="321" t="str">
        <f>IF(TOTALCO!A1438="", "",TOTALCO!A1438)</f>
        <v/>
      </c>
      <c r="B904" s="4" t="str">
        <f>IF(TOTALCO!B1438="", "",TOTALCO!B1438)</f>
        <v/>
      </c>
      <c r="C904" s="4" t="str">
        <f>IF(TOTALCO!C1438="", "",TOTALCO!C1438)</f>
        <v/>
      </c>
      <c r="D904" s="12" t="str">
        <f>IF(TOTALCO!D1438="", "",TOTALCO!D1438)</f>
        <v/>
      </c>
      <c r="E904" s="12" t="str">
        <f>IF(TOTALCO!E1438="", "",TOTALCO!E1438)</f>
        <v/>
      </c>
      <c r="F904" s="12" t="str">
        <f>IF(TOTALCO!F1438="", "",TOTALCO!F1438)</f>
        <v/>
      </c>
      <c r="G904" s="12" t="str">
        <f>IF(TOTALCO!G1438="", "",TOTALCO!G1438)</f>
        <v/>
      </c>
      <c r="H904" s="12" t="str">
        <f>IF(TOTALCO!H1438="", "",TOTALCO!H1438)</f>
        <v/>
      </c>
      <c r="I904" s="12" t="str">
        <f>IF(TOTALCO!I1438="", "",TOTALCO!I1438)</f>
        <v/>
      </c>
      <c r="J904" s="12" t="str">
        <f>IF(TOTALCO!J1438="", "",TOTALCO!J1438)</f>
        <v/>
      </c>
      <c r="K904" s="12" t="str">
        <f>IF(TOTALCO!K1438="", "",TOTALCO!K1438)</f>
        <v/>
      </c>
      <c r="L904" s="12" t="str">
        <f>IF(TOTALCO!L1438="", "",TOTALCO!L1438)</f>
        <v/>
      </c>
      <c r="M904" s="12" t="str">
        <f>IF(TOTALCO!M1438="", "",TOTALCO!M1438)</f>
        <v/>
      </c>
      <c r="N904" s="12" t="str">
        <f>IF(TOTALCO!N1438="", "",TOTALCO!N1438)</f>
        <v/>
      </c>
      <c r="O904" s="12" t="str">
        <f>IF(TOTALCO!O1438="", "",TOTALCO!O1438)</f>
        <v/>
      </c>
      <c r="P904" s="12" t="str">
        <f>IF(TOTALCO!P1438="", "",TOTALCO!P1438)</f>
        <v/>
      </c>
      <c r="Q904" s="12"/>
      <c r="R904" s="13"/>
    </row>
    <row r="905" spans="1:18" ht="15" x14ac:dyDescent="0.2">
      <c r="A905" s="321">
        <f>IF(TOTALCO!A1439="", "",TOTALCO!A1439)</f>
        <v>28</v>
      </c>
      <c r="B905" s="4" t="str">
        <f>IF(TOTALCO!B1439="", "",TOTALCO!B1439)</f>
        <v xml:space="preserve"> TOTAL ADMIN &amp; GENERAL  LABOR</v>
      </c>
      <c r="C905" s="4" t="str">
        <f>IF(TOTALCO!C1439="", "",TOTALCO!C1439)</f>
        <v/>
      </c>
      <c r="D905" s="12">
        <f ca="1">IF(TOTALCO!D1439="", "",TOTALCO!D1439)</f>
        <v>65500560.000000007</v>
      </c>
      <c r="E905" s="12" t="str">
        <f>IF(TOTALCO!E1439="", "",TOTALCO!E1439)</f>
        <v/>
      </c>
      <c r="F905" s="12">
        <f ca="1">IF(TOTALCO!F1439="", "",TOTALCO!F1439)</f>
        <v>61614782.021973521</v>
      </c>
      <c r="G905" s="12" t="str">
        <f>IF(TOTALCO!G1439="", "",TOTALCO!G1439)</f>
        <v/>
      </c>
      <c r="H905" s="12">
        <f ca="1">IF(TOTALCO!H1439="", "",TOTALCO!H1439)</f>
        <v>3101307.118170755</v>
      </c>
      <c r="I905" s="12">
        <f ca="1">IF(TOTALCO!I1439="", "",TOTALCO!I1439)</f>
        <v>784470.85985573067</v>
      </c>
      <c r="J905" s="12" t="str">
        <f>IF(TOTALCO!J1439="", "",TOTALCO!J1439)</f>
        <v/>
      </c>
      <c r="K905" s="12" t="str">
        <f>IF(TOTALCO!K1439="", "",TOTALCO!K1439)</f>
        <v/>
      </c>
      <c r="L905" s="12">
        <f ca="1">IF(TOTALCO!L1439="", "",TOTALCO!L1439)</f>
        <v>4413.5490329665326</v>
      </c>
      <c r="M905" s="12" t="str">
        <f>IF(TOTALCO!M1439="", "",TOTALCO!M1439)</f>
        <v/>
      </c>
      <c r="N905" s="12">
        <f ca="1">IF(TOTALCO!N1439="", "",TOTALCO!N1439)</f>
        <v>780057.31082276418</v>
      </c>
      <c r="O905" s="12">
        <f ca="1">IF(TOTALCO!O1439="", "",TOTALCO!O1439)</f>
        <v>406628.05020683113</v>
      </c>
      <c r="P905" s="12">
        <f ca="1">IF(TOTALCO!P1439="", "",TOTALCO!P1439)</f>
        <v>373429.26061593299</v>
      </c>
      <c r="Q905" s="12"/>
      <c r="R905" s="13"/>
    </row>
    <row r="906" spans="1:18" ht="15" x14ac:dyDescent="0.2">
      <c r="A906" s="321" t="str">
        <f>IF(TOTALCO!A1440="", "",TOTALCO!A1440)</f>
        <v/>
      </c>
      <c r="B906" s="4" t="str">
        <f>IF(TOTALCO!B1440="", "",TOTALCO!B1440)</f>
        <v/>
      </c>
      <c r="C906" s="4" t="str">
        <f>IF(TOTALCO!C1440="", "",TOTALCO!C1440)</f>
        <v/>
      </c>
      <c r="D906" s="12" t="str">
        <f>IF(TOTALCO!D1440="", "",TOTALCO!D1440)</f>
        <v/>
      </c>
      <c r="E906" s="12" t="str">
        <f>IF(TOTALCO!E1440="", "",TOTALCO!E1440)</f>
        <v/>
      </c>
      <c r="F906" s="12" t="str">
        <f>IF(TOTALCO!F1440="", "",TOTALCO!F1440)</f>
        <v/>
      </c>
      <c r="G906" s="12" t="str">
        <f>IF(TOTALCO!G1440="", "",TOTALCO!G1440)</f>
        <v/>
      </c>
      <c r="H906" s="12" t="str">
        <f>IF(TOTALCO!H1440="", "",TOTALCO!H1440)</f>
        <v/>
      </c>
      <c r="I906" s="12" t="str">
        <f>IF(TOTALCO!I1440="", "",TOTALCO!I1440)</f>
        <v/>
      </c>
      <c r="J906" s="12" t="str">
        <f>IF(TOTALCO!J1440="", "",TOTALCO!J1440)</f>
        <v/>
      </c>
      <c r="K906" s="12" t="str">
        <f>IF(TOTALCO!K1440="", "",TOTALCO!K1440)</f>
        <v/>
      </c>
      <c r="L906" s="12" t="str">
        <f>IF(TOTALCO!L1440="", "",TOTALCO!L1440)</f>
        <v/>
      </c>
      <c r="M906" s="12" t="str">
        <f>IF(TOTALCO!M1440="", "",TOTALCO!M1440)</f>
        <v/>
      </c>
      <c r="N906" s="12" t="str">
        <f>IF(TOTALCO!N1440="", "",TOTALCO!N1440)</f>
        <v/>
      </c>
      <c r="O906" s="12" t="str">
        <f>IF(TOTALCO!O1440="", "",TOTALCO!O1440)</f>
        <v/>
      </c>
      <c r="P906" s="12" t="str">
        <f>IF(TOTALCO!P1440="", "",TOTALCO!P1440)</f>
        <v/>
      </c>
      <c r="Q906" s="12"/>
      <c r="R906" s="13"/>
    </row>
    <row r="907" spans="1:18" ht="15" x14ac:dyDescent="0.2">
      <c r="A907" s="321">
        <f>IF(TOTALCO!A1441="", "",TOTALCO!A1441)</f>
        <v>29</v>
      </c>
      <c r="B907" s="4" t="str">
        <f>IF(TOTALCO!B1441="", "",TOTALCO!B1441)</f>
        <v>TOTAL LABOR EXPENSES</v>
      </c>
      <c r="C907" s="4" t="str">
        <f>IF(TOTALCO!C1441="", "",TOTALCO!C1441)</f>
        <v/>
      </c>
      <c r="D907" s="12">
        <f ca="1">IF(TOTALCO!D1441="", "",TOTALCO!D1441)</f>
        <v>178867174.00000003</v>
      </c>
      <c r="E907" s="12" t="str">
        <f>IF(TOTALCO!E1441="", "",TOTALCO!E1441)</f>
        <v/>
      </c>
      <c r="F907" s="12">
        <f ca="1">IF(TOTALCO!F1441="", "",TOTALCO!F1441)</f>
        <v>168255995.62654746</v>
      </c>
      <c r="G907" s="12" t="str">
        <f>IF(TOTALCO!G1441="", "",TOTALCO!G1441)</f>
        <v/>
      </c>
      <c r="H907" s="12">
        <f ca="1">IF(TOTALCO!H1441="", "",TOTALCO!H1441)</f>
        <v>8468966.3711773921</v>
      </c>
      <c r="I907" s="12">
        <f ca="1">IF(TOTALCO!I1441="", "",TOTALCO!I1441)</f>
        <v>2142212.0022751656</v>
      </c>
      <c r="J907" s="12" t="str">
        <f>IF(TOTALCO!J1441="", "",TOTALCO!J1441)</f>
        <v/>
      </c>
      <c r="K907" s="12" t="str">
        <f>IF(TOTALCO!K1441="", "",TOTALCO!K1441)</f>
        <v/>
      </c>
      <c r="L907" s="12">
        <f ca="1">IF(TOTALCO!L1441="", "",TOTALCO!L1441)</f>
        <v>12052.401427364233</v>
      </c>
      <c r="M907" s="12" t="str">
        <f>IF(TOTALCO!M1441="", "",TOTALCO!M1441)</f>
        <v/>
      </c>
      <c r="N907" s="12">
        <f ca="1">IF(TOTALCO!N1441="", "",TOTALCO!N1441)</f>
        <v>2130159.6008478012</v>
      </c>
      <c r="O907" s="12">
        <f ca="1">IF(TOTALCO!O1441="", "",TOTALCO!O1441)</f>
        <v>1110408.9829098561</v>
      </c>
      <c r="P907" s="12">
        <f ca="1">IF(TOTALCO!P1441="", "",TOTALCO!P1441)</f>
        <v>1019750.6179379449</v>
      </c>
      <c r="Q907" s="12"/>
      <c r="R907" s="13"/>
    </row>
    <row r="908" spans="1:18" ht="15" x14ac:dyDescent="0.2">
      <c r="A908" s="321" t="str">
        <f>IF(TOTALCO!A1444="", "",TOTALCO!A1444)</f>
        <v/>
      </c>
      <c r="B908" s="4" t="str">
        <f>IF(TOTALCO!B1444="", "",TOTALCO!B1444)</f>
        <v/>
      </c>
      <c r="C908" s="4" t="str">
        <f>IF(TOTALCO!C1444="", "",TOTALCO!C1444)</f>
        <v/>
      </c>
      <c r="D908" s="12" t="str">
        <f>IF(TOTALCO!D1444="", "",TOTALCO!D1444)</f>
        <v/>
      </c>
      <c r="E908" s="12" t="str">
        <f>IF(TOTALCO!E1444="", "",TOTALCO!E1444)</f>
        <v/>
      </c>
      <c r="F908" s="12" t="str">
        <f>IF(TOTALCO!F1444="", "",TOTALCO!F1444)</f>
        <v/>
      </c>
      <c r="G908" s="12" t="str">
        <f>IF(TOTALCO!G1444="", "",TOTALCO!G1444)</f>
        <v/>
      </c>
      <c r="H908" s="12" t="str">
        <f>IF(TOTALCO!H1444="", "",TOTALCO!H1444)</f>
        <v/>
      </c>
      <c r="I908" s="12" t="str">
        <f>IF(TOTALCO!I1444="", "",TOTALCO!I1444)</f>
        <v/>
      </c>
      <c r="J908" s="12" t="str">
        <f>IF(TOTALCO!J1444="", "",TOTALCO!J1444)</f>
        <v/>
      </c>
      <c r="K908" s="12" t="str">
        <f>IF(TOTALCO!K1444="", "",TOTALCO!K1444)</f>
        <v/>
      </c>
      <c r="L908" s="12" t="str">
        <f>IF(TOTALCO!L1444="", "",TOTALCO!L1444)</f>
        <v/>
      </c>
      <c r="M908" s="12" t="str">
        <f>IF(TOTALCO!M1444="", "",TOTALCO!M1444)</f>
        <v/>
      </c>
      <c r="N908" s="12" t="str">
        <f>IF(TOTALCO!N1444="", "",TOTALCO!N1444)</f>
        <v/>
      </c>
      <c r="O908" s="12" t="str">
        <f>IF(TOTALCO!O1444="", "",TOTALCO!O1444)</f>
        <v/>
      </c>
      <c r="P908" s="12" t="str">
        <f>IF(TOTALCO!P1444="", "",TOTALCO!P1444)</f>
        <v/>
      </c>
      <c r="Q908" s="12"/>
      <c r="R908" s="13"/>
    </row>
    <row r="909" spans="1:18" ht="15" x14ac:dyDescent="0.2">
      <c r="A909" s="321" t="str">
        <f>IF(TOTALCO!A23="", "",TOTALCO!A23)</f>
        <v/>
      </c>
      <c r="B909" s="4" t="str">
        <f>IF(TOTALCO!B23="", "",TOTALCO!B23)</f>
        <v>ALLOCATION FACTOR TABLE</v>
      </c>
      <c r="C909" s="4" t="str">
        <f>IF(TOTALCO!C23="", "",TOTALCO!C23)</f>
        <v/>
      </c>
      <c r="D909" s="4" t="str">
        <f>IF(TOTALCO!D23="", "",TOTALCO!D23)</f>
        <v/>
      </c>
      <c r="E909" s="4" t="str">
        <f>IF(TOTALCO!E23="", "",TOTALCO!E23)</f>
        <v/>
      </c>
      <c r="F909" s="4" t="str">
        <f>IF(TOTALCO!F23="", "",TOTALCO!F23)</f>
        <v/>
      </c>
      <c r="G909" s="4" t="str">
        <f>IF(TOTALCO!G23="", "",TOTALCO!G23)</f>
        <v/>
      </c>
      <c r="H909" s="4" t="str">
        <f>IF(TOTALCO!H23="", "",TOTALCO!H23)</f>
        <v/>
      </c>
      <c r="I909" s="4" t="str">
        <f>IF(TOTALCO!I23="", "",TOTALCO!I23)</f>
        <v/>
      </c>
      <c r="J909" s="4" t="str">
        <f>IF(TOTALCO!J23="", "",TOTALCO!J23)</f>
        <v/>
      </c>
      <c r="K909" s="4" t="str">
        <f>IF(TOTALCO!K23="", "",TOTALCO!K23)</f>
        <v/>
      </c>
      <c r="L909" s="4" t="str">
        <f>IF(TOTALCO!L23="", "",TOTALCO!L23)</f>
        <v/>
      </c>
      <c r="M909" s="4" t="str">
        <f>IF(TOTALCO!M23="", "",TOTALCO!M23)</f>
        <v/>
      </c>
      <c r="N909" s="4" t="str">
        <f>IF(TOTALCO!N23="", "",TOTALCO!N23)</f>
        <v/>
      </c>
      <c r="O909" s="4" t="str">
        <f>IF(TOTALCO!O23="", "",TOTALCO!O23)</f>
        <v/>
      </c>
      <c r="P909" s="4" t="str">
        <f>IF(TOTALCO!P23="", "",TOTALCO!P23)</f>
        <v/>
      </c>
      <c r="Q909" s="4"/>
      <c r="R909" s="13"/>
    </row>
    <row r="910" spans="1:18" ht="15" x14ac:dyDescent="0.2">
      <c r="A910" s="321" t="str">
        <f>IF(TOTALCO!A24="", "",TOTALCO!A24)</f>
        <v/>
      </c>
      <c r="B910" s="4" t="str">
        <f>IF(TOTALCO!B24="", "",TOTALCO!B24)</f>
        <v/>
      </c>
      <c r="C910" s="4" t="str">
        <f>IF(TOTALCO!C24="", "",TOTALCO!C24)</f>
        <v/>
      </c>
      <c r="D910" s="4" t="str">
        <f>IF(TOTALCO!D24="", "",TOTALCO!D24)</f>
        <v/>
      </c>
      <c r="E910" s="4" t="str">
        <f>IF(TOTALCO!E24="", "",TOTALCO!E24)</f>
        <v/>
      </c>
      <c r="F910" s="4" t="str">
        <f>IF(TOTALCO!F24="", "",TOTALCO!F24)</f>
        <v/>
      </c>
      <c r="G910" s="4" t="str">
        <f>IF(TOTALCO!G24="", "",TOTALCO!G24)</f>
        <v/>
      </c>
      <c r="H910" s="4" t="str">
        <f>IF(TOTALCO!H24="", "",TOTALCO!H24)</f>
        <v/>
      </c>
      <c r="I910" s="4" t="str">
        <f>IF(TOTALCO!I24="", "",TOTALCO!I24)</f>
        <v/>
      </c>
      <c r="J910" s="4" t="str">
        <f>IF(TOTALCO!J24="", "",TOTALCO!J24)</f>
        <v/>
      </c>
      <c r="K910" s="4" t="str">
        <f>IF(TOTALCO!K24="", "",TOTALCO!K24)</f>
        <v/>
      </c>
      <c r="L910" s="4" t="str">
        <f>IF(TOTALCO!L24="", "",TOTALCO!L24)</f>
        <v/>
      </c>
      <c r="M910" s="4" t="str">
        <f>IF(TOTALCO!M24="", "",TOTALCO!M24)</f>
        <v/>
      </c>
      <c r="N910" s="4" t="str">
        <f>IF(TOTALCO!N24="", "",TOTALCO!N24)</f>
        <v/>
      </c>
      <c r="O910" s="4" t="str">
        <f>IF(TOTALCO!O24="", "",TOTALCO!O24)</f>
        <v/>
      </c>
      <c r="P910" s="4" t="str">
        <f>IF(TOTALCO!P24="", "",TOTALCO!P24)</f>
        <v/>
      </c>
      <c r="Q910" s="4"/>
      <c r="R910" s="13"/>
    </row>
    <row r="911" spans="1:18" ht="15" x14ac:dyDescent="0.2">
      <c r="A911" s="321" t="str">
        <f>IF(TOTALCO!A25="", "",TOTALCO!A25)</f>
        <v/>
      </c>
      <c r="B911" s="4" t="str">
        <f>IF(TOTALCO!B25="", "",TOTALCO!B25)</f>
        <v>DEMAND RELATED</v>
      </c>
      <c r="C911" s="4" t="str">
        <f>IF(TOTALCO!C25="", "",TOTALCO!C25)</f>
        <v/>
      </c>
      <c r="D911" s="4" t="str">
        <f>IF(TOTALCO!D25="", "",TOTALCO!D25)</f>
        <v/>
      </c>
      <c r="E911" s="4" t="str">
        <f>IF(TOTALCO!E25="", "",TOTALCO!E25)</f>
        <v/>
      </c>
      <c r="F911" s="4" t="str">
        <f>IF(TOTALCO!F25="", "",TOTALCO!F25)</f>
        <v/>
      </c>
      <c r="G911" s="4" t="str">
        <f>IF(TOTALCO!G25="", "",TOTALCO!G25)</f>
        <v/>
      </c>
      <c r="H911" s="4" t="str">
        <f>IF(TOTALCO!H25="", "",TOTALCO!H25)</f>
        <v/>
      </c>
      <c r="I911" s="4" t="str">
        <f>IF(TOTALCO!I25="", "",TOTALCO!I25)</f>
        <v/>
      </c>
      <c r="J911" s="4" t="str">
        <f>IF(TOTALCO!J25="", "",TOTALCO!J25)</f>
        <v/>
      </c>
      <c r="K911" s="4" t="str">
        <f>IF(TOTALCO!K25="", "",TOTALCO!K25)</f>
        <v/>
      </c>
      <c r="L911" s="4" t="str">
        <f>IF(TOTALCO!L25="", "",TOTALCO!L25)</f>
        <v/>
      </c>
      <c r="M911" s="4" t="str">
        <f>IF(TOTALCO!M25="", "",TOTALCO!M25)</f>
        <v/>
      </c>
      <c r="N911" s="4" t="str">
        <f>IF(TOTALCO!N25="", "",TOTALCO!N25)</f>
        <v/>
      </c>
      <c r="O911" s="4" t="str">
        <f>IF(TOTALCO!O25="", "",TOTALCO!O25)</f>
        <v/>
      </c>
      <c r="P911" s="4" t="str">
        <f>IF(TOTALCO!P25="", "",TOTALCO!P25)</f>
        <v/>
      </c>
      <c r="Q911" s="4"/>
      <c r="R911" s="13"/>
    </row>
    <row r="912" spans="1:18" ht="15" x14ac:dyDescent="0.2">
      <c r="A912" s="321" t="str">
        <f>IF(TOTALCO!A26="", "",TOTALCO!A26)</f>
        <v/>
      </c>
      <c r="B912" s="4" t="str">
        <f>IF(TOTALCO!B26="", "",TOTALCO!B26)</f>
        <v>-</v>
      </c>
      <c r="C912" s="4" t="str">
        <f>IF(TOTALCO!C26="", "",TOTALCO!C26)</f>
        <v/>
      </c>
      <c r="D912" s="4" t="str">
        <f>IF(TOTALCO!D26="", "",TOTALCO!D26)</f>
        <v/>
      </c>
      <c r="E912" s="4" t="str">
        <f>IF(TOTALCO!E26="", "",TOTALCO!E26)</f>
        <v/>
      </c>
      <c r="F912" s="4" t="str">
        <f>IF(TOTALCO!F26="", "",TOTALCO!F26)</f>
        <v/>
      </c>
      <c r="G912" s="4" t="str">
        <f>IF(TOTALCO!G26="", "",TOTALCO!G26)</f>
        <v/>
      </c>
      <c r="H912" s="4" t="str">
        <f>IF(TOTALCO!H26="", "",TOTALCO!H26)</f>
        <v/>
      </c>
      <c r="I912" s="4" t="str">
        <f>IF(TOTALCO!I26="", "",TOTALCO!I26)</f>
        <v/>
      </c>
      <c r="J912" s="4" t="str">
        <f>IF(TOTALCO!J26="", "",TOTALCO!J26)</f>
        <v/>
      </c>
      <c r="K912" s="4" t="str">
        <f>IF(TOTALCO!K26="", "",TOTALCO!K26)</f>
        <v/>
      </c>
      <c r="L912" s="4" t="str">
        <f>IF(TOTALCO!L26="", "",TOTALCO!L26)</f>
        <v/>
      </c>
      <c r="M912" s="4" t="str">
        <f>IF(TOTALCO!M26="", "",TOTALCO!M26)</f>
        <v/>
      </c>
      <c r="N912" s="4" t="str">
        <f>IF(TOTALCO!N26="", "",TOTALCO!N26)</f>
        <v/>
      </c>
      <c r="O912" s="4" t="str">
        <f>IF(TOTALCO!O26="", "",TOTALCO!O26)</f>
        <v/>
      </c>
      <c r="P912" s="4" t="str">
        <f>IF(TOTALCO!P26="", "",TOTALCO!P26)</f>
        <v/>
      </c>
      <c r="Q912" s="4"/>
      <c r="R912" s="13"/>
    </row>
    <row r="913" spans="1:18" ht="15" x14ac:dyDescent="0.2">
      <c r="A913" s="321" t="str">
        <f>IF(TOTALCO!A27="", "",TOTALCO!A27)</f>
        <v/>
      </c>
      <c r="B913" s="4" t="str">
        <f>IF(TOTALCO!B27="", "",TOTALCO!B27)</f>
        <v>PRODUCTION ALLOCATORS</v>
      </c>
      <c r="C913" s="4" t="str">
        <f>IF(TOTALCO!C27="", "",TOTALCO!C27)</f>
        <v/>
      </c>
      <c r="D913" s="4" t="str">
        <f>IF(TOTALCO!D27="", "",TOTALCO!D27)</f>
        <v/>
      </c>
      <c r="E913" s="4" t="str">
        <f>IF(TOTALCO!E27="", "",TOTALCO!E27)</f>
        <v/>
      </c>
      <c r="F913" s="4" t="str">
        <f>IF(TOTALCO!F27="", "",TOTALCO!F27)</f>
        <v/>
      </c>
      <c r="G913" s="4" t="str">
        <f>IF(TOTALCO!G27="", "",TOTALCO!G27)</f>
        <v/>
      </c>
      <c r="H913" s="4" t="str">
        <f>IF(TOTALCO!H27="", "",TOTALCO!H27)</f>
        <v/>
      </c>
      <c r="I913" s="4" t="str">
        <f>IF(TOTALCO!I27="", "",TOTALCO!I27)</f>
        <v/>
      </c>
      <c r="J913" s="4" t="str">
        <f>IF(TOTALCO!J27="", "",TOTALCO!J27)</f>
        <v/>
      </c>
      <c r="K913" s="4" t="str">
        <f>IF(TOTALCO!K27="", "",TOTALCO!K27)</f>
        <v/>
      </c>
      <c r="L913" s="4" t="str">
        <f>IF(TOTALCO!L27="", "",TOTALCO!L27)</f>
        <v/>
      </c>
      <c r="M913" s="4" t="str">
        <f>IF(TOTALCO!M27="", "",TOTALCO!M27)</f>
        <v/>
      </c>
      <c r="N913" s="4" t="str">
        <f>IF(TOTALCO!N27="", "",TOTALCO!N27)</f>
        <v/>
      </c>
      <c r="O913" s="4" t="str">
        <f>IF(TOTALCO!O27="", "",TOTALCO!O27)</f>
        <v/>
      </c>
      <c r="P913" s="4" t="str">
        <f>IF(TOTALCO!P27="", "",TOTALCO!P27)</f>
        <v/>
      </c>
      <c r="Q913" s="4"/>
      <c r="R913" s="13"/>
    </row>
    <row r="914" spans="1:18" ht="15" x14ac:dyDescent="0.2">
      <c r="A914" s="321">
        <f>IF(TOTALCO!A28="", "",TOTALCO!A28)</f>
        <v>1</v>
      </c>
      <c r="B914" s="4" t="str">
        <f>IF(TOTALCO!B28="", "",TOTALCO!B28)</f>
        <v>DEMAND (12 CP GEN LEV)-PROD</v>
      </c>
      <c r="C914" s="4" t="str">
        <f>IF(TOTALCO!C28="", "",TOTALCO!C28)</f>
        <v>DEMPROD</v>
      </c>
      <c r="D914" s="12">
        <f>IF(TOTALCO!D28="", "",TOTALCO!D28)</f>
        <v>3323391</v>
      </c>
      <c r="E914" s="12" t="str">
        <f>IF(TOTALCO!E28="", "",TOTALCO!E28)</f>
        <v/>
      </c>
      <c r="F914" s="12">
        <f>IF(TOTALCO!F28="", "",TOTALCO!F28)</f>
        <v>3115400</v>
      </c>
      <c r="G914" s="12" t="str">
        <f>IF(TOTALCO!G28="", "",TOTALCO!G28)</f>
        <v/>
      </c>
      <c r="H914" s="12">
        <f>IF(TOTALCO!H28="", "",TOTALCO!H28)</f>
        <v>142658</v>
      </c>
      <c r="I914" s="12">
        <f>IF(TOTALCO!I28="", "",TOTALCO!I28)</f>
        <v>65333</v>
      </c>
      <c r="J914" s="12" t="str">
        <f>IF(TOTALCO!J28="", "",TOTALCO!J28)</f>
        <v/>
      </c>
      <c r="K914" s="12" t="str">
        <f>IF(TOTALCO!K28="", "",TOTALCO!K28)</f>
        <v/>
      </c>
      <c r="L914" s="12">
        <f>IF(TOTALCO!L28="", "",TOTALCO!L28)</f>
        <v>10</v>
      </c>
      <c r="M914" s="12" t="str">
        <f>IF(TOTALCO!M28="", "",TOTALCO!M28)</f>
        <v/>
      </c>
      <c r="N914" s="12">
        <f>IF(TOTALCO!N28="", "",TOTALCO!N28)</f>
        <v>65323</v>
      </c>
      <c r="O914" s="12">
        <f>IF(TOTALCO!O28="", "",TOTALCO!O28)</f>
        <v>33130</v>
      </c>
      <c r="P914" s="12">
        <f>IF(TOTALCO!P28="", "",TOTALCO!P28)</f>
        <v>32193</v>
      </c>
      <c r="Q914" s="12"/>
      <c r="R914" s="13"/>
    </row>
    <row r="915" spans="1:18" ht="15" x14ac:dyDescent="0.2">
      <c r="A915" s="321">
        <f>IF(TOTALCO!A29="", "",TOTALCO!A29)</f>
        <v>2</v>
      </c>
      <c r="B915" s="4" t="str">
        <f>IF(TOTALCO!B29="", "",TOTALCO!B29)</f>
        <v>DEMAND (12 CP GEN LEV)-FERC</v>
      </c>
      <c r="C915" s="4" t="str">
        <f>IF(TOTALCO!C29="", "",TOTALCO!C29)</f>
        <v>DEMFERC</v>
      </c>
      <c r="D915" s="12">
        <f>IF(TOTALCO!D29="", "",TOTALCO!D29)</f>
        <v>438000</v>
      </c>
      <c r="E915" s="12" t="str">
        <f>IF(TOTALCO!E29="", "",TOTALCO!E29)</f>
        <v/>
      </c>
      <c r="F915" s="12">
        <f>IF(TOTALCO!F29="", "",TOTALCO!F29)</f>
        <v>230019</v>
      </c>
      <c r="G915" s="12" t="str">
        <f>IF(TOTALCO!G29="", "",TOTALCO!G29)</f>
        <v/>
      </c>
      <c r="H915" s="12">
        <f>IF(TOTALCO!H29="", "",TOTALCO!H29)</f>
        <v>142658</v>
      </c>
      <c r="I915" s="12">
        <f>IF(TOTALCO!I29="", "",TOTALCO!I29)</f>
        <v>65323</v>
      </c>
      <c r="J915" s="12" t="str">
        <f>IF(TOTALCO!J29="", "",TOTALCO!J29)</f>
        <v/>
      </c>
      <c r="K915" s="12" t="str">
        <f>IF(TOTALCO!K29="", "",TOTALCO!K29)</f>
        <v/>
      </c>
      <c r="L915" s="12">
        <f>IF(TOTALCO!L29="", "",TOTALCO!L29)</f>
        <v>0</v>
      </c>
      <c r="M915" s="12" t="str">
        <f>IF(TOTALCO!M29="", "",TOTALCO!M29)</f>
        <v/>
      </c>
      <c r="N915" s="12">
        <f>IF(TOTALCO!N29="", "",TOTALCO!N29)</f>
        <v>65323</v>
      </c>
      <c r="O915" s="12">
        <f>IF(TOTALCO!O29="", "",TOTALCO!O29)</f>
        <v>33130</v>
      </c>
      <c r="P915" s="12">
        <f>IF(TOTALCO!P29="", "",TOTALCO!P29)</f>
        <v>32193</v>
      </c>
      <c r="Q915" s="12"/>
      <c r="R915" s="13"/>
    </row>
    <row r="916" spans="1:18" ht="15" x14ac:dyDescent="0.2">
      <c r="A916" s="321">
        <f>IF(TOTALCO!A30="", "",TOTALCO!A30)</f>
        <v>3</v>
      </c>
      <c r="B916" s="4" t="str">
        <f>IF(TOTALCO!B30="", "",TOTALCO!B30)</f>
        <v>DEMAND (12 CP GEN)-PROD VA</v>
      </c>
      <c r="C916" s="4" t="str">
        <f>IF(TOTALCO!C30="", "",TOTALCO!C30)</f>
        <v>DPRODVA</v>
      </c>
      <c r="D916" s="12">
        <f>IF(TOTALCO!D30="", "",TOTALCO!D30)</f>
        <v>142658</v>
      </c>
      <c r="E916" s="12" t="str">
        <f>IF(TOTALCO!E30="", "",TOTALCO!E30)</f>
        <v/>
      </c>
      <c r="F916" s="12">
        <f>IF(TOTALCO!F30="", "",TOTALCO!F30)</f>
        <v>0</v>
      </c>
      <c r="G916" s="12" t="str">
        <f>IF(TOTALCO!G30="", "",TOTALCO!G30)</f>
        <v/>
      </c>
      <c r="H916" s="12">
        <f>IF(TOTALCO!H30="", "",TOTALCO!H30)</f>
        <v>142658</v>
      </c>
      <c r="I916" s="12">
        <f>IF(TOTALCO!I30="", "",TOTALCO!I30)</f>
        <v>0</v>
      </c>
      <c r="J916" s="12" t="str">
        <f>IF(TOTALCO!J30="", "",TOTALCO!J30)</f>
        <v/>
      </c>
      <c r="K916" s="12" t="str">
        <f>IF(TOTALCO!K30="", "",TOTALCO!K30)</f>
        <v/>
      </c>
      <c r="L916" s="12">
        <f>IF(TOTALCO!L30="", "",TOTALCO!L30)</f>
        <v>0</v>
      </c>
      <c r="M916" s="12" t="str">
        <f>IF(TOTALCO!M30="", "",TOTALCO!M30)</f>
        <v/>
      </c>
      <c r="N916" s="12">
        <f>IF(TOTALCO!N30="", "",TOTALCO!N30)</f>
        <v>0</v>
      </c>
      <c r="O916" s="12">
        <f>IF(TOTALCO!O30="", "",TOTALCO!O30)</f>
        <v>0</v>
      </c>
      <c r="P916" s="12">
        <f>IF(TOTALCO!P30="", "",TOTALCO!P30)</f>
        <v>0</v>
      </c>
      <c r="Q916" s="12"/>
      <c r="R916" s="13"/>
    </row>
    <row r="917" spans="1:18" ht="15" x14ac:dyDescent="0.2">
      <c r="A917" s="321">
        <f>IF(TOTALCO!A31="", "",TOTALCO!A31)</f>
        <v>4</v>
      </c>
      <c r="B917" s="4" t="str">
        <f>IF(TOTALCO!B31="", "",TOTALCO!B31)</f>
        <v>DEMAND (12 CP GEN)-PROD KY</v>
      </c>
      <c r="C917" s="4" t="str">
        <f>IF(TOTALCO!C31="", "",TOTALCO!C31)</f>
        <v>DPRODKY</v>
      </c>
      <c r="D917" s="12">
        <f>IF(TOTALCO!D31="", "",TOTALCO!D31)</f>
        <v>3180723</v>
      </c>
      <c r="E917" s="12" t="str">
        <f>IF(TOTALCO!E31="", "",TOTALCO!E31)</f>
        <v/>
      </c>
      <c r="F917" s="12">
        <f>IF(TOTALCO!F31="", "",TOTALCO!F31)</f>
        <v>3115400</v>
      </c>
      <c r="G917" s="12" t="str">
        <f>IF(TOTALCO!G31="", "",TOTALCO!G31)</f>
        <v/>
      </c>
      <c r="H917" s="12">
        <f>IF(TOTALCO!H31="", "",TOTALCO!H31)</f>
        <v>0</v>
      </c>
      <c r="I917" s="12">
        <f>IF(TOTALCO!I31="", "",TOTALCO!I31)</f>
        <v>65323</v>
      </c>
      <c r="J917" s="12" t="str">
        <f>IF(TOTALCO!J31="", "",TOTALCO!J31)</f>
        <v/>
      </c>
      <c r="K917" s="12" t="str">
        <f>IF(TOTALCO!K31="", "",TOTALCO!K31)</f>
        <v/>
      </c>
      <c r="L917" s="12">
        <f>IF(TOTALCO!L31="", "",TOTALCO!L31)</f>
        <v>0</v>
      </c>
      <c r="M917" s="12" t="str">
        <f>IF(TOTALCO!M31="", "",TOTALCO!M31)</f>
        <v/>
      </c>
      <c r="N917" s="12">
        <f>IF(TOTALCO!N31="", "",TOTALCO!N31)</f>
        <v>65323</v>
      </c>
      <c r="O917" s="12">
        <f>IF(TOTALCO!O31="", "",TOTALCO!O31)</f>
        <v>33130</v>
      </c>
      <c r="P917" s="12">
        <f>IF(TOTALCO!P31="", "",TOTALCO!P31)</f>
        <v>32193</v>
      </c>
      <c r="Q917" s="12"/>
      <c r="R917" s="13"/>
    </row>
    <row r="918" spans="1:18" ht="15" x14ac:dyDescent="0.2">
      <c r="A918" s="321">
        <f>IF(TOTALCO!A32="", "",TOTALCO!A32)</f>
        <v>5</v>
      </c>
      <c r="B918" s="4" t="str">
        <f>IF(TOTALCO!B32="", "",TOTALCO!B32)</f>
        <v>DEM (12 CP GEN LV)-FERC POST</v>
      </c>
      <c r="C918" s="4" t="str">
        <f>IF(TOTALCO!C32="", "",TOTALCO!C32)</f>
        <v>DEMFERCP</v>
      </c>
      <c r="D918" s="12">
        <f>IF(TOTALCO!D32="", "",TOTALCO!D32)</f>
        <v>295342</v>
      </c>
      <c r="E918" s="12" t="str">
        <f>IF(TOTALCO!E32="", "",TOTALCO!E32)</f>
        <v/>
      </c>
      <c r="F918" s="12">
        <f>IF(TOTALCO!F32="", "",TOTALCO!F32)</f>
        <v>230019</v>
      </c>
      <c r="G918" s="12" t="str">
        <f>IF(TOTALCO!G32="", "",TOTALCO!G32)</f>
        <v/>
      </c>
      <c r="H918" s="12">
        <f>IF(TOTALCO!H32="", "",TOTALCO!H32)</f>
        <v>0</v>
      </c>
      <c r="I918" s="12">
        <f>IF(TOTALCO!I32="", "",TOTALCO!I32)</f>
        <v>65323</v>
      </c>
      <c r="J918" s="12" t="str">
        <f>IF(TOTALCO!J32="", "",TOTALCO!J32)</f>
        <v/>
      </c>
      <c r="K918" s="12" t="str">
        <f>IF(TOTALCO!K32="", "",TOTALCO!K32)</f>
        <v/>
      </c>
      <c r="L918" s="12">
        <f>IF(TOTALCO!L32="", "",TOTALCO!L32)</f>
        <v>0</v>
      </c>
      <c r="M918" s="12" t="str">
        <f>IF(TOTALCO!M32="", "",TOTALCO!M32)</f>
        <v/>
      </c>
      <c r="N918" s="12">
        <f>IF(TOTALCO!N32="", "",TOTALCO!N32)</f>
        <v>65323</v>
      </c>
      <c r="O918" s="12">
        <f>IF(TOTALCO!O32="", "",TOTALCO!O32)</f>
        <v>33130</v>
      </c>
      <c r="P918" s="12">
        <f>IF(TOTALCO!P32="", "",TOTALCO!P32)</f>
        <v>32193</v>
      </c>
      <c r="Q918" s="12"/>
      <c r="R918" s="13"/>
    </row>
    <row r="919" spans="1:18" ht="15" x14ac:dyDescent="0.2">
      <c r="A919" s="321">
        <f>IF(TOTALCO!A33="", "",TOTALCO!A33)</f>
        <v>6</v>
      </c>
      <c r="B919" s="4" t="str">
        <f>IF(TOTALCO!B33="", "",TOTALCO!B33)</f>
        <v>DEM (12 CP GEN LV)-NON VA</v>
      </c>
      <c r="C919" s="4" t="str">
        <f>IF(TOTALCO!C33="", "",TOTALCO!C33)</f>
        <v>DEMPRODNV</v>
      </c>
      <c r="D919" s="12">
        <f>IF(TOTALCO!D33="", "",TOTALCO!D33)</f>
        <v>3180733</v>
      </c>
      <c r="E919" s="12" t="str">
        <f>IF(TOTALCO!E33="", "",TOTALCO!E33)</f>
        <v/>
      </c>
      <c r="F919" s="12">
        <f>IF(TOTALCO!F33="", "",TOTALCO!F33)</f>
        <v>3115400</v>
      </c>
      <c r="G919" s="12" t="str">
        <f>IF(TOTALCO!G33="", "",TOTALCO!G33)</f>
        <v/>
      </c>
      <c r="H919" s="12">
        <f>IF(TOTALCO!H33="", "",TOTALCO!H33)</f>
        <v>0</v>
      </c>
      <c r="I919" s="12">
        <f>IF(TOTALCO!I33="", "",TOTALCO!I33)</f>
        <v>65333</v>
      </c>
      <c r="J919" s="12" t="str">
        <f>IF(TOTALCO!J33="", "",TOTALCO!J33)</f>
        <v/>
      </c>
      <c r="K919" s="12" t="str">
        <f>IF(TOTALCO!K33="", "",TOTALCO!K33)</f>
        <v/>
      </c>
      <c r="L919" s="12">
        <f>IF(TOTALCO!L33="", "",TOTALCO!L33)</f>
        <v>10</v>
      </c>
      <c r="M919" s="12" t="str">
        <f>IF(TOTALCO!M33="", "",TOTALCO!M33)</f>
        <v/>
      </c>
      <c r="N919" s="12">
        <f>IF(TOTALCO!N33="", "",TOTALCO!N33)</f>
        <v>65323</v>
      </c>
      <c r="O919" s="12">
        <f>IF(TOTALCO!O33="", "",TOTALCO!O33)</f>
        <v>33130</v>
      </c>
      <c r="P919" s="12">
        <f>IF(TOTALCO!P33="", "",TOTALCO!P33)</f>
        <v>32193</v>
      </c>
      <c r="Q919" s="12"/>
      <c r="R919" s="13"/>
    </row>
    <row r="920" spans="1:18" ht="15" x14ac:dyDescent="0.2">
      <c r="A920" s="321" t="str">
        <f>IF(TOTALCO!A34="", "",TOTALCO!A34)</f>
        <v/>
      </c>
      <c r="B920" s="4" t="str">
        <f>IF(TOTALCO!B34="", "",TOTALCO!B34)</f>
        <v>TRANSMISSION ALLOCATORS</v>
      </c>
      <c r="C920" s="4" t="str">
        <f>IF(TOTALCO!C34="", "",TOTALCO!C34)</f>
        <v/>
      </c>
      <c r="D920" s="12" t="str">
        <f>IF(TOTALCO!D34="", "",TOTALCO!D34)</f>
        <v/>
      </c>
      <c r="E920" s="12" t="str">
        <f>IF(TOTALCO!E34="", "",TOTALCO!E34)</f>
        <v/>
      </c>
      <c r="F920" s="12" t="str">
        <f>IF(TOTALCO!F34="", "",TOTALCO!F34)</f>
        <v/>
      </c>
      <c r="G920" s="12" t="str">
        <f>IF(TOTALCO!G34="", "",TOTALCO!G34)</f>
        <v/>
      </c>
      <c r="H920" s="12" t="str">
        <f>IF(TOTALCO!H34="", "",TOTALCO!H34)</f>
        <v/>
      </c>
      <c r="I920" s="12" t="str">
        <f>IF(TOTALCO!I34="", "",TOTALCO!I34)</f>
        <v/>
      </c>
      <c r="J920" s="12" t="str">
        <f>IF(TOTALCO!J34="", "",TOTALCO!J34)</f>
        <v/>
      </c>
      <c r="K920" s="12" t="str">
        <f>IF(TOTALCO!K34="", "",TOTALCO!K34)</f>
        <v/>
      </c>
      <c r="L920" s="12" t="str">
        <f>IF(TOTALCO!L34="", "",TOTALCO!L34)</f>
        <v/>
      </c>
      <c r="M920" s="12" t="str">
        <f>IF(TOTALCO!M34="", "",TOTALCO!M34)</f>
        <v/>
      </c>
      <c r="N920" s="12" t="str">
        <f>IF(TOTALCO!N34="", "",TOTALCO!N34)</f>
        <v/>
      </c>
      <c r="O920" s="12" t="str">
        <f>IF(TOTALCO!O34="", "",TOTALCO!O34)</f>
        <v/>
      </c>
      <c r="P920" s="12" t="str">
        <f>IF(TOTALCO!P34="", "",TOTALCO!P34)</f>
        <v/>
      </c>
      <c r="Q920" s="12"/>
      <c r="R920" s="13"/>
    </row>
    <row r="921" spans="1:18" ht="15" x14ac:dyDescent="0.2">
      <c r="A921" s="321">
        <f>IF(TOTALCO!A35="", "",TOTALCO!A35)</f>
        <v>7</v>
      </c>
      <c r="B921" s="4" t="str">
        <f>IF(TOTALCO!B35="", "",TOTALCO!B35)</f>
        <v>DEMAND (12 CP GEN LEV)-TRAN</v>
      </c>
      <c r="C921" s="4" t="str">
        <f>IF(TOTALCO!C35="", "",TOTALCO!C35)</f>
        <v>DEMTRAN</v>
      </c>
      <c r="D921" s="12">
        <f>IF(TOTALCO!D35="", "",TOTALCO!D35)</f>
        <v>3323391</v>
      </c>
      <c r="E921" s="12" t="str">
        <f>IF(TOTALCO!E35="", "",TOTALCO!E35)</f>
        <v/>
      </c>
      <c r="F921" s="12">
        <f>IF(TOTALCO!F35="", "",TOTALCO!F35)</f>
        <v>3115400</v>
      </c>
      <c r="G921" s="12" t="str">
        <f>IF(TOTALCO!G35="", "",TOTALCO!G35)</f>
        <v/>
      </c>
      <c r="H921" s="12">
        <f>IF(TOTALCO!H35="", "",TOTALCO!H35)</f>
        <v>142658</v>
      </c>
      <c r="I921" s="12">
        <f>IF(TOTALCO!I35="", "",TOTALCO!I35)</f>
        <v>65333</v>
      </c>
      <c r="J921" s="12" t="str">
        <f>IF(TOTALCO!J35="", "",TOTALCO!J35)</f>
        <v/>
      </c>
      <c r="K921" s="12" t="str">
        <f>IF(TOTALCO!K35="", "",TOTALCO!K35)</f>
        <v/>
      </c>
      <c r="L921" s="12">
        <f>IF(TOTALCO!L35="", "",TOTALCO!L35)</f>
        <v>10</v>
      </c>
      <c r="M921" s="12" t="str">
        <f>IF(TOTALCO!M35="", "",TOTALCO!M35)</f>
        <v/>
      </c>
      <c r="N921" s="12">
        <f>IF(TOTALCO!N35="", "",TOTALCO!N35)</f>
        <v>65323</v>
      </c>
      <c r="O921" s="12">
        <f>IF(TOTALCO!O35="", "",TOTALCO!O35)</f>
        <v>33130</v>
      </c>
      <c r="P921" s="12">
        <f>IF(TOTALCO!P35="", "",TOTALCO!P35)</f>
        <v>32193</v>
      </c>
      <c r="Q921" s="12"/>
      <c r="R921" s="13"/>
    </row>
    <row r="922" spans="1:18" ht="15" x14ac:dyDescent="0.2">
      <c r="A922" s="321">
        <f>IF(TOTALCO!A36="", "",TOTALCO!A36)</f>
        <v>8</v>
      </c>
      <c r="B922" s="4" t="str">
        <f>IF(TOTALCO!B36="", "",TOTALCO!B36)</f>
        <v>DEMAND (12 CP GEN LEV)-VA</v>
      </c>
      <c r="C922" s="4" t="str">
        <f>IF(TOTALCO!C36="", "",TOTALCO!C36)</f>
        <v>DEMVA</v>
      </c>
      <c r="D922" s="12">
        <f>IF(TOTALCO!D36="", "",TOTALCO!D36)</f>
        <v>142658</v>
      </c>
      <c r="E922" s="12" t="str">
        <f>IF(TOTALCO!E36="", "",TOTALCO!E36)</f>
        <v/>
      </c>
      <c r="F922" s="12">
        <f>IF(TOTALCO!F36="", "",TOTALCO!F36)</f>
        <v>0</v>
      </c>
      <c r="G922" s="12" t="str">
        <f>IF(TOTALCO!G36="", "",TOTALCO!G36)</f>
        <v/>
      </c>
      <c r="H922" s="12">
        <f>IF(TOTALCO!H36="", "",TOTALCO!H36)</f>
        <v>142658</v>
      </c>
      <c r="I922" s="12">
        <f>IF(TOTALCO!I36="", "",TOTALCO!I36)</f>
        <v>0</v>
      </c>
      <c r="J922" s="12" t="str">
        <f>IF(TOTALCO!J36="", "",TOTALCO!J36)</f>
        <v/>
      </c>
      <c r="K922" s="12" t="str">
        <f>IF(TOTALCO!K36="", "",TOTALCO!K36)</f>
        <v/>
      </c>
      <c r="L922" s="12">
        <f>IF(TOTALCO!L36="", "",TOTALCO!L36)</f>
        <v>0</v>
      </c>
      <c r="M922" s="12" t="str">
        <f>IF(TOTALCO!M36="", "",TOTALCO!M36)</f>
        <v/>
      </c>
      <c r="N922" s="12">
        <f>IF(TOTALCO!N36="", "",TOTALCO!N36)</f>
        <v>0</v>
      </c>
      <c r="O922" s="12">
        <f>IF(TOTALCO!O36="", "",TOTALCO!O36)</f>
        <v>0</v>
      </c>
      <c r="P922" s="12">
        <f>IF(TOTALCO!P36="", "",TOTALCO!P36)</f>
        <v>0</v>
      </c>
      <c r="Q922" s="12"/>
      <c r="R922" s="13"/>
    </row>
    <row r="923" spans="1:18" ht="15" x14ac:dyDescent="0.2">
      <c r="A923" s="321">
        <f>IF(TOTALCO!A37="", "",TOTALCO!A37)</f>
        <v>9</v>
      </c>
      <c r="B923" s="4" t="str">
        <f>IF(TOTALCO!B37="", "",TOTALCO!B37)</f>
        <v>DEM (12 CP GEN LEV)-NON FERC</v>
      </c>
      <c r="C923" s="4" t="str">
        <f>IF(TOTALCO!C37="", "",TOTALCO!C37)</f>
        <v>DEMTRANNF</v>
      </c>
      <c r="D923" s="12">
        <f>IF(TOTALCO!D37="", "",TOTALCO!D37)</f>
        <v>3258068</v>
      </c>
      <c r="E923" s="12" t="str">
        <f>IF(TOTALCO!E37="", "",TOTALCO!E37)</f>
        <v/>
      </c>
      <c r="F923" s="12">
        <f>IF(TOTALCO!F37="", "",TOTALCO!F37)</f>
        <v>3115400</v>
      </c>
      <c r="G923" s="12" t="str">
        <f>IF(TOTALCO!G37="", "",TOTALCO!G37)</f>
        <v/>
      </c>
      <c r="H923" s="12">
        <f>IF(TOTALCO!H37="", "",TOTALCO!H37)</f>
        <v>142658</v>
      </c>
      <c r="I923" s="12">
        <f>IF(TOTALCO!I37="", "",TOTALCO!I37)</f>
        <v>10</v>
      </c>
      <c r="J923" s="12" t="str">
        <f>IF(TOTALCO!J37="", "",TOTALCO!J37)</f>
        <v/>
      </c>
      <c r="K923" s="12" t="str">
        <f>IF(TOTALCO!K37="", "",TOTALCO!K37)</f>
        <v/>
      </c>
      <c r="L923" s="12">
        <f>IF(TOTALCO!L37="", "",TOTALCO!L37)</f>
        <v>10</v>
      </c>
      <c r="M923" s="12" t="str">
        <f>IF(TOTALCO!M37="", "",TOTALCO!M37)</f>
        <v/>
      </c>
      <c r="N923" s="12">
        <f>IF(TOTALCO!N37="", "",TOTALCO!N37)</f>
        <v>0</v>
      </c>
      <c r="O923" s="12">
        <f>IF(TOTALCO!O37="", "",TOTALCO!O37)</f>
        <v>0</v>
      </c>
      <c r="P923" s="12">
        <f>IF(TOTALCO!P37="", "",TOTALCO!P37)</f>
        <v>0</v>
      </c>
      <c r="Q923" s="12"/>
      <c r="R923" s="13"/>
    </row>
    <row r="924" spans="1:18" ht="15" x14ac:dyDescent="0.2">
      <c r="A924" s="321">
        <f>IF(TOTALCO!A38="", "",TOTALCO!A38)</f>
        <v>10</v>
      </c>
      <c r="B924" s="4" t="str">
        <f>IF(TOTALCO!B38="", "",TOTALCO!B38)</f>
        <v>DEM (12 CP GN LEV)-TRAN FERC</v>
      </c>
      <c r="C924" s="4" t="str">
        <f>IF(TOTALCO!C38="", "",TOTALCO!C38)</f>
        <v>DEMFERCT</v>
      </c>
      <c r="D924" s="12">
        <f>IF(TOTALCO!D38="", "",TOTALCO!D38)</f>
        <v>207981</v>
      </c>
      <c r="E924" s="12" t="str">
        <f>IF(TOTALCO!E38="", "",TOTALCO!E38)</f>
        <v/>
      </c>
      <c r="F924" s="12">
        <f>IF(TOTALCO!F38="", "",TOTALCO!F38)</f>
        <v>0</v>
      </c>
      <c r="G924" s="12" t="str">
        <f>IF(TOTALCO!G38="", "",TOTALCO!G38)</f>
        <v/>
      </c>
      <c r="H924" s="12">
        <f>IF(TOTALCO!H38="", "",TOTALCO!H38)</f>
        <v>142658</v>
      </c>
      <c r="I924" s="12">
        <f>IF(TOTALCO!I38="", "",TOTALCO!I38)</f>
        <v>65323</v>
      </c>
      <c r="J924" s="12" t="str">
        <f>IF(TOTALCO!J38="", "",TOTALCO!J38)</f>
        <v/>
      </c>
      <c r="K924" s="12" t="str">
        <f>IF(TOTALCO!K38="", "",TOTALCO!K38)</f>
        <v/>
      </c>
      <c r="L924" s="12">
        <f>IF(TOTALCO!L38="", "",TOTALCO!L38)</f>
        <v>0</v>
      </c>
      <c r="M924" s="12" t="str">
        <f>IF(TOTALCO!M38="", "",TOTALCO!M38)</f>
        <v/>
      </c>
      <c r="N924" s="12">
        <f>IF(TOTALCO!N38="", "",TOTALCO!N38)</f>
        <v>65323</v>
      </c>
      <c r="O924" s="12">
        <f>IF(TOTALCO!O38="", "",TOTALCO!O38)</f>
        <v>33130</v>
      </c>
      <c r="P924" s="12">
        <f>IF(TOTALCO!P38="", "",TOTALCO!P38)</f>
        <v>32193</v>
      </c>
      <c r="Q924" s="12"/>
      <c r="R924" s="13"/>
    </row>
    <row r="925" spans="1:18" ht="15" x14ac:dyDescent="0.2">
      <c r="A925" s="321">
        <f>IF(TOTALCO!A39="", "",TOTALCO!A39)</f>
        <v>11</v>
      </c>
      <c r="B925" s="4" t="str">
        <f>IF(TOTALCO!B39="", "",TOTALCO!B39)</f>
        <v>DEM (12 CP GEN LEV)-NON VA&amp;FERC</v>
      </c>
      <c r="C925" s="4" t="str">
        <f>IF(TOTALCO!C39="", "",TOTALCO!C39)</f>
        <v>DEMTRANNVF</v>
      </c>
      <c r="D925" s="12">
        <f>IF(TOTALCO!D39="", "",TOTALCO!D39)</f>
        <v>3115410</v>
      </c>
      <c r="E925" s="12" t="str">
        <f>IF(TOTALCO!E39="", "",TOTALCO!E39)</f>
        <v/>
      </c>
      <c r="F925" s="12">
        <f>IF(TOTALCO!F39="", "",TOTALCO!F39)</f>
        <v>3115400</v>
      </c>
      <c r="G925" s="12" t="str">
        <f>IF(TOTALCO!G39="", "",TOTALCO!G39)</f>
        <v/>
      </c>
      <c r="H925" s="12">
        <f>IF(TOTALCO!H39="", "",TOTALCO!H39)</f>
        <v>0</v>
      </c>
      <c r="I925" s="12">
        <f>IF(TOTALCO!I39="", "",TOTALCO!I39)</f>
        <v>10</v>
      </c>
      <c r="J925" s="12" t="str">
        <f>IF(TOTALCO!J39="", "",TOTALCO!J39)</f>
        <v/>
      </c>
      <c r="K925" s="12" t="str">
        <f>IF(TOTALCO!K39="", "",TOTALCO!K39)</f>
        <v/>
      </c>
      <c r="L925" s="12">
        <f>IF(TOTALCO!L39="", "",TOTALCO!L39)</f>
        <v>10</v>
      </c>
      <c r="M925" s="12" t="str">
        <f>IF(TOTALCO!M39="", "",TOTALCO!M39)</f>
        <v/>
      </c>
      <c r="N925" s="12">
        <f>IF(TOTALCO!N39="", "",TOTALCO!N39)</f>
        <v>0</v>
      </c>
      <c r="O925" s="12">
        <f>IF(TOTALCO!O39="", "",TOTALCO!O39)</f>
        <v>0</v>
      </c>
      <c r="P925" s="12">
        <f>IF(TOTALCO!P39="", "",TOTALCO!P39)</f>
        <v>0</v>
      </c>
      <c r="Q925" s="12"/>
      <c r="R925" s="13"/>
    </row>
    <row r="926" spans="1:18" ht="15" x14ac:dyDescent="0.2">
      <c r="A926" s="321" t="str">
        <f>IF(TOTALCO!A40="", "",TOTALCO!A40)</f>
        <v/>
      </c>
      <c r="B926" s="4" t="str">
        <f>IF(TOTALCO!B40="", "",TOTALCO!B40)</f>
        <v/>
      </c>
      <c r="C926" s="4" t="str">
        <f>IF(TOTALCO!C40="", "",TOTALCO!C40)</f>
        <v/>
      </c>
      <c r="D926" s="12" t="str">
        <f>IF(TOTALCO!D40="", "",TOTALCO!D40)</f>
        <v/>
      </c>
      <c r="E926" s="12" t="str">
        <f>IF(TOTALCO!E40="", "",TOTALCO!E40)</f>
        <v/>
      </c>
      <c r="F926" s="12" t="str">
        <f>IF(TOTALCO!F40="", "",TOTALCO!F40)</f>
        <v/>
      </c>
      <c r="G926" s="12" t="str">
        <f>IF(TOTALCO!G40="", "",TOTALCO!G40)</f>
        <v/>
      </c>
      <c r="H926" s="12" t="str">
        <f>IF(TOTALCO!H40="", "",TOTALCO!H40)</f>
        <v/>
      </c>
      <c r="I926" s="12" t="str">
        <f>IF(TOTALCO!I40="", "",TOTALCO!I40)</f>
        <v/>
      </c>
      <c r="J926" s="12" t="str">
        <f>IF(TOTALCO!J40="", "",TOTALCO!J40)</f>
        <v/>
      </c>
      <c r="K926" s="12" t="str">
        <f>IF(TOTALCO!K40="", "",TOTALCO!K40)</f>
        <v/>
      </c>
      <c r="L926" s="12" t="str">
        <f>IF(TOTALCO!L40="", "",TOTALCO!L40)</f>
        <v/>
      </c>
      <c r="M926" s="12" t="str">
        <f>IF(TOTALCO!M40="", "",TOTALCO!M40)</f>
        <v/>
      </c>
      <c r="N926" s="12" t="str">
        <f>IF(TOTALCO!N40="", "",TOTALCO!N40)</f>
        <v/>
      </c>
      <c r="O926" s="12" t="str">
        <f>IF(TOTALCO!O40="", "",TOTALCO!O40)</f>
        <v/>
      </c>
      <c r="P926" s="12" t="str">
        <f>IF(TOTALCO!P40="", "",TOTALCO!P40)</f>
        <v/>
      </c>
      <c r="Q926" s="12"/>
      <c r="R926" s="13"/>
    </row>
    <row r="927" spans="1:18" ht="15" x14ac:dyDescent="0.2">
      <c r="A927" s="321" t="str">
        <f>IF(TOTALCO!A41="", "",TOTALCO!A41)</f>
        <v/>
      </c>
      <c r="B927" s="4" t="str">
        <f>IF(TOTALCO!B41="", "",TOTALCO!B41)</f>
        <v>DISTRIBUTION ALLOCATORS</v>
      </c>
      <c r="C927" s="4" t="str">
        <f>IF(TOTALCO!C41="", "",TOTALCO!C41)</f>
        <v/>
      </c>
      <c r="D927" s="12" t="str">
        <f>IF(TOTALCO!D41="", "",TOTALCO!D41)</f>
        <v/>
      </c>
      <c r="E927" s="12" t="str">
        <f>IF(TOTALCO!E41="", "",TOTALCO!E41)</f>
        <v/>
      </c>
      <c r="F927" s="12" t="str">
        <f>IF(TOTALCO!F41="", "",TOTALCO!F41)</f>
        <v/>
      </c>
      <c r="G927" s="12" t="str">
        <f>IF(TOTALCO!G41="", "",TOTALCO!G41)</f>
        <v/>
      </c>
      <c r="H927" s="12" t="str">
        <f>IF(TOTALCO!H41="", "",TOTALCO!H41)</f>
        <v/>
      </c>
      <c r="I927" s="12" t="str">
        <f>IF(TOTALCO!I41="", "",TOTALCO!I41)</f>
        <v/>
      </c>
      <c r="J927" s="12" t="str">
        <f>IF(TOTALCO!J41="", "",TOTALCO!J41)</f>
        <v/>
      </c>
      <c r="K927" s="12" t="str">
        <f>IF(TOTALCO!K41="", "",TOTALCO!K41)</f>
        <v/>
      </c>
      <c r="L927" s="12" t="str">
        <f>IF(TOTALCO!L41="", "",TOTALCO!L41)</f>
        <v/>
      </c>
      <c r="M927" s="12" t="str">
        <f>IF(TOTALCO!M41="", "",TOTALCO!M41)</f>
        <v/>
      </c>
      <c r="N927" s="12" t="str">
        <f>IF(TOTALCO!N41="", "",TOTALCO!N41)</f>
        <v/>
      </c>
      <c r="O927" s="12" t="str">
        <f>IF(TOTALCO!O41="", "",TOTALCO!O41)</f>
        <v/>
      </c>
      <c r="P927" s="12" t="str">
        <f>IF(TOTALCO!P41="", "",TOTALCO!P41)</f>
        <v/>
      </c>
      <c r="Q927" s="12"/>
      <c r="R927" s="13"/>
    </row>
    <row r="928" spans="1:18" ht="15" x14ac:dyDescent="0.2">
      <c r="A928" s="321">
        <f>IF(TOTALCO!A42="", "",TOTALCO!A42)</f>
        <v>12</v>
      </c>
      <c r="B928" s="4" t="str">
        <f>IF(TOTALCO!B42="", "",TOTALCO!B42)</f>
        <v>DIRECT ASSIGN 360 KY</v>
      </c>
      <c r="C928" s="4" t="str">
        <f>IF(TOTALCO!C42="", "",TOTALCO!C42)</f>
        <v>DEM360K</v>
      </c>
      <c r="D928" s="12">
        <f>IF(TOTALCO!D42="", "",TOTALCO!D42)</f>
        <v>9234551.6115384512</v>
      </c>
      <c r="E928" s="12" t="str">
        <f>IF(TOTALCO!E42="", "",TOTALCO!E42)</f>
        <v/>
      </c>
      <c r="F928" s="12">
        <f>IF(TOTALCO!F42="", "",TOTALCO!F42)</f>
        <v>9225394.6115384512</v>
      </c>
      <c r="G928" s="12" t="str">
        <f>IF(TOTALCO!G42="", "",TOTALCO!G42)</f>
        <v/>
      </c>
      <c r="H928" s="12">
        <f>IF(TOTALCO!H42="", "",TOTALCO!H42)</f>
        <v>0</v>
      </c>
      <c r="I928" s="12">
        <f>IF(TOTALCO!I42="", "",TOTALCO!I42)</f>
        <v>9157</v>
      </c>
      <c r="J928" s="12" t="str">
        <f>IF(TOTALCO!J42="", "",TOTALCO!J42)</f>
        <v/>
      </c>
      <c r="K928" s="12" t="str">
        <f>IF(TOTALCO!K42="", "",TOTALCO!K42)</f>
        <v/>
      </c>
      <c r="L928" s="12">
        <f>IF(TOTALCO!L42="", "",TOTALCO!L42)</f>
        <v>0</v>
      </c>
      <c r="M928" s="12" t="str">
        <f>IF(TOTALCO!M42="", "",TOTALCO!M42)</f>
        <v/>
      </c>
      <c r="N928" s="12">
        <f>IF(TOTALCO!N42="", "",TOTALCO!N42)</f>
        <v>9157</v>
      </c>
      <c r="O928" s="12">
        <f>IF(TOTALCO!O42="", "",TOTALCO!O42)</f>
        <v>9157</v>
      </c>
      <c r="P928" s="12">
        <f>IF(TOTALCO!P42="", "",TOTALCO!P42)</f>
        <v>0</v>
      </c>
      <c r="Q928" s="12"/>
      <c r="R928" s="13"/>
    </row>
    <row r="929" spans="1:18" ht="15" x14ac:dyDescent="0.2">
      <c r="A929" s="321">
        <f>IF(TOTALCO!A43="", "",TOTALCO!A43)</f>
        <v>13</v>
      </c>
      <c r="B929" s="4" t="str">
        <f>IF(TOTALCO!B43="", "",TOTALCO!B43)</f>
        <v>DIRECT ASSIGN 361 KY</v>
      </c>
      <c r="C929" s="4" t="str">
        <f>IF(TOTALCO!C43="", "",TOTALCO!C43)</f>
        <v>DEM361K</v>
      </c>
      <c r="D929" s="12">
        <f>IF(TOTALCO!D43="", "",TOTALCO!D43)</f>
        <v>27775081.824615382</v>
      </c>
      <c r="E929" s="12" t="str">
        <f>IF(TOTALCO!E43="", "",TOTALCO!E43)</f>
        <v/>
      </c>
      <c r="F929" s="12">
        <f>IF(TOTALCO!F43="", "",TOTALCO!F43)</f>
        <v>27419669.824615382</v>
      </c>
      <c r="G929" s="12" t="str">
        <f>IF(TOTALCO!G43="", "",TOTALCO!G43)</f>
        <v/>
      </c>
      <c r="H929" s="12">
        <f>IF(TOTALCO!H43="", "",TOTALCO!H43)</f>
        <v>0</v>
      </c>
      <c r="I929" s="12">
        <f>IF(TOTALCO!I43="", "",TOTALCO!I43)</f>
        <v>355412</v>
      </c>
      <c r="J929" s="12" t="str">
        <f>IF(TOTALCO!J43="", "",TOTALCO!J43)</f>
        <v/>
      </c>
      <c r="K929" s="12" t="str">
        <f>IF(TOTALCO!K43="", "",TOTALCO!K43)</f>
        <v/>
      </c>
      <c r="L929" s="12">
        <f>IF(TOTALCO!L43="", "",TOTALCO!L43)</f>
        <v>0</v>
      </c>
      <c r="M929" s="12" t="str">
        <f>IF(TOTALCO!M43="", "",TOTALCO!M43)</f>
        <v/>
      </c>
      <c r="N929" s="12">
        <f>IF(TOTALCO!N43="", "",TOTALCO!N43)</f>
        <v>355412</v>
      </c>
      <c r="O929" s="12">
        <f>IF(TOTALCO!O43="", "",TOTALCO!O43)</f>
        <v>355412</v>
      </c>
      <c r="P929" s="12">
        <f>IF(TOTALCO!P43="", "",TOTALCO!P43)</f>
        <v>0</v>
      </c>
      <c r="Q929" s="12"/>
      <c r="R929" s="13"/>
    </row>
    <row r="930" spans="1:18" ht="15" x14ac:dyDescent="0.2">
      <c r="A930" s="321">
        <f>IF(TOTALCO!A44="", "",TOTALCO!A44)</f>
        <v>14</v>
      </c>
      <c r="B930" s="4" t="str">
        <f>IF(TOTALCO!B44="", "",TOTALCO!B44)</f>
        <v>DIRECT ASSIGN 362 KY</v>
      </c>
      <c r="C930" s="4" t="str">
        <f>IF(TOTALCO!C44="", "",TOTALCO!C44)</f>
        <v>DEM362K</v>
      </c>
      <c r="D930" s="12">
        <f>IF(TOTALCO!D44="", "",TOTALCO!D44)</f>
        <v>245177243.63692296</v>
      </c>
      <c r="E930" s="12" t="str">
        <f>IF(TOTALCO!E44="", "",TOTALCO!E44)</f>
        <v/>
      </c>
      <c r="F930" s="12">
        <f>IF(TOTALCO!F44="", "",TOTALCO!F44)</f>
        <v>241924160.63692296</v>
      </c>
      <c r="G930" s="12" t="str">
        <f>IF(TOTALCO!G44="", "",TOTALCO!G44)</f>
        <v/>
      </c>
      <c r="H930" s="12">
        <f>IF(TOTALCO!H44="", "",TOTALCO!H44)</f>
        <v>0</v>
      </c>
      <c r="I930" s="12">
        <f>IF(TOTALCO!I44="", "",TOTALCO!I44)</f>
        <v>3253083</v>
      </c>
      <c r="J930" s="12" t="str">
        <f>IF(TOTALCO!J44="", "",TOTALCO!J44)</f>
        <v/>
      </c>
      <c r="K930" s="12" t="str">
        <f>IF(TOTALCO!K44="", "",TOTALCO!K44)</f>
        <v/>
      </c>
      <c r="L930" s="12">
        <f>IF(TOTALCO!L44="", "",TOTALCO!L44)</f>
        <v>0</v>
      </c>
      <c r="M930" s="12" t="str">
        <f>IF(TOTALCO!M44="", "",TOTALCO!M44)</f>
        <v/>
      </c>
      <c r="N930" s="12">
        <f>IF(TOTALCO!N44="", "",TOTALCO!N44)</f>
        <v>3253083</v>
      </c>
      <c r="O930" s="12">
        <f>IF(TOTALCO!O44="", "",TOTALCO!O44)</f>
        <v>3253083</v>
      </c>
      <c r="P930" s="12">
        <f>IF(TOTALCO!P44="", "",TOTALCO!P44)</f>
        <v>0</v>
      </c>
      <c r="Q930" s="12"/>
      <c r="R930" s="13"/>
    </row>
    <row r="931" spans="1:18" ht="15" x14ac:dyDescent="0.2">
      <c r="A931" s="321">
        <f>IF(TOTALCO!A45="", "",TOTALCO!A45)</f>
        <v>15</v>
      </c>
      <c r="B931" s="4" t="str">
        <f>IF(TOTALCO!B45="", "",TOTALCO!B45)</f>
        <v>DIRECT ASSIGN 364 KY</v>
      </c>
      <c r="C931" s="4" t="str">
        <f>IF(TOTALCO!C45="", "",TOTALCO!C45)</f>
        <v>DEM364K</v>
      </c>
      <c r="D931" s="12">
        <f>IF(TOTALCO!D45="", "",TOTALCO!D45)</f>
        <v>397421920.64384615</v>
      </c>
      <c r="E931" s="12" t="str">
        <f>IF(TOTALCO!E45="", "",TOTALCO!E45)</f>
        <v/>
      </c>
      <c r="F931" s="12">
        <f>IF(TOTALCO!F45="", "",TOTALCO!F45)</f>
        <v>397421920.64384615</v>
      </c>
      <c r="G931" s="12" t="str">
        <f>IF(TOTALCO!G45="", "",TOTALCO!G45)</f>
        <v/>
      </c>
      <c r="H931" s="12">
        <f>IF(TOTALCO!H45="", "",TOTALCO!H45)</f>
        <v>0</v>
      </c>
      <c r="I931" s="12">
        <f>IF(TOTALCO!I45="", "",TOTALCO!I45)</f>
        <v>0</v>
      </c>
      <c r="J931" s="12" t="str">
        <f>IF(TOTALCO!J45="", "",TOTALCO!J45)</f>
        <v/>
      </c>
      <c r="K931" s="12" t="str">
        <f>IF(TOTALCO!K45="", "",TOTALCO!K45)</f>
        <v/>
      </c>
      <c r="L931" s="12">
        <f>IF(TOTALCO!L45="", "",TOTALCO!L45)</f>
        <v>0</v>
      </c>
      <c r="M931" s="12" t="str">
        <f>IF(TOTALCO!M45="", "",TOTALCO!M45)</f>
        <v/>
      </c>
      <c r="N931" s="12">
        <f>IF(TOTALCO!N45="", "",TOTALCO!N45)</f>
        <v>0</v>
      </c>
      <c r="O931" s="12">
        <f>IF(TOTALCO!O45="", "",TOTALCO!O45)</f>
        <v>0</v>
      </c>
      <c r="P931" s="12">
        <f>IF(TOTALCO!P45="", "",TOTALCO!P45)</f>
        <v>0</v>
      </c>
      <c r="Q931" s="12"/>
      <c r="R931" s="13"/>
    </row>
    <row r="932" spans="1:18" ht="15" x14ac:dyDescent="0.2">
      <c r="A932" s="321">
        <f>IF(TOTALCO!A46="", "",TOTALCO!A46)</f>
        <v>16</v>
      </c>
      <c r="B932" s="4" t="str">
        <f>IF(TOTALCO!B46="", "",TOTALCO!B46)</f>
        <v>DIRECT ASSIGN 365 KY</v>
      </c>
      <c r="C932" s="4" t="str">
        <f>IF(TOTALCO!C46="", "",TOTALCO!C46)</f>
        <v>DEM365K</v>
      </c>
      <c r="D932" s="12">
        <f>IF(TOTALCO!D46="", "",TOTALCO!D46)</f>
        <v>398758262.67615396</v>
      </c>
      <c r="E932" s="12" t="str">
        <f>IF(TOTALCO!E46="", "",TOTALCO!E46)</f>
        <v/>
      </c>
      <c r="F932" s="12">
        <f>IF(TOTALCO!F46="", "",TOTALCO!F46)</f>
        <v>398758262.67615396</v>
      </c>
      <c r="G932" s="12" t="str">
        <f>IF(TOTALCO!G46="", "",TOTALCO!G46)</f>
        <v/>
      </c>
      <c r="H932" s="12">
        <f>IF(TOTALCO!H46="", "",TOTALCO!H46)</f>
        <v>0</v>
      </c>
      <c r="I932" s="12">
        <f>IF(TOTALCO!I46="", "",TOTALCO!I46)</f>
        <v>0</v>
      </c>
      <c r="J932" s="12" t="str">
        <f>IF(TOTALCO!J46="", "",TOTALCO!J46)</f>
        <v/>
      </c>
      <c r="K932" s="12" t="str">
        <f>IF(TOTALCO!K46="", "",TOTALCO!K46)</f>
        <v/>
      </c>
      <c r="L932" s="12">
        <f>IF(TOTALCO!L46="", "",TOTALCO!L46)</f>
        <v>0</v>
      </c>
      <c r="M932" s="12" t="str">
        <f>IF(TOTALCO!M46="", "",TOTALCO!M46)</f>
        <v/>
      </c>
      <c r="N932" s="12">
        <f>IF(TOTALCO!N46="", "",TOTALCO!N46)</f>
        <v>0</v>
      </c>
      <c r="O932" s="12">
        <f>IF(TOTALCO!O46="", "",TOTALCO!O46)</f>
        <v>0</v>
      </c>
      <c r="P932" s="12">
        <f>IF(TOTALCO!P46="", "",TOTALCO!P46)</f>
        <v>0</v>
      </c>
      <c r="Q932" s="12"/>
      <c r="R932" s="13"/>
    </row>
    <row r="933" spans="1:18" ht="15" x14ac:dyDescent="0.2">
      <c r="A933" s="321">
        <f>IF(TOTALCO!A47="", "",TOTALCO!A47)</f>
        <v>17</v>
      </c>
      <c r="B933" s="4" t="str">
        <f>IF(TOTALCO!B47="", "",TOTALCO!B47)</f>
        <v>DIRECT ASSIGN 366 KY</v>
      </c>
      <c r="C933" s="4" t="str">
        <f>IF(TOTALCO!C47="", "",TOTALCO!C47)</f>
        <v>DEM366K</v>
      </c>
      <c r="D933" s="12">
        <f>IF(TOTALCO!D47="", "",TOTALCO!D47)</f>
        <v>2390106.04</v>
      </c>
      <c r="E933" s="12" t="str">
        <f>IF(TOTALCO!E47="", "",TOTALCO!E47)</f>
        <v/>
      </c>
      <c r="F933" s="12">
        <f>IF(TOTALCO!F47="", "",TOTALCO!F47)</f>
        <v>2390106.04</v>
      </c>
      <c r="G933" s="12" t="str">
        <f>IF(TOTALCO!G47="", "",TOTALCO!G47)</f>
        <v/>
      </c>
      <c r="H933" s="12">
        <f>IF(TOTALCO!H47="", "",TOTALCO!H47)</f>
        <v>0</v>
      </c>
      <c r="I933" s="12">
        <f>IF(TOTALCO!I47="", "",TOTALCO!I47)</f>
        <v>0</v>
      </c>
      <c r="J933" s="12" t="str">
        <f>IF(TOTALCO!J47="", "",TOTALCO!J47)</f>
        <v/>
      </c>
      <c r="K933" s="12" t="str">
        <f>IF(TOTALCO!K47="", "",TOTALCO!K47)</f>
        <v/>
      </c>
      <c r="L933" s="12">
        <f>IF(TOTALCO!L47="", "",TOTALCO!L47)</f>
        <v>0</v>
      </c>
      <c r="M933" s="12" t="str">
        <f>IF(TOTALCO!M47="", "",TOTALCO!M47)</f>
        <v/>
      </c>
      <c r="N933" s="12">
        <f>IF(TOTALCO!N47="", "",TOTALCO!N47)</f>
        <v>0</v>
      </c>
      <c r="O933" s="12">
        <f>IF(TOTALCO!O47="", "",TOTALCO!O47)</f>
        <v>0</v>
      </c>
      <c r="P933" s="12">
        <f>IF(TOTALCO!P47="", "",TOTALCO!P47)</f>
        <v>0</v>
      </c>
      <c r="Q933" s="12"/>
      <c r="R933" s="13"/>
    </row>
    <row r="934" spans="1:18" ht="15" x14ac:dyDescent="0.2">
      <c r="A934" s="321">
        <f>IF(TOTALCO!A48="", "",TOTALCO!A48)</f>
        <v>18</v>
      </c>
      <c r="B934" s="4" t="str">
        <f>IF(TOTALCO!B48="", "",TOTALCO!B48)</f>
        <v>DIRECT ASSIGN 367 KY</v>
      </c>
      <c r="C934" s="4" t="str">
        <f>IF(TOTALCO!C48="", "",TOTALCO!C48)</f>
        <v>DEM367K</v>
      </c>
      <c r="D934" s="12">
        <f>IF(TOTALCO!D48="", "",TOTALCO!D48)</f>
        <v>216528926.2153846</v>
      </c>
      <c r="E934" s="12" t="str">
        <f>IF(TOTALCO!E48="", "",TOTALCO!E48)</f>
        <v/>
      </c>
      <c r="F934" s="12">
        <f>IF(TOTALCO!F48="", "",TOTALCO!F48)</f>
        <v>216528926.2153846</v>
      </c>
      <c r="G934" s="12" t="str">
        <f>IF(TOTALCO!G48="", "",TOTALCO!G48)</f>
        <v/>
      </c>
      <c r="H934" s="12">
        <f>IF(TOTALCO!H48="", "",TOTALCO!H48)</f>
        <v>0</v>
      </c>
      <c r="I934" s="12">
        <f>IF(TOTALCO!I48="", "",TOTALCO!I48)</f>
        <v>0</v>
      </c>
      <c r="J934" s="12" t="str">
        <f>IF(TOTALCO!J48="", "",TOTALCO!J48)</f>
        <v/>
      </c>
      <c r="K934" s="12" t="str">
        <f>IF(TOTALCO!K48="", "",TOTALCO!K48)</f>
        <v/>
      </c>
      <c r="L934" s="12">
        <f>IF(TOTALCO!L48="", "",TOTALCO!L48)</f>
        <v>0</v>
      </c>
      <c r="M934" s="12" t="str">
        <f>IF(TOTALCO!M48="", "",TOTALCO!M48)</f>
        <v/>
      </c>
      <c r="N934" s="12">
        <f>IF(TOTALCO!N48="", "",TOTALCO!N48)</f>
        <v>0</v>
      </c>
      <c r="O934" s="12">
        <f>IF(TOTALCO!O48="", "",TOTALCO!O48)</f>
        <v>0</v>
      </c>
      <c r="P934" s="12">
        <f>IF(TOTALCO!P48="", "",TOTALCO!P48)</f>
        <v>0</v>
      </c>
      <c r="Q934" s="12"/>
      <c r="R934" s="13"/>
    </row>
    <row r="935" spans="1:18" ht="15" x14ac:dyDescent="0.2">
      <c r="A935" s="321">
        <f>IF(TOTALCO!A49="", "",TOTALCO!A49)</f>
        <v>19</v>
      </c>
      <c r="B935" s="4" t="str">
        <f>IF(TOTALCO!B49="", "",TOTALCO!B49)</f>
        <v>DIRECT ASSIGN 368 KY</v>
      </c>
      <c r="C935" s="4" t="str">
        <f>IF(TOTALCO!C49="", "",TOTALCO!C49)</f>
        <v>DEM368K</v>
      </c>
      <c r="D935" s="12">
        <f>IF(TOTALCO!D49="", "",TOTALCO!D49)</f>
        <v>315437142.83230776</v>
      </c>
      <c r="E935" s="12" t="str">
        <f>IF(TOTALCO!E49="", "",TOTALCO!E49)</f>
        <v/>
      </c>
      <c r="F935" s="12">
        <f>IF(TOTALCO!F49="", "",TOTALCO!F49)</f>
        <v>315437142.83230776</v>
      </c>
      <c r="G935" s="12" t="str">
        <f>IF(TOTALCO!G49="", "",TOTALCO!G49)</f>
        <v/>
      </c>
      <c r="H935" s="12">
        <f>IF(TOTALCO!H49="", "",TOTALCO!H49)</f>
        <v>0</v>
      </c>
      <c r="I935" s="12">
        <f>IF(TOTALCO!I49="", "",TOTALCO!I49)</f>
        <v>0</v>
      </c>
      <c r="J935" s="12" t="str">
        <f>IF(TOTALCO!J49="", "",TOTALCO!J49)</f>
        <v/>
      </c>
      <c r="K935" s="12" t="str">
        <f>IF(TOTALCO!K49="", "",TOTALCO!K49)</f>
        <v/>
      </c>
      <c r="L935" s="12">
        <f>IF(TOTALCO!L49="", "",TOTALCO!L49)</f>
        <v>0</v>
      </c>
      <c r="M935" s="12" t="str">
        <f>IF(TOTALCO!M49="", "",TOTALCO!M49)</f>
        <v/>
      </c>
      <c r="N935" s="12">
        <f>IF(TOTALCO!N49="", "",TOTALCO!N49)</f>
        <v>0</v>
      </c>
      <c r="O935" s="12">
        <f>IF(TOTALCO!O49="", "",TOTALCO!O49)</f>
        <v>0</v>
      </c>
      <c r="P935" s="12">
        <f>IF(TOTALCO!P49="", "",TOTALCO!P49)</f>
        <v>0</v>
      </c>
      <c r="Q935" s="12"/>
      <c r="R935" s="13"/>
    </row>
    <row r="936" spans="1:18" ht="15" x14ac:dyDescent="0.2">
      <c r="A936" s="321">
        <f>IF(TOTALCO!A50="", "",TOTALCO!A50)</f>
        <v>20</v>
      </c>
      <c r="B936" s="4" t="str">
        <f>IF(TOTALCO!B50="", "",TOTALCO!B50)</f>
        <v>DIRECT ASSIGN 374 KY</v>
      </c>
      <c r="C936" s="4" t="str">
        <f>IF(TOTALCO!C50="", "",TOTALCO!C50)</f>
        <v>DEM374K</v>
      </c>
      <c r="D936" s="12">
        <f>IF(TOTALCO!D50="", "",TOTALCO!D50)</f>
        <v>658287.18999999994</v>
      </c>
      <c r="E936" s="12" t="str">
        <f>IF(TOTALCO!E50="", "",TOTALCO!E50)</f>
        <v/>
      </c>
      <c r="F936" s="12">
        <f>IF(TOTALCO!F50="", "",TOTALCO!F50)</f>
        <v>658287.18999999994</v>
      </c>
      <c r="G936" s="12" t="str">
        <f>IF(TOTALCO!G50="", "",TOTALCO!G50)</f>
        <v/>
      </c>
      <c r="H936" s="12">
        <f>IF(TOTALCO!H50="", "",TOTALCO!H50)</f>
        <v>0</v>
      </c>
      <c r="I936" s="12">
        <f>IF(TOTALCO!I50="", "",TOTALCO!I50)</f>
        <v>0</v>
      </c>
      <c r="J936" s="12" t="str">
        <f>IF(TOTALCO!J50="", "",TOTALCO!J50)</f>
        <v/>
      </c>
      <c r="K936" s="12" t="str">
        <f>IF(TOTALCO!K50="", "",TOTALCO!K50)</f>
        <v/>
      </c>
      <c r="L936" s="12">
        <f>IF(TOTALCO!L50="", "",TOTALCO!L50)</f>
        <v>0</v>
      </c>
      <c r="M936" s="12" t="str">
        <f>IF(TOTALCO!M50="", "",TOTALCO!M50)</f>
        <v/>
      </c>
      <c r="N936" s="12">
        <f>IF(TOTALCO!N50="", "",TOTALCO!N50)</f>
        <v>0</v>
      </c>
      <c r="O936" s="12">
        <f>IF(TOTALCO!O50="", "",TOTALCO!O50)</f>
        <v>0</v>
      </c>
      <c r="P936" s="12">
        <f>IF(TOTALCO!P50="", "",TOTALCO!P50)</f>
        <v>0</v>
      </c>
      <c r="Q936" s="12"/>
      <c r="R936" s="13"/>
    </row>
    <row r="937" spans="1:18" ht="15" x14ac:dyDescent="0.2">
      <c r="A937" s="321">
        <f>IF(TOTALCO!A51="", "",TOTALCO!A51)</f>
        <v>21</v>
      </c>
      <c r="B937" s="4" t="str">
        <f>IF(TOTALCO!B51="", "",TOTALCO!B51)</f>
        <v>DIRECT ASSIGN 360-VA</v>
      </c>
      <c r="C937" s="4" t="str">
        <f>IF(TOTALCO!C51="", "",TOTALCO!C51)</f>
        <v>DEM360V</v>
      </c>
      <c r="D937" s="12">
        <f>IF(TOTALCO!D51="", "",TOTALCO!D51)</f>
        <v>313284.18999999901</v>
      </c>
      <c r="E937" s="12" t="str">
        <f>IF(TOTALCO!E51="", "",TOTALCO!E51)</f>
        <v/>
      </c>
      <c r="F937" s="12">
        <f>IF(TOTALCO!F51="", "",TOTALCO!F51)</f>
        <v>0</v>
      </c>
      <c r="G937" s="12" t="str">
        <f>IF(TOTALCO!G51="", "",TOTALCO!G51)</f>
        <v/>
      </c>
      <c r="H937" s="12">
        <f>IF(TOTALCO!H51="", "",TOTALCO!H51)</f>
        <v>313284.18999999901</v>
      </c>
      <c r="I937" s="12">
        <f>IF(TOTALCO!I51="", "",TOTALCO!I51)</f>
        <v>0</v>
      </c>
      <c r="J937" s="12" t="str">
        <f>IF(TOTALCO!J51="", "",TOTALCO!J51)</f>
        <v/>
      </c>
      <c r="K937" s="12" t="str">
        <f>IF(TOTALCO!K51="", "",TOTALCO!K51)</f>
        <v/>
      </c>
      <c r="L937" s="12">
        <f>IF(TOTALCO!L51="", "",TOTALCO!L51)</f>
        <v>0</v>
      </c>
      <c r="M937" s="12" t="str">
        <f>IF(TOTALCO!M51="", "",TOTALCO!M51)</f>
        <v/>
      </c>
      <c r="N937" s="12">
        <f>IF(TOTALCO!N51="", "",TOTALCO!N51)</f>
        <v>0</v>
      </c>
      <c r="O937" s="12">
        <f>IF(TOTALCO!O51="", "",TOTALCO!O51)</f>
        <v>0</v>
      </c>
      <c r="P937" s="12">
        <f>IF(TOTALCO!P51="", "",TOTALCO!P51)</f>
        <v>0</v>
      </c>
      <c r="Q937" s="12"/>
      <c r="R937" s="13"/>
    </row>
    <row r="938" spans="1:18" ht="15" x14ac:dyDescent="0.2">
      <c r="A938" s="321">
        <f>IF(TOTALCO!A52="", "",TOTALCO!A52)</f>
        <v>22</v>
      </c>
      <c r="B938" s="4" t="str">
        <f>IF(TOTALCO!B52="", "",TOTALCO!B52)</f>
        <v>DIRECT ASSIGN 361-VA</v>
      </c>
      <c r="C938" s="4" t="str">
        <f>IF(TOTALCO!C52="", "",TOTALCO!C52)</f>
        <v>DEM361V</v>
      </c>
      <c r="D938" s="12">
        <f>IF(TOTALCO!D52="", "",TOTALCO!D52)</f>
        <v>767594.02000000025</v>
      </c>
      <c r="E938" s="12" t="str">
        <f>IF(TOTALCO!E52="", "",TOTALCO!E52)</f>
        <v/>
      </c>
      <c r="F938" s="12">
        <f>IF(TOTALCO!F52="", "",TOTALCO!F52)</f>
        <v>0</v>
      </c>
      <c r="G938" s="12" t="str">
        <f>IF(TOTALCO!G52="", "",TOTALCO!G52)</f>
        <v/>
      </c>
      <c r="H938" s="12">
        <f>IF(TOTALCO!H52="", "",TOTALCO!H52)</f>
        <v>767594.02000000025</v>
      </c>
      <c r="I938" s="12">
        <f>IF(TOTALCO!I52="", "",TOTALCO!I52)</f>
        <v>0</v>
      </c>
      <c r="J938" s="12" t="str">
        <f>IF(TOTALCO!J52="", "",TOTALCO!J52)</f>
        <v/>
      </c>
      <c r="K938" s="12" t="str">
        <f>IF(TOTALCO!K52="", "",TOTALCO!K52)</f>
        <v/>
      </c>
      <c r="L938" s="12">
        <f>IF(TOTALCO!L52="", "",TOTALCO!L52)</f>
        <v>0</v>
      </c>
      <c r="M938" s="12" t="str">
        <f>IF(TOTALCO!M52="", "",TOTALCO!M52)</f>
        <v/>
      </c>
      <c r="N938" s="12">
        <f>IF(TOTALCO!N52="", "",TOTALCO!N52)</f>
        <v>0</v>
      </c>
      <c r="O938" s="12">
        <f>IF(TOTALCO!O52="", "",TOTALCO!O52)</f>
        <v>0</v>
      </c>
      <c r="P938" s="12">
        <f>IF(TOTALCO!P52="", "",TOTALCO!P52)</f>
        <v>0</v>
      </c>
      <c r="Q938" s="12"/>
      <c r="R938" s="13"/>
    </row>
    <row r="939" spans="1:18" ht="15" x14ac:dyDescent="0.2">
      <c r="A939" s="321">
        <f>IF(TOTALCO!A53="", "",TOTALCO!A53)</f>
        <v>23</v>
      </c>
      <c r="B939" s="4" t="str">
        <f>IF(TOTALCO!B53="", "",TOTALCO!B53)</f>
        <v>DIRECT ASSIGN 362-VA</v>
      </c>
      <c r="C939" s="4" t="str">
        <f>IF(TOTALCO!C53="", "",TOTALCO!C53)</f>
        <v>DEM362V</v>
      </c>
      <c r="D939" s="12">
        <f>IF(TOTALCO!D53="", "",TOTALCO!D53)</f>
        <v>8513231.9299999978</v>
      </c>
      <c r="E939" s="12" t="str">
        <f>IF(TOTALCO!E53="", "",TOTALCO!E53)</f>
        <v/>
      </c>
      <c r="F939" s="12">
        <f>IF(TOTALCO!F53="", "",TOTALCO!F53)</f>
        <v>0</v>
      </c>
      <c r="G939" s="12" t="str">
        <f>IF(TOTALCO!G53="", "",TOTALCO!G53)</f>
        <v/>
      </c>
      <c r="H939" s="12">
        <f>IF(TOTALCO!H53="", "",TOTALCO!H53)</f>
        <v>8513231.9299999978</v>
      </c>
      <c r="I939" s="12">
        <f>IF(TOTALCO!I53="", "",TOTALCO!I53)</f>
        <v>0</v>
      </c>
      <c r="J939" s="12" t="str">
        <f>IF(TOTALCO!J53="", "",TOTALCO!J53)</f>
        <v/>
      </c>
      <c r="K939" s="12" t="str">
        <f>IF(TOTALCO!K53="", "",TOTALCO!K53)</f>
        <v/>
      </c>
      <c r="L939" s="12">
        <f>IF(TOTALCO!L53="", "",TOTALCO!L53)</f>
        <v>0</v>
      </c>
      <c r="M939" s="12" t="str">
        <f>IF(TOTALCO!M53="", "",TOTALCO!M53)</f>
        <v/>
      </c>
      <c r="N939" s="12">
        <f>IF(TOTALCO!N53="", "",TOTALCO!N53)</f>
        <v>0</v>
      </c>
      <c r="O939" s="12">
        <f>IF(TOTALCO!O53="", "",TOTALCO!O53)</f>
        <v>0</v>
      </c>
      <c r="P939" s="12">
        <f>IF(TOTALCO!P53="", "",TOTALCO!P53)</f>
        <v>0</v>
      </c>
      <c r="Q939" s="12"/>
      <c r="R939" s="13"/>
    </row>
    <row r="940" spans="1:18" ht="15" x14ac:dyDescent="0.2">
      <c r="A940" s="321">
        <f>IF(TOTALCO!A54="", "",TOTALCO!A54)</f>
        <v>24</v>
      </c>
      <c r="B940" s="4" t="str">
        <f>IF(TOTALCO!B54="", "",TOTALCO!B54)</f>
        <v>DIRECT ASSIGN 360-PHFU</v>
      </c>
      <c r="C940" s="4" t="str">
        <f>IF(TOTALCO!C54="", "",TOTALCO!C54)</f>
        <v>DIR360FU</v>
      </c>
      <c r="D940" s="12">
        <f>IF(TOTALCO!D54="", "",TOTALCO!D54)</f>
        <v>1471422.59</v>
      </c>
      <c r="E940" s="12" t="str">
        <f>IF(TOTALCO!E54="", "",TOTALCO!E54)</f>
        <v/>
      </c>
      <c r="F940" s="12">
        <f>IF(TOTALCO!F54="", "",TOTALCO!F54)</f>
        <v>1147334.75</v>
      </c>
      <c r="G940" s="12" t="str">
        <f>IF(TOTALCO!G54="", "",TOTALCO!G54)</f>
        <v/>
      </c>
      <c r="H940" s="12">
        <f>IF(TOTALCO!H54="", "",TOTALCO!H54)</f>
        <v>324087.84000000003</v>
      </c>
      <c r="I940" s="12">
        <f>IF(TOTALCO!I54="", "",TOTALCO!I54)</f>
        <v>0</v>
      </c>
      <c r="J940" s="12" t="str">
        <f>IF(TOTALCO!J54="", "",TOTALCO!J54)</f>
        <v/>
      </c>
      <c r="K940" s="12" t="str">
        <f>IF(TOTALCO!K54="", "",TOTALCO!K54)</f>
        <v/>
      </c>
      <c r="L940" s="12">
        <f>IF(TOTALCO!L54="", "",TOTALCO!L54)</f>
        <v>0</v>
      </c>
      <c r="M940" s="12" t="str">
        <f>IF(TOTALCO!M54="", "",TOTALCO!M54)</f>
        <v/>
      </c>
      <c r="N940" s="12">
        <f>IF(TOTALCO!N54="", "",TOTALCO!N54)</f>
        <v>0</v>
      </c>
      <c r="O940" s="12">
        <f>IF(TOTALCO!O54="", "",TOTALCO!O54)</f>
        <v>0</v>
      </c>
      <c r="P940" s="12">
        <f>IF(TOTALCO!P54="", "",TOTALCO!P54)</f>
        <v>0</v>
      </c>
      <c r="Q940" s="12"/>
      <c r="R940" s="13"/>
    </row>
    <row r="941" spans="1:18" ht="15" x14ac:dyDescent="0.2">
      <c r="A941" s="321">
        <f>IF(TOTALCO!A55="", "",TOTALCO!A55)</f>
        <v>25</v>
      </c>
      <c r="B941" s="4" t="str">
        <f>IF(TOTALCO!B55="", "",TOTALCO!B55)</f>
        <v>DIRECT ASSIGN 364-VA</v>
      </c>
      <c r="C941" s="4" t="str">
        <f>IF(TOTALCO!C55="", "",TOTALCO!C55)</f>
        <v>DEM364V</v>
      </c>
      <c r="D941" s="12">
        <f>IF(TOTALCO!D55="", "",TOTALCO!D55)</f>
        <v>30706197.12153846</v>
      </c>
      <c r="E941" s="12" t="str">
        <f>IF(TOTALCO!E55="", "",TOTALCO!E55)</f>
        <v/>
      </c>
      <c r="F941" s="12">
        <f>IF(TOTALCO!F55="", "",TOTALCO!F55)</f>
        <v>0</v>
      </c>
      <c r="G941" s="12" t="str">
        <f>IF(TOTALCO!G55="", "",TOTALCO!G55)</f>
        <v/>
      </c>
      <c r="H941" s="12">
        <f>IF(TOTALCO!H55="", "",TOTALCO!H55)</f>
        <v>30706197.12153846</v>
      </c>
      <c r="I941" s="12">
        <f>IF(TOTALCO!I55="", "",TOTALCO!I55)</f>
        <v>0</v>
      </c>
      <c r="J941" s="12" t="str">
        <f>IF(TOTALCO!J55="", "",TOTALCO!J55)</f>
        <v/>
      </c>
      <c r="K941" s="12" t="str">
        <f>IF(TOTALCO!K55="", "",TOTALCO!K55)</f>
        <v/>
      </c>
      <c r="L941" s="12">
        <f>IF(TOTALCO!L55="", "",TOTALCO!L55)</f>
        <v>0</v>
      </c>
      <c r="M941" s="12" t="str">
        <f>IF(TOTALCO!M55="", "",TOTALCO!M55)</f>
        <v/>
      </c>
      <c r="N941" s="12">
        <f>IF(TOTALCO!N55="", "",TOTALCO!N55)</f>
        <v>0</v>
      </c>
      <c r="O941" s="12">
        <f>IF(TOTALCO!O55="", "",TOTALCO!O55)</f>
        <v>0</v>
      </c>
      <c r="P941" s="12">
        <f>IF(TOTALCO!P55="", "",TOTALCO!P55)</f>
        <v>0</v>
      </c>
      <c r="Q941" s="12"/>
      <c r="R941" s="13"/>
    </row>
    <row r="942" spans="1:18" ht="15" x14ac:dyDescent="0.2">
      <c r="A942" s="321">
        <f>IF(TOTALCO!A56="", "",TOTALCO!A56)</f>
        <v>26</v>
      </c>
      <c r="B942" s="4" t="str">
        <f>IF(TOTALCO!B56="", "",TOTALCO!B56)</f>
        <v>DIRECT ASSIGN 365-VA</v>
      </c>
      <c r="C942" s="4" t="str">
        <f>IF(TOTALCO!C56="", "",TOTALCO!C56)</f>
        <v>DEM365V</v>
      </c>
      <c r="D942" s="12">
        <f>IF(TOTALCO!D56="", "",TOTALCO!D56)</f>
        <v>29286126.640769172</v>
      </c>
      <c r="E942" s="12" t="str">
        <f>IF(TOTALCO!E56="", "",TOTALCO!E56)</f>
        <v/>
      </c>
      <c r="F942" s="12">
        <f>IF(TOTALCO!F56="", "",TOTALCO!F56)</f>
        <v>0</v>
      </c>
      <c r="G942" s="12" t="str">
        <f>IF(TOTALCO!G56="", "",TOTALCO!G56)</f>
        <v/>
      </c>
      <c r="H942" s="12">
        <f>IF(TOTALCO!H56="", "",TOTALCO!H56)</f>
        <v>29286126.640769172</v>
      </c>
      <c r="I942" s="12">
        <f>IF(TOTALCO!I56="", "",TOTALCO!I56)</f>
        <v>0</v>
      </c>
      <c r="J942" s="12" t="str">
        <f>IF(TOTALCO!J56="", "",TOTALCO!J56)</f>
        <v/>
      </c>
      <c r="K942" s="12" t="str">
        <f>IF(TOTALCO!K56="", "",TOTALCO!K56)</f>
        <v/>
      </c>
      <c r="L942" s="12">
        <f>IF(TOTALCO!L56="", "",TOTALCO!L56)</f>
        <v>0</v>
      </c>
      <c r="M942" s="12" t="str">
        <f>IF(TOTALCO!M56="", "",TOTALCO!M56)</f>
        <v/>
      </c>
      <c r="N942" s="12">
        <f>IF(TOTALCO!N56="", "",TOTALCO!N56)</f>
        <v>0</v>
      </c>
      <c r="O942" s="12">
        <f>IF(TOTALCO!O56="", "",TOTALCO!O56)</f>
        <v>0</v>
      </c>
      <c r="P942" s="12">
        <f>IF(TOTALCO!P56="", "",TOTALCO!P56)</f>
        <v>0</v>
      </c>
      <c r="Q942" s="12"/>
      <c r="R942" s="13"/>
    </row>
    <row r="943" spans="1:18" ht="15" x14ac:dyDescent="0.2">
      <c r="A943" s="321">
        <f>IF(TOTALCO!A57="", "",TOTALCO!A57)</f>
        <v>27</v>
      </c>
      <c r="B943" s="4" t="str">
        <f>IF(TOTALCO!B57="", "",TOTALCO!B57)</f>
        <v>DIRECT ASSIGN 367-VA</v>
      </c>
      <c r="C943" s="4" t="str">
        <f>IF(TOTALCO!C57="", "",TOTALCO!C57)</f>
        <v>DEM367V</v>
      </c>
      <c r="D943" s="12">
        <f>IF(TOTALCO!D57="", "",TOTALCO!D57)</f>
        <v>5120978.2023076899</v>
      </c>
      <c r="E943" s="12" t="str">
        <f>IF(TOTALCO!E57="", "",TOTALCO!E57)</f>
        <v/>
      </c>
      <c r="F943" s="12">
        <f>IF(TOTALCO!F57="", "",TOTALCO!F57)</f>
        <v>0</v>
      </c>
      <c r="G943" s="12" t="str">
        <f>IF(TOTALCO!G57="", "",TOTALCO!G57)</f>
        <v/>
      </c>
      <c r="H943" s="12">
        <f>IF(TOTALCO!H57="", "",TOTALCO!H57)</f>
        <v>5120978.2023076899</v>
      </c>
      <c r="I943" s="12">
        <f>IF(TOTALCO!I57="", "",TOTALCO!I57)</f>
        <v>0</v>
      </c>
      <c r="J943" s="12" t="str">
        <f>IF(TOTALCO!J57="", "",TOTALCO!J57)</f>
        <v/>
      </c>
      <c r="K943" s="12" t="str">
        <f>IF(TOTALCO!K57="", "",TOTALCO!K57)</f>
        <v/>
      </c>
      <c r="L943" s="12">
        <f>IF(TOTALCO!L57="", "",TOTALCO!L57)</f>
        <v>0</v>
      </c>
      <c r="M943" s="12" t="str">
        <f>IF(TOTALCO!M57="", "",TOTALCO!M57)</f>
        <v/>
      </c>
      <c r="N943" s="12">
        <f>IF(TOTALCO!N57="", "",TOTALCO!N57)</f>
        <v>0</v>
      </c>
      <c r="O943" s="12">
        <f>IF(TOTALCO!O57="", "",TOTALCO!O57)</f>
        <v>0</v>
      </c>
      <c r="P943" s="12">
        <f>IF(TOTALCO!P57="", "",TOTALCO!P57)</f>
        <v>0</v>
      </c>
      <c r="Q943" s="12"/>
      <c r="R943" s="13"/>
    </row>
    <row r="944" spans="1:18" ht="15" x14ac:dyDescent="0.2">
      <c r="A944" s="321">
        <f>IF(TOTALCO!A58="", "",TOTALCO!A58)</f>
        <v>28</v>
      </c>
      <c r="B944" s="4" t="str">
        <f>IF(TOTALCO!B58="", "",TOTALCO!B58)</f>
        <v>DIRECT ASSIGN 368-VA</v>
      </c>
      <c r="C944" s="4" t="str">
        <f>IF(TOTALCO!C58="", "",TOTALCO!C58)</f>
        <v>DEM368V</v>
      </c>
      <c r="D944" s="12">
        <f>IF(TOTALCO!D58="", "",TOTALCO!D58)</f>
        <v>11174524.039230768</v>
      </c>
      <c r="E944" s="12" t="str">
        <f>IF(TOTALCO!E58="", "",TOTALCO!E58)</f>
        <v/>
      </c>
      <c r="F944" s="12">
        <f>IF(TOTALCO!F58="", "",TOTALCO!F58)</f>
        <v>0</v>
      </c>
      <c r="G944" s="12" t="str">
        <f>IF(TOTALCO!G58="", "",TOTALCO!G58)</f>
        <v/>
      </c>
      <c r="H944" s="12">
        <f>IF(TOTALCO!H58="", "",TOTALCO!H58)</f>
        <v>11174524.039230768</v>
      </c>
      <c r="I944" s="12">
        <f>IF(TOTALCO!I58="", "",TOTALCO!I58)</f>
        <v>0</v>
      </c>
      <c r="J944" s="12" t="str">
        <f>IF(TOTALCO!J58="", "",TOTALCO!J58)</f>
        <v/>
      </c>
      <c r="K944" s="12" t="str">
        <f>IF(TOTALCO!K58="", "",TOTALCO!K58)</f>
        <v/>
      </c>
      <c r="L944" s="12">
        <f>IF(TOTALCO!L58="", "",TOTALCO!L58)</f>
        <v>0</v>
      </c>
      <c r="M944" s="12" t="str">
        <f>IF(TOTALCO!M58="", "",TOTALCO!M58)</f>
        <v/>
      </c>
      <c r="N944" s="12">
        <f>IF(TOTALCO!N58="", "",TOTALCO!N58)</f>
        <v>0</v>
      </c>
      <c r="O944" s="12">
        <f>IF(TOTALCO!O58="", "",TOTALCO!O58)</f>
        <v>0</v>
      </c>
      <c r="P944" s="12">
        <f>IF(TOTALCO!P58="", "",TOTALCO!P58)</f>
        <v>0</v>
      </c>
      <c r="Q944" s="12"/>
      <c r="R944" s="13"/>
    </row>
    <row r="945" spans="1:18" ht="15" x14ac:dyDescent="0.2">
      <c r="A945" s="321">
        <f>IF(TOTALCO!A59="", "",TOTALCO!A59)</f>
        <v>29</v>
      </c>
      <c r="B945" s="4" t="str">
        <f>IF(TOTALCO!B59="", "",TOTALCO!B59)</f>
        <v>DIRECT ASSIGN 360-TN</v>
      </c>
      <c r="C945" s="4" t="str">
        <f>IF(TOTALCO!C59="", "",TOTALCO!C59)</f>
        <v>DEM360T</v>
      </c>
      <c r="D945" s="12">
        <f>IF(TOTALCO!D59="", "",TOTALCO!D59)</f>
        <v>475572.53000000009</v>
      </c>
      <c r="E945" s="12" t="str">
        <f>IF(TOTALCO!E59="", "",TOTALCO!E59)</f>
        <v/>
      </c>
      <c r="F945" s="12">
        <f>IF(TOTALCO!F59="", "",TOTALCO!F59)</f>
        <v>0</v>
      </c>
      <c r="G945" s="12" t="str">
        <f>IF(TOTALCO!G59="", "",TOTALCO!G59)</f>
        <v/>
      </c>
      <c r="H945" s="12">
        <f>IF(TOTALCO!H59="", "",TOTALCO!H59)</f>
        <v>0</v>
      </c>
      <c r="I945" s="12">
        <f>IF(TOTALCO!I59="", "",TOTALCO!I59)</f>
        <v>475572.53000000009</v>
      </c>
      <c r="J945" s="12" t="str">
        <f>IF(TOTALCO!J59="", "",TOTALCO!J59)</f>
        <v/>
      </c>
      <c r="K945" s="12" t="str">
        <f>IF(TOTALCO!K59="", "",TOTALCO!K59)</f>
        <v/>
      </c>
      <c r="L945" s="12">
        <f>IF(TOTALCO!L59="", "",TOTALCO!L59)</f>
        <v>475572.53000000009</v>
      </c>
      <c r="M945" s="12" t="str">
        <f>IF(TOTALCO!M59="", "",TOTALCO!M59)</f>
        <v/>
      </c>
      <c r="N945" s="12">
        <f>IF(TOTALCO!N59="", "",TOTALCO!N59)</f>
        <v>0</v>
      </c>
      <c r="O945" s="12">
        <f>IF(TOTALCO!O59="", "",TOTALCO!O59)</f>
        <v>0</v>
      </c>
      <c r="P945" s="12">
        <f>IF(TOTALCO!P59="", "",TOTALCO!P59)</f>
        <v>0</v>
      </c>
      <c r="Q945" s="12"/>
      <c r="R945" s="13"/>
    </row>
    <row r="946" spans="1:18" ht="15" x14ac:dyDescent="0.2">
      <c r="A946" s="321">
        <f>IF(TOTALCO!A60="", "",TOTALCO!A60)</f>
        <v>30</v>
      </c>
      <c r="B946" s="4" t="str">
        <f>IF(TOTALCO!B60="", "",TOTALCO!B60)</f>
        <v>DIRECT ASSIGN 361-TN</v>
      </c>
      <c r="C946" s="4" t="str">
        <f>IF(TOTALCO!C60="", "",TOTALCO!C60)</f>
        <v>DEM361T</v>
      </c>
      <c r="D946" s="12">
        <f>IF(TOTALCO!D60="", "",TOTALCO!D60)</f>
        <v>2545.13</v>
      </c>
      <c r="E946" s="12" t="str">
        <f>IF(TOTALCO!E60="", "",TOTALCO!E60)</f>
        <v/>
      </c>
      <c r="F946" s="12">
        <f>IF(TOTALCO!F60="", "",TOTALCO!F60)</f>
        <v>0</v>
      </c>
      <c r="G946" s="12" t="str">
        <f>IF(TOTALCO!G60="", "",TOTALCO!G60)</f>
        <v/>
      </c>
      <c r="H946" s="12">
        <f>IF(TOTALCO!H60="", "",TOTALCO!H60)</f>
        <v>0</v>
      </c>
      <c r="I946" s="12">
        <f>IF(TOTALCO!I60="", "",TOTALCO!I60)</f>
        <v>2545.13</v>
      </c>
      <c r="J946" s="12" t="str">
        <f>IF(TOTALCO!J60="", "",TOTALCO!J60)</f>
        <v/>
      </c>
      <c r="K946" s="12" t="str">
        <f>IF(TOTALCO!K60="", "",TOTALCO!K60)</f>
        <v/>
      </c>
      <c r="L946" s="12">
        <f>IF(TOTALCO!L60="", "",TOTALCO!L60)</f>
        <v>2545.13</v>
      </c>
      <c r="M946" s="12" t="str">
        <f>IF(TOTALCO!M60="", "",TOTALCO!M60)</f>
        <v/>
      </c>
      <c r="N946" s="12">
        <f>IF(TOTALCO!N60="", "",TOTALCO!N60)</f>
        <v>0</v>
      </c>
      <c r="O946" s="12">
        <f>IF(TOTALCO!O60="", "",TOTALCO!O60)</f>
        <v>0</v>
      </c>
      <c r="P946" s="12">
        <f>IF(TOTALCO!P60="", "",TOTALCO!P60)</f>
        <v>0</v>
      </c>
      <c r="Q946" s="12"/>
      <c r="R946" s="13"/>
    </row>
    <row r="947" spans="1:18" ht="15" x14ac:dyDescent="0.2">
      <c r="A947" s="321">
        <f>IF(TOTALCO!A61="", "",TOTALCO!A61)</f>
        <v>31</v>
      </c>
      <c r="B947" s="4" t="str">
        <f>IF(TOTALCO!B61="", "",TOTALCO!B61)</f>
        <v>DIRECT ASSIGN 362-TN</v>
      </c>
      <c r="C947" s="4" t="str">
        <f>IF(TOTALCO!C61="", "",TOTALCO!C61)</f>
        <v>DEM362T</v>
      </c>
      <c r="D947" s="12">
        <f>IF(TOTALCO!D61="", "",TOTALCO!D61)</f>
        <v>66880.14999999998</v>
      </c>
      <c r="E947" s="12" t="str">
        <f>IF(TOTALCO!E61="", "",TOTALCO!E61)</f>
        <v/>
      </c>
      <c r="F947" s="12">
        <f>IF(TOTALCO!F61="", "",TOTALCO!F61)</f>
        <v>0</v>
      </c>
      <c r="G947" s="12" t="str">
        <f>IF(TOTALCO!G61="", "",TOTALCO!G61)</f>
        <v/>
      </c>
      <c r="H947" s="12">
        <f>IF(TOTALCO!H61="", "",TOTALCO!H61)</f>
        <v>0</v>
      </c>
      <c r="I947" s="12">
        <f>IF(TOTALCO!I61="", "",TOTALCO!I61)</f>
        <v>66880.14999999998</v>
      </c>
      <c r="J947" s="12" t="str">
        <f>IF(TOTALCO!J61="", "",TOTALCO!J61)</f>
        <v/>
      </c>
      <c r="K947" s="12" t="str">
        <f>IF(TOTALCO!K61="", "",TOTALCO!K61)</f>
        <v/>
      </c>
      <c r="L947" s="12">
        <f>IF(TOTALCO!L61="", "",TOTALCO!L61)</f>
        <v>66880.14999999998</v>
      </c>
      <c r="M947" s="12" t="str">
        <f>IF(TOTALCO!M61="", "",TOTALCO!M61)</f>
        <v/>
      </c>
      <c r="N947" s="12">
        <f>IF(TOTALCO!N61="", "",TOTALCO!N61)</f>
        <v>0</v>
      </c>
      <c r="O947" s="12">
        <f>IF(TOTALCO!O61="", "",TOTALCO!O61)</f>
        <v>0</v>
      </c>
      <c r="P947" s="12">
        <f>IF(TOTALCO!P61="", "",TOTALCO!P61)</f>
        <v>0</v>
      </c>
      <c r="Q947" s="12"/>
      <c r="R947" s="13"/>
    </row>
    <row r="948" spans="1:18" ht="15" x14ac:dyDescent="0.2">
      <c r="A948" s="321">
        <f>IF(TOTALCO!A62="", "",TOTALCO!A62)</f>
        <v>32</v>
      </c>
      <c r="B948" s="4" t="str">
        <f>IF(TOTALCO!B62="", "",TOTALCO!B62)</f>
        <v>DIRECT ASSIGN 364-TN</v>
      </c>
      <c r="C948" s="4" t="str">
        <f>IF(TOTALCO!C62="", "",TOTALCO!C62)</f>
        <v>DEM364T</v>
      </c>
      <c r="D948" s="12">
        <f>IF(TOTALCO!D62="", "",TOTALCO!D62)</f>
        <v>47785.56</v>
      </c>
      <c r="E948" s="12" t="str">
        <f>IF(TOTALCO!E62="", "",TOTALCO!E62)</f>
        <v/>
      </c>
      <c r="F948" s="12">
        <f>IF(TOTALCO!F62="", "",TOTALCO!F62)</f>
        <v>0</v>
      </c>
      <c r="G948" s="12" t="str">
        <f>IF(TOTALCO!G62="", "",TOTALCO!G62)</f>
        <v/>
      </c>
      <c r="H948" s="12">
        <f>IF(TOTALCO!H62="", "",TOTALCO!H62)</f>
        <v>0</v>
      </c>
      <c r="I948" s="12">
        <f>IF(TOTALCO!I62="", "",TOTALCO!I62)</f>
        <v>47785.56</v>
      </c>
      <c r="J948" s="12" t="str">
        <f>IF(TOTALCO!J62="", "",TOTALCO!J62)</f>
        <v/>
      </c>
      <c r="K948" s="12" t="str">
        <f>IF(TOTALCO!K62="", "",TOTALCO!K62)</f>
        <v/>
      </c>
      <c r="L948" s="12">
        <f>IF(TOTALCO!L62="", "",TOTALCO!L62)</f>
        <v>47785.56</v>
      </c>
      <c r="M948" s="12" t="str">
        <f>IF(TOTALCO!M62="", "",TOTALCO!M62)</f>
        <v/>
      </c>
      <c r="N948" s="12">
        <f>IF(TOTALCO!N62="", "",TOTALCO!N62)</f>
        <v>0</v>
      </c>
      <c r="O948" s="12">
        <f>IF(TOTALCO!O62="", "",TOTALCO!O62)</f>
        <v>0</v>
      </c>
      <c r="P948" s="12">
        <f>IF(TOTALCO!P62="", "",TOTALCO!P62)</f>
        <v>0</v>
      </c>
      <c r="Q948" s="12"/>
      <c r="R948" s="13"/>
    </row>
    <row r="949" spans="1:18" ht="15" x14ac:dyDescent="0.2">
      <c r="A949" s="321">
        <f>IF(TOTALCO!A63="", "",TOTALCO!A63)</f>
        <v>33</v>
      </c>
      <c r="B949" s="4" t="str">
        <f>IF(TOTALCO!B63="", "",TOTALCO!B63)</f>
        <v>DIRECT ASSIGN 365-TN</v>
      </c>
      <c r="C949" s="4" t="str">
        <f>IF(TOTALCO!C63="", "",TOTALCO!C63)</f>
        <v>DEM365T</v>
      </c>
      <c r="D949" s="12">
        <f>IF(TOTALCO!D63="", "",TOTALCO!D63)</f>
        <v>46763.22</v>
      </c>
      <c r="E949" s="12" t="str">
        <f>IF(TOTALCO!E63="", "",TOTALCO!E63)</f>
        <v/>
      </c>
      <c r="F949" s="12">
        <f>IF(TOTALCO!F63="", "",TOTALCO!F63)</f>
        <v>0</v>
      </c>
      <c r="G949" s="12" t="str">
        <f>IF(TOTALCO!G63="", "",TOTALCO!G63)</f>
        <v/>
      </c>
      <c r="H949" s="12">
        <f>IF(TOTALCO!H63="", "",TOTALCO!H63)</f>
        <v>0</v>
      </c>
      <c r="I949" s="12">
        <f>IF(TOTALCO!I63="", "",TOTALCO!I63)</f>
        <v>46763.22</v>
      </c>
      <c r="J949" s="12" t="str">
        <f>IF(TOTALCO!J63="", "",TOTALCO!J63)</f>
        <v/>
      </c>
      <c r="K949" s="12" t="str">
        <f>IF(TOTALCO!K63="", "",TOTALCO!K63)</f>
        <v/>
      </c>
      <c r="L949" s="12">
        <f>IF(TOTALCO!L63="", "",TOTALCO!L63)</f>
        <v>46763.22</v>
      </c>
      <c r="M949" s="12" t="str">
        <f>IF(TOTALCO!M63="", "",TOTALCO!M63)</f>
        <v/>
      </c>
      <c r="N949" s="12">
        <f>IF(TOTALCO!N63="", "",TOTALCO!N63)</f>
        <v>0</v>
      </c>
      <c r="O949" s="12">
        <f>IF(TOTALCO!O63="", "",TOTALCO!O63)</f>
        <v>0</v>
      </c>
      <c r="P949" s="12">
        <f>IF(TOTALCO!P63="", "",TOTALCO!P63)</f>
        <v>0</v>
      </c>
      <c r="Q949" s="12"/>
      <c r="R949" s="13"/>
    </row>
    <row r="950" spans="1:18" ht="15" x14ac:dyDescent="0.2">
      <c r="A950" s="321">
        <f>IF(TOTALCO!A64="", "",TOTALCO!A64)</f>
        <v>34</v>
      </c>
      <c r="B950" s="4" t="str">
        <f>IF(TOTALCO!B64="", "",TOTALCO!B64)</f>
        <v>DIRECT ASSIGN 368-TN</v>
      </c>
      <c r="C950" s="4" t="str">
        <f>IF(TOTALCO!C64="", "",TOTALCO!C64)</f>
        <v>DEM368T</v>
      </c>
      <c r="D950" s="12">
        <f>IF(TOTALCO!D64="", "",TOTALCO!D64)</f>
        <v>3118.2799999999988</v>
      </c>
      <c r="E950" s="12" t="str">
        <f>IF(TOTALCO!E64="", "",TOTALCO!E64)</f>
        <v/>
      </c>
      <c r="F950" s="12">
        <f>IF(TOTALCO!F64="", "",TOTALCO!F64)</f>
        <v>0</v>
      </c>
      <c r="G950" s="12" t="str">
        <f>IF(TOTALCO!G64="", "",TOTALCO!G64)</f>
        <v/>
      </c>
      <c r="H950" s="12">
        <f>IF(TOTALCO!H64="", "",TOTALCO!H64)</f>
        <v>0</v>
      </c>
      <c r="I950" s="12">
        <f>IF(TOTALCO!I64="", "",TOTALCO!I64)</f>
        <v>3118.2799999999988</v>
      </c>
      <c r="J950" s="12" t="str">
        <f>IF(TOTALCO!J64="", "",TOTALCO!J64)</f>
        <v/>
      </c>
      <c r="K950" s="12" t="str">
        <f>IF(TOTALCO!K64="", "",TOTALCO!K64)</f>
        <v/>
      </c>
      <c r="L950" s="12">
        <f>IF(TOTALCO!L64="", "",TOTALCO!L64)</f>
        <v>3118.2799999999988</v>
      </c>
      <c r="M950" s="12" t="str">
        <f>IF(TOTALCO!M64="", "",TOTALCO!M64)</f>
        <v/>
      </c>
      <c r="N950" s="12">
        <f>IF(TOTALCO!N64="", "",TOTALCO!N64)</f>
        <v>0</v>
      </c>
      <c r="O950" s="12">
        <f>IF(TOTALCO!O64="", "",TOTALCO!O64)</f>
        <v>0</v>
      </c>
      <c r="P950" s="12">
        <f>IF(TOTALCO!P64="", "",TOTALCO!P64)</f>
        <v>0</v>
      </c>
      <c r="Q950" s="12"/>
      <c r="R950" s="13"/>
    </row>
    <row r="951" spans="1:18" ht="15" x14ac:dyDescent="0.2">
      <c r="A951" s="321">
        <f>IF(TOTALCO!A65="", "",TOTALCO!A65)</f>
        <v>35</v>
      </c>
      <c r="B951" s="4" t="str">
        <f>IF(TOTALCO!B65="", "",TOTALCO!B65)</f>
        <v>DIRECT ASSIGN 369-TN</v>
      </c>
      <c r="C951" s="4" t="str">
        <f>IF(TOTALCO!C65="", "",TOTALCO!C65)</f>
        <v>CUST369T</v>
      </c>
      <c r="D951" s="12">
        <f>IF(TOTALCO!D65="", "",TOTALCO!D65)</f>
        <v>254.62</v>
      </c>
      <c r="E951" s="12" t="str">
        <f>IF(TOTALCO!E65="", "",TOTALCO!E65)</f>
        <v/>
      </c>
      <c r="F951" s="12">
        <f>IF(TOTALCO!F65="", "",TOTALCO!F65)</f>
        <v>0</v>
      </c>
      <c r="G951" s="12" t="str">
        <f>IF(TOTALCO!G65="", "",TOTALCO!G65)</f>
        <v/>
      </c>
      <c r="H951" s="12">
        <f>IF(TOTALCO!H65="", "",TOTALCO!H65)</f>
        <v>0</v>
      </c>
      <c r="I951" s="12">
        <f>IF(TOTALCO!I65="", "",TOTALCO!I65)</f>
        <v>254.62</v>
      </c>
      <c r="J951" s="12" t="str">
        <f>IF(TOTALCO!J65="", "",TOTALCO!J65)</f>
        <v/>
      </c>
      <c r="K951" s="12" t="str">
        <f>IF(TOTALCO!K65="", "",TOTALCO!K65)</f>
        <v/>
      </c>
      <c r="L951" s="12">
        <f>IF(TOTALCO!L65="", "",TOTALCO!L65)</f>
        <v>254.62</v>
      </c>
      <c r="M951" s="12" t="str">
        <f>IF(TOTALCO!M65="", "",TOTALCO!M65)</f>
        <v/>
      </c>
      <c r="N951" s="12">
        <f>IF(TOTALCO!N65="", "",TOTALCO!N65)</f>
        <v>0</v>
      </c>
      <c r="O951" s="12">
        <f>IF(TOTALCO!O65="", "",TOTALCO!O65)</f>
        <v>0</v>
      </c>
      <c r="P951" s="12">
        <f>IF(TOTALCO!P65="", "",TOTALCO!P65)</f>
        <v>0</v>
      </c>
      <c r="Q951" s="12"/>
      <c r="R951" s="13"/>
    </row>
    <row r="952" spans="1:18" ht="15" x14ac:dyDescent="0.2">
      <c r="A952" s="321">
        <f>IF(TOTALCO!A66="", "",TOTALCO!A66)</f>
        <v>36</v>
      </c>
      <c r="B952" s="4" t="str">
        <f>IF(TOTALCO!B66="", "",TOTALCO!B66)</f>
        <v>DIRECT ASSIGN 370-TN</v>
      </c>
      <c r="C952" s="4" t="str">
        <f>IF(TOTALCO!C66="", "",TOTALCO!C66)</f>
        <v>CUST370T</v>
      </c>
      <c r="D952" s="12">
        <f>IF(TOTALCO!D66="", "",TOTALCO!D66)</f>
        <v>4199.21</v>
      </c>
      <c r="E952" s="12" t="str">
        <f>IF(TOTALCO!E66="", "",TOTALCO!E66)</f>
        <v/>
      </c>
      <c r="F952" s="12">
        <f>IF(TOTALCO!F66="", "",TOTALCO!F66)</f>
        <v>0</v>
      </c>
      <c r="G952" s="12" t="str">
        <f>IF(TOTALCO!G66="", "",TOTALCO!G66)</f>
        <v/>
      </c>
      <c r="H952" s="12">
        <f>IF(TOTALCO!H66="", "",TOTALCO!H66)</f>
        <v>0</v>
      </c>
      <c r="I952" s="12">
        <f>IF(TOTALCO!I66="", "",TOTALCO!I66)</f>
        <v>4199.21</v>
      </c>
      <c r="J952" s="12" t="str">
        <f>IF(TOTALCO!J66="", "",TOTALCO!J66)</f>
        <v/>
      </c>
      <c r="K952" s="12" t="str">
        <f>IF(TOTALCO!K66="", "",TOTALCO!K66)</f>
        <v/>
      </c>
      <c r="L952" s="12">
        <f>IF(TOTALCO!L66="", "",TOTALCO!L66)</f>
        <v>4199.21</v>
      </c>
      <c r="M952" s="12" t="str">
        <f>IF(TOTALCO!M66="", "",TOTALCO!M66)</f>
        <v/>
      </c>
      <c r="N952" s="12">
        <f>IF(TOTALCO!N66="", "",TOTALCO!N66)</f>
        <v>0</v>
      </c>
      <c r="O952" s="12">
        <f>IF(TOTALCO!O66="", "",TOTALCO!O66)</f>
        <v>0</v>
      </c>
      <c r="P952" s="12">
        <f>IF(TOTALCO!P66="", "",TOTALCO!P66)</f>
        <v>0</v>
      </c>
      <c r="Q952" s="12"/>
      <c r="R952" s="13"/>
    </row>
    <row r="953" spans="1:18" ht="15" x14ac:dyDescent="0.2">
      <c r="A953" s="321">
        <f>IF(TOTALCO!A67="", "",TOTALCO!A67)</f>
        <v>37</v>
      </c>
      <c r="B953" s="4" t="str">
        <f>IF(TOTALCO!B67="", "",TOTALCO!B67)</f>
        <v>DIRECT ASSIGN 371-TN</v>
      </c>
      <c r="C953" s="4" t="str">
        <f>IF(TOTALCO!C67="", "",TOTALCO!C67)</f>
        <v>CUST371T</v>
      </c>
      <c r="D953" s="12">
        <f>IF(TOTALCO!D67="", "",TOTALCO!D67)</f>
        <v>0</v>
      </c>
      <c r="E953" s="12" t="str">
        <f>IF(TOTALCO!E67="", "",TOTALCO!E67)</f>
        <v/>
      </c>
      <c r="F953" s="12">
        <f>IF(TOTALCO!F67="", "",TOTALCO!F67)</f>
        <v>0</v>
      </c>
      <c r="G953" s="12" t="str">
        <f>IF(TOTALCO!G67="", "",TOTALCO!G67)</f>
        <v/>
      </c>
      <c r="H953" s="12">
        <f>IF(TOTALCO!H67="", "",TOTALCO!H67)</f>
        <v>0</v>
      </c>
      <c r="I953" s="12">
        <f>IF(TOTALCO!I67="", "",TOTALCO!I67)</f>
        <v>0</v>
      </c>
      <c r="J953" s="12" t="str">
        <f>IF(TOTALCO!J67="", "",TOTALCO!J67)</f>
        <v/>
      </c>
      <c r="K953" s="12" t="str">
        <f>IF(TOTALCO!K67="", "",TOTALCO!K67)</f>
        <v/>
      </c>
      <c r="L953" s="12">
        <f>IF(TOTALCO!L67="", "",TOTALCO!L67)</f>
        <v>0</v>
      </c>
      <c r="M953" s="12" t="str">
        <f>IF(TOTALCO!M67="", "",TOTALCO!M67)</f>
        <v/>
      </c>
      <c r="N953" s="12">
        <f>IF(TOTALCO!N67="", "",TOTALCO!N67)</f>
        <v>0</v>
      </c>
      <c r="O953" s="12">
        <f>IF(TOTALCO!O67="", "",TOTALCO!O67)</f>
        <v>0</v>
      </c>
      <c r="P953" s="12">
        <f>IF(TOTALCO!P67="", "",TOTALCO!P67)</f>
        <v>0</v>
      </c>
      <c r="Q953" s="12"/>
      <c r="R953" s="13"/>
    </row>
    <row r="954" spans="1:18" ht="15" x14ac:dyDescent="0.2">
      <c r="A954" s="321">
        <f>IF(TOTALCO!A68="", "",TOTALCO!A68)</f>
        <v>38</v>
      </c>
      <c r="B954" s="4" t="str">
        <f>IF(TOTALCO!B68="", "",TOTALCO!B68)</f>
        <v xml:space="preserve">DIR ASSIGN ACC.DEPRC.DIST.VA&amp;TN </v>
      </c>
      <c r="C954" s="4" t="str">
        <f>IF(TOTALCO!C68="", "",TOTALCO!C68)</f>
        <v>DIRACDEP</v>
      </c>
      <c r="D954" s="12">
        <f>IF(TOTALCO!D68="", "",TOTALCO!D68)</f>
        <v>42397904.754276715</v>
      </c>
      <c r="E954" s="12" t="str">
        <f>IF(TOTALCO!E68="", "",TOTALCO!E68)</f>
        <v/>
      </c>
      <c r="F954" s="12">
        <f>IF(TOTALCO!F68="", "",TOTALCO!F68)</f>
        <v>0</v>
      </c>
      <c r="G954" s="12" t="str">
        <f>IF(TOTALCO!G68="", "",TOTALCO!G68)</f>
        <v/>
      </c>
      <c r="H954" s="12">
        <f>IF(TOTALCO!H68="", "",TOTALCO!H68)</f>
        <v>42243614.96949438</v>
      </c>
      <c r="I954" s="12">
        <f>IF(TOTALCO!I68="", "",TOTALCO!I68)</f>
        <v>154289.7847823358</v>
      </c>
      <c r="J954" s="12" t="str">
        <f>IF(TOTALCO!J68="", "",TOTALCO!J68)</f>
        <v/>
      </c>
      <c r="K954" s="12" t="str">
        <f>IF(TOTALCO!K68="", "",TOTALCO!K68)</f>
        <v/>
      </c>
      <c r="L954" s="12">
        <f>IF(TOTALCO!L68="", "",TOTALCO!L68)</f>
        <v>154289.7847823358</v>
      </c>
      <c r="M954" s="12" t="str">
        <f>IF(TOTALCO!M68="", "",TOTALCO!M68)</f>
        <v/>
      </c>
      <c r="N954" s="12">
        <f>IF(TOTALCO!N68="", "",TOTALCO!N68)</f>
        <v>0</v>
      </c>
      <c r="O954" s="12">
        <f>IF(TOTALCO!O68="", "",TOTALCO!O68)</f>
        <v>0</v>
      </c>
      <c r="P954" s="12">
        <f>IF(TOTALCO!P68="", "",TOTALCO!P68)</f>
        <v>0</v>
      </c>
      <c r="Q954" s="12"/>
    </row>
    <row r="955" spans="1:18" ht="15" x14ac:dyDescent="0.2">
      <c r="A955" s="321">
        <f>IF(TOTALCO!A69="", "",TOTALCO!A69)</f>
        <v>39</v>
      </c>
      <c r="B955" s="4" t="str">
        <f>IF(TOTALCO!B69="", "",TOTALCO!B69)</f>
        <v>DIR ASSIGN CWIP DIST VA &amp; TN</v>
      </c>
      <c r="C955" s="4" t="str">
        <f>IF(TOTALCO!C69="", "",TOTALCO!C69)</f>
        <v>DIRCWIP</v>
      </c>
      <c r="D955" s="12">
        <f>IF(TOTALCO!D69="", "",TOTALCO!D69)</f>
        <v>8760.6189088464362</v>
      </c>
      <c r="E955" s="12" t="str">
        <f>IF(TOTALCO!E69="", "",TOTALCO!E69)</f>
        <v/>
      </c>
      <c r="F955" s="12">
        <f>IF(TOTALCO!F69="", "",TOTALCO!F69)</f>
        <v>0</v>
      </c>
      <c r="G955" s="12" t="str">
        <f>IF(TOTALCO!G69="", "",TOTALCO!G69)</f>
        <v/>
      </c>
      <c r="H955" s="12">
        <f>IF(TOTALCO!H69="", "",TOTALCO!H69)</f>
        <v>8760.6189088464362</v>
      </c>
      <c r="I955" s="12">
        <f>IF(TOTALCO!I69="", "",TOTALCO!I69)</f>
        <v>0</v>
      </c>
      <c r="J955" s="12" t="str">
        <f>IF(TOTALCO!J69="", "",TOTALCO!J69)</f>
        <v/>
      </c>
      <c r="K955" s="12" t="str">
        <f>IF(TOTALCO!K69="", "",TOTALCO!K69)</f>
        <v/>
      </c>
      <c r="L955" s="12">
        <f>IF(TOTALCO!L69="", "",TOTALCO!L69)</f>
        <v>0</v>
      </c>
      <c r="M955" s="12" t="str">
        <f>IF(TOTALCO!M69="", "",TOTALCO!M69)</f>
        <v/>
      </c>
      <c r="N955" s="12">
        <f>IF(TOTALCO!N69="", "",TOTALCO!N69)</f>
        <v>0</v>
      </c>
      <c r="O955" s="12">
        <f>IF(TOTALCO!O69="", "",TOTALCO!O69)</f>
        <v>0</v>
      </c>
      <c r="P955" s="12">
        <f>IF(TOTALCO!P69="", "",TOTALCO!P69)</f>
        <v>0</v>
      </c>
      <c r="Q955" s="12"/>
    </row>
    <row r="956" spans="1:18" ht="15" x14ac:dyDescent="0.2">
      <c r="A956" s="321">
        <f>IF(TOTALCO!A70="", "",TOTALCO!A70)</f>
        <v>40</v>
      </c>
      <c r="B956" s="4" t="str">
        <f>IF(TOTALCO!B70="", "",TOTALCO!B70)</f>
        <v>DIR ASSIGN ACC.DFDTX.DIST.VA</v>
      </c>
      <c r="C956" s="4" t="str">
        <f>IF(TOTALCO!C70="", "",TOTALCO!C70)</f>
        <v>DIRACDFTX</v>
      </c>
      <c r="D956" s="12">
        <f>IF(TOTALCO!D70="", "",TOTALCO!D70)</f>
        <v>10084233</v>
      </c>
      <c r="E956" s="12" t="str">
        <f>IF(TOTALCO!E70="", "",TOTALCO!E70)</f>
        <v/>
      </c>
      <c r="F956" s="12">
        <f>IF(TOTALCO!F70="", "",TOTALCO!F70)</f>
        <v>0</v>
      </c>
      <c r="G956" s="12" t="str">
        <f>IF(TOTALCO!G70="", "",TOTALCO!G70)</f>
        <v/>
      </c>
      <c r="H956" s="12">
        <f>IF(TOTALCO!H70="", "",TOTALCO!H70)</f>
        <v>10084233</v>
      </c>
      <c r="I956" s="12">
        <f>IF(TOTALCO!I70="", "",TOTALCO!I70)</f>
        <v>0</v>
      </c>
      <c r="J956" s="12" t="str">
        <f>IF(TOTALCO!J70="", "",TOTALCO!J70)</f>
        <v/>
      </c>
      <c r="K956" s="12" t="str">
        <f>IF(TOTALCO!K70="", "",TOTALCO!K70)</f>
        <v/>
      </c>
      <c r="L956" s="12">
        <f>IF(TOTALCO!L70="", "",TOTALCO!L70)</f>
        <v>0</v>
      </c>
      <c r="M956" s="12" t="str">
        <f>IF(TOTALCO!M70="", "",TOTALCO!M70)</f>
        <v/>
      </c>
      <c r="N956" s="12">
        <f>IF(TOTALCO!N70="", "",TOTALCO!N70)</f>
        <v>0</v>
      </c>
      <c r="O956" s="12">
        <f>IF(TOTALCO!O70="", "",TOTALCO!O70)</f>
        <v>0</v>
      </c>
      <c r="P956" s="12">
        <f>IF(TOTALCO!P70="", "",TOTALCO!P70)</f>
        <v>0</v>
      </c>
      <c r="Q956" s="12"/>
    </row>
    <row r="957" spans="1:18" ht="15" x14ac:dyDescent="0.2">
      <c r="A957" s="321">
        <f>IF(TOTALCO!A71="", "",TOTALCO!A71)</f>
        <v>41</v>
      </c>
      <c r="B957" s="4" t="str">
        <f>IF(TOTALCO!B71="", "",TOTALCO!B71)</f>
        <v>DIR ASSIGN ACC.ITC.DIST.VA</v>
      </c>
      <c r="C957" s="4" t="str">
        <f>IF(TOTALCO!C71="", "",TOTALCO!C71)</f>
        <v>DIRACITC</v>
      </c>
      <c r="D957" s="12">
        <f>IF(TOTALCO!D71="", "",TOTALCO!D71)</f>
        <v>0</v>
      </c>
      <c r="E957" s="12" t="str">
        <f>IF(TOTALCO!E71="", "",TOTALCO!E71)</f>
        <v/>
      </c>
      <c r="F957" s="12">
        <f>IF(TOTALCO!F71="", "",TOTALCO!F71)</f>
        <v>0</v>
      </c>
      <c r="G957" s="12" t="str">
        <f>IF(TOTALCO!G71="", "",TOTALCO!G71)</f>
        <v/>
      </c>
      <c r="H957" s="12">
        <f>IF(TOTALCO!H71="", "",TOTALCO!H71)</f>
        <v>0</v>
      </c>
      <c r="I957" s="12">
        <f>IF(TOTALCO!I71="", "",TOTALCO!I71)</f>
        <v>0</v>
      </c>
      <c r="J957" s="12" t="str">
        <f>IF(TOTALCO!J71="", "",TOTALCO!J71)</f>
        <v/>
      </c>
      <c r="K957" s="12" t="str">
        <f>IF(TOTALCO!K71="", "",TOTALCO!K71)</f>
        <v/>
      </c>
      <c r="L957" s="12">
        <f>IF(TOTALCO!L71="", "",TOTALCO!L71)</f>
        <v>0</v>
      </c>
      <c r="M957" s="12" t="str">
        <f>IF(TOTALCO!M71="", "",TOTALCO!M71)</f>
        <v/>
      </c>
      <c r="N957" s="12">
        <f>IF(TOTALCO!N71="", "",TOTALCO!N71)</f>
        <v>0</v>
      </c>
      <c r="O957" s="12">
        <f>IF(TOTALCO!O71="", "",TOTALCO!O71)</f>
        <v>0</v>
      </c>
      <c r="P957" s="12">
        <f>IF(TOTALCO!P71="", "",TOTALCO!P71)</f>
        <v>0</v>
      </c>
      <c r="Q957" s="12"/>
    </row>
    <row r="958" spans="1:18" ht="15" x14ac:dyDescent="0.2">
      <c r="A958" s="321">
        <f>IF(TOTALCO!A72="", "",TOTALCO!A72)</f>
        <v>42</v>
      </c>
      <c r="B958" s="4" t="str">
        <f>IF(TOTALCO!B72="", "",TOTALCO!B72)</f>
        <v>DIR ASSIGN RENT REVENUE</v>
      </c>
      <c r="C958" s="4" t="str">
        <f>IF(TOTALCO!C72="", "",TOTALCO!C72)</f>
        <v>DIR454REV</v>
      </c>
      <c r="D958" s="12">
        <f>IF(TOTALCO!D72="", "",TOTALCO!D72)</f>
        <v>3695780.1399999964</v>
      </c>
      <c r="E958" s="12" t="str">
        <f>IF(TOTALCO!E72="", "",TOTALCO!E72)</f>
        <v/>
      </c>
      <c r="F958" s="12">
        <f>IF(TOTALCO!F72="", "",TOTALCO!F72)</f>
        <v>3139768.4099999964</v>
      </c>
      <c r="G958" s="12" t="str">
        <f>IF(TOTALCO!G72="", "",TOTALCO!G72)</f>
        <v/>
      </c>
      <c r="H958" s="12">
        <f>IF(TOTALCO!H72="", "",TOTALCO!H72)</f>
        <v>387734.87</v>
      </c>
      <c r="I958" s="12">
        <f>IF(TOTALCO!I72="", "",TOTALCO!I72)</f>
        <v>168276.86000000002</v>
      </c>
      <c r="J958" s="12" t="str">
        <f>IF(TOTALCO!J72="", "",TOTALCO!J72)</f>
        <v/>
      </c>
      <c r="K958" s="12" t="str">
        <f>IF(TOTALCO!K72="", "",TOTALCO!K72)</f>
        <v/>
      </c>
      <c r="L958" s="12">
        <f>IF(TOTALCO!L72="", "",TOTALCO!L72)</f>
        <v>57.5</v>
      </c>
      <c r="M958" s="12" t="str">
        <f>IF(TOTALCO!M72="", "",TOTALCO!M72)</f>
        <v/>
      </c>
      <c r="N958" s="12">
        <f>IF(TOTALCO!N72="", "",TOTALCO!N72)</f>
        <v>168219.36000000002</v>
      </c>
      <c r="O958" s="12">
        <f>IF(TOTALCO!O72="", "",TOTALCO!O72)</f>
        <v>168219.36000000002</v>
      </c>
      <c r="P958" s="12">
        <f>IF(TOTALCO!P72="", "",TOTALCO!P72)</f>
        <v>0</v>
      </c>
      <c r="Q958" s="12"/>
    </row>
    <row r="959" spans="1:18" ht="15" x14ac:dyDescent="0.2">
      <c r="A959" s="321">
        <f>IF(TOTALCO!A73="", "",TOTALCO!A73)</f>
        <v>43</v>
      </c>
      <c r="B959" s="4" t="str">
        <f>IF(TOTALCO!B73="", "",TOTALCO!B73)</f>
        <v>DIR ASSIGN EXCESS FACILITIES REV.</v>
      </c>
      <c r="C959" s="4" t="str">
        <f>IF(TOTALCO!C73="", "",TOTALCO!C73)</f>
        <v>DIR456FAC</v>
      </c>
      <c r="D959" s="12">
        <f>IF(TOTALCO!D73="", "",TOTALCO!D73)</f>
        <v>36813.089999999997</v>
      </c>
      <c r="E959" s="12" t="str">
        <f>IF(TOTALCO!E73="", "",TOTALCO!E73)</f>
        <v/>
      </c>
      <c r="F959" s="12">
        <f>IF(TOTALCO!F73="", "",TOTALCO!F73)</f>
        <v>35268.839999999997</v>
      </c>
      <c r="G959" s="12" t="str">
        <f>IF(TOTALCO!G73="", "",TOTALCO!G73)</f>
        <v/>
      </c>
      <c r="H959" s="12">
        <f>IF(TOTALCO!H73="", "",TOTALCO!H73)</f>
        <v>1544.25</v>
      </c>
      <c r="I959" s="12">
        <f>IF(TOTALCO!I73="", "",TOTALCO!I73)</f>
        <v>0</v>
      </c>
      <c r="J959" s="12" t="str">
        <f>IF(TOTALCO!J73="", "",TOTALCO!J73)</f>
        <v/>
      </c>
      <c r="K959" s="12" t="str">
        <f>IF(TOTALCO!K73="", "",TOTALCO!K73)</f>
        <v/>
      </c>
      <c r="L959" s="12">
        <f>IF(TOTALCO!L73="", "",TOTALCO!L73)</f>
        <v>0</v>
      </c>
      <c r="M959" s="12" t="str">
        <f>IF(TOTALCO!M73="", "",TOTALCO!M73)</f>
        <v/>
      </c>
      <c r="N959" s="12">
        <f>IF(TOTALCO!N73="", "",TOTALCO!N73)</f>
        <v>0</v>
      </c>
      <c r="O959" s="12">
        <f>IF(TOTALCO!O73="", "",TOTALCO!O73)</f>
        <v>0</v>
      </c>
      <c r="P959" s="12">
        <f>IF(TOTALCO!P73="", "",TOTALCO!P73)</f>
        <v>0</v>
      </c>
      <c r="Q959" s="12"/>
    </row>
    <row r="960" spans="1:18" ht="15" x14ac:dyDescent="0.2">
      <c r="A960" s="321">
        <f>IF(TOTALCO!A74="", "",TOTALCO!A74)</f>
        <v>44</v>
      </c>
      <c r="B960" s="4" t="str">
        <f>IF(TOTALCO!B74="", "",TOTALCO!B74)</f>
        <v>DIR ASSIGN OTHER MISC REV.</v>
      </c>
      <c r="C960" s="4" t="str">
        <f>IF(TOTALCO!C74="", "",TOTALCO!C74)</f>
        <v>DIR456OTH</v>
      </c>
      <c r="D960" s="12">
        <f>IF(TOTALCO!D74="", "",TOTALCO!D74)</f>
        <v>72900.206666669401</v>
      </c>
      <c r="E960" s="12" t="str">
        <f>IF(TOTALCO!E74="", "",TOTALCO!E74)</f>
        <v/>
      </c>
      <c r="F960" s="12">
        <f>IF(TOTALCO!F74="", "",TOTALCO!F74)</f>
        <v>72900.206666669401</v>
      </c>
      <c r="G960" s="12" t="str">
        <f>IF(TOTALCO!G74="", "",TOTALCO!G74)</f>
        <v/>
      </c>
      <c r="H960" s="12">
        <f>IF(TOTALCO!H74="", "",TOTALCO!H74)</f>
        <v>0</v>
      </c>
      <c r="I960" s="12">
        <f>IF(TOTALCO!I74="", "",TOTALCO!I74)</f>
        <v>0</v>
      </c>
      <c r="J960" s="12" t="str">
        <f>IF(TOTALCO!J74="", "",TOTALCO!J74)</f>
        <v/>
      </c>
      <c r="K960" s="12" t="str">
        <f>IF(TOTALCO!K74="", "",TOTALCO!K74)</f>
        <v/>
      </c>
      <c r="L960" s="12">
        <f>IF(TOTALCO!L74="", "",TOTALCO!L74)</f>
        <v>0</v>
      </c>
      <c r="M960" s="12" t="str">
        <f>IF(TOTALCO!M74="", "",TOTALCO!M74)</f>
        <v/>
      </c>
      <c r="N960" s="12">
        <f>IF(TOTALCO!N74="", "",TOTALCO!N74)</f>
        <v>0</v>
      </c>
      <c r="O960" s="12">
        <f>IF(TOTALCO!O74="", "",TOTALCO!O74)</f>
        <v>0</v>
      </c>
      <c r="P960" s="12">
        <f>IF(TOTALCO!P74="", "",TOTALCO!P74)</f>
        <v>0</v>
      </c>
      <c r="Q960" s="12"/>
    </row>
    <row r="961" spans="1:17" ht="15" x14ac:dyDescent="0.2">
      <c r="A961" s="321">
        <f>IF(TOTALCO!A75="", "",TOTALCO!A75)</f>
        <v>45</v>
      </c>
      <c r="B961" s="4" t="str">
        <f>IF(TOTALCO!B75="", "",TOTALCO!B75)</f>
        <v>DIR ASSIGN RECONNECT REV</v>
      </c>
      <c r="C961" s="4" t="str">
        <f>IF(TOTALCO!C75="", "",TOTALCO!C75)</f>
        <v>DIR451REC</v>
      </c>
      <c r="D961" s="12">
        <f>IF(TOTALCO!D75="", "",TOTALCO!D75)</f>
        <v>2409014.85</v>
      </c>
      <c r="E961" s="12" t="str">
        <f>IF(TOTALCO!E75="", "",TOTALCO!E75)</f>
        <v/>
      </c>
      <c r="F961" s="12">
        <f>IF(TOTALCO!F75="", "",TOTALCO!F75)</f>
        <v>2256048.35</v>
      </c>
      <c r="G961" s="12" t="str">
        <f>IF(TOTALCO!G75="", "",TOTALCO!G75)</f>
        <v/>
      </c>
      <c r="H961" s="12">
        <f>IF(TOTALCO!H75="", "",TOTALCO!H75)</f>
        <v>152966.5</v>
      </c>
      <c r="I961" s="12">
        <f>IF(TOTALCO!I75="", "",TOTALCO!I75)</f>
        <v>0</v>
      </c>
      <c r="J961" s="12" t="str">
        <f>IF(TOTALCO!J75="", "",TOTALCO!J75)</f>
        <v/>
      </c>
      <c r="K961" s="12" t="str">
        <f>IF(TOTALCO!K75="", "",TOTALCO!K75)</f>
        <v/>
      </c>
      <c r="L961" s="12">
        <f>IF(TOTALCO!L75="", "",TOTALCO!L75)</f>
        <v>0</v>
      </c>
      <c r="M961" s="12" t="str">
        <f>IF(TOTALCO!M75="", "",TOTALCO!M75)</f>
        <v/>
      </c>
      <c r="N961" s="12">
        <f>IF(TOTALCO!N75="", "",TOTALCO!N75)</f>
        <v>0</v>
      </c>
      <c r="O961" s="12">
        <f>IF(TOTALCO!O75="", "",TOTALCO!O75)</f>
        <v>0</v>
      </c>
      <c r="P961" s="12">
        <f>IF(TOTALCO!P75="", "",TOTALCO!P75)</f>
        <v>0</v>
      </c>
      <c r="Q961" s="12"/>
    </row>
    <row r="962" spans="1:17" ht="15" x14ac:dyDescent="0.2">
      <c r="A962" s="321">
        <f>IF(TOTALCO!A76="", "",TOTALCO!A76)</f>
        <v>46</v>
      </c>
      <c r="B962" s="4" t="str">
        <f>IF(TOTALCO!B76="", "",TOTALCO!B76)</f>
        <v>DIR ASSIGN OTHER SERVICE REV</v>
      </c>
      <c r="C962" s="4" t="str">
        <f>IF(TOTALCO!C76="", "",TOTALCO!C76)</f>
        <v>DIR451OTH</v>
      </c>
      <c r="D962" s="12">
        <f>IF(TOTALCO!D76="", "",TOTALCO!D76)</f>
        <v>60477.13</v>
      </c>
      <c r="E962" s="12" t="str">
        <f>IF(TOTALCO!E76="", "",TOTALCO!E76)</f>
        <v/>
      </c>
      <c r="F962" s="12">
        <f>IF(TOTALCO!F76="", "",TOTALCO!F76)</f>
        <v>60017.13</v>
      </c>
      <c r="G962" s="12" t="str">
        <f>IF(TOTALCO!G76="", "",TOTALCO!G76)</f>
        <v/>
      </c>
      <c r="H962" s="12">
        <f>IF(TOTALCO!H76="", "",TOTALCO!H76)</f>
        <v>460</v>
      </c>
      <c r="I962" s="12">
        <f>IF(TOTALCO!I76="", "",TOTALCO!I76)</f>
        <v>0</v>
      </c>
      <c r="J962" s="12" t="str">
        <f>IF(TOTALCO!J76="", "",TOTALCO!J76)</f>
        <v/>
      </c>
      <c r="K962" s="12" t="str">
        <f>IF(TOTALCO!K76="", "",TOTALCO!K76)</f>
        <v/>
      </c>
      <c r="L962" s="12">
        <f>IF(TOTALCO!L76="", "",TOTALCO!L76)</f>
        <v>0</v>
      </c>
      <c r="M962" s="12" t="str">
        <f>IF(TOTALCO!M76="", "",TOTALCO!M76)</f>
        <v/>
      </c>
      <c r="N962" s="12">
        <f>IF(TOTALCO!N76="", "",TOTALCO!N76)</f>
        <v>0</v>
      </c>
      <c r="O962" s="12">
        <f>IF(TOTALCO!O76="", "",TOTALCO!O76)</f>
        <v>0</v>
      </c>
      <c r="P962" s="12">
        <f>IF(TOTALCO!P76="", "",TOTALCO!P76)</f>
        <v>0</v>
      </c>
      <c r="Q962" s="12"/>
    </row>
    <row r="963" spans="1:17" ht="15" x14ac:dyDescent="0.2">
      <c r="A963" s="321">
        <f>IF(TOTALCO!A77="", "",TOTALCO!A77)</f>
        <v>47</v>
      </c>
      <c r="B963" s="4" t="str">
        <f>IF(TOTALCO!B77="", "",TOTALCO!B77)</f>
        <v>DIR ASSIGN RETURN CHECK REV</v>
      </c>
      <c r="C963" s="4" t="str">
        <f>IF(TOTALCO!C77="", "",TOTALCO!C77)</f>
        <v>DIR456CHK</v>
      </c>
      <c r="D963" s="12">
        <f>IF(TOTALCO!D77="", "",TOTALCO!D77)</f>
        <v>187268</v>
      </c>
      <c r="E963" s="12" t="str">
        <f>IF(TOTALCO!E77="", "",TOTALCO!E77)</f>
        <v/>
      </c>
      <c r="F963" s="12">
        <f>IF(TOTALCO!F77="", "",TOTALCO!F77)</f>
        <v>187268</v>
      </c>
      <c r="G963" s="12" t="str">
        <f>IF(TOTALCO!G77="", "",TOTALCO!G77)</f>
        <v/>
      </c>
      <c r="H963" s="12">
        <f>IF(TOTALCO!H77="", "",TOTALCO!H77)</f>
        <v>0</v>
      </c>
      <c r="I963" s="12">
        <f>IF(TOTALCO!I77="", "",TOTALCO!I77)</f>
        <v>0</v>
      </c>
      <c r="J963" s="12" t="str">
        <f>IF(TOTALCO!J77="", "",TOTALCO!J77)</f>
        <v/>
      </c>
      <c r="K963" s="12" t="str">
        <f>IF(TOTALCO!K77="", "",TOTALCO!K77)</f>
        <v/>
      </c>
      <c r="L963" s="12">
        <f>IF(TOTALCO!L77="", "",TOTALCO!L77)</f>
        <v>0</v>
      </c>
      <c r="M963" s="12" t="str">
        <f>IF(TOTALCO!M77="", "",TOTALCO!M77)</f>
        <v/>
      </c>
      <c r="N963" s="12">
        <f>IF(TOTALCO!N77="", "",TOTALCO!N77)</f>
        <v>0</v>
      </c>
      <c r="O963" s="12">
        <f>IF(TOTALCO!O77="", "",TOTALCO!O77)</f>
        <v>0</v>
      </c>
      <c r="P963" s="12">
        <f>IF(TOTALCO!P77="", "",TOTALCO!P77)</f>
        <v>0</v>
      </c>
      <c r="Q963" s="12"/>
    </row>
    <row r="964" spans="1:17" ht="15" x14ac:dyDescent="0.2">
      <c r="A964" s="321">
        <f>IF(TOTALCO!A78="", "",TOTALCO!A78)</f>
        <v>48</v>
      </c>
      <c r="B964" s="4" t="str">
        <f>IF(TOTALCO!B78="", "",TOTALCO!B78)</f>
        <v>DIR ASSIGN 203(E) EXCESS</v>
      </c>
      <c r="C964" s="4" t="str">
        <f>IF(TOTALCO!C78="", "",TOTALCO!C78)</f>
        <v>DIR203E</v>
      </c>
      <c r="D964" s="12">
        <f>IF(TOTALCO!D78="", "",TOTALCO!D78)</f>
        <v>17920</v>
      </c>
      <c r="E964" s="12" t="str">
        <f>IF(TOTALCO!E78="", "",TOTALCO!E78)</f>
        <v/>
      </c>
      <c r="F964" s="12">
        <f>IF(TOTALCO!F78="", "",TOTALCO!F78)</f>
        <v>0</v>
      </c>
      <c r="G964" s="12" t="str">
        <f>IF(TOTALCO!G78="", "",TOTALCO!G78)</f>
        <v/>
      </c>
      <c r="H964" s="12">
        <f>IF(TOTALCO!H78="", "",TOTALCO!H78)</f>
        <v>17920</v>
      </c>
      <c r="I964" s="12">
        <f>IF(TOTALCO!I78="", "",TOTALCO!I78)</f>
        <v>0</v>
      </c>
      <c r="J964" s="12" t="str">
        <f>IF(TOTALCO!J78="", "",TOTALCO!J78)</f>
        <v/>
      </c>
      <c r="K964" s="12" t="str">
        <f>IF(TOTALCO!K78="", "",TOTALCO!K78)</f>
        <v/>
      </c>
      <c r="L964" s="12">
        <f>IF(TOTALCO!L78="", "",TOTALCO!L78)</f>
        <v>0</v>
      </c>
      <c r="M964" s="12" t="str">
        <f>IF(TOTALCO!M78="", "",TOTALCO!M78)</f>
        <v/>
      </c>
      <c r="N964" s="12">
        <f>IF(TOTALCO!N78="", "",TOTALCO!N78)</f>
        <v>0</v>
      </c>
      <c r="O964" s="12">
        <f>IF(TOTALCO!O78="", "",TOTALCO!O78)</f>
        <v>0</v>
      </c>
      <c r="P964" s="12">
        <f>IF(TOTALCO!P78="", "",TOTALCO!P78)</f>
        <v>0</v>
      </c>
      <c r="Q964" s="12"/>
    </row>
    <row r="965" spans="1:17" ht="15" x14ac:dyDescent="0.2">
      <c r="A965" s="321">
        <f>IF(TOTALCO!A79="", "",TOTALCO!A79)</f>
        <v>49</v>
      </c>
      <c r="B965" s="4" t="str">
        <f>IF(TOTALCO!B79="", "",TOTALCO!B79)</f>
        <v>DIR ASSIGN ITC ADJ</v>
      </c>
      <c r="C965" s="4" t="str">
        <f>IF(TOTALCO!C79="", "",TOTALCO!C79)</f>
        <v>DIRITCADJ</v>
      </c>
      <c r="D965" s="12">
        <f>IF(TOTALCO!D79="", "",TOTALCO!D79)</f>
        <v>0</v>
      </c>
      <c r="E965" s="12" t="str">
        <f>IF(TOTALCO!E79="", "",TOTALCO!E79)</f>
        <v/>
      </c>
      <c r="F965" s="12">
        <f>IF(TOTALCO!F79="", "",TOTALCO!F79)</f>
        <v>0</v>
      </c>
      <c r="G965" s="12" t="str">
        <f>IF(TOTALCO!G79="", "",TOTALCO!G79)</f>
        <v/>
      </c>
      <c r="H965" s="12">
        <f>IF(TOTALCO!H79="", "",TOTALCO!H79)</f>
        <v>0</v>
      </c>
      <c r="I965" s="12">
        <f>IF(TOTALCO!I79="", "",TOTALCO!I79)</f>
        <v>0</v>
      </c>
      <c r="J965" s="12" t="str">
        <f>IF(TOTALCO!J79="", "",TOTALCO!J79)</f>
        <v/>
      </c>
      <c r="K965" s="12" t="str">
        <f>IF(TOTALCO!K79="", "",TOTALCO!K79)</f>
        <v/>
      </c>
      <c r="L965" s="12">
        <f>IF(TOTALCO!L79="", "",TOTALCO!L79)</f>
        <v>0</v>
      </c>
      <c r="M965" s="12" t="str">
        <f>IF(TOTALCO!M79="", "",TOTALCO!M79)</f>
        <v/>
      </c>
      <c r="N965" s="12">
        <f>IF(TOTALCO!N79="", "",TOTALCO!N79)</f>
        <v>0</v>
      </c>
      <c r="O965" s="12">
        <f>IF(TOTALCO!O79="", "",TOTALCO!O79)</f>
        <v>0</v>
      </c>
      <c r="P965" s="12">
        <f>IF(TOTALCO!P79="", "",TOTALCO!P79)</f>
        <v>0</v>
      </c>
      <c r="Q965" s="12"/>
    </row>
    <row r="966" spans="1:17" ht="15" x14ac:dyDescent="0.2">
      <c r="A966" s="321">
        <f>IF(TOTALCO!A80="", "",TOTALCO!A80)</f>
        <v>50</v>
      </c>
      <c r="B966" s="4" t="str">
        <f>IF(TOTALCO!B80="", "",TOTALCO!B80)</f>
        <v>DIR ASSIGN DEFERRED FUEL-VIRGINIA</v>
      </c>
      <c r="C966" s="4" t="str">
        <f>IF(TOTALCO!C80="", "",TOTALCO!C80)</f>
        <v>DFUELVA</v>
      </c>
      <c r="D966" s="12">
        <f>IF(TOTALCO!D80="", "",TOTALCO!D80)</f>
        <v>-91173</v>
      </c>
      <c r="E966" s="12" t="str">
        <f>IF(TOTALCO!E80="", "",TOTALCO!E80)</f>
        <v/>
      </c>
      <c r="F966" s="12">
        <f>IF(TOTALCO!F80="", "",TOTALCO!F80)</f>
        <v>0</v>
      </c>
      <c r="G966" s="12" t="str">
        <f>IF(TOTALCO!G80="", "",TOTALCO!G80)</f>
        <v/>
      </c>
      <c r="H966" s="12">
        <f>IF(TOTALCO!H80="", "",TOTALCO!H80)</f>
        <v>-91173</v>
      </c>
      <c r="I966" s="12">
        <f>IF(TOTALCO!I80="", "",TOTALCO!I80)</f>
        <v>0</v>
      </c>
      <c r="J966" s="12" t="str">
        <f>IF(TOTALCO!J80="", "",TOTALCO!J80)</f>
        <v/>
      </c>
      <c r="K966" s="12" t="str">
        <f>IF(TOTALCO!K80="", "",TOTALCO!K80)</f>
        <v/>
      </c>
      <c r="L966" s="12">
        <f>IF(TOTALCO!L80="", "",TOTALCO!L80)</f>
        <v>0</v>
      </c>
      <c r="M966" s="12" t="str">
        <f>IF(TOTALCO!M80="", "",TOTALCO!M80)</f>
        <v/>
      </c>
      <c r="N966" s="12">
        <f>IF(TOTALCO!N80="", "",TOTALCO!N80)</f>
        <v>0</v>
      </c>
      <c r="O966" s="12">
        <f>IF(TOTALCO!O80="", "",TOTALCO!O80)</f>
        <v>0</v>
      </c>
      <c r="P966" s="12">
        <f>IF(TOTALCO!P80="", "",TOTALCO!P80)</f>
        <v>0</v>
      </c>
      <c r="Q966" s="12"/>
    </row>
    <row r="967" spans="1:17" ht="15" x14ac:dyDescent="0.2">
      <c r="A967" s="321" t="str">
        <f>IF(TOTALCO!A81="", "",TOTALCO!A81)</f>
        <v/>
      </c>
      <c r="B967" s="4" t="str">
        <f>IF(TOTALCO!B81="", "",TOTALCO!B81)</f>
        <v/>
      </c>
      <c r="C967" s="4" t="str">
        <f>IF(TOTALCO!C81="", "",TOTALCO!C81)</f>
        <v/>
      </c>
      <c r="D967" s="12" t="str">
        <f>IF(TOTALCO!D81="", "",TOTALCO!D81)</f>
        <v/>
      </c>
      <c r="E967" s="12" t="str">
        <f>IF(TOTALCO!E81="", "",TOTALCO!E81)</f>
        <v/>
      </c>
      <c r="F967" s="12" t="str">
        <f>IF(TOTALCO!F81="", "",TOTALCO!F81)</f>
        <v/>
      </c>
      <c r="G967" s="12" t="str">
        <f>IF(TOTALCO!G81="", "",TOTALCO!G81)</f>
        <v/>
      </c>
      <c r="H967" s="12" t="str">
        <f>IF(TOTALCO!H81="", "",TOTALCO!H81)</f>
        <v/>
      </c>
      <c r="I967" s="12" t="str">
        <f>IF(TOTALCO!I81="", "",TOTALCO!I81)</f>
        <v/>
      </c>
      <c r="J967" s="12" t="str">
        <f>IF(TOTALCO!J81="", "",TOTALCO!J81)</f>
        <v/>
      </c>
      <c r="K967" s="12" t="str">
        <f>IF(TOTALCO!K81="", "",TOTALCO!K81)</f>
        <v/>
      </c>
      <c r="L967" s="12" t="str">
        <f>IF(TOTALCO!L81="", "",TOTALCO!L81)</f>
        <v/>
      </c>
      <c r="M967" s="12" t="str">
        <f>IF(TOTALCO!M81="", "",TOTALCO!M81)</f>
        <v/>
      </c>
      <c r="N967" s="12" t="str">
        <f>IF(TOTALCO!N81="", "",TOTALCO!N81)</f>
        <v/>
      </c>
      <c r="O967" s="12" t="str">
        <f>IF(TOTALCO!O81="", "",TOTALCO!O81)</f>
        <v/>
      </c>
      <c r="P967" s="12" t="str">
        <f>IF(TOTALCO!P81="", "",TOTALCO!P81)</f>
        <v/>
      </c>
      <c r="Q967" s="12"/>
    </row>
    <row r="968" spans="1:17" ht="15" x14ac:dyDescent="0.2">
      <c r="A968" s="321" t="str">
        <f>IF(TOTALCO!A82="", "",TOTALCO!A82)</f>
        <v/>
      </c>
      <c r="B968" s="4" t="str">
        <f>IF(TOTALCO!B82="", "",TOTALCO!B82)</f>
        <v/>
      </c>
      <c r="C968" s="4" t="str">
        <f>IF(TOTALCO!C82="", "",TOTALCO!C82)</f>
        <v/>
      </c>
      <c r="D968" s="12" t="str">
        <f>IF(TOTALCO!D82="", "",TOTALCO!D82)</f>
        <v/>
      </c>
      <c r="E968" s="12" t="str">
        <f>IF(TOTALCO!E82="", "",TOTALCO!E82)</f>
        <v/>
      </c>
      <c r="F968" s="12" t="str">
        <f>IF(TOTALCO!F82="", "",TOTALCO!F82)</f>
        <v/>
      </c>
      <c r="G968" s="12" t="str">
        <f>IF(TOTALCO!G82="", "",TOTALCO!G82)</f>
        <v/>
      </c>
      <c r="H968" s="12" t="str">
        <f>IF(TOTALCO!H82="", "",TOTALCO!H82)</f>
        <v/>
      </c>
      <c r="I968" s="12" t="str">
        <f>IF(TOTALCO!I82="", "",TOTALCO!I82)</f>
        <v/>
      </c>
      <c r="J968" s="12" t="str">
        <f>IF(TOTALCO!J82="", "",TOTALCO!J82)</f>
        <v/>
      </c>
      <c r="K968" s="12" t="str">
        <f>IF(TOTALCO!K82="", "",TOTALCO!K82)</f>
        <v/>
      </c>
      <c r="L968" s="12" t="str">
        <f>IF(TOTALCO!L82="", "",TOTALCO!L82)</f>
        <v/>
      </c>
      <c r="M968" s="12" t="str">
        <f>IF(TOTALCO!M82="", "",TOTALCO!M82)</f>
        <v/>
      </c>
      <c r="N968" s="12" t="str">
        <f>IF(TOTALCO!N82="", "",TOTALCO!N82)</f>
        <v/>
      </c>
      <c r="O968" s="12" t="str">
        <f>IF(TOTALCO!O82="", "",TOTALCO!O82)</f>
        <v/>
      </c>
      <c r="P968" s="12" t="str">
        <f>IF(TOTALCO!P82="", "",TOTALCO!P82)</f>
        <v/>
      </c>
      <c r="Q968" s="12"/>
    </row>
    <row r="969" spans="1:17" ht="15" x14ac:dyDescent="0.2">
      <c r="A969" s="321" t="str">
        <f>IF(TOTALCO!A83="", "",TOTALCO!A83)</f>
        <v/>
      </c>
      <c r="B969" s="4" t="str">
        <f>IF(TOTALCO!B83="", "",TOTALCO!B83)</f>
        <v>ENERGY</v>
      </c>
      <c r="C969" s="4" t="str">
        <f>IF(TOTALCO!C83="", "",TOTALCO!C83)</f>
        <v/>
      </c>
      <c r="D969" s="12" t="str">
        <f>IF(TOTALCO!D83="", "",TOTALCO!D83)</f>
        <v/>
      </c>
      <c r="E969" s="12" t="str">
        <f>IF(TOTALCO!E83="", "",TOTALCO!E83)</f>
        <v/>
      </c>
      <c r="F969" s="12" t="str">
        <f>IF(TOTALCO!F83="", "",TOTALCO!F83)</f>
        <v/>
      </c>
      <c r="G969" s="12" t="str">
        <f>IF(TOTALCO!G83="", "",TOTALCO!G83)</f>
        <v/>
      </c>
      <c r="H969" s="12" t="str">
        <f>IF(TOTALCO!H83="", "",TOTALCO!H83)</f>
        <v/>
      </c>
      <c r="I969" s="12" t="str">
        <f>IF(TOTALCO!I83="", "",TOTALCO!I83)</f>
        <v/>
      </c>
      <c r="J969" s="12" t="str">
        <f>IF(TOTALCO!J83="", "",TOTALCO!J83)</f>
        <v/>
      </c>
      <c r="K969" s="12" t="str">
        <f>IF(TOTALCO!K83="", "",TOTALCO!K83)</f>
        <v/>
      </c>
      <c r="L969" s="12" t="str">
        <f>IF(TOTALCO!L83="", "",TOTALCO!L83)</f>
        <v/>
      </c>
      <c r="M969" s="12" t="str">
        <f>IF(TOTALCO!M83="", "",TOTALCO!M83)</f>
        <v/>
      </c>
      <c r="N969" s="12" t="str">
        <f>IF(TOTALCO!N83="", "",TOTALCO!N83)</f>
        <v/>
      </c>
      <c r="O969" s="12" t="str">
        <f>IF(TOTALCO!O83="", "",TOTALCO!O83)</f>
        <v/>
      </c>
      <c r="P969" s="12" t="str">
        <f>IF(TOTALCO!P83="", "",TOTALCO!P83)</f>
        <v/>
      </c>
      <c r="Q969" s="12"/>
    </row>
    <row r="970" spans="1:17" ht="15" x14ac:dyDescent="0.2">
      <c r="A970" s="321" t="str">
        <f>IF(TOTALCO!A84="", "",TOTALCO!A84)</f>
        <v/>
      </c>
      <c r="B970" s="4" t="str">
        <f>IF(TOTALCO!B84="", "",TOTALCO!B84)</f>
        <v>-</v>
      </c>
      <c r="C970" s="4" t="str">
        <f>IF(TOTALCO!C84="", "",TOTALCO!C84)</f>
        <v/>
      </c>
      <c r="D970" s="12" t="str">
        <f>IF(TOTALCO!D84="", "",TOTALCO!D84)</f>
        <v/>
      </c>
      <c r="E970" s="12" t="str">
        <f>IF(TOTALCO!E84="", "",TOTALCO!E84)</f>
        <v/>
      </c>
      <c r="F970" s="12" t="str">
        <f>IF(TOTALCO!F84="", "",TOTALCO!F84)</f>
        <v/>
      </c>
      <c r="G970" s="12" t="str">
        <f>IF(TOTALCO!G84="", "",TOTALCO!G84)</f>
        <v/>
      </c>
      <c r="H970" s="12" t="str">
        <f>IF(TOTALCO!H84="", "",TOTALCO!H84)</f>
        <v/>
      </c>
      <c r="I970" s="12" t="str">
        <f>IF(TOTALCO!I84="", "",TOTALCO!I84)</f>
        <v/>
      </c>
      <c r="J970" s="12" t="str">
        <f>IF(TOTALCO!J84="", "",TOTALCO!J84)</f>
        <v/>
      </c>
      <c r="K970" s="12" t="str">
        <f>IF(TOTALCO!K84="", "",TOTALCO!K84)</f>
        <v/>
      </c>
      <c r="L970" s="12" t="str">
        <f>IF(TOTALCO!L84="", "",TOTALCO!L84)</f>
        <v/>
      </c>
      <c r="M970" s="12" t="str">
        <f>IF(TOTALCO!M84="", "",TOTALCO!M84)</f>
        <v/>
      </c>
      <c r="N970" s="12" t="str">
        <f>IF(TOTALCO!N84="", "",TOTALCO!N84)</f>
        <v/>
      </c>
      <c r="O970" s="12" t="str">
        <f>IF(TOTALCO!O84="", "",TOTALCO!O84)</f>
        <v/>
      </c>
      <c r="P970" s="12" t="str">
        <f>IF(TOTALCO!P84="", "",TOTALCO!P84)</f>
        <v/>
      </c>
      <c r="Q970" s="12"/>
    </row>
    <row r="971" spans="1:17" ht="15" x14ac:dyDescent="0.2">
      <c r="A971" s="321">
        <f>IF(TOTALCO!A85="", "",TOTALCO!A85)</f>
        <v>1</v>
      </c>
      <c r="B971" s="4" t="str">
        <f>IF(TOTALCO!B85="", "",TOTALCO!B85)</f>
        <v>ENERGY (MWH AT GEN LEVEL)</v>
      </c>
      <c r="C971" s="4" t="str">
        <f>IF(TOTALCO!C85="", "",TOTALCO!C85)</f>
        <v>ENERGY</v>
      </c>
      <c r="D971" s="12">
        <f>IF(TOTALCO!D85="", "",TOTALCO!D85)</f>
        <v>19849967.070999999</v>
      </c>
      <c r="E971" s="12" t="str">
        <f>IF(TOTALCO!E85="", "",TOTALCO!E85)</f>
        <v/>
      </c>
      <c r="F971" s="12">
        <f>IF(TOTALCO!F85="", "",TOTALCO!F85)</f>
        <v>18679000.831</v>
      </c>
      <c r="G971" s="12" t="str">
        <f>IF(TOTALCO!G85="", "",TOTALCO!G85)</f>
        <v/>
      </c>
      <c r="H971" s="12">
        <f>IF(TOTALCO!H85="", "",TOTALCO!H85)</f>
        <v>762018.04</v>
      </c>
      <c r="I971" s="12">
        <f>IF(TOTALCO!I85="", "",TOTALCO!I85)</f>
        <v>408948.2</v>
      </c>
      <c r="J971" s="12" t="str">
        <f>IF(TOTALCO!J85="", "",TOTALCO!J85)</f>
        <v/>
      </c>
      <c r="K971" s="12" t="str">
        <f>IF(TOTALCO!K85="", "",TOTALCO!K85)</f>
        <v/>
      </c>
      <c r="L971" s="12">
        <f>IF(TOTALCO!L85="", "",TOTALCO!L85)</f>
        <v>83.596999999999994</v>
      </c>
      <c r="M971" s="12" t="str">
        <f>IF(TOTALCO!M85="", "",TOTALCO!M85)</f>
        <v/>
      </c>
      <c r="N971" s="12">
        <f>IF(TOTALCO!N85="", "",TOTALCO!N85)</f>
        <v>408864.603</v>
      </c>
      <c r="O971" s="12">
        <f>IF(TOTALCO!O85="", "",TOTALCO!O85)</f>
        <v>207052.166</v>
      </c>
      <c r="P971" s="12">
        <f>IF(TOTALCO!P85="", "",TOTALCO!P85)</f>
        <v>201812.43700000001</v>
      </c>
      <c r="Q971" s="12"/>
    </row>
    <row r="972" spans="1:17" ht="15" x14ac:dyDescent="0.2">
      <c r="A972" s="321">
        <f>IF(TOTALCO!A86="", "",TOTALCO!A86)</f>
        <v>2</v>
      </c>
      <c r="B972" s="4" t="str">
        <f>IF(TOTALCO!B86="", "",TOTALCO!B86)</f>
        <v>ENERGY (MWH RETAIL @ GEN LEVEL)</v>
      </c>
      <c r="C972" s="4" t="str">
        <f>IF(TOTALCO!C86="", "",TOTALCO!C86)</f>
        <v>ENERGY1</v>
      </c>
      <c r="D972" s="12">
        <f>IF(TOTALCO!D86="", "",TOTALCO!D86)</f>
        <v>19441102.467999998</v>
      </c>
      <c r="E972" s="12" t="str">
        <f>IF(TOTALCO!E86="", "",TOTALCO!E86)</f>
        <v/>
      </c>
      <c r="F972" s="12">
        <f>IF(TOTALCO!F86="", "",TOTALCO!F86)</f>
        <v>18679000.831</v>
      </c>
      <c r="G972" s="12" t="str">
        <f>IF(TOTALCO!G86="", "",TOTALCO!G86)</f>
        <v/>
      </c>
      <c r="H972" s="12">
        <f>IF(TOTALCO!H86="", "",TOTALCO!H86)</f>
        <v>762018.04</v>
      </c>
      <c r="I972" s="12">
        <f>IF(TOTALCO!I86="", "",TOTALCO!I86)</f>
        <v>83.596999999999994</v>
      </c>
      <c r="J972" s="12" t="str">
        <f>IF(TOTALCO!J86="", "",TOTALCO!J86)</f>
        <v/>
      </c>
      <c r="K972" s="12" t="str">
        <f>IF(TOTALCO!K86="", "",TOTALCO!K86)</f>
        <v/>
      </c>
      <c r="L972" s="12">
        <f>IF(TOTALCO!L86="", "",TOTALCO!L86)</f>
        <v>83.596999999999994</v>
      </c>
      <c r="M972" s="12" t="str">
        <f>IF(TOTALCO!M86="", "",TOTALCO!M86)</f>
        <v/>
      </c>
      <c r="N972" s="12">
        <f>IF(TOTALCO!N86="", "",TOTALCO!N86)</f>
        <v>0</v>
      </c>
      <c r="O972" s="12">
        <f>IF(TOTALCO!O86="", "",TOTALCO!O86)</f>
        <v>0</v>
      </c>
      <c r="P972" s="12">
        <f>IF(TOTALCO!P86="", "",TOTALCO!P86)</f>
        <v>0</v>
      </c>
      <c r="Q972" s="12"/>
    </row>
    <row r="973" spans="1:17" ht="15" x14ac:dyDescent="0.2">
      <c r="A973" s="321">
        <f>IF(TOTALCO!A87="", "",TOTALCO!A87)</f>
        <v>3</v>
      </c>
      <c r="B973" s="4" t="str">
        <f>IF(TOTALCO!B87="", "",TOTALCO!B87)</f>
        <v/>
      </c>
      <c r="C973" s="4" t="str">
        <f>IF(TOTALCO!C87="", "",TOTALCO!C87)</f>
        <v/>
      </c>
      <c r="D973" s="12" t="str">
        <f>IF(TOTALCO!D87="", "",TOTALCO!D87)</f>
        <v/>
      </c>
      <c r="E973" s="12" t="str">
        <f>IF(TOTALCO!E87="", "",TOTALCO!E87)</f>
        <v/>
      </c>
      <c r="F973" s="12" t="str">
        <f>IF(TOTALCO!F87="", "",TOTALCO!F87)</f>
        <v/>
      </c>
      <c r="G973" s="12" t="str">
        <f>IF(TOTALCO!G87="", "",TOTALCO!G87)</f>
        <v/>
      </c>
      <c r="H973" s="12" t="str">
        <f>IF(TOTALCO!H87="", "",TOTALCO!H87)</f>
        <v/>
      </c>
      <c r="I973" s="12" t="str">
        <f>IF(TOTALCO!I87="", "",TOTALCO!I87)</f>
        <v/>
      </c>
      <c r="J973" s="12" t="str">
        <f>IF(TOTALCO!J87="", "",TOTALCO!J87)</f>
        <v/>
      </c>
      <c r="K973" s="12" t="str">
        <f>IF(TOTALCO!K87="", "",TOTALCO!K87)</f>
        <v/>
      </c>
      <c r="L973" s="12" t="str">
        <f>IF(TOTALCO!L87="", "",TOTALCO!L87)</f>
        <v/>
      </c>
      <c r="M973" s="12" t="str">
        <f>IF(TOTALCO!M87="", "",TOTALCO!M87)</f>
        <v/>
      </c>
      <c r="N973" s="12" t="str">
        <f>IF(TOTALCO!N87="", "",TOTALCO!N87)</f>
        <v/>
      </c>
      <c r="O973" s="12" t="str">
        <f>IF(TOTALCO!O87="", "",TOTALCO!O87)</f>
        <v/>
      </c>
      <c r="P973" s="12" t="str">
        <f>IF(TOTALCO!P87="", "",TOTALCO!P87)</f>
        <v/>
      </c>
      <c r="Q973" s="12"/>
    </row>
    <row r="974" spans="1:17" ht="15" x14ac:dyDescent="0.2">
      <c r="A974" s="321">
        <f>IF(TOTALCO!A88="", "",TOTALCO!A88)</f>
        <v>4</v>
      </c>
      <c r="B974" s="4" t="str">
        <f>IF(TOTALCO!B88="", "",TOTALCO!B88)</f>
        <v/>
      </c>
      <c r="C974" s="4" t="str">
        <f>IF(TOTALCO!C88="", "",TOTALCO!C88)</f>
        <v/>
      </c>
      <c r="D974" s="12" t="str">
        <f>IF(TOTALCO!D88="", "",TOTALCO!D88)</f>
        <v/>
      </c>
      <c r="E974" s="12" t="str">
        <f>IF(TOTALCO!E88="", "",TOTALCO!E88)</f>
        <v/>
      </c>
      <c r="F974" s="12" t="str">
        <f>IF(TOTALCO!F88="", "",TOTALCO!F88)</f>
        <v/>
      </c>
      <c r="G974" s="12" t="str">
        <f>IF(TOTALCO!G88="", "",TOTALCO!G88)</f>
        <v/>
      </c>
      <c r="H974" s="12" t="str">
        <f>IF(TOTALCO!H88="", "",TOTALCO!H88)</f>
        <v/>
      </c>
      <c r="I974" s="12" t="str">
        <f>IF(TOTALCO!I88="", "",TOTALCO!I88)</f>
        <v/>
      </c>
      <c r="J974" s="12" t="str">
        <f>IF(TOTALCO!J88="", "",TOTALCO!J88)</f>
        <v/>
      </c>
      <c r="K974" s="12" t="str">
        <f>IF(TOTALCO!K88="", "",TOTALCO!K88)</f>
        <v/>
      </c>
      <c r="L974" s="12" t="str">
        <f>IF(TOTALCO!L88="", "",TOTALCO!L88)</f>
        <v/>
      </c>
      <c r="M974" s="12" t="str">
        <f>IF(TOTALCO!M88="", "",TOTALCO!M88)</f>
        <v/>
      </c>
      <c r="N974" s="12" t="str">
        <f>IF(TOTALCO!N88="", "",TOTALCO!N88)</f>
        <v/>
      </c>
      <c r="O974" s="12" t="str">
        <f>IF(TOTALCO!O88="", "",TOTALCO!O88)</f>
        <v/>
      </c>
      <c r="P974" s="12" t="str">
        <f>IF(TOTALCO!P88="", "",TOTALCO!P88)</f>
        <v/>
      </c>
      <c r="Q974" s="12"/>
    </row>
    <row r="975" spans="1:17" ht="15" x14ac:dyDescent="0.2">
      <c r="A975" s="321" t="str">
        <f>IF(TOTALCO!A89="", "",TOTALCO!A89)</f>
        <v/>
      </c>
      <c r="B975" s="4" t="str">
        <f>IF(TOTALCO!B89="", "",TOTALCO!B89)</f>
        <v/>
      </c>
      <c r="C975" s="4" t="str">
        <f>IF(TOTALCO!C89="", "",TOTALCO!C89)</f>
        <v/>
      </c>
      <c r="D975" s="12" t="str">
        <f>IF(TOTALCO!D89="", "",TOTALCO!D89)</f>
        <v/>
      </c>
      <c r="E975" s="12" t="str">
        <f>IF(TOTALCO!E89="", "",TOTALCO!E89)</f>
        <v/>
      </c>
      <c r="F975" s="12" t="str">
        <f>IF(TOTALCO!F89="", "",TOTALCO!F89)</f>
        <v/>
      </c>
      <c r="G975" s="12" t="str">
        <f>IF(TOTALCO!G89="", "",TOTALCO!G89)</f>
        <v/>
      </c>
      <c r="H975" s="12" t="str">
        <f>IF(TOTALCO!H89="", "",TOTALCO!H89)</f>
        <v/>
      </c>
      <c r="I975" s="12" t="str">
        <f>IF(TOTALCO!I89="", "",TOTALCO!I89)</f>
        <v/>
      </c>
      <c r="J975" s="12" t="str">
        <f>IF(TOTALCO!J89="", "",TOTALCO!J89)</f>
        <v/>
      </c>
      <c r="K975" s="12" t="str">
        <f>IF(TOTALCO!K89="", "",TOTALCO!K89)</f>
        <v/>
      </c>
      <c r="L975" s="12" t="str">
        <f>IF(TOTALCO!L89="", "",TOTALCO!L89)</f>
        <v/>
      </c>
      <c r="M975" s="12" t="str">
        <f>IF(TOTALCO!M89="", "",TOTALCO!M89)</f>
        <v/>
      </c>
      <c r="N975" s="12" t="str">
        <f>IF(TOTALCO!N89="", "",TOTALCO!N89)</f>
        <v/>
      </c>
      <c r="O975" s="12" t="str">
        <f>IF(TOTALCO!O89="", "",TOTALCO!O89)</f>
        <v/>
      </c>
      <c r="P975" s="12" t="str">
        <f>IF(TOTALCO!P89="", "",TOTALCO!P89)</f>
        <v/>
      </c>
      <c r="Q975" s="12"/>
    </row>
    <row r="976" spans="1:17" ht="15" x14ac:dyDescent="0.2">
      <c r="A976" s="321" t="str">
        <f>IF(TOTALCO!A90="", "",TOTALCO!A90)</f>
        <v/>
      </c>
      <c r="B976" s="4" t="str">
        <f>IF(TOTALCO!B90="", "",TOTALCO!B90)</f>
        <v>CUSTOMER</v>
      </c>
      <c r="C976" s="4" t="str">
        <f>IF(TOTALCO!C90="", "",TOTALCO!C90)</f>
        <v/>
      </c>
      <c r="D976" s="12" t="str">
        <f>IF(TOTALCO!D90="", "",TOTALCO!D90)</f>
        <v/>
      </c>
      <c r="E976" s="12" t="str">
        <f>IF(TOTALCO!E90="", "",TOTALCO!E90)</f>
        <v/>
      </c>
      <c r="F976" s="12" t="str">
        <f>IF(TOTALCO!F90="", "",TOTALCO!F90)</f>
        <v/>
      </c>
      <c r="G976" s="12" t="str">
        <f>IF(TOTALCO!G90="", "",TOTALCO!G90)</f>
        <v/>
      </c>
      <c r="H976" s="12" t="str">
        <f>IF(TOTALCO!H90="", "",TOTALCO!H90)</f>
        <v/>
      </c>
      <c r="I976" s="12" t="str">
        <f>IF(TOTALCO!I90="", "",TOTALCO!I90)</f>
        <v/>
      </c>
      <c r="J976" s="12" t="str">
        <f>IF(TOTALCO!J90="", "",TOTALCO!J90)</f>
        <v/>
      </c>
      <c r="K976" s="12" t="str">
        <f>IF(TOTALCO!K90="", "",TOTALCO!K90)</f>
        <v/>
      </c>
      <c r="L976" s="12" t="str">
        <f>IF(TOTALCO!L90="", "",TOTALCO!L90)</f>
        <v/>
      </c>
      <c r="M976" s="12" t="str">
        <f>IF(TOTALCO!M90="", "",TOTALCO!M90)</f>
        <v/>
      </c>
      <c r="N976" s="12" t="str">
        <f>IF(TOTALCO!N90="", "",TOTALCO!N90)</f>
        <v/>
      </c>
      <c r="O976" s="12" t="str">
        <f>IF(TOTALCO!O90="", "",TOTALCO!O90)</f>
        <v/>
      </c>
      <c r="P976" s="12" t="str">
        <f>IF(TOTALCO!P90="", "",TOTALCO!P90)</f>
        <v/>
      </c>
      <c r="Q976" s="12"/>
    </row>
    <row r="977" spans="1:17" ht="15" x14ac:dyDescent="0.2">
      <c r="A977" s="321" t="str">
        <f>IF(TOTALCO!A91="", "",TOTALCO!A91)</f>
        <v/>
      </c>
      <c r="B977" s="4" t="str">
        <f>IF(TOTALCO!B91="", "",TOTALCO!B91)</f>
        <v>-</v>
      </c>
      <c r="C977" s="4" t="str">
        <f>IF(TOTALCO!C91="", "",TOTALCO!C91)</f>
        <v/>
      </c>
      <c r="D977" s="12" t="str">
        <f>IF(TOTALCO!D91="", "",TOTALCO!D91)</f>
        <v/>
      </c>
      <c r="E977" s="12" t="str">
        <f>IF(TOTALCO!E91="", "",TOTALCO!E91)</f>
        <v/>
      </c>
      <c r="F977" s="12" t="str">
        <f>IF(TOTALCO!F91="", "",TOTALCO!F91)</f>
        <v/>
      </c>
      <c r="G977" s="12" t="str">
        <f>IF(TOTALCO!G91="", "",TOTALCO!G91)</f>
        <v/>
      </c>
      <c r="H977" s="12" t="str">
        <f>IF(TOTALCO!H91="", "",TOTALCO!H91)</f>
        <v/>
      </c>
      <c r="I977" s="12" t="str">
        <f>IF(TOTALCO!I91="", "",TOTALCO!I91)</f>
        <v/>
      </c>
      <c r="J977" s="12" t="str">
        <f>IF(TOTALCO!J91="", "",TOTALCO!J91)</f>
        <v/>
      </c>
      <c r="K977" s="12" t="str">
        <f>IF(TOTALCO!K91="", "",TOTALCO!K91)</f>
        <v/>
      </c>
      <c r="L977" s="12" t="str">
        <f>IF(TOTALCO!L91="", "",TOTALCO!L91)</f>
        <v/>
      </c>
      <c r="M977" s="12" t="str">
        <f>IF(TOTALCO!M91="", "",TOTALCO!M91)</f>
        <v/>
      </c>
      <c r="N977" s="12" t="str">
        <f>IF(TOTALCO!N91="", "",TOTALCO!N91)</f>
        <v/>
      </c>
      <c r="O977" s="12" t="str">
        <f>IF(TOTALCO!O91="", "",TOTALCO!O91)</f>
        <v/>
      </c>
      <c r="P977" s="12" t="str">
        <f>IF(TOTALCO!P91="", "",TOTALCO!P91)</f>
        <v/>
      </c>
      <c r="Q977" s="12"/>
    </row>
    <row r="978" spans="1:17" ht="15" x14ac:dyDescent="0.2">
      <c r="A978" s="321">
        <f>IF(TOTALCO!A92="", "",TOTALCO!A92)</f>
        <v>1</v>
      </c>
      <c r="B978" s="4" t="str">
        <f>IF(TOTALCO!B92="", "",TOTALCO!B92)</f>
        <v>DIRECT ASSIGN 369-SERV KY</v>
      </c>
      <c r="C978" s="4" t="str">
        <f>IF(TOTALCO!C92="", "",TOTALCO!C92)</f>
        <v>CUST369K</v>
      </c>
      <c r="D978" s="12">
        <f>IF(TOTALCO!D92="", "",TOTALCO!D92)</f>
        <v>108671232.43846154</v>
      </c>
      <c r="E978" s="12" t="str">
        <f>IF(TOTALCO!E92="", "",TOTALCO!E92)</f>
        <v/>
      </c>
      <c r="F978" s="12">
        <f>IF(TOTALCO!F92="", "",TOTALCO!F92)</f>
        <v>108671232.43846154</v>
      </c>
      <c r="G978" s="12" t="str">
        <f>IF(TOTALCO!G92="", "",TOTALCO!G92)</f>
        <v/>
      </c>
      <c r="H978" s="12">
        <f>IF(TOTALCO!H92="", "",TOTALCO!H92)</f>
        <v>0</v>
      </c>
      <c r="I978" s="12">
        <f>IF(TOTALCO!I92="", "",TOTALCO!I92)</f>
        <v>0</v>
      </c>
      <c r="J978" s="12" t="str">
        <f>IF(TOTALCO!J92="", "",TOTALCO!J92)</f>
        <v/>
      </c>
      <c r="K978" s="12" t="str">
        <f>IF(TOTALCO!K92="", "",TOTALCO!K92)</f>
        <v/>
      </c>
      <c r="L978" s="12">
        <f>IF(TOTALCO!L92="", "",TOTALCO!L92)</f>
        <v>0</v>
      </c>
      <c r="M978" s="12" t="str">
        <f>IF(TOTALCO!M92="", "",TOTALCO!M92)</f>
        <v/>
      </c>
      <c r="N978" s="12">
        <f>IF(TOTALCO!N92="", "",TOTALCO!N92)</f>
        <v>0</v>
      </c>
      <c r="O978" s="12">
        <f>IF(TOTALCO!O92="", "",TOTALCO!O92)</f>
        <v>0</v>
      </c>
      <c r="P978" s="12">
        <f>IF(TOTALCO!P92="", "",TOTALCO!P92)</f>
        <v>0</v>
      </c>
      <c r="Q978" s="12"/>
    </row>
    <row r="979" spans="1:17" ht="15" x14ac:dyDescent="0.2">
      <c r="A979" s="321">
        <f>IF(TOTALCO!A93="", "",TOTALCO!A93)</f>
        <v>2</v>
      </c>
      <c r="B979" s="4" t="str">
        <f>IF(TOTALCO!B93="", "",TOTALCO!B93)</f>
        <v>DIRECT ASSIGN 370 METERS KY</v>
      </c>
      <c r="C979" s="4" t="str">
        <f>IF(TOTALCO!C93="", "",TOTALCO!C93)</f>
        <v>CUST370K</v>
      </c>
      <c r="D979" s="12">
        <f>IF(TOTALCO!D93="", "",TOTALCO!D93)</f>
        <v>78790854.271538451</v>
      </c>
      <c r="E979" s="12" t="str">
        <f>IF(TOTALCO!E93="", "",TOTALCO!E93)</f>
        <v/>
      </c>
      <c r="F979" s="12">
        <f>IF(TOTALCO!F93="", "",TOTALCO!F93)</f>
        <v>78743546.271538451</v>
      </c>
      <c r="G979" s="12" t="str">
        <f>IF(TOTALCO!G93="", "",TOTALCO!G93)</f>
        <v/>
      </c>
      <c r="H979" s="12">
        <f>IF(TOTALCO!H93="", "",TOTALCO!H93)</f>
        <v>0</v>
      </c>
      <c r="I979" s="12">
        <f>IF(TOTALCO!I93="", "",TOTALCO!I93)</f>
        <v>47308</v>
      </c>
      <c r="J979" s="12" t="str">
        <f>IF(TOTALCO!J93="", "",TOTALCO!J93)</f>
        <v/>
      </c>
      <c r="K979" s="12" t="str">
        <f>IF(TOTALCO!K93="", "",TOTALCO!K93)</f>
        <v/>
      </c>
      <c r="L979" s="12">
        <f>IF(TOTALCO!L93="", "",TOTALCO!L93)</f>
        <v>0</v>
      </c>
      <c r="M979" s="12" t="str">
        <f>IF(TOTALCO!M93="", "",TOTALCO!M93)</f>
        <v/>
      </c>
      <c r="N979" s="12">
        <f>IF(TOTALCO!N93="", "",TOTALCO!N93)</f>
        <v>47308</v>
      </c>
      <c r="O979" s="12">
        <f>IF(TOTALCO!O93="", "",TOTALCO!O93)</f>
        <v>20456</v>
      </c>
      <c r="P979" s="12">
        <f>IF(TOTALCO!P93="", "",TOTALCO!P93)</f>
        <v>26852</v>
      </c>
      <c r="Q979" s="12"/>
    </row>
    <row r="980" spans="1:17" ht="15" x14ac:dyDescent="0.2">
      <c r="A980" s="321">
        <f>IF(TOTALCO!A94="", "",TOTALCO!A94)</f>
        <v>3</v>
      </c>
      <c r="B980" s="4" t="str">
        <f>IF(TOTALCO!B94="", "",TOTALCO!B94)</f>
        <v>DIRECT ASSIGN 371 CUST INST KY</v>
      </c>
      <c r="C980" s="4" t="str">
        <f>IF(TOTALCO!C94="", "",TOTALCO!C94)</f>
        <v>CUST371K</v>
      </c>
      <c r="D980" s="12">
        <f>IF(TOTALCO!D94="", "",TOTALCO!D94)</f>
        <v>145659.96</v>
      </c>
      <c r="E980" s="12" t="str">
        <f>IF(TOTALCO!E94="", "",TOTALCO!E94)</f>
        <v/>
      </c>
      <c r="F980" s="12">
        <f>IF(TOTALCO!F94="", "",TOTALCO!F94)</f>
        <v>145659.96</v>
      </c>
      <c r="G980" s="12" t="str">
        <f>IF(TOTALCO!G94="", "",TOTALCO!G94)</f>
        <v/>
      </c>
      <c r="H980" s="12">
        <f>IF(TOTALCO!H94="", "",TOTALCO!H94)</f>
        <v>0</v>
      </c>
      <c r="I980" s="12">
        <f>IF(TOTALCO!I94="", "",TOTALCO!I94)</f>
        <v>0</v>
      </c>
      <c r="J980" s="12" t="str">
        <f>IF(TOTALCO!J94="", "",TOTALCO!J94)</f>
        <v/>
      </c>
      <c r="K980" s="12" t="str">
        <f>IF(TOTALCO!K94="", "",TOTALCO!K94)</f>
        <v/>
      </c>
      <c r="L980" s="12">
        <f>IF(TOTALCO!L94="", "",TOTALCO!L94)</f>
        <v>0</v>
      </c>
      <c r="M980" s="12" t="str">
        <f>IF(TOTALCO!M94="", "",TOTALCO!M94)</f>
        <v/>
      </c>
      <c r="N980" s="12">
        <f>IF(TOTALCO!N94="", "",TOTALCO!N94)</f>
        <v>0</v>
      </c>
      <c r="O980" s="12">
        <f>IF(TOTALCO!O94="", "",TOTALCO!O94)</f>
        <v>0</v>
      </c>
      <c r="P980" s="12">
        <f>IF(TOTALCO!P94="", "",TOTALCO!P94)</f>
        <v>0</v>
      </c>
      <c r="Q980" s="12"/>
    </row>
    <row r="981" spans="1:17" ht="15" x14ac:dyDescent="0.2">
      <c r="A981" s="321">
        <f>IF(TOTALCO!A95="", "",TOTALCO!A95)</f>
        <v>4</v>
      </c>
      <c r="B981" s="4" t="str">
        <f>IF(TOTALCO!B95="", "",TOTALCO!B95)</f>
        <v>DIRECT ASSIGN 373 ST LIGHT KY</v>
      </c>
      <c r="C981" s="4" t="str">
        <f>IF(TOTALCO!C95="", "",TOTALCO!C95)</f>
        <v>CUST373K</v>
      </c>
      <c r="D981" s="12">
        <f>IF(TOTALCO!D95="", "",TOTALCO!D95)</f>
        <v>126856868.76999998</v>
      </c>
      <c r="E981" s="12" t="str">
        <f>IF(TOTALCO!E95="", "",TOTALCO!E95)</f>
        <v/>
      </c>
      <c r="F981" s="12">
        <f>IF(TOTALCO!F95="", "",TOTALCO!F95)</f>
        <v>126856868.76999998</v>
      </c>
      <c r="G981" s="12" t="str">
        <f>IF(TOTALCO!G95="", "",TOTALCO!G95)</f>
        <v/>
      </c>
      <c r="H981" s="12">
        <f>IF(TOTALCO!H95="", "",TOTALCO!H95)</f>
        <v>0</v>
      </c>
      <c r="I981" s="12">
        <f>IF(TOTALCO!I95="", "",TOTALCO!I95)</f>
        <v>0</v>
      </c>
      <c r="J981" s="12" t="str">
        <f>IF(TOTALCO!J95="", "",TOTALCO!J95)</f>
        <v/>
      </c>
      <c r="K981" s="12" t="str">
        <f>IF(TOTALCO!K95="", "",TOTALCO!K95)</f>
        <v/>
      </c>
      <c r="L981" s="12">
        <f>IF(TOTALCO!L95="", "",TOTALCO!L95)</f>
        <v>0</v>
      </c>
      <c r="M981" s="12" t="str">
        <f>IF(TOTALCO!M95="", "",TOTALCO!M95)</f>
        <v/>
      </c>
      <c r="N981" s="12">
        <f>IF(TOTALCO!N95="", "",TOTALCO!N95)</f>
        <v>0</v>
      </c>
      <c r="O981" s="12">
        <f>IF(TOTALCO!O95="", "",TOTALCO!O95)</f>
        <v>0</v>
      </c>
      <c r="P981" s="12">
        <f>IF(TOTALCO!P95="", "",TOTALCO!P95)</f>
        <v>0</v>
      </c>
      <c r="Q981" s="12"/>
    </row>
    <row r="982" spans="1:17" ht="15" x14ac:dyDescent="0.2">
      <c r="A982" s="321">
        <f>IF(TOTALCO!A96="", "",TOTALCO!A96)</f>
        <v>5</v>
      </c>
      <c r="B982" s="4" t="str">
        <f>IF(TOTALCO!B96="", "",TOTALCO!B96)</f>
        <v>CUSTOMER ADVANCES</v>
      </c>
      <c r="C982" s="4" t="str">
        <f>IF(TOTALCO!C96="", "",TOTALCO!C96)</f>
        <v>CUSTADV</v>
      </c>
      <c r="D982" s="12">
        <f>IF(TOTALCO!D96="", "",TOTALCO!D96)</f>
        <v>842195.92</v>
      </c>
      <c r="E982" s="12" t="str">
        <f>IF(TOTALCO!E96="", "",TOTALCO!E96)</f>
        <v/>
      </c>
      <c r="F982" s="12">
        <f>IF(TOTALCO!F96="", "",TOTALCO!F96)</f>
        <v>817011.28</v>
      </c>
      <c r="G982" s="12" t="str">
        <f>IF(TOTALCO!G96="", "",TOTALCO!G96)</f>
        <v/>
      </c>
      <c r="H982" s="12">
        <f>IF(TOTALCO!H96="", "",TOTALCO!H96)</f>
        <v>25184.639999999999</v>
      </c>
      <c r="I982" s="12">
        <f>IF(TOTALCO!I96="", "",TOTALCO!I96)</f>
        <v>0</v>
      </c>
      <c r="J982" s="12" t="str">
        <f>IF(TOTALCO!J96="", "",TOTALCO!J96)</f>
        <v/>
      </c>
      <c r="K982" s="12" t="str">
        <f>IF(TOTALCO!K96="", "",TOTALCO!K96)</f>
        <v/>
      </c>
      <c r="L982" s="12">
        <f>IF(TOTALCO!L96="", "",TOTALCO!L96)</f>
        <v>0</v>
      </c>
      <c r="M982" s="12" t="str">
        <f>IF(TOTALCO!M96="", "",TOTALCO!M96)</f>
        <v/>
      </c>
      <c r="N982" s="12">
        <f>IF(TOTALCO!N96="", "",TOTALCO!N96)</f>
        <v>0</v>
      </c>
      <c r="O982" s="12">
        <f>IF(TOTALCO!O96="", "",TOTALCO!O96)</f>
        <v>0</v>
      </c>
      <c r="P982" s="12">
        <f>IF(TOTALCO!P96="", "",TOTALCO!P96)</f>
        <v>0</v>
      </c>
      <c r="Q982" s="12"/>
    </row>
    <row r="983" spans="1:17" ht="15" x14ac:dyDescent="0.2">
      <c r="A983" s="321">
        <f>IF(TOTALCO!A97="", "",TOTALCO!A97)</f>
        <v>6</v>
      </c>
      <c r="B983" s="4" t="str">
        <f>IF(TOTALCO!B97="", "",TOTALCO!B97)</f>
        <v>CUSTOMER DEPOSITS</v>
      </c>
      <c r="C983" s="4" t="str">
        <f>IF(TOTALCO!C97="", "",TOTALCO!C97)</f>
        <v>CUSTDEP</v>
      </c>
      <c r="D983" s="12">
        <f>IF(TOTALCO!D97="", "",TOTALCO!D97)</f>
        <v>30584515.170000002</v>
      </c>
      <c r="E983" s="12" t="str">
        <f>IF(TOTALCO!E97="", "",TOTALCO!E97)</f>
        <v/>
      </c>
      <c r="F983" s="12">
        <f>IF(TOTALCO!F97="", "",TOTALCO!F97)</f>
        <v>28891349.09</v>
      </c>
      <c r="G983" s="12" t="str">
        <f>IF(TOTALCO!G97="", "",TOTALCO!G97)</f>
        <v/>
      </c>
      <c r="H983" s="12">
        <f>IF(TOTALCO!H97="", "",TOTALCO!H97)</f>
        <v>1693166.07</v>
      </c>
      <c r="I983" s="12">
        <f>IF(TOTALCO!I97="", "",TOTALCO!I97)</f>
        <v>0.01</v>
      </c>
      <c r="J983" s="12" t="str">
        <f>IF(TOTALCO!J97="", "",TOTALCO!J97)</f>
        <v/>
      </c>
      <c r="K983" s="12" t="str">
        <f>IF(TOTALCO!K97="", "",TOTALCO!K97)</f>
        <v/>
      </c>
      <c r="L983" s="12">
        <f>IF(TOTALCO!L97="", "",TOTALCO!L97)</f>
        <v>0</v>
      </c>
      <c r="M983" s="12" t="str">
        <f>IF(TOTALCO!M97="", "",TOTALCO!M97)</f>
        <v/>
      </c>
      <c r="N983" s="12">
        <f>IF(TOTALCO!N97="", "",TOTALCO!N97)</f>
        <v>0.01</v>
      </c>
      <c r="O983" s="12">
        <f>IF(TOTALCO!O97="", "",TOTALCO!O97)</f>
        <v>0.01</v>
      </c>
      <c r="P983" s="12">
        <f>IF(TOTALCO!P97="", "",TOTALCO!P97)</f>
        <v>0</v>
      </c>
      <c r="Q983" s="12"/>
    </row>
    <row r="984" spans="1:17" ht="15" x14ac:dyDescent="0.2">
      <c r="A984" s="321">
        <f>IF(TOTALCO!A98="", "",TOTALCO!A98)</f>
        <v>7</v>
      </c>
      <c r="B984" s="4" t="str">
        <f>IF(TOTALCO!B98="", "",TOTALCO!B98)</f>
        <v>DIR ASSIGN 902-METER READING</v>
      </c>
      <c r="C984" s="4" t="str">
        <f>IF(TOTALCO!C98="", "",TOTALCO!C98)</f>
        <v>CUST902</v>
      </c>
      <c r="D984" s="12">
        <f>IF(TOTALCO!D98="", "",TOTALCO!D98)</f>
        <v>758905</v>
      </c>
      <c r="E984" s="12" t="str">
        <f>IF(TOTALCO!E98="", "",TOTALCO!E98)</f>
        <v/>
      </c>
      <c r="F984" s="12">
        <f>IF(TOTALCO!F98="", "",TOTALCO!F98)</f>
        <v>720984</v>
      </c>
      <c r="G984" s="12" t="str">
        <f>IF(TOTALCO!G98="", "",TOTALCO!G98)</f>
        <v/>
      </c>
      <c r="H984" s="12">
        <f>IF(TOTALCO!H98="", "",TOTALCO!H98)</f>
        <v>37704</v>
      </c>
      <c r="I984" s="12">
        <f>IF(TOTALCO!I98="", "",TOTALCO!I98)</f>
        <v>217</v>
      </c>
      <c r="J984" s="12" t="str">
        <f>IF(TOTALCO!J98="", "",TOTALCO!J98)</f>
        <v/>
      </c>
      <c r="K984" s="12" t="str">
        <f>IF(TOTALCO!K98="", "",TOTALCO!K98)</f>
        <v/>
      </c>
      <c r="L984" s="12">
        <f>IF(TOTALCO!L98="", "",TOTALCO!L98)</f>
        <v>5</v>
      </c>
      <c r="M984" s="12" t="str">
        <f>IF(TOTALCO!M98="", "",TOTALCO!M98)</f>
        <v/>
      </c>
      <c r="N984" s="12">
        <f>IF(TOTALCO!N98="", "",TOTALCO!N98)</f>
        <v>212</v>
      </c>
      <c r="O984" s="12">
        <f>IF(TOTALCO!O98="", "",TOTALCO!O98)</f>
        <v>85</v>
      </c>
      <c r="P984" s="12">
        <f>IF(TOTALCO!P98="", "",TOTALCO!P98)</f>
        <v>127</v>
      </c>
      <c r="Q984" s="12"/>
    </row>
    <row r="985" spans="1:17" ht="15" x14ac:dyDescent="0.2">
      <c r="A985" s="321">
        <f>IF(TOTALCO!A99="", "",TOTALCO!A99)</f>
        <v>8</v>
      </c>
      <c r="B985" s="4" t="str">
        <f>IF(TOTALCO!B99="", "",TOTALCO!B99)</f>
        <v>DIR ASSIGN 903-CUSTOMER REC</v>
      </c>
      <c r="C985" s="4" t="str">
        <f>IF(TOTALCO!C99="", "",TOTALCO!C99)</f>
        <v>CUST903</v>
      </c>
      <c r="D985" s="12">
        <f>IF(TOTALCO!D99="", "",TOTALCO!D99)</f>
        <v>758905</v>
      </c>
      <c r="E985" s="12" t="str">
        <f>IF(TOTALCO!E99="", "",TOTALCO!E99)</f>
        <v/>
      </c>
      <c r="F985" s="12">
        <f>IF(TOTALCO!F99="", "",TOTALCO!F99)</f>
        <v>720984</v>
      </c>
      <c r="G985" s="12" t="str">
        <f>IF(TOTALCO!G99="", "",TOTALCO!G99)</f>
        <v/>
      </c>
      <c r="H985" s="12">
        <f>IF(TOTALCO!H99="", "",TOTALCO!H99)</f>
        <v>37704</v>
      </c>
      <c r="I985" s="12">
        <f>IF(TOTALCO!I99="", "",TOTALCO!I99)</f>
        <v>217</v>
      </c>
      <c r="J985" s="12" t="str">
        <f>IF(TOTALCO!J99="", "",TOTALCO!J99)</f>
        <v/>
      </c>
      <c r="K985" s="12" t="str">
        <f>IF(TOTALCO!K99="", "",TOTALCO!K99)</f>
        <v/>
      </c>
      <c r="L985" s="12">
        <f>IF(TOTALCO!L99="", "",TOTALCO!L99)</f>
        <v>5</v>
      </c>
      <c r="M985" s="12" t="str">
        <f>IF(TOTALCO!M99="", "",TOTALCO!M99)</f>
        <v/>
      </c>
      <c r="N985" s="12">
        <f>IF(TOTALCO!N99="", "",TOTALCO!N99)</f>
        <v>212</v>
      </c>
      <c r="O985" s="12">
        <f>IF(TOTALCO!O99="", "",TOTALCO!O99)</f>
        <v>85</v>
      </c>
      <c r="P985" s="12">
        <f>IF(TOTALCO!P99="", "",TOTALCO!P99)</f>
        <v>127</v>
      </c>
      <c r="Q985" s="12"/>
    </row>
    <row r="986" spans="1:17" ht="15" x14ac:dyDescent="0.2">
      <c r="A986" s="321">
        <f>IF(TOTALCO!A100="", "",TOTALCO!A100)</f>
        <v>9</v>
      </c>
      <c r="B986" s="4" t="str">
        <f>IF(TOTALCO!B100="", "",TOTALCO!B100)</f>
        <v>DIR ASSIGN 904-UNCOLL ACCTS</v>
      </c>
      <c r="C986" s="4" t="str">
        <f>IF(TOTALCO!C100="", "",TOTALCO!C100)</f>
        <v>CUST904</v>
      </c>
      <c r="D986" s="12">
        <f>IF(TOTALCO!D100="", "",TOTALCO!D100)</f>
        <v>758905</v>
      </c>
      <c r="E986" s="12" t="str">
        <f>IF(TOTALCO!E100="", "",TOTALCO!E100)</f>
        <v/>
      </c>
      <c r="F986" s="12">
        <f>IF(TOTALCO!F100="", "",TOTALCO!F100)</f>
        <v>720984</v>
      </c>
      <c r="G986" s="12" t="str">
        <f>IF(TOTALCO!G100="", "",TOTALCO!G100)</f>
        <v/>
      </c>
      <c r="H986" s="12">
        <f>IF(TOTALCO!H100="", "",TOTALCO!H100)</f>
        <v>37704</v>
      </c>
      <c r="I986" s="12">
        <f>IF(TOTALCO!I100="", "",TOTALCO!I100)</f>
        <v>217</v>
      </c>
      <c r="J986" s="12" t="str">
        <f>IF(TOTALCO!J100="", "",TOTALCO!J100)</f>
        <v/>
      </c>
      <c r="K986" s="12" t="str">
        <f>IF(TOTALCO!K100="", "",TOTALCO!K100)</f>
        <v/>
      </c>
      <c r="L986" s="12">
        <f>IF(TOTALCO!L100="", "",TOTALCO!L100)</f>
        <v>5</v>
      </c>
      <c r="M986" s="12" t="str">
        <f>IF(TOTALCO!M100="", "",TOTALCO!M100)</f>
        <v/>
      </c>
      <c r="N986" s="12">
        <f>IF(TOTALCO!N100="", "",TOTALCO!N100)</f>
        <v>212</v>
      </c>
      <c r="O986" s="12">
        <f>IF(TOTALCO!O100="", "",TOTALCO!O100)</f>
        <v>85</v>
      </c>
      <c r="P986" s="12">
        <f>IF(TOTALCO!P100="", "",TOTALCO!P100)</f>
        <v>127</v>
      </c>
      <c r="Q986" s="12"/>
    </row>
    <row r="987" spans="1:17" ht="15" x14ac:dyDescent="0.2">
      <c r="A987" s="321">
        <f>IF(TOTALCO!A101="", "",TOTALCO!A101)</f>
        <v>10</v>
      </c>
      <c r="B987" s="4" t="str">
        <f>IF(TOTALCO!B101="", "",TOTALCO!B101)</f>
        <v>DIR ASSIGN ACCT 369-SERV VA</v>
      </c>
      <c r="C987" s="4" t="str">
        <f>IF(TOTALCO!C101="", "",TOTALCO!C101)</f>
        <v>CUST369V</v>
      </c>
      <c r="D987" s="12">
        <f>IF(TOTALCO!D101="", "",TOTALCO!D101)</f>
        <v>5852947.5299999993</v>
      </c>
      <c r="E987" s="12" t="str">
        <f>IF(TOTALCO!E101="", "",TOTALCO!E101)</f>
        <v/>
      </c>
      <c r="F987" s="12">
        <f>IF(TOTALCO!F101="", "",TOTALCO!F101)</f>
        <v>0</v>
      </c>
      <c r="G987" s="12" t="str">
        <f>IF(TOTALCO!G101="", "",TOTALCO!G101)</f>
        <v/>
      </c>
      <c r="H987" s="12">
        <f>IF(TOTALCO!H101="", "",TOTALCO!H101)</f>
        <v>5852947.5299999993</v>
      </c>
      <c r="I987" s="12">
        <f>IF(TOTALCO!I101="", "",TOTALCO!I101)</f>
        <v>0</v>
      </c>
      <c r="J987" s="12" t="str">
        <f>IF(TOTALCO!J101="", "",TOTALCO!J101)</f>
        <v/>
      </c>
      <c r="K987" s="12" t="str">
        <f>IF(TOTALCO!K101="", "",TOTALCO!K101)</f>
        <v/>
      </c>
      <c r="L987" s="12">
        <f>IF(TOTALCO!L101="", "",TOTALCO!L101)</f>
        <v>0</v>
      </c>
      <c r="M987" s="12" t="str">
        <f>IF(TOTALCO!M101="", "",TOTALCO!M101)</f>
        <v/>
      </c>
      <c r="N987" s="12">
        <f>IF(TOTALCO!N101="", "",TOTALCO!N101)</f>
        <v>0</v>
      </c>
      <c r="O987" s="12">
        <f>IF(TOTALCO!O101="", "",TOTALCO!O101)</f>
        <v>0</v>
      </c>
      <c r="P987" s="12">
        <f>IF(TOTALCO!P101="", "",TOTALCO!P101)</f>
        <v>0</v>
      </c>
      <c r="Q987" s="12"/>
    </row>
    <row r="988" spans="1:17" ht="15" x14ac:dyDescent="0.2">
      <c r="A988" s="321">
        <f>IF(TOTALCO!A102="", "",TOTALCO!A102)</f>
        <v>11</v>
      </c>
      <c r="B988" s="4" t="str">
        <f>IF(TOTALCO!B102="", "",TOTALCO!B102)</f>
        <v>DIR ASSIGN ACCT 370 METERS VA</v>
      </c>
      <c r="C988" s="4" t="str">
        <f>IF(TOTALCO!C102="", "",TOTALCO!C102)</f>
        <v>CUST370V</v>
      </c>
      <c r="D988" s="12">
        <f>IF(TOTALCO!D102="", "",TOTALCO!D102)</f>
        <v>3783545.2</v>
      </c>
      <c r="E988" s="12" t="str">
        <f>IF(TOTALCO!E102="", "",TOTALCO!E102)</f>
        <v/>
      </c>
      <c r="F988" s="12">
        <f>IF(TOTALCO!F102="", "",TOTALCO!F102)</f>
        <v>0</v>
      </c>
      <c r="G988" s="12" t="str">
        <f>IF(TOTALCO!G102="", "",TOTALCO!G102)</f>
        <v/>
      </c>
      <c r="H988" s="12">
        <f>IF(TOTALCO!H102="", "",TOTALCO!H102)</f>
        <v>3783545.2</v>
      </c>
      <c r="I988" s="12">
        <f>IF(TOTALCO!I102="", "",TOTALCO!I102)</f>
        <v>0</v>
      </c>
      <c r="J988" s="12" t="str">
        <f>IF(TOTALCO!J102="", "",TOTALCO!J102)</f>
        <v/>
      </c>
      <c r="K988" s="12" t="str">
        <f>IF(TOTALCO!K102="", "",TOTALCO!K102)</f>
        <v/>
      </c>
      <c r="L988" s="12">
        <f>IF(TOTALCO!L102="", "",TOTALCO!L102)</f>
        <v>0</v>
      </c>
      <c r="M988" s="12" t="str">
        <f>IF(TOTALCO!M102="", "",TOTALCO!M102)</f>
        <v/>
      </c>
      <c r="N988" s="12">
        <f>IF(TOTALCO!N102="", "",TOTALCO!N102)</f>
        <v>0</v>
      </c>
      <c r="O988" s="12">
        <f>IF(TOTALCO!O102="", "",TOTALCO!O102)</f>
        <v>0</v>
      </c>
      <c r="P988" s="12">
        <f>IF(TOTALCO!P102="", "",TOTALCO!P102)</f>
        <v>0</v>
      </c>
      <c r="Q988" s="12"/>
    </row>
    <row r="989" spans="1:17" ht="15" x14ac:dyDescent="0.2">
      <c r="A989" s="321">
        <f>IF(TOTALCO!A103="", "",TOTALCO!A103)</f>
        <v>12</v>
      </c>
      <c r="B989" s="4" t="str">
        <f>IF(TOTALCO!B103="", "",TOTALCO!B103)</f>
        <v>DIR ASSIGN ACCT 371 CUST INST VA</v>
      </c>
      <c r="C989" s="4" t="str">
        <f>IF(TOTALCO!C103="", "",TOTALCO!C103)</f>
        <v>CUST371V</v>
      </c>
      <c r="D989" s="12">
        <f>IF(TOTALCO!D103="", "",TOTALCO!D103)</f>
        <v>0</v>
      </c>
      <c r="E989" s="12" t="str">
        <f>IF(TOTALCO!E103="", "",TOTALCO!E103)</f>
        <v/>
      </c>
      <c r="F989" s="12">
        <f>IF(TOTALCO!F103="", "",TOTALCO!F103)</f>
        <v>0</v>
      </c>
      <c r="G989" s="12" t="str">
        <f>IF(TOTALCO!G103="", "",TOTALCO!G103)</f>
        <v/>
      </c>
      <c r="H989" s="12">
        <f>IF(TOTALCO!H103="", "",TOTALCO!H103)</f>
        <v>0</v>
      </c>
      <c r="I989" s="12">
        <f>IF(TOTALCO!I103="", "",TOTALCO!I103)</f>
        <v>0</v>
      </c>
      <c r="J989" s="12" t="str">
        <f>IF(TOTALCO!J103="", "",TOTALCO!J103)</f>
        <v/>
      </c>
      <c r="K989" s="12" t="str">
        <f>IF(TOTALCO!K103="", "",TOTALCO!K103)</f>
        <v/>
      </c>
      <c r="L989" s="12">
        <f>IF(TOTALCO!L103="", "",TOTALCO!L103)</f>
        <v>0</v>
      </c>
      <c r="M989" s="12" t="str">
        <f>IF(TOTALCO!M103="", "",TOTALCO!M103)</f>
        <v/>
      </c>
      <c r="N989" s="12">
        <f>IF(TOTALCO!N103="", "",TOTALCO!N103)</f>
        <v>0</v>
      </c>
      <c r="O989" s="12">
        <f>IF(TOTALCO!O103="", "",TOTALCO!O103)</f>
        <v>0</v>
      </c>
      <c r="P989" s="12">
        <f>IF(TOTALCO!P103="", "",TOTALCO!P103)</f>
        <v>0</v>
      </c>
      <c r="Q989" s="12"/>
    </row>
    <row r="990" spans="1:17" ht="15" x14ac:dyDescent="0.2">
      <c r="A990" s="321">
        <f>IF(TOTALCO!A104="", "",TOTALCO!A104)</f>
        <v>13</v>
      </c>
      <c r="B990" s="4" t="str">
        <f>IF(TOTALCO!B104="", "",TOTALCO!B104)</f>
        <v>DIR ASGN ACCT 373 ST LIGHT VA</v>
      </c>
      <c r="C990" s="4" t="str">
        <f>IF(TOTALCO!C104="", "",TOTALCO!C104)</f>
        <v>CUST373V</v>
      </c>
      <c r="D990" s="12">
        <f>IF(TOTALCO!D104="", "",TOTALCO!D104)</f>
        <v>3991840.8323076926</v>
      </c>
      <c r="E990" s="12" t="str">
        <f>IF(TOTALCO!E104="", "",TOTALCO!E104)</f>
        <v/>
      </c>
      <c r="F990" s="12">
        <f>IF(TOTALCO!F104="", "",TOTALCO!F104)</f>
        <v>0</v>
      </c>
      <c r="G990" s="12" t="str">
        <f>IF(TOTALCO!G104="", "",TOTALCO!G104)</f>
        <v/>
      </c>
      <c r="H990" s="12">
        <f>IF(TOTALCO!H104="", "",TOTALCO!H104)</f>
        <v>3991840.8323076926</v>
      </c>
      <c r="I990" s="12">
        <f>IF(TOTALCO!I104="", "",TOTALCO!I104)</f>
        <v>0</v>
      </c>
      <c r="J990" s="12" t="str">
        <f>IF(TOTALCO!J104="", "",TOTALCO!J104)</f>
        <v/>
      </c>
      <c r="K990" s="12" t="str">
        <f>IF(TOTALCO!K104="", "",TOTALCO!K104)</f>
        <v/>
      </c>
      <c r="L990" s="12">
        <f>IF(TOTALCO!L104="", "",TOTALCO!L104)</f>
        <v>0</v>
      </c>
      <c r="M990" s="12" t="str">
        <f>IF(TOTALCO!M104="", "",TOTALCO!M104)</f>
        <v/>
      </c>
      <c r="N990" s="12">
        <f>IF(TOTALCO!N104="", "",TOTALCO!N104)</f>
        <v>0</v>
      </c>
      <c r="O990" s="12">
        <f>IF(TOTALCO!O104="", "",TOTALCO!O104)</f>
        <v>0</v>
      </c>
      <c r="P990" s="12">
        <f>IF(TOTALCO!P104="", "",TOTALCO!P104)</f>
        <v>0</v>
      </c>
      <c r="Q990" s="12"/>
    </row>
    <row r="991" spans="1:17" ht="15" x14ac:dyDescent="0.2">
      <c r="A991" s="321">
        <f>IF(TOTALCO!A105="", "",TOTALCO!A105)</f>
        <v>14</v>
      </c>
      <c r="B991" s="4" t="str">
        <f>IF(TOTALCO!B105="", "",TOTALCO!B105)</f>
        <v>DIR ASSIGN 908-CUST ASSIST</v>
      </c>
      <c r="C991" s="4" t="str">
        <f>IF(TOTALCO!C105="", "",TOTALCO!C105)</f>
        <v>CUST908</v>
      </c>
      <c r="D991" s="12">
        <f>IF(TOTALCO!D105="", "",TOTALCO!D105)</f>
        <v>522514</v>
      </c>
      <c r="E991" s="12" t="str">
        <f>IF(TOTALCO!E105="", "",TOTALCO!E105)</f>
        <v/>
      </c>
      <c r="F991" s="12">
        <f>IF(TOTALCO!F105="", "",TOTALCO!F105)</f>
        <v>522514</v>
      </c>
      <c r="G991" s="12" t="str">
        <f>IF(TOTALCO!G105="", "",TOTALCO!G105)</f>
        <v/>
      </c>
      <c r="H991" s="12">
        <f>IF(TOTALCO!H105="", "",TOTALCO!H105)</f>
        <v>0</v>
      </c>
      <c r="I991" s="12">
        <f>IF(TOTALCO!I105="", "",TOTALCO!I105)</f>
        <v>0</v>
      </c>
      <c r="J991" s="12" t="str">
        <f>IF(TOTALCO!J105="", "",TOTALCO!J105)</f>
        <v/>
      </c>
      <c r="K991" s="12" t="str">
        <f>IF(TOTALCO!K105="", "",TOTALCO!K105)</f>
        <v/>
      </c>
      <c r="L991" s="12">
        <f>IF(TOTALCO!L105="", "",TOTALCO!L105)</f>
        <v>0</v>
      </c>
      <c r="M991" s="12" t="str">
        <f>IF(TOTALCO!M105="", "",TOTALCO!M105)</f>
        <v/>
      </c>
      <c r="N991" s="12">
        <f>IF(TOTALCO!N105="", "",TOTALCO!N105)</f>
        <v>0</v>
      </c>
      <c r="O991" s="12">
        <f>IF(TOTALCO!O105="", "",TOTALCO!O105)</f>
        <v>0</v>
      </c>
      <c r="P991" s="12">
        <f>IF(TOTALCO!P105="", "",TOTALCO!P105)</f>
        <v>0</v>
      </c>
      <c r="Q991" s="12"/>
    </row>
    <row r="992" spans="1:17" ht="15" x14ac:dyDescent="0.2">
      <c r="A992" s="321">
        <f>IF(TOTALCO!A106="", "",TOTALCO!A106)</f>
        <v>15</v>
      </c>
      <c r="B992" s="4" t="str">
        <f>IF(TOTALCO!B106="", "",TOTALCO!B106)</f>
        <v>DIR ASSIGN 909-INFO &amp; INSTRCT</v>
      </c>
      <c r="C992" s="4" t="str">
        <f>IF(TOTALCO!C106="", "",TOTALCO!C106)</f>
        <v>CUST909</v>
      </c>
      <c r="D992" s="12">
        <f>IF(TOTALCO!D106="", "",TOTALCO!D106)</f>
        <v>550637</v>
      </c>
      <c r="E992" s="12" t="str">
        <f>IF(TOTALCO!E106="", "",TOTALCO!E106)</f>
        <v/>
      </c>
      <c r="F992" s="12">
        <f>IF(TOTALCO!F106="", "",TOTALCO!F106)</f>
        <v>522511</v>
      </c>
      <c r="G992" s="12" t="str">
        <f>IF(TOTALCO!G106="", "",TOTALCO!G106)</f>
        <v/>
      </c>
      <c r="H992" s="12">
        <f>IF(TOTALCO!H106="", "",TOTALCO!H106)</f>
        <v>28123</v>
      </c>
      <c r="I992" s="12">
        <f>IF(TOTALCO!I106="", "",TOTALCO!I106)</f>
        <v>3</v>
      </c>
      <c r="J992" s="12" t="str">
        <f>IF(TOTALCO!J106="", "",TOTALCO!J106)</f>
        <v/>
      </c>
      <c r="K992" s="12" t="str">
        <f>IF(TOTALCO!K106="", "",TOTALCO!K106)</f>
        <v/>
      </c>
      <c r="L992" s="12">
        <f>IF(TOTALCO!L106="", "",TOTALCO!L106)</f>
        <v>3</v>
      </c>
      <c r="M992" s="12" t="str">
        <f>IF(TOTALCO!M106="", "",TOTALCO!M106)</f>
        <v/>
      </c>
      <c r="N992" s="12">
        <f>IF(TOTALCO!N106="", "",TOTALCO!N106)</f>
        <v>0</v>
      </c>
      <c r="O992" s="12">
        <f>IF(TOTALCO!O106="", "",TOTALCO!O106)</f>
        <v>0</v>
      </c>
      <c r="P992" s="12">
        <f>IF(TOTALCO!P106="", "",TOTALCO!P106)</f>
        <v>0</v>
      </c>
      <c r="Q992" s="12"/>
    </row>
    <row r="993" spans="1:17" ht="15" x14ac:dyDescent="0.2">
      <c r="A993" s="321">
        <f>IF(TOTALCO!A107="", "",TOTALCO!A107)</f>
        <v>16</v>
      </c>
      <c r="B993" s="4" t="str">
        <f>IF(TOTALCO!B107="", "",TOTALCO!B107)</f>
        <v>DIR ASSIGN 912-DEM &amp; SELLING</v>
      </c>
      <c r="C993" s="4" t="str">
        <f>IF(TOTALCO!C107="", "",TOTALCO!C107)</f>
        <v>CUST912</v>
      </c>
      <c r="D993" s="12">
        <f>IF(TOTALCO!D107="", "",TOTALCO!D107)</f>
        <v>550637</v>
      </c>
      <c r="E993" s="12" t="str">
        <f>IF(TOTALCO!E107="", "",TOTALCO!E107)</f>
        <v/>
      </c>
      <c r="F993" s="12">
        <f>IF(TOTALCO!F107="", "",TOTALCO!F107)</f>
        <v>522511</v>
      </c>
      <c r="G993" s="12" t="str">
        <f>IF(TOTALCO!G107="", "",TOTALCO!G107)</f>
        <v/>
      </c>
      <c r="H993" s="12">
        <f>IF(TOTALCO!H107="", "",TOTALCO!H107)</f>
        <v>28123</v>
      </c>
      <c r="I993" s="12">
        <f>IF(TOTALCO!I107="", "",TOTALCO!I107)</f>
        <v>3</v>
      </c>
      <c r="J993" s="12" t="str">
        <f>IF(TOTALCO!J107="", "",TOTALCO!J107)</f>
        <v/>
      </c>
      <c r="K993" s="12" t="str">
        <f>IF(TOTALCO!K107="", "",TOTALCO!K107)</f>
        <v/>
      </c>
      <c r="L993" s="12">
        <f>IF(TOTALCO!L107="", "",TOTALCO!L107)</f>
        <v>3</v>
      </c>
      <c r="M993" s="12" t="str">
        <f>IF(TOTALCO!M107="", "",TOTALCO!M107)</f>
        <v/>
      </c>
      <c r="N993" s="12">
        <f>IF(TOTALCO!N107="", "",TOTALCO!N107)</f>
        <v>0</v>
      </c>
      <c r="O993" s="12">
        <f>IF(TOTALCO!O107="", "",TOTALCO!O107)</f>
        <v>0</v>
      </c>
      <c r="P993" s="12">
        <f>IF(TOTALCO!P107="", "",TOTALCO!P107)</f>
        <v>0</v>
      </c>
      <c r="Q993" s="12"/>
    </row>
    <row r="994" spans="1:17" ht="15" x14ac:dyDescent="0.2">
      <c r="A994" s="321">
        <f>IF(TOTALCO!A108="", "",TOTALCO!A108)</f>
        <v>17</v>
      </c>
      <c r="B994" s="4" t="str">
        <f>IF(TOTALCO!B108="", "",TOTALCO!B108)</f>
        <v>DIR ASSIGN 913-ADVERTISING</v>
      </c>
      <c r="C994" s="4" t="str">
        <f>IF(TOTALCO!C108="", "",TOTALCO!C108)</f>
        <v>CUST913</v>
      </c>
      <c r="D994" s="12">
        <f>IF(TOTALCO!D108="", "",TOTALCO!D108)</f>
        <v>550637</v>
      </c>
      <c r="E994" s="12" t="str">
        <f>IF(TOTALCO!E108="", "",TOTALCO!E108)</f>
        <v/>
      </c>
      <c r="F994" s="12">
        <f>IF(TOTALCO!F108="", "",TOTALCO!F108)</f>
        <v>522511</v>
      </c>
      <c r="G994" s="12" t="str">
        <f>IF(TOTALCO!G108="", "",TOTALCO!G108)</f>
        <v/>
      </c>
      <c r="H994" s="12">
        <f>IF(TOTALCO!H108="", "",TOTALCO!H108)</f>
        <v>28123</v>
      </c>
      <c r="I994" s="12">
        <f>IF(TOTALCO!I108="", "",TOTALCO!I108)</f>
        <v>3</v>
      </c>
      <c r="J994" s="12" t="str">
        <f>IF(TOTALCO!J108="", "",TOTALCO!J108)</f>
        <v/>
      </c>
      <c r="K994" s="12" t="str">
        <f>IF(TOTALCO!K108="", "",TOTALCO!K108)</f>
        <v/>
      </c>
      <c r="L994" s="12">
        <f>IF(TOTALCO!L108="", "",TOTALCO!L108)</f>
        <v>3</v>
      </c>
      <c r="M994" s="12" t="str">
        <f>IF(TOTALCO!M108="", "",TOTALCO!M108)</f>
        <v/>
      </c>
      <c r="N994" s="12">
        <f>IF(TOTALCO!N108="", "",TOTALCO!N108)</f>
        <v>0</v>
      </c>
      <c r="O994" s="12">
        <f>IF(TOTALCO!O108="", "",TOTALCO!O108)</f>
        <v>0</v>
      </c>
      <c r="P994" s="12">
        <f>IF(TOTALCO!P108="", "",TOTALCO!P108)</f>
        <v>0</v>
      </c>
      <c r="Q994" s="12"/>
    </row>
    <row r="995" spans="1:17" ht="15" x14ac:dyDescent="0.2">
      <c r="A995" s="321">
        <f>IF(TOTALCO!A109="", "",TOTALCO!A109)</f>
        <v>18</v>
      </c>
      <c r="B995" s="4" t="str">
        <f>IF(TOTALCO!B109="", "",TOTALCO!B109)</f>
        <v>CUSTOMER ANNUALIZATION</v>
      </c>
      <c r="C995" s="4" t="str">
        <f>IF(TOTALCO!C109="", "",TOTALCO!C109)</f>
        <v>CUSTANN</v>
      </c>
      <c r="D995" s="12">
        <f>IF(TOTALCO!D109="", "",TOTALCO!D109)</f>
        <v>0</v>
      </c>
      <c r="E995" s="12" t="str">
        <f>IF(TOTALCO!E109="", "",TOTALCO!E109)</f>
        <v/>
      </c>
      <c r="F995" s="12">
        <f>IF(TOTALCO!F109="", "",TOTALCO!F109)</f>
        <v>0</v>
      </c>
      <c r="G995" s="12" t="str">
        <f>IF(TOTALCO!G109="", "",TOTALCO!G109)</f>
        <v/>
      </c>
      <c r="H995" s="12">
        <f>IF(TOTALCO!H109="", "",TOTALCO!H109)</f>
        <v>0</v>
      </c>
      <c r="I995" s="12">
        <f>IF(TOTALCO!I109="", "",TOTALCO!I109)</f>
        <v>0</v>
      </c>
      <c r="J995" s="12" t="str">
        <f>IF(TOTALCO!J109="", "",TOTALCO!J109)</f>
        <v/>
      </c>
      <c r="K995" s="12" t="str">
        <f>IF(TOTALCO!K109="", "",TOTALCO!K109)</f>
        <v/>
      </c>
      <c r="L995" s="12">
        <f>IF(TOTALCO!L109="", "",TOTALCO!L109)</f>
        <v>0</v>
      </c>
      <c r="M995" s="12" t="str">
        <f>IF(TOTALCO!M109="", "",TOTALCO!M109)</f>
        <v/>
      </c>
      <c r="N995" s="12">
        <f>IF(TOTALCO!N109="", "",TOTALCO!N109)</f>
        <v>0</v>
      </c>
      <c r="O995" s="12">
        <f>IF(TOTALCO!O109="", "",TOTALCO!O109)</f>
        <v>0</v>
      </c>
      <c r="P995" s="12">
        <f>IF(TOTALCO!P109="", "",TOTALCO!P109)</f>
        <v>0</v>
      </c>
      <c r="Q995" s="12"/>
    </row>
    <row r="996" spans="1:17" ht="15" x14ac:dyDescent="0.2">
      <c r="A996" s="321">
        <f>IF(TOTALCO!A110="", "",TOTALCO!A110)</f>
        <v>19</v>
      </c>
      <c r="B996" s="4" t="str">
        <f>IF(TOTALCO!B110="", "",TOTALCO!B110)</f>
        <v>CUSTOMER DEPOSITS INTEREST</v>
      </c>
      <c r="C996" s="4" t="str">
        <f>IF(TOTALCO!C110="", "",TOTALCO!C110)</f>
        <v>CUSTDEPI</v>
      </c>
      <c r="D996" s="12">
        <f>IF(TOTALCO!D110="", "",TOTALCO!D110)</f>
        <v>435510.91000000003</v>
      </c>
      <c r="E996" s="12" t="str">
        <f>IF(TOTALCO!E110="", "",TOTALCO!E110)</f>
        <v/>
      </c>
      <c r="F996" s="12">
        <f>IF(TOTALCO!F110="", "",TOTALCO!F110)</f>
        <v>413608.63</v>
      </c>
      <c r="G996" s="12" t="str">
        <f>IF(TOTALCO!G110="", "",TOTALCO!G110)</f>
        <v/>
      </c>
      <c r="H996" s="12">
        <f>IF(TOTALCO!H110="", "",TOTALCO!H110)</f>
        <v>21902.28</v>
      </c>
      <c r="I996" s="12">
        <f>IF(TOTALCO!I110="", "",TOTALCO!I110)</f>
        <v>0</v>
      </c>
      <c r="J996" s="12" t="str">
        <f>IF(TOTALCO!J110="", "",TOTALCO!J110)</f>
        <v/>
      </c>
      <c r="K996" s="12" t="str">
        <f>IF(TOTALCO!K110="", "",TOTALCO!K110)</f>
        <v/>
      </c>
      <c r="L996" s="12">
        <f>IF(TOTALCO!L110="", "",TOTALCO!L110)</f>
        <v>0</v>
      </c>
      <c r="M996" s="12" t="str">
        <f>IF(TOTALCO!M110="", "",TOTALCO!M110)</f>
        <v/>
      </c>
      <c r="N996" s="12">
        <f>IF(TOTALCO!N110="", "",TOTALCO!N110)</f>
        <v>0</v>
      </c>
      <c r="O996" s="12">
        <f>IF(TOTALCO!O110="", "",TOTALCO!O110)</f>
        <v>0</v>
      </c>
      <c r="P996" s="12">
        <f>IF(TOTALCO!P110="", "",TOTALCO!P110)</f>
        <v>0</v>
      </c>
      <c r="Q996" s="12"/>
    </row>
    <row r="997" spans="1:17" ht="15" x14ac:dyDescent="0.2">
      <c r="A997" s="321">
        <f>IF(TOTALCO!A111="", "",TOTALCO!A111)</f>
        <v>20</v>
      </c>
      <c r="B997" s="4" t="str">
        <f>IF(TOTALCO!B111="", "",TOTALCO!B111)</f>
        <v>DIR ASSIGN LATE PAYMENT REVENUE</v>
      </c>
      <c r="C997" s="4" t="str">
        <f>IF(TOTALCO!C111="", "",TOTALCO!C111)</f>
        <v>DIR450REV</v>
      </c>
      <c r="D997" s="12">
        <f>IF(TOTALCO!D111="", "",TOTALCO!D111)</f>
        <v>4283361.5500000007</v>
      </c>
      <c r="E997" s="12" t="str">
        <f>IF(TOTALCO!E111="", "",TOTALCO!E111)</f>
        <v/>
      </c>
      <c r="F997" s="12">
        <f>IF(TOTALCO!F111="", "",TOTALCO!F111)</f>
        <v>4111497.58</v>
      </c>
      <c r="G997" s="12" t="str">
        <f>IF(TOTALCO!G111="", "",TOTALCO!G111)</f>
        <v/>
      </c>
      <c r="H997" s="12">
        <f>IF(TOTALCO!H111="", "",TOTALCO!H111)</f>
        <v>171764.07</v>
      </c>
      <c r="I997" s="12">
        <f>IF(TOTALCO!I111="", "",TOTALCO!I111)</f>
        <v>99.9</v>
      </c>
      <c r="J997" s="12" t="str">
        <f>IF(TOTALCO!J111="", "",TOTALCO!J111)</f>
        <v/>
      </c>
      <c r="K997" s="12" t="str">
        <f>IF(TOTALCO!K111="", "",TOTALCO!K111)</f>
        <v/>
      </c>
      <c r="L997" s="12">
        <f>IF(TOTALCO!L111="", "",TOTALCO!L111)</f>
        <v>0</v>
      </c>
      <c r="M997" s="12" t="str">
        <f>IF(TOTALCO!M111="", "",TOTALCO!M111)</f>
        <v/>
      </c>
      <c r="N997" s="12">
        <f>IF(TOTALCO!N111="", "",TOTALCO!N111)</f>
        <v>99.9</v>
      </c>
      <c r="O997" s="12">
        <f>IF(TOTALCO!O111="", "",TOTALCO!O111)</f>
        <v>6.23</v>
      </c>
      <c r="P997" s="12">
        <f>IF(TOTALCO!P111="", "",TOTALCO!P111)</f>
        <v>93.67</v>
      </c>
      <c r="Q997" s="12"/>
    </row>
    <row r="998" spans="1:17" ht="15" x14ac:dyDescent="0.2">
      <c r="A998" s="321">
        <f>IF(TOTALCO!A112="", "",TOTALCO!A112)</f>
        <v>21</v>
      </c>
      <c r="B998" s="4" t="str">
        <f>IF(TOTALCO!B112="", "",TOTALCO!B112)</f>
        <v/>
      </c>
      <c r="C998" s="4" t="str">
        <f>IF(TOTALCO!C112="", "",TOTALCO!C112)</f>
        <v/>
      </c>
      <c r="D998" s="12" t="str">
        <f>IF(TOTALCO!D112="", "",TOTALCO!D112)</f>
        <v/>
      </c>
      <c r="E998" s="12" t="str">
        <f>IF(TOTALCO!E112="", "",TOTALCO!E112)</f>
        <v/>
      </c>
      <c r="F998" s="12" t="str">
        <f>IF(TOTALCO!F112="", "",TOTALCO!F112)</f>
        <v/>
      </c>
      <c r="G998" s="12" t="str">
        <f>IF(TOTALCO!G112="", "",TOTALCO!G112)</f>
        <v/>
      </c>
      <c r="H998" s="12" t="str">
        <f>IF(TOTALCO!H112="", "",TOTALCO!H112)</f>
        <v/>
      </c>
      <c r="I998" s="12" t="str">
        <f>IF(TOTALCO!I112="", "",TOTALCO!I112)</f>
        <v/>
      </c>
      <c r="J998" s="12" t="str">
        <f>IF(TOTALCO!J112="", "",TOTALCO!J112)</f>
        <v/>
      </c>
      <c r="K998" s="12" t="str">
        <f>IF(TOTALCO!K112="", "",TOTALCO!K112)</f>
        <v/>
      </c>
      <c r="L998" s="12" t="str">
        <f>IF(TOTALCO!L112="", "",TOTALCO!L112)</f>
        <v/>
      </c>
      <c r="M998" s="12" t="str">
        <f>IF(TOTALCO!M112="", "",TOTALCO!M112)</f>
        <v/>
      </c>
      <c r="N998" s="12" t="str">
        <f>IF(TOTALCO!N112="", "",TOTALCO!N112)</f>
        <v/>
      </c>
      <c r="O998" s="12" t="str">
        <f>IF(TOTALCO!O112="", "",TOTALCO!O112)</f>
        <v/>
      </c>
      <c r="P998" s="12" t="str">
        <f>IF(TOTALCO!P112="", "",TOTALCO!P112)</f>
        <v/>
      </c>
      <c r="Q998" s="12"/>
    </row>
    <row r="999" spans="1:17" ht="15" x14ac:dyDescent="0.2">
      <c r="A999" s="321">
        <f>IF(TOTALCO!A113="", "",TOTALCO!A113)</f>
        <v>22</v>
      </c>
      <c r="B999" s="4" t="str">
        <f>IF(TOTALCO!B113="", "",TOTALCO!B113)</f>
        <v/>
      </c>
      <c r="C999" s="4" t="str">
        <f>IF(TOTALCO!C113="", "",TOTALCO!C113)</f>
        <v/>
      </c>
      <c r="D999" s="12" t="str">
        <f>IF(TOTALCO!D113="", "",TOTALCO!D113)</f>
        <v/>
      </c>
      <c r="E999" s="12" t="str">
        <f>IF(TOTALCO!E113="", "",TOTALCO!E113)</f>
        <v/>
      </c>
      <c r="F999" s="12" t="str">
        <f>IF(TOTALCO!F113="", "",TOTALCO!F113)</f>
        <v/>
      </c>
      <c r="G999" s="12" t="str">
        <f>IF(TOTALCO!G113="", "",TOTALCO!G113)</f>
        <v/>
      </c>
      <c r="H999" s="12" t="str">
        <f>IF(TOTALCO!H113="", "",TOTALCO!H113)</f>
        <v/>
      </c>
      <c r="I999" s="12" t="str">
        <f>IF(TOTALCO!I113="", "",TOTALCO!I113)</f>
        <v/>
      </c>
      <c r="J999" s="12" t="str">
        <f>IF(TOTALCO!J113="", "",TOTALCO!J113)</f>
        <v/>
      </c>
      <c r="K999" s="12" t="str">
        <f>IF(TOTALCO!K113="", "",TOTALCO!K113)</f>
        <v/>
      </c>
      <c r="L999" s="12" t="str">
        <f>IF(TOTALCO!L113="", "",TOTALCO!L113)</f>
        <v/>
      </c>
      <c r="M999" s="12" t="str">
        <f>IF(TOTALCO!M113="", "",TOTALCO!M113)</f>
        <v/>
      </c>
      <c r="N999" s="12" t="str">
        <f>IF(TOTALCO!N113="", "",TOTALCO!N113)</f>
        <v/>
      </c>
      <c r="O999" s="12" t="str">
        <f>IF(TOTALCO!O113="", "",TOTALCO!O113)</f>
        <v/>
      </c>
      <c r="P999" s="12" t="str">
        <f>IF(TOTALCO!P113="", "",TOTALCO!P113)</f>
        <v/>
      </c>
      <c r="Q999" s="12"/>
    </row>
    <row r="1000" spans="1:17" ht="15" x14ac:dyDescent="0.2">
      <c r="A1000" s="321">
        <f>IF(TOTALCO!A114="", "",TOTALCO!A114)</f>
        <v>23</v>
      </c>
      <c r="B1000" s="4" t="str">
        <f>IF(TOTALCO!B114="", "",TOTALCO!B114)</f>
        <v/>
      </c>
      <c r="C1000" s="4" t="str">
        <f>IF(TOTALCO!C114="", "",TOTALCO!C114)</f>
        <v/>
      </c>
      <c r="D1000" s="12" t="str">
        <f>IF(TOTALCO!D114="", "",TOTALCO!D114)</f>
        <v/>
      </c>
      <c r="E1000" s="12" t="str">
        <f>IF(TOTALCO!E114="", "",TOTALCO!E114)</f>
        <v/>
      </c>
      <c r="F1000" s="12" t="str">
        <f>IF(TOTALCO!F114="", "",TOTALCO!F114)</f>
        <v/>
      </c>
      <c r="G1000" s="12" t="str">
        <f>IF(TOTALCO!G114="", "",TOTALCO!G114)</f>
        <v/>
      </c>
      <c r="H1000" s="12" t="str">
        <f>IF(TOTALCO!H114="", "",TOTALCO!H114)</f>
        <v/>
      </c>
      <c r="I1000" s="12" t="str">
        <f>IF(TOTALCO!I114="", "",TOTALCO!I114)</f>
        <v/>
      </c>
      <c r="J1000" s="12" t="str">
        <f>IF(TOTALCO!J114="", "",TOTALCO!J114)</f>
        <v/>
      </c>
      <c r="K1000" s="12" t="str">
        <f>IF(TOTALCO!K114="", "",TOTALCO!K114)</f>
        <v/>
      </c>
      <c r="L1000" s="12" t="str">
        <f>IF(TOTALCO!L114="", "",TOTALCO!L114)</f>
        <v/>
      </c>
      <c r="M1000" s="12" t="str">
        <f>IF(TOTALCO!M114="", "",TOTALCO!M114)</f>
        <v/>
      </c>
      <c r="N1000" s="12" t="str">
        <f>IF(TOTALCO!N114="", "",TOTALCO!N114)</f>
        <v/>
      </c>
      <c r="O1000" s="12" t="str">
        <f>IF(TOTALCO!O114="", "",TOTALCO!O114)</f>
        <v/>
      </c>
      <c r="P1000" s="12" t="str">
        <f>IF(TOTALCO!P114="", "",TOTALCO!P114)</f>
        <v/>
      </c>
      <c r="Q1000" s="12"/>
    </row>
    <row r="1001" spans="1:17" ht="15" x14ac:dyDescent="0.2">
      <c r="A1001" s="321">
        <f>IF(TOTALCO!A115="", "",TOTALCO!A115)</f>
        <v>24</v>
      </c>
      <c r="B1001" s="4" t="str">
        <f>IF(TOTALCO!B115="", "",TOTALCO!B115)</f>
        <v/>
      </c>
      <c r="C1001" s="4" t="str">
        <f>IF(TOTALCO!C115="", "",TOTALCO!C115)</f>
        <v/>
      </c>
      <c r="D1001" s="12" t="str">
        <f>IF(TOTALCO!D115="", "",TOTALCO!D115)</f>
        <v/>
      </c>
      <c r="E1001" s="12" t="str">
        <f>IF(TOTALCO!E115="", "",TOTALCO!E115)</f>
        <v/>
      </c>
      <c r="F1001" s="12" t="str">
        <f>IF(TOTALCO!F115="", "",TOTALCO!F115)</f>
        <v/>
      </c>
      <c r="G1001" s="12" t="str">
        <f>IF(TOTALCO!G115="", "",TOTALCO!G115)</f>
        <v/>
      </c>
      <c r="H1001" s="12" t="str">
        <f>IF(TOTALCO!H115="", "",TOTALCO!H115)</f>
        <v/>
      </c>
      <c r="I1001" s="12" t="str">
        <f>IF(TOTALCO!I115="", "",TOTALCO!I115)</f>
        <v/>
      </c>
      <c r="J1001" s="12" t="str">
        <f>IF(TOTALCO!J115="", "",TOTALCO!J115)</f>
        <v/>
      </c>
      <c r="K1001" s="12" t="str">
        <f>IF(TOTALCO!K115="", "",TOTALCO!K115)</f>
        <v/>
      </c>
      <c r="L1001" s="12" t="str">
        <f>IF(TOTALCO!L115="", "",TOTALCO!L115)</f>
        <v/>
      </c>
      <c r="M1001" s="12" t="str">
        <f>IF(TOTALCO!M115="", "",TOTALCO!M115)</f>
        <v/>
      </c>
      <c r="N1001" s="12" t="str">
        <f>IF(TOTALCO!N115="", "",TOTALCO!N115)</f>
        <v/>
      </c>
      <c r="O1001" s="12" t="str">
        <f>IF(TOTALCO!O115="", "",TOTALCO!O115)</f>
        <v/>
      </c>
      <c r="P1001" s="12" t="str">
        <f>IF(TOTALCO!P115="", "",TOTALCO!P115)</f>
        <v/>
      </c>
      <c r="Q1001" s="12"/>
    </row>
    <row r="1002" spans="1:17" ht="15" x14ac:dyDescent="0.2">
      <c r="A1002" s="321">
        <f>IF(TOTALCO!A116="", "",TOTALCO!A116)</f>
        <v>25</v>
      </c>
      <c r="B1002" s="4" t="str">
        <f>IF(TOTALCO!B116="", "",TOTALCO!B116)</f>
        <v/>
      </c>
      <c r="C1002" s="4" t="str">
        <f>IF(TOTALCO!C116="", "",TOTALCO!C116)</f>
        <v/>
      </c>
      <c r="D1002" s="12" t="str">
        <f>IF(TOTALCO!D116="", "",TOTALCO!D116)</f>
        <v/>
      </c>
      <c r="E1002" s="12" t="str">
        <f>IF(TOTALCO!E116="", "",TOTALCO!E116)</f>
        <v/>
      </c>
      <c r="F1002" s="12" t="str">
        <f>IF(TOTALCO!F116="", "",TOTALCO!F116)</f>
        <v/>
      </c>
      <c r="G1002" s="12" t="str">
        <f>IF(TOTALCO!G116="", "",TOTALCO!G116)</f>
        <v/>
      </c>
      <c r="H1002" s="12" t="str">
        <f>IF(TOTALCO!H116="", "",TOTALCO!H116)</f>
        <v/>
      </c>
      <c r="I1002" s="12" t="str">
        <f>IF(TOTALCO!I116="", "",TOTALCO!I116)</f>
        <v/>
      </c>
      <c r="J1002" s="12" t="str">
        <f>IF(TOTALCO!J116="", "",TOTALCO!J116)</f>
        <v/>
      </c>
      <c r="K1002" s="12" t="str">
        <f>IF(TOTALCO!K116="", "",TOTALCO!K116)</f>
        <v/>
      </c>
      <c r="L1002" s="12" t="str">
        <f>IF(TOTALCO!L116="", "",TOTALCO!L116)</f>
        <v/>
      </c>
      <c r="M1002" s="12" t="str">
        <f>IF(TOTALCO!M116="", "",TOTALCO!M116)</f>
        <v/>
      </c>
      <c r="N1002" s="12" t="str">
        <f>IF(TOTALCO!N116="", "",TOTALCO!N116)</f>
        <v/>
      </c>
      <c r="O1002" s="12" t="str">
        <f>IF(TOTALCO!O116="", "",TOTALCO!O116)</f>
        <v/>
      </c>
      <c r="P1002" s="12" t="str">
        <f>IF(TOTALCO!P116="", "",TOTALCO!P116)</f>
        <v/>
      </c>
      <c r="Q1002" s="12"/>
    </row>
    <row r="1003" spans="1:17" ht="15" x14ac:dyDescent="0.2">
      <c r="A1003" s="321" t="str">
        <f>IF(TOTALCO!A117="", "",TOTALCO!A117)</f>
        <v/>
      </c>
      <c r="B1003" s="4" t="str">
        <f>IF(TOTALCO!B117="", "",TOTALCO!B117)</f>
        <v/>
      </c>
      <c r="C1003" s="4" t="str">
        <f>IF(TOTALCO!C117="", "",TOTALCO!C117)</f>
        <v/>
      </c>
      <c r="D1003" s="12" t="str">
        <f>IF(TOTALCO!D117="", "",TOTALCO!D117)</f>
        <v/>
      </c>
      <c r="E1003" s="12" t="str">
        <f>IF(TOTALCO!E117="", "",TOTALCO!E117)</f>
        <v/>
      </c>
      <c r="F1003" s="12" t="str">
        <f>IF(TOTALCO!F117="", "",TOTALCO!F117)</f>
        <v/>
      </c>
      <c r="G1003" s="12" t="str">
        <f>IF(TOTALCO!G117="", "",TOTALCO!G117)</f>
        <v/>
      </c>
      <c r="H1003" s="12" t="str">
        <f>IF(TOTALCO!H117="", "",TOTALCO!H117)</f>
        <v/>
      </c>
      <c r="I1003" s="12" t="str">
        <f>IF(TOTALCO!I117="", "",TOTALCO!I117)</f>
        <v/>
      </c>
      <c r="J1003" s="12" t="str">
        <f>IF(TOTALCO!J117="", "",TOTALCO!J117)</f>
        <v/>
      </c>
      <c r="K1003" s="12" t="str">
        <f>IF(TOTALCO!K117="", "",TOTALCO!K117)</f>
        <v/>
      </c>
      <c r="L1003" s="12" t="str">
        <f>IF(TOTALCO!L117="", "",TOTALCO!L117)</f>
        <v/>
      </c>
      <c r="M1003" s="12" t="str">
        <f>IF(TOTALCO!M117="", "",TOTALCO!M117)</f>
        <v/>
      </c>
      <c r="N1003" s="12" t="str">
        <f>IF(TOTALCO!N117="", "",TOTALCO!N117)</f>
        <v/>
      </c>
      <c r="O1003" s="12" t="str">
        <f>IF(TOTALCO!O117="", "",TOTALCO!O117)</f>
        <v/>
      </c>
      <c r="P1003" s="12" t="str">
        <f>IF(TOTALCO!P117="", "",TOTALCO!P117)</f>
        <v/>
      </c>
      <c r="Q1003" s="12"/>
    </row>
    <row r="1004" spans="1:17" ht="15" x14ac:dyDescent="0.2">
      <c r="A1004" s="321" t="str">
        <f>IF(TOTALCO!A118="", "",TOTALCO!A118)</f>
        <v/>
      </c>
      <c r="B1004" s="4" t="str">
        <f>IF(TOTALCO!B118="", "",TOTALCO!B118)</f>
        <v>INTERNALLY DEVELOPED</v>
      </c>
      <c r="C1004" s="4" t="str">
        <f>IF(TOTALCO!C118="", "",TOTALCO!C118)</f>
        <v/>
      </c>
      <c r="D1004" s="12" t="str">
        <f>IF(TOTALCO!D118="", "",TOTALCO!D118)</f>
        <v/>
      </c>
      <c r="E1004" s="12" t="str">
        <f>IF(TOTALCO!E118="", "",TOTALCO!E118)</f>
        <v/>
      </c>
      <c r="F1004" s="12" t="str">
        <f>IF(TOTALCO!F118="", "",TOTALCO!F118)</f>
        <v/>
      </c>
      <c r="G1004" s="12" t="str">
        <f>IF(TOTALCO!G118="", "",TOTALCO!G118)</f>
        <v/>
      </c>
      <c r="H1004" s="12" t="str">
        <f>IF(TOTALCO!H118="", "",TOTALCO!H118)</f>
        <v/>
      </c>
      <c r="I1004" s="12" t="str">
        <f>IF(TOTALCO!I118="", "",TOTALCO!I118)</f>
        <v/>
      </c>
      <c r="J1004" s="12" t="str">
        <f>IF(TOTALCO!J118="", "",TOTALCO!J118)</f>
        <v/>
      </c>
      <c r="K1004" s="12" t="str">
        <f>IF(TOTALCO!K118="", "",TOTALCO!K118)</f>
        <v/>
      </c>
      <c r="L1004" s="12" t="str">
        <f>IF(TOTALCO!L118="", "",TOTALCO!L118)</f>
        <v/>
      </c>
      <c r="M1004" s="12" t="str">
        <f>IF(TOTALCO!M118="", "",TOTALCO!M118)</f>
        <v/>
      </c>
      <c r="N1004" s="12" t="str">
        <f>IF(TOTALCO!N118="", "",TOTALCO!N118)</f>
        <v/>
      </c>
      <c r="O1004" s="12" t="str">
        <f>IF(TOTALCO!O118="", "",TOTALCO!O118)</f>
        <v/>
      </c>
      <c r="P1004" s="12" t="str">
        <f>IF(TOTALCO!P118="", "",TOTALCO!P118)</f>
        <v/>
      </c>
      <c r="Q1004" s="12"/>
    </row>
    <row r="1005" spans="1:17" ht="15" x14ac:dyDescent="0.2">
      <c r="A1005" s="321" t="str">
        <f>IF(TOTALCO!A119="", "",TOTALCO!A119)</f>
        <v/>
      </c>
      <c r="B1005" s="4" t="str">
        <f>IF(TOTALCO!B119="", "",TOTALCO!B119)</f>
        <v>-</v>
      </c>
      <c r="C1005" s="4" t="str">
        <f>IF(TOTALCO!C119="", "",TOTALCO!C119)</f>
        <v/>
      </c>
      <c r="D1005" s="12" t="str">
        <f>IF(TOTALCO!D119="", "",TOTALCO!D119)</f>
        <v/>
      </c>
      <c r="E1005" s="12" t="str">
        <f>IF(TOTALCO!E119="", "",TOTALCO!E119)</f>
        <v/>
      </c>
      <c r="F1005" s="12" t="str">
        <f>IF(TOTALCO!F119="", "",TOTALCO!F119)</f>
        <v/>
      </c>
      <c r="G1005" s="12" t="str">
        <f>IF(TOTALCO!G119="", "",TOTALCO!G119)</f>
        <v/>
      </c>
      <c r="H1005" s="12" t="str">
        <f>IF(TOTALCO!H119="", "",TOTALCO!H119)</f>
        <v/>
      </c>
      <c r="I1005" s="12" t="str">
        <f>IF(TOTALCO!I119="", "",TOTALCO!I119)</f>
        <v/>
      </c>
      <c r="J1005" s="12" t="str">
        <f>IF(TOTALCO!J119="", "",TOTALCO!J119)</f>
        <v/>
      </c>
      <c r="K1005" s="12" t="str">
        <f>IF(TOTALCO!K119="", "",TOTALCO!K119)</f>
        <v/>
      </c>
      <c r="L1005" s="12" t="str">
        <f>IF(TOTALCO!L119="", "",TOTALCO!L119)</f>
        <v/>
      </c>
      <c r="M1005" s="12" t="str">
        <f>IF(TOTALCO!M119="", "",TOTALCO!M119)</f>
        <v/>
      </c>
      <c r="N1005" s="12" t="str">
        <f>IF(TOTALCO!N119="", "",TOTALCO!N119)</f>
        <v/>
      </c>
      <c r="O1005" s="12" t="str">
        <f>IF(TOTALCO!O119="", "",TOTALCO!O119)</f>
        <v/>
      </c>
      <c r="P1005" s="12" t="str">
        <f>IF(TOTALCO!P119="", "",TOTALCO!P119)</f>
        <v/>
      </c>
      <c r="Q1005" s="12"/>
    </row>
    <row r="1006" spans="1:17" ht="15" x14ac:dyDescent="0.2">
      <c r="A1006" s="321">
        <f>IF(TOTALCO!A120="", "",TOTALCO!A120)</f>
        <v>1</v>
      </c>
      <c r="B1006" s="4" t="str">
        <f>IF(TOTALCO!B120="", "",TOTALCO!B120)</f>
        <v>PROD-TRANSM-DISTR-GENL PLT</v>
      </c>
      <c r="C1006" s="4" t="str">
        <f>IF(TOTALCO!C120="", "",TOTALCO!C120)</f>
        <v>PTDGPLT</v>
      </c>
      <c r="D1006" s="12">
        <f ca="1">IF(TOTALCO!D120="", "",TOTALCO!D120)</f>
        <v>9965031317.6653824</v>
      </c>
      <c r="E1006" s="12" t="str">
        <f>IF(TOTALCO!E120="", "",TOTALCO!E120)</f>
        <v/>
      </c>
      <c r="F1006" s="12">
        <f ca="1">IF(TOTALCO!F120="", "",TOTALCO!F120)</f>
        <v>9317044458.2583141</v>
      </c>
      <c r="G1006" s="12" t="str">
        <f>IF(TOTALCO!G120="", "",TOTALCO!G120)</f>
        <v/>
      </c>
      <c r="H1006" s="12">
        <f ca="1">IF(TOTALCO!H120="", "",TOTALCO!H120)</f>
        <v>502996522.71076357</v>
      </c>
      <c r="I1006" s="12">
        <f ca="1">IF(TOTALCO!I120="", "",TOTALCO!I120)</f>
        <v>144990336.69630399</v>
      </c>
      <c r="J1006" s="12" t="str">
        <f>IF(TOTALCO!J120="", "",TOTALCO!J120)</f>
        <v/>
      </c>
      <c r="K1006" s="12" t="str">
        <f>IF(TOTALCO!K120="", "",TOTALCO!K120)</f>
        <v/>
      </c>
      <c r="L1006" s="12">
        <f ca="1">IF(TOTALCO!L120="", "",TOTALCO!L120)</f>
        <v>684830.67982355924</v>
      </c>
      <c r="M1006" s="12" t="str">
        <f>IF(TOTALCO!M120="", "",TOTALCO!M120)</f>
        <v/>
      </c>
      <c r="N1006" s="12">
        <f ca="1">IF(TOTALCO!N120="", "",TOTALCO!N120)</f>
        <v>144305506.01648045</v>
      </c>
      <c r="O1006" s="12">
        <f ca="1">IF(TOTALCO!O120="", "",TOTALCO!O120)</f>
        <v>75003926.080928296</v>
      </c>
      <c r="P1006" s="12">
        <f ca="1">IF(TOTALCO!P120="", "",TOTALCO!P120)</f>
        <v>69301579.935552165</v>
      </c>
      <c r="Q1006" s="12"/>
    </row>
    <row r="1007" spans="1:17" ht="15" x14ac:dyDescent="0.2">
      <c r="A1007" s="321">
        <f>IF(TOTALCO!A121="", "",TOTALCO!A121)</f>
        <v>2</v>
      </c>
      <c r="B1007" s="4" t="str">
        <f>IF(TOTALCO!B121="", "",TOTALCO!B121)</f>
        <v>PROD-TRANSM-DISTR-GENL PLT KY</v>
      </c>
      <c r="C1007" s="4" t="str">
        <f>IF(TOTALCO!C121="", "",TOTALCO!C121)</f>
        <v>KURETPLT</v>
      </c>
      <c r="D1007" s="12">
        <f ca="1">IF(TOTALCO!D121="", "",TOTALCO!D121)</f>
        <v>9317044458.2583141</v>
      </c>
      <c r="E1007" s="12" t="str">
        <f>IF(TOTALCO!E121="", "",TOTALCO!E121)</f>
        <v/>
      </c>
      <c r="F1007" s="12">
        <f ca="1">IF(TOTALCO!F121="", "",TOTALCO!F121)</f>
        <v>9317044458.2583141</v>
      </c>
      <c r="G1007" s="12" t="str">
        <f>IF(TOTALCO!G121="", "",TOTALCO!G121)</f>
        <v/>
      </c>
      <c r="H1007" s="12">
        <f>IF(TOTALCO!H121="", "",TOTALCO!H121)</f>
        <v>0</v>
      </c>
      <c r="I1007" s="12">
        <f>IF(TOTALCO!I121="", "",TOTALCO!I121)</f>
        <v>0</v>
      </c>
      <c r="J1007" s="12" t="str">
        <f>IF(TOTALCO!J121="", "",TOTALCO!J121)</f>
        <v/>
      </c>
      <c r="K1007" s="12" t="str">
        <f>IF(TOTALCO!K121="", "",TOTALCO!K121)</f>
        <v/>
      </c>
      <c r="L1007" s="12">
        <f>IF(TOTALCO!L121="", "",TOTALCO!L121)</f>
        <v>0</v>
      </c>
      <c r="M1007" s="12" t="str">
        <f>IF(TOTALCO!M121="", "",TOTALCO!M121)</f>
        <v/>
      </c>
      <c r="N1007" s="12">
        <f>IF(TOTALCO!N121="", "",TOTALCO!N121)</f>
        <v>0</v>
      </c>
      <c r="O1007" s="12">
        <f>IF(TOTALCO!O121="", "",TOTALCO!O121)</f>
        <v>0</v>
      </c>
      <c r="P1007" s="12">
        <f>IF(TOTALCO!P121="", "",TOTALCO!P121)</f>
        <v>0</v>
      </c>
      <c r="Q1007" s="12"/>
    </row>
    <row r="1008" spans="1:17" ht="15" x14ac:dyDescent="0.2">
      <c r="A1008" s="321">
        <f>IF(TOTALCO!A122="", "",TOTALCO!A122)</f>
        <v>3</v>
      </c>
      <c r="B1008" s="4" t="str">
        <f>IF(TOTALCO!B122="", "",TOTALCO!B122)</f>
        <v>ALLOCATED O&amp;M LABOR EXPENSE</v>
      </c>
      <c r="C1008" s="4" t="str">
        <f>IF(TOTALCO!C122="", "",TOTALCO!C122)</f>
        <v>LABOR</v>
      </c>
      <c r="D1008" s="12">
        <f ca="1">IF(TOTALCO!D122="", "",TOTALCO!D122)</f>
        <v>178867174.00000003</v>
      </c>
      <c r="E1008" s="12" t="str">
        <f>IF(TOTALCO!E122="", "",TOTALCO!E122)</f>
        <v/>
      </c>
      <c r="F1008" s="12">
        <f ca="1">IF(TOTALCO!F122="", "",TOTALCO!F122)</f>
        <v>168255995.62654746</v>
      </c>
      <c r="G1008" s="12" t="str">
        <f>IF(TOTALCO!G122="", "",TOTALCO!G122)</f>
        <v/>
      </c>
      <c r="H1008" s="12">
        <f ca="1">IF(TOTALCO!H122="", "",TOTALCO!H122)</f>
        <v>8468966.3711773921</v>
      </c>
      <c r="I1008" s="12">
        <f ca="1">IF(TOTALCO!I122="", "",TOTALCO!I122)</f>
        <v>2142212.0022751656</v>
      </c>
      <c r="J1008" s="12" t="str">
        <f>IF(TOTALCO!J122="", "",TOTALCO!J122)</f>
        <v/>
      </c>
      <c r="K1008" s="12" t="str">
        <f>IF(TOTALCO!K122="", "",TOTALCO!K122)</f>
        <v/>
      </c>
      <c r="L1008" s="12">
        <f ca="1">IF(TOTALCO!L122="", "",TOTALCO!L122)</f>
        <v>12052.401427364233</v>
      </c>
      <c r="M1008" s="12" t="str">
        <f>IF(TOTALCO!M122="", "",TOTALCO!M122)</f>
        <v/>
      </c>
      <c r="N1008" s="12">
        <f ca="1">IF(TOTALCO!N122="", "",TOTALCO!N122)</f>
        <v>2130159.6008478012</v>
      </c>
      <c r="O1008" s="12">
        <f ca="1">IF(TOTALCO!O122="", "",TOTALCO!O122)</f>
        <v>1110408.9829098561</v>
      </c>
      <c r="P1008" s="12">
        <f ca="1">IF(TOTALCO!P122="", "",TOTALCO!P122)</f>
        <v>1019750.6179379449</v>
      </c>
      <c r="Q1008" s="12"/>
    </row>
    <row r="1009" spans="1:17" ht="15" x14ac:dyDescent="0.2">
      <c r="A1009" s="321">
        <f>IF(TOTALCO!A123="", "",TOTALCO!A123)</f>
        <v>4</v>
      </c>
      <c r="B1009" s="4" t="str">
        <f>IF(TOTALCO!B123="", "",TOTALCO!B123)</f>
        <v>TOTAL STEAM PROD PLANT-SYSTEM</v>
      </c>
      <c r="C1009" s="4" t="str">
        <f>IF(TOTALCO!C123="", "",TOTALCO!C123)</f>
        <v>STMSYS</v>
      </c>
      <c r="D1009" s="12">
        <f ca="1">IF(TOTALCO!D123="", "",TOTALCO!D123)</f>
        <v>5417083338.7715378</v>
      </c>
      <c r="E1009" s="12" t="str">
        <f>IF(TOTALCO!E123="", "",TOTALCO!E123)</f>
        <v/>
      </c>
      <c r="F1009" s="12">
        <f ca="1">IF(TOTALCO!F123="", "",TOTALCO!F123)</f>
        <v>5078060761.9172258</v>
      </c>
      <c r="G1009" s="12" t="str">
        <f>IF(TOTALCO!G123="", "",TOTALCO!G123)</f>
        <v/>
      </c>
      <c r="H1009" s="12">
        <f ca="1">IF(TOTALCO!H123="", "",TOTALCO!H123)</f>
        <v>232530651.65743962</v>
      </c>
      <c r="I1009" s="12">
        <f ca="1">IF(TOTALCO!I123="", "",TOTALCO!I123)</f>
        <v>106491925.19687295</v>
      </c>
      <c r="J1009" s="12" t="str">
        <f>IF(TOTALCO!J123="", "",TOTALCO!J123)</f>
        <v/>
      </c>
      <c r="K1009" s="12" t="str">
        <f>IF(TOTALCO!K123="", "",TOTALCO!K123)</f>
        <v/>
      </c>
      <c r="L1009" s="12">
        <f ca="1">IF(TOTALCO!L123="", "",TOTALCO!L123)</f>
        <v>16299.867631499083</v>
      </c>
      <c r="M1009" s="12" t="str">
        <f>IF(TOTALCO!M123="", "",TOTALCO!M123)</f>
        <v/>
      </c>
      <c r="N1009" s="12">
        <f ca="1">IF(TOTALCO!N123="", "",TOTALCO!N123)</f>
        <v>106475625.32924145</v>
      </c>
      <c r="O1009" s="12">
        <f ca="1">IF(TOTALCO!O123="", "",TOTALCO!O123)</f>
        <v>54001461.463156469</v>
      </c>
      <c r="P1009" s="12">
        <f ca="1">IF(TOTALCO!P123="", "",TOTALCO!P123)</f>
        <v>52474163.866084993</v>
      </c>
      <c r="Q1009" s="12"/>
    </row>
    <row r="1010" spans="1:17" ht="15" x14ac:dyDescent="0.2">
      <c r="A1010" s="321">
        <f>IF(TOTALCO!A124="", "",TOTALCO!A124)</f>
        <v>5</v>
      </c>
      <c r="B1010" s="4" t="str">
        <f>IF(TOTALCO!B124="", "",TOTALCO!B124)</f>
        <v>ALLOCATED NON A&amp;G LABOR EXPENSE</v>
      </c>
      <c r="C1010" s="4" t="str">
        <f>IF(TOTALCO!C124="", "",TOTALCO!C124)</f>
        <v>PTDCUSTLABOR</v>
      </c>
      <c r="D1010" s="12">
        <f ca="1">IF(TOTALCO!D124="", "",TOTALCO!D124)</f>
        <v>113366614.00000001</v>
      </c>
      <c r="E1010" s="12" t="str">
        <f>IF(TOTALCO!E124="", "",TOTALCO!E124)</f>
        <v/>
      </c>
      <c r="F1010" s="12">
        <f ca="1">IF(TOTALCO!F124="", "",TOTALCO!F124)</f>
        <v>106641213.60457395</v>
      </c>
      <c r="G1010" s="12" t="str">
        <f>IF(TOTALCO!G124="", "",TOTALCO!G124)</f>
        <v/>
      </c>
      <c r="H1010" s="12">
        <f ca="1">IF(TOTALCO!H124="", "",TOTALCO!H124)</f>
        <v>5367659.2530066371</v>
      </c>
      <c r="I1010" s="12">
        <f ca="1">IF(TOTALCO!I124="", "",TOTALCO!I124)</f>
        <v>1357741.1424194344</v>
      </c>
      <c r="J1010" s="12" t="str">
        <f>IF(TOTALCO!J124="", "",TOTALCO!J124)</f>
        <v/>
      </c>
      <c r="K1010" s="12" t="str">
        <f>IF(TOTALCO!K124="", "",TOTALCO!K124)</f>
        <v/>
      </c>
      <c r="L1010" s="12">
        <f ca="1">IF(TOTALCO!L124="", "",TOTALCO!L124)</f>
        <v>7638.8523943977007</v>
      </c>
      <c r="M1010" s="12" t="str">
        <f>IF(TOTALCO!M124="", "",TOTALCO!M124)</f>
        <v/>
      </c>
      <c r="N1010" s="12">
        <f ca="1">IF(TOTALCO!N124="", "",TOTALCO!N124)</f>
        <v>1350102.2900250368</v>
      </c>
      <c r="O1010" s="12">
        <f ca="1">IF(TOTALCO!O124="", "",TOTALCO!O124)</f>
        <v>703780.93270302494</v>
      </c>
      <c r="P1010" s="12">
        <f ca="1">IF(TOTALCO!P124="", "",TOTALCO!P124)</f>
        <v>646321.35732201196</v>
      </c>
      <c r="Q1010" s="12"/>
    </row>
    <row r="1011" spans="1:17" ht="15" x14ac:dyDescent="0.2">
      <c r="A1011" s="321">
        <f>IF(TOTALCO!A125="", "",TOTALCO!A125)</f>
        <v>6</v>
      </c>
      <c r="B1011" s="4" t="str">
        <f>IF(TOTALCO!B125="", "",TOTALCO!B125)</f>
        <v>TOT HYDRAULIC PROD PLANT-SYS</v>
      </c>
      <c r="C1011" s="4" t="str">
        <f>IF(TOTALCO!C125="", "",TOTALCO!C125)</f>
        <v>HYDSYS</v>
      </c>
      <c r="D1011" s="12">
        <f ca="1">IF(TOTALCO!D125="", "",TOTALCO!D125)</f>
        <v>43745720.994615383</v>
      </c>
      <c r="E1011" s="12" t="str">
        <f>IF(TOTALCO!E125="", "",TOTALCO!E125)</f>
        <v/>
      </c>
      <c r="F1011" s="12">
        <f ca="1">IF(TOTALCO!F125="", "",TOTALCO!F125)</f>
        <v>41007940.139040142</v>
      </c>
      <c r="G1011" s="12" t="str">
        <f>IF(TOTALCO!G125="", "",TOTALCO!G125)</f>
        <v/>
      </c>
      <c r="H1011" s="12">
        <f ca="1">IF(TOTALCO!H125="", "",TOTALCO!H125)</f>
        <v>1877804.0458224264</v>
      </c>
      <c r="I1011" s="12">
        <f ca="1">IF(TOTALCO!I125="", "",TOTALCO!I125)</f>
        <v>859976.80975281179</v>
      </c>
      <c r="J1011" s="12" t="str">
        <f>IF(TOTALCO!J125="", "",TOTALCO!J125)</f>
        <v/>
      </c>
      <c r="K1011" s="12" t="str">
        <f>IF(TOTALCO!K125="", "",TOTALCO!K125)</f>
        <v/>
      </c>
      <c r="L1011" s="12">
        <f ca="1">IF(TOTALCO!L125="", "",TOTALCO!L125)</f>
        <v>131.62977511407891</v>
      </c>
      <c r="M1011" s="12" t="str">
        <f>IF(TOTALCO!M125="", "",TOTALCO!M125)</f>
        <v/>
      </c>
      <c r="N1011" s="12">
        <f ca="1">IF(TOTALCO!N125="", "",TOTALCO!N125)</f>
        <v>859845.17997769767</v>
      </c>
      <c r="O1011" s="12">
        <f ca="1">IF(TOTALCO!O125="", "",TOTALCO!O125)</f>
        <v>436089.44495294342</v>
      </c>
      <c r="P1011" s="12">
        <f ca="1">IF(TOTALCO!P125="", "",TOTALCO!P125)</f>
        <v>423755.73502475425</v>
      </c>
      <c r="Q1011" s="12"/>
    </row>
    <row r="1012" spans="1:17" ht="15" x14ac:dyDescent="0.2">
      <c r="A1012" s="321">
        <f>IF(TOTALCO!A126="", "",TOTALCO!A126)</f>
        <v>7</v>
      </c>
      <c r="B1012" s="4" t="str">
        <f>IF(TOTALCO!B126="", "",TOTALCO!B126)</f>
        <v>TOTAL OTHER PROD PLANT-SYS</v>
      </c>
      <c r="C1012" s="4" t="str">
        <f>IF(TOTALCO!C126="", "",TOTALCO!C126)</f>
        <v>OTHSYS</v>
      </c>
      <c r="D1012" s="12">
        <f ca="1">IF(TOTALCO!D126="", "",TOTALCO!D126)</f>
        <v>1062672890.0599995</v>
      </c>
      <c r="E1012" s="12" t="str">
        <f>IF(TOTALCO!E126="", "",TOTALCO!E126)</f>
        <v/>
      </c>
      <c r="F1012" s="12">
        <f ca="1">IF(TOTALCO!F126="", "",TOTALCO!F126)</f>
        <v>996166602.63355184</v>
      </c>
      <c r="G1012" s="12" t="str">
        <f>IF(TOTALCO!G126="", "",TOTALCO!G126)</f>
        <v/>
      </c>
      <c r="H1012" s="12">
        <f ca="1">IF(TOTALCO!H126="", "",TOTALCO!H126)</f>
        <v>45615694.6775686</v>
      </c>
      <c r="I1012" s="12">
        <f ca="1">IF(TOTALCO!I126="", "",TOTALCO!I126)</f>
        <v>20890592.748879068</v>
      </c>
      <c r="J1012" s="12" t="str">
        <f>IF(TOTALCO!J126="", "",TOTALCO!J126)</f>
        <v/>
      </c>
      <c r="K1012" s="12" t="str">
        <f>IF(TOTALCO!K126="", "",TOTALCO!K126)</f>
        <v/>
      </c>
      <c r="L1012" s="12">
        <f ca="1">IF(TOTALCO!L126="", "",TOTALCO!L126)</f>
        <v>3197.5560205224106</v>
      </c>
      <c r="M1012" s="12" t="str">
        <f>IF(TOTALCO!M126="", "",TOTALCO!M126)</f>
        <v/>
      </c>
      <c r="N1012" s="12">
        <f ca="1">IF(TOTALCO!N126="", "",TOTALCO!N126)</f>
        <v>20887395.192858547</v>
      </c>
      <c r="O1012" s="12">
        <f ca="1">IF(TOTALCO!O126="", "",TOTALCO!O126)</f>
        <v>10593503.095990747</v>
      </c>
      <c r="P1012" s="12">
        <f ca="1">IF(TOTALCO!P126="", "",TOTALCO!P126)</f>
        <v>10293892.096867798</v>
      </c>
      <c r="Q1012" s="12"/>
    </row>
    <row r="1013" spans="1:17" ht="15" x14ac:dyDescent="0.2">
      <c r="A1013" s="321">
        <f>IF(TOTALCO!A127="", "",TOTALCO!A127)</f>
        <v>8</v>
      </c>
      <c r="B1013" s="4" t="str">
        <f>IF(TOTALCO!B127="", "",TOTALCO!B127)</f>
        <v>TRANSM KENTUCKY SYSTEM PROP</v>
      </c>
      <c r="C1013" s="4" t="str">
        <f>IF(TOTALCO!C127="", "",TOTALCO!C127)</f>
        <v>KYTRPLT</v>
      </c>
      <c r="D1013" s="12">
        <f ca="1">IF(TOTALCO!D127="", "",TOTALCO!D127)</f>
        <v>1069988719.9069217</v>
      </c>
      <c r="E1013" s="12" t="str">
        <f>IF(TOTALCO!E127="", "",TOTALCO!E127)</f>
        <v/>
      </c>
      <c r="F1013" s="12">
        <f ca="1">IF(TOTALCO!F127="", "",TOTALCO!F127)</f>
        <v>1021671276.4083883</v>
      </c>
      <c r="G1013" s="12" t="str">
        <f>IF(TOTALCO!G127="", "",TOTALCO!G127)</f>
        <v/>
      </c>
      <c r="H1013" s="12">
        <f ca="1">IF(TOTALCO!H127="", "",TOTALCO!H127)</f>
        <v>47580842.050373152</v>
      </c>
      <c r="I1013" s="12">
        <f ca="1">IF(TOTALCO!I127="", "",TOTALCO!I127)</f>
        <v>736601.44816027861</v>
      </c>
      <c r="J1013" s="12" t="str">
        <f>IF(TOTALCO!J127="", "",TOTALCO!J127)</f>
        <v/>
      </c>
      <c r="K1013" s="12" t="str">
        <f>IF(TOTALCO!K127="", "",TOTALCO!K127)</f>
        <v/>
      </c>
      <c r="L1013" s="12">
        <f ca="1">IF(TOTALCO!L127="", "",TOTALCO!L127)</f>
        <v>3271.1338277682412</v>
      </c>
      <c r="M1013" s="12" t="str">
        <f>IF(TOTALCO!M127="", "",TOTALCO!M127)</f>
        <v/>
      </c>
      <c r="N1013" s="12">
        <f ca="1">IF(TOTALCO!N127="", "",TOTALCO!N127)</f>
        <v>733330.31433251034</v>
      </c>
      <c r="O1013" s="12">
        <f ca="1">IF(TOTALCO!O127="", "",TOTALCO!O127)</f>
        <v>371924.64084374672</v>
      </c>
      <c r="P1013" s="12">
        <f ca="1">IF(TOTALCO!P127="", "",TOTALCO!P127)</f>
        <v>361405.67348876363</v>
      </c>
      <c r="Q1013" s="12"/>
    </row>
    <row r="1014" spans="1:17" ht="15" x14ac:dyDescent="0.2">
      <c r="A1014" s="321">
        <f>IF(TOTALCO!A128="", "",TOTALCO!A128)</f>
        <v>9</v>
      </c>
      <c r="B1014" s="4" t="str">
        <f>IF(TOTALCO!B128="", "",TOTALCO!B128)</f>
        <v>TRANSM VIRGINIA PROPERTY</v>
      </c>
      <c r="C1014" s="4" t="str">
        <f>IF(TOTALCO!C128="", "",TOTALCO!C128)</f>
        <v>VATRPLT</v>
      </c>
      <c r="D1014" s="12">
        <f ca="1">IF(TOTALCO!D128="", "",TOTALCO!D128)</f>
        <v>59688104.830769219</v>
      </c>
      <c r="E1014" s="12" t="str">
        <f>IF(TOTALCO!E128="", "",TOTALCO!E128)</f>
        <v/>
      </c>
      <c r="F1014" s="12">
        <f ca="1">IF(TOTALCO!F128="", "",TOTALCO!F128)</f>
        <v>0</v>
      </c>
      <c r="G1014" s="12" t="str">
        <f>IF(TOTALCO!G128="", "",TOTALCO!G128)</f>
        <v/>
      </c>
      <c r="H1014" s="12">
        <f ca="1">IF(TOTALCO!H128="", "",TOTALCO!H128)</f>
        <v>59688104.830769219</v>
      </c>
      <c r="I1014" s="12">
        <f ca="1">IF(TOTALCO!I128="", "",TOTALCO!I128)</f>
        <v>0</v>
      </c>
      <c r="J1014" s="12" t="str">
        <f>IF(TOTALCO!J128="", "",TOTALCO!J128)</f>
        <v/>
      </c>
      <c r="K1014" s="12" t="str">
        <f>IF(TOTALCO!K128="", "",TOTALCO!K128)</f>
        <v/>
      </c>
      <c r="L1014" s="12">
        <f ca="1">IF(TOTALCO!L128="", "",TOTALCO!L128)</f>
        <v>0</v>
      </c>
      <c r="M1014" s="12" t="str">
        <f>IF(TOTALCO!M128="", "",TOTALCO!M128)</f>
        <v/>
      </c>
      <c r="N1014" s="12">
        <f ca="1">IF(TOTALCO!N128="", "",TOTALCO!N128)</f>
        <v>0</v>
      </c>
      <c r="O1014" s="12">
        <f ca="1">IF(TOTALCO!O128="", "",TOTALCO!O128)</f>
        <v>0</v>
      </c>
      <c r="P1014" s="12">
        <f ca="1">IF(TOTALCO!P128="", "",TOTALCO!P128)</f>
        <v>0</v>
      </c>
      <c r="Q1014" s="12"/>
    </row>
    <row r="1015" spans="1:17" ht="15" x14ac:dyDescent="0.2">
      <c r="A1015" s="321">
        <f>IF(TOTALCO!A129="", "",TOTALCO!A129)</f>
        <v>10</v>
      </c>
      <c r="B1015" s="4" t="str">
        <f>IF(TOTALCO!B129="", "",TOTALCO!B129)</f>
        <v>TRANSM VIRGINIA PROP TOTAL</v>
      </c>
      <c r="C1015" s="4" t="str">
        <f>IF(TOTALCO!C129="", "",TOTALCO!C129)</f>
        <v>VATRPLTT</v>
      </c>
      <c r="D1015" s="12">
        <f ca="1">IF(TOTALCO!D129="", "",TOTALCO!D129)</f>
        <v>67918534.240769222</v>
      </c>
      <c r="E1015" s="12" t="str">
        <f>IF(TOTALCO!E129="", "",TOTALCO!E129)</f>
        <v/>
      </c>
      <c r="F1015" s="12">
        <f ca="1">IF(TOTALCO!F129="", "",TOTALCO!F129)</f>
        <v>8230402.9915529564</v>
      </c>
      <c r="G1015" s="12" t="str">
        <f>IF(TOTALCO!G129="", "",TOTALCO!G129)</f>
        <v/>
      </c>
      <c r="H1015" s="12">
        <f ca="1">IF(TOTALCO!H129="", "",TOTALCO!H129)</f>
        <v>59688104.830769219</v>
      </c>
      <c r="I1015" s="12">
        <f ca="1">IF(TOTALCO!I129="", "",TOTALCO!I129)</f>
        <v>26.418447042283358</v>
      </c>
      <c r="J1015" s="12" t="str">
        <f>IF(TOTALCO!J129="", "",TOTALCO!J129)</f>
        <v/>
      </c>
      <c r="K1015" s="12" t="str">
        <f>IF(TOTALCO!K129="", "",TOTALCO!K129)</f>
        <v/>
      </c>
      <c r="L1015" s="12">
        <f ca="1">IF(TOTALCO!L129="", "",TOTALCO!L129)</f>
        <v>26.418447042283358</v>
      </c>
      <c r="M1015" s="12" t="str">
        <f>IF(TOTALCO!M129="", "",TOTALCO!M129)</f>
        <v/>
      </c>
      <c r="N1015" s="12">
        <f ca="1">IF(TOTALCO!N129="", "",TOTALCO!N129)</f>
        <v>0</v>
      </c>
      <c r="O1015" s="12">
        <f ca="1">IF(TOTALCO!O129="", "",TOTALCO!O129)</f>
        <v>0</v>
      </c>
      <c r="P1015" s="12">
        <f ca="1">IF(TOTALCO!P129="", "",TOTALCO!P129)</f>
        <v>0</v>
      </c>
      <c r="Q1015" s="12"/>
    </row>
    <row r="1016" spans="1:17" ht="15" x14ac:dyDescent="0.2">
      <c r="A1016" s="321">
        <f>IF(TOTALCO!A130="", "",TOTALCO!A130)</f>
        <v>11</v>
      </c>
      <c r="B1016" s="4" t="str">
        <f>IF(TOTALCO!B130="", "",TOTALCO!B130)</f>
        <v>TOTAL DISTRIBUTION PLANT</v>
      </c>
      <c r="C1016" s="4" t="str">
        <f>IF(TOTALCO!C130="", "",TOTALCO!C130)</f>
        <v>DISTPLT</v>
      </c>
      <c r="D1016" s="12">
        <f ca="1">IF(TOTALCO!D130="", "",TOTALCO!D130)</f>
        <v>2028003526.516923</v>
      </c>
      <c r="E1016" s="12" t="str">
        <f>IF(TOTALCO!E130="", "",TOTALCO!E130)</f>
        <v/>
      </c>
      <c r="F1016" s="12">
        <f ca="1">IF(TOTALCO!F130="", "",TOTALCO!F130)</f>
        <v>1924181178.110769</v>
      </c>
      <c r="G1016" s="12" t="str">
        <f>IF(TOTALCO!G130="", "",TOTALCO!G130)</f>
        <v/>
      </c>
      <c r="H1016" s="12">
        <f ca="1">IF(TOTALCO!H130="", "",TOTALCO!H130)</f>
        <v>99510269.70615378</v>
      </c>
      <c r="I1016" s="12">
        <f ca="1">IF(TOTALCO!I130="", "",TOTALCO!I130)</f>
        <v>4312078.7</v>
      </c>
      <c r="J1016" s="12" t="str">
        <f>IF(TOTALCO!J130="", "",TOTALCO!J130)</f>
        <v/>
      </c>
      <c r="K1016" s="12" t="str">
        <f>IF(TOTALCO!K130="", "",TOTALCO!K130)</f>
        <v/>
      </c>
      <c r="L1016" s="12">
        <f ca="1">IF(TOTALCO!L130="", "",TOTALCO!L130)</f>
        <v>647118.70000000007</v>
      </c>
      <c r="M1016" s="12" t="str">
        <f>IF(TOTALCO!M130="", "",TOTALCO!M130)</f>
        <v/>
      </c>
      <c r="N1016" s="12">
        <f ca="1">IF(TOTALCO!N130="", "",TOTALCO!N130)</f>
        <v>3664960</v>
      </c>
      <c r="O1016" s="12">
        <f ca="1">IF(TOTALCO!O130="", "",TOTALCO!O130)</f>
        <v>3638108</v>
      </c>
      <c r="P1016" s="12">
        <f ca="1">IF(TOTALCO!P130="", "",TOTALCO!P130)</f>
        <v>26852</v>
      </c>
      <c r="Q1016" s="12"/>
    </row>
    <row r="1017" spans="1:17" ht="15" x14ac:dyDescent="0.2">
      <c r="A1017" s="321">
        <f>IF(TOTALCO!A131="", "",TOTALCO!A131)</f>
        <v>12</v>
      </c>
      <c r="B1017" s="4" t="str">
        <f>IF(TOTALCO!B131="", "",TOTALCO!B131)</f>
        <v>TOTAL DIST PLANT KY &amp; FERC</v>
      </c>
      <c r="C1017" s="4" t="str">
        <f>IF(TOTALCO!C131="", "",TOTALCO!C131)</f>
        <v>DISTPLTKF</v>
      </c>
      <c r="D1017" s="12">
        <f ca="1">IF(TOTALCO!D131="", "",TOTALCO!D131)</f>
        <v>1927846138.110769</v>
      </c>
      <c r="E1017" s="12" t="str">
        <f>IF(TOTALCO!E131="", "",TOTALCO!E131)</f>
        <v/>
      </c>
      <c r="F1017" s="12">
        <f ca="1">IF(TOTALCO!F131="", "",TOTALCO!F131)</f>
        <v>1924181178.110769</v>
      </c>
      <c r="G1017" s="12" t="str">
        <f>IF(TOTALCO!G131="", "",TOTALCO!G131)</f>
        <v/>
      </c>
      <c r="H1017" s="12">
        <f ca="1">IF(TOTALCO!H131="", "",TOTALCO!H131)</f>
        <v>0</v>
      </c>
      <c r="I1017" s="12">
        <f ca="1">IF(TOTALCO!I131="", "",TOTALCO!I131)</f>
        <v>3664960</v>
      </c>
      <c r="J1017" s="12" t="str">
        <f>IF(TOTALCO!J131="", "",TOTALCO!J131)</f>
        <v/>
      </c>
      <c r="K1017" s="12" t="str">
        <f>IF(TOTALCO!K131="", "",TOTALCO!K131)</f>
        <v/>
      </c>
      <c r="L1017" s="12">
        <f ca="1">IF(TOTALCO!L131="", "",TOTALCO!L131)</f>
        <v>0</v>
      </c>
      <c r="M1017" s="12" t="str">
        <f>IF(TOTALCO!M131="", "",TOTALCO!M131)</f>
        <v/>
      </c>
      <c r="N1017" s="12">
        <f ca="1">IF(TOTALCO!N131="", "",TOTALCO!N131)</f>
        <v>3664960</v>
      </c>
      <c r="O1017" s="12">
        <f ca="1">IF(TOTALCO!O131="", "",TOTALCO!O131)</f>
        <v>3638108</v>
      </c>
      <c r="P1017" s="12">
        <f ca="1">IF(TOTALCO!P131="", "",TOTALCO!P131)</f>
        <v>26852</v>
      </c>
      <c r="Q1017" s="12"/>
    </row>
    <row r="1018" spans="1:17" ht="15" x14ac:dyDescent="0.2">
      <c r="A1018" s="321">
        <f>IF(TOTALCO!A132="", "",TOTALCO!A132)</f>
        <v>13</v>
      </c>
      <c r="B1018" s="4" t="str">
        <f>IF(TOTALCO!B132="", "",TOTALCO!B132)</f>
        <v>TOTAL GENERAL PLANT</v>
      </c>
      <c r="C1018" s="4" t="str">
        <f>IF(TOTALCO!C132="", "",TOTALCO!C132)</f>
        <v>GENPLT</v>
      </c>
      <c r="D1018" s="12">
        <f ca="1">IF(TOTALCO!D132="", "",TOTALCO!D132)</f>
        <v>227252325.44461519</v>
      </c>
      <c r="E1018" s="12" t="str">
        <f>IF(TOTALCO!E132="", "",TOTALCO!E132)</f>
        <v/>
      </c>
      <c r="F1018" s="12">
        <f ca="1">IF(TOTALCO!F132="", "",TOTALCO!F132)</f>
        <v>214243630.79272455</v>
      </c>
      <c r="G1018" s="12" t="str">
        <f>IF(TOTALCO!G132="", "",TOTALCO!G132)</f>
        <v/>
      </c>
      <c r="H1018" s="12">
        <f ca="1">IF(TOTALCO!H132="", "",TOTALCO!H132)</f>
        <v>10382465.892327761</v>
      </c>
      <c r="I1018" s="12">
        <f ca="1">IF(TOTALCO!I132="", "",TOTALCO!I132)</f>
        <v>2626228.7595628933</v>
      </c>
      <c r="J1018" s="12" t="str">
        <f>IF(TOTALCO!J132="", "",TOTALCO!J132)</f>
        <v/>
      </c>
      <c r="K1018" s="12" t="str">
        <f>IF(TOTALCO!K132="", "",TOTALCO!K132)</f>
        <v/>
      </c>
      <c r="L1018" s="12">
        <f ca="1">IF(TOTALCO!L132="", "",TOTALCO!L132)</f>
        <v>14775.55126043734</v>
      </c>
      <c r="M1018" s="12" t="str">
        <f>IF(TOTALCO!M132="", "",TOTALCO!M132)</f>
        <v/>
      </c>
      <c r="N1018" s="12">
        <f ca="1">IF(TOTALCO!N132="", "",TOTALCO!N132)</f>
        <v>2611453.208302456</v>
      </c>
      <c r="O1018" s="12">
        <f ca="1">IF(TOTALCO!O132="", "",TOTALCO!O132)</f>
        <v>1361297.5759157678</v>
      </c>
      <c r="P1018" s="12">
        <f ca="1">IF(TOTALCO!P132="", "",TOTALCO!P132)</f>
        <v>1250155.6323866884</v>
      </c>
      <c r="Q1018" s="12"/>
    </row>
    <row r="1019" spans="1:17" ht="15" x14ac:dyDescent="0.2">
      <c r="A1019" s="321">
        <f>IF(TOTALCO!A133="", "",TOTALCO!A133)</f>
        <v>14</v>
      </c>
      <c r="B1019" s="4" t="str">
        <f>IF(TOTALCO!B133="", "",TOTALCO!B133)</f>
        <v>ACCT 302-FRANCHISE</v>
      </c>
      <c r="C1019" s="4" t="str">
        <f>IF(TOTALCO!C133="", "",TOTALCO!C133)</f>
        <v>PLT302TOT</v>
      </c>
      <c r="D1019" s="12">
        <f ca="1">IF(TOTALCO!D133="", "",TOTALCO!D133)</f>
        <v>55918.829999999994</v>
      </c>
      <c r="E1019" s="12" t="str">
        <f>IF(TOTALCO!E133="", "",TOTALCO!E133)</f>
        <v/>
      </c>
      <c r="F1019" s="12">
        <f ca="1">IF(TOTALCO!F133="", "",TOTALCO!F133)</f>
        <v>55918.829999999994</v>
      </c>
      <c r="G1019" s="12" t="str">
        <f>IF(TOTALCO!G133="", "",TOTALCO!G133)</f>
        <v/>
      </c>
      <c r="H1019" s="12">
        <f ca="1">IF(TOTALCO!H133="", "",TOTALCO!H133)</f>
        <v>0</v>
      </c>
      <c r="I1019" s="12">
        <f ca="1">IF(TOTALCO!I133="", "",TOTALCO!I133)</f>
        <v>0</v>
      </c>
      <c r="J1019" s="12" t="str">
        <f>IF(TOTALCO!J133="", "",TOTALCO!J133)</f>
        <v/>
      </c>
      <c r="K1019" s="12" t="str">
        <f>IF(TOTALCO!K133="", "",TOTALCO!K133)</f>
        <v/>
      </c>
      <c r="L1019" s="12">
        <f ca="1">IF(TOTALCO!L133="", "",TOTALCO!L133)</f>
        <v>0</v>
      </c>
      <c r="M1019" s="12" t="str">
        <f>IF(TOTALCO!M133="", "",TOTALCO!M133)</f>
        <v/>
      </c>
      <c r="N1019" s="12">
        <f ca="1">IF(TOTALCO!N133="", "",TOTALCO!N133)</f>
        <v>0</v>
      </c>
      <c r="O1019" s="12">
        <f ca="1">IF(TOTALCO!O133="", "",TOTALCO!O133)</f>
        <v>0</v>
      </c>
      <c r="P1019" s="12">
        <f ca="1">IF(TOTALCO!P133="", "",TOTALCO!P133)</f>
        <v>0</v>
      </c>
      <c r="Q1019" s="12"/>
    </row>
    <row r="1020" spans="1:17" ht="15" x14ac:dyDescent="0.2">
      <c r="A1020" s="321">
        <f>IF(TOTALCO!A134="", "",TOTALCO!A134)</f>
        <v>15</v>
      </c>
      <c r="B1020" s="4" t="str">
        <f>IF(TOTALCO!B134="", "",TOTALCO!B134)</f>
        <v>ACCT 303-SOFTWARE</v>
      </c>
      <c r="C1020" s="4" t="str">
        <f>IF(TOTALCO!C134="", "",TOTALCO!C134)</f>
        <v>PLT303TOT</v>
      </c>
      <c r="D1020" s="12">
        <f ca="1">IF(TOTALCO!D134="", "",TOTALCO!D134)</f>
        <v>97263001.621538445</v>
      </c>
      <c r="E1020" s="12" t="str">
        <f>IF(TOTALCO!E134="", "",TOTALCO!E134)</f>
        <v/>
      </c>
      <c r="F1020" s="12">
        <f ca="1">IF(TOTALCO!F134="", "",TOTALCO!F134)</f>
        <v>90938370.524241433</v>
      </c>
      <c r="G1020" s="12" t="str">
        <f>IF(TOTALCO!G134="", "",TOTALCO!G134)</f>
        <v/>
      </c>
      <c r="H1020" s="12">
        <f ca="1">IF(TOTALCO!H134="", "",TOTALCO!H134)</f>
        <v>4909462.9052813575</v>
      </c>
      <c r="I1020" s="12">
        <f ca="1">IF(TOTALCO!I134="", "",TOTALCO!I134)</f>
        <v>1415168.1920156677</v>
      </c>
      <c r="J1020" s="12" t="str">
        <f>IF(TOTALCO!J134="", "",TOTALCO!J134)</f>
        <v/>
      </c>
      <c r="K1020" s="12" t="str">
        <f>IF(TOTALCO!K134="", "",TOTALCO!K134)</f>
        <v/>
      </c>
      <c r="L1020" s="12">
        <f ca="1">IF(TOTALCO!L134="", "",TOTALCO!L134)</f>
        <v>6684.2426680665249</v>
      </c>
      <c r="M1020" s="12" t="str">
        <f>IF(TOTALCO!M134="", "",TOTALCO!M134)</f>
        <v/>
      </c>
      <c r="N1020" s="12">
        <f ca="1">IF(TOTALCO!N134="", "",TOTALCO!N134)</f>
        <v>1408483.949347601</v>
      </c>
      <c r="O1020" s="12">
        <f ca="1">IF(TOTALCO!O134="", "",TOTALCO!O134)</f>
        <v>732070.65301428316</v>
      </c>
      <c r="P1020" s="12">
        <f ca="1">IF(TOTALCO!P134="", "",TOTALCO!P134)</f>
        <v>676413.29633331788</v>
      </c>
      <c r="Q1020" s="12"/>
    </row>
    <row r="1021" spans="1:17" ht="15" x14ac:dyDescent="0.2">
      <c r="A1021" s="321">
        <f>IF(TOTALCO!A135="", "",TOTALCO!A135)</f>
        <v>16</v>
      </c>
      <c r="B1021" s="4" t="str">
        <f>IF(TOTALCO!B135="", "",TOTALCO!B135)</f>
        <v>TOTAL PRODUCTION PLANT SYSTEM</v>
      </c>
      <c r="C1021" s="4" t="str">
        <f>IF(TOTALCO!C135="", "",TOTALCO!C135)</f>
        <v>PRODSYS</v>
      </c>
      <c r="D1021" s="12">
        <f ca="1">IF(TOTALCO!D135="", "",TOTALCO!D135)</f>
        <v>6523501949.8261528</v>
      </c>
      <c r="E1021" s="12" t="str">
        <f>IF(TOTALCO!E135="", "",TOTALCO!E135)</f>
        <v/>
      </c>
      <c r="F1021" s="12">
        <f ca="1">IF(TOTALCO!F135="", "",TOTALCO!F135)</f>
        <v>6115235304.6898174</v>
      </c>
      <c r="G1021" s="12" t="str">
        <f>IF(TOTALCO!G135="", "",TOTALCO!G135)</f>
        <v/>
      </c>
      <c r="H1021" s="12">
        <f ca="1">IF(TOTALCO!H135="", "",TOTALCO!H135)</f>
        <v>280024150.38083065</v>
      </c>
      <c r="I1021" s="12">
        <f ca="1">IF(TOTALCO!I135="", "",TOTALCO!I135)</f>
        <v>128242494.75550485</v>
      </c>
      <c r="J1021" s="12" t="str">
        <f>IF(TOTALCO!J135="", "",TOTALCO!J135)</f>
        <v/>
      </c>
      <c r="K1021" s="12" t="str">
        <f>IF(TOTALCO!K135="", "",TOTALCO!K135)</f>
        <v/>
      </c>
      <c r="L1021" s="12">
        <f ca="1">IF(TOTALCO!L135="", "",TOTALCO!L135)</f>
        <v>19629.053427135565</v>
      </c>
      <c r="M1021" s="12" t="str">
        <f>IF(TOTALCO!M135="", "",TOTALCO!M135)</f>
        <v/>
      </c>
      <c r="N1021" s="12">
        <f ca="1">IF(TOTALCO!N135="", "",TOTALCO!N135)</f>
        <v>128222865.70207772</v>
      </c>
      <c r="O1021" s="12">
        <f ca="1">IF(TOTALCO!O135="", "",TOTALCO!O135)</f>
        <v>65031054.004100159</v>
      </c>
      <c r="P1021" s="12">
        <f ca="1">IF(TOTALCO!P135="", "",TOTALCO!P135)</f>
        <v>63191811.69797755</v>
      </c>
      <c r="Q1021" s="12"/>
    </row>
    <row r="1022" spans="1:17" ht="15" x14ac:dyDescent="0.2">
      <c r="A1022" s="321">
        <f>IF(TOTALCO!A136="", "",TOTALCO!A136)</f>
        <v>17</v>
      </c>
      <c r="B1022" s="4" t="str">
        <f>IF(TOTALCO!B136="", "",TOTALCO!B136)</f>
        <v>TOTAL PRODUCTION PLANT</v>
      </c>
      <c r="C1022" s="4" t="str">
        <f>IF(TOTALCO!C136="", "",TOTALCO!C136)</f>
        <v>PRODPLT</v>
      </c>
      <c r="D1022" s="12">
        <f ca="1">IF(TOTALCO!D136="", "",TOTALCO!D136)</f>
        <v>6570264832.6561527</v>
      </c>
      <c r="E1022" s="12" t="str">
        <f>IF(TOTALCO!E136="", "",TOTALCO!E136)</f>
        <v/>
      </c>
      <c r="F1022" s="12">
        <f ca="1">IF(TOTALCO!F136="", "",TOTALCO!F136)</f>
        <v>6147446507.1168594</v>
      </c>
      <c r="G1022" s="12" t="str">
        <f>IF(TOTALCO!G136="", "",TOTALCO!G136)</f>
        <v/>
      </c>
      <c r="H1022" s="12">
        <f ca="1">IF(TOTALCO!H136="", "",TOTALCO!H136)</f>
        <v>285504504.55076247</v>
      </c>
      <c r="I1022" s="12">
        <f ca="1">IF(TOTALCO!I136="", "",TOTALCO!I136)</f>
        <v>137313820.98853144</v>
      </c>
      <c r="J1022" s="12" t="str">
        <f>IF(TOTALCO!J136="", "",TOTALCO!J136)</f>
        <v/>
      </c>
      <c r="K1022" s="12" t="str">
        <f>IF(TOTALCO!K136="", "",TOTALCO!K136)</f>
        <v/>
      </c>
      <c r="L1022" s="12">
        <f ca="1">IF(TOTALCO!L136="", "",TOTALCO!L136)</f>
        <v>19629.984827774257</v>
      </c>
      <c r="M1022" s="12" t="str">
        <f>IF(TOTALCO!M136="", "",TOTALCO!M136)</f>
        <v/>
      </c>
      <c r="N1022" s="12">
        <f ca="1">IF(TOTALCO!N136="", "",TOTALCO!N136)</f>
        <v>137294191.00370365</v>
      </c>
      <c r="O1022" s="12">
        <f ca="1">IF(TOTALCO!O136="", "",TOTALCO!O136)</f>
        <v>69631776.678240478</v>
      </c>
      <c r="P1022" s="12">
        <f ca="1">IF(TOTALCO!P136="", "",TOTALCO!P136)</f>
        <v>67662414.325463176</v>
      </c>
      <c r="Q1022" s="12"/>
    </row>
    <row r="1023" spans="1:17" ht="15" x14ac:dyDescent="0.2">
      <c r="A1023" s="321">
        <f>IF(TOTALCO!A137="", "",TOTALCO!A137)</f>
        <v>18</v>
      </c>
      <c r="B1023" s="4" t="str">
        <f>IF(TOTALCO!B137="", "",TOTALCO!B137)</f>
        <v>TOTAL TRANSMISSION PLANT</v>
      </c>
      <c r="C1023" s="4" t="str">
        <f>IF(TOTALCO!C137="", "",TOTALCO!C137)</f>
        <v>TRANPLT</v>
      </c>
      <c r="D1023" s="12">
        <f ca="1">IF(TOTALCO!D137="", "",TOTALCO!D137)</f>
        <v>1137907254.147691</v>
      </c>
      <c r="E1023" s="12" t="str">
        <f>IF(TOTALCO!E137="", "",TOTALCO!E137)</f>
        <v/>
      </c>
      <c r="F1023" s="12">
        <f ca="1">IF(TOTALCO!F137="", "",TOTALCO!F137)</f>
        <v>1029901679.3999412</v>
      </c>
      <c r="G1023" s="12" t="str">
        <f>IF(TOTALCO!G137="", "",TOTALCO!G137)</f>
        <v/>
      </c>
      <c r="H1023" s="12">
        <f ca="1">IF(TOTALCO!H137="", "",TOTALCO!H137)</f>
        <v>107268946.88114238</v>
      </c>
      <c r="I1023" s="12">
        <f ca="1">IF(TOTALCO!I137="", "",TOTALCO!I137)</f>
        <v>736627.86660732084</v>
      </c>
      <c r="J1023" s="12" t="str">
        <f>IF(TOTALCO!J137="", "",TOTALCO!J137)</f>
        <v/>
      </c>
      <c r="K1023" s="12" t="str">
        <f>IF(TOTALCO!K137="", "",TOTALCO!K137)</f>
        <v/>
      </c>
      <c r="L1023" s="12">
        <f ca="1">IF(TOTALCO!L137="", "",TOTALCO!L137)</f>
        <v>3297.5522748105245</v>
      </c>
      <c r="M1023" s="12" t="str">
        <f>IF(TOTALCO!M137="", "",TOTALCO!M137)</f>
        <v/>
      </c>
      <c r="N1023" s="12">
        <f ca="1">IF(TOTALCO!N137="", "",TOTALCO!N137)</f>
        <v>733330.31433251034</v>
      </c>
      <c r="O1023" s="12">
        <f ca="1">IF(TOTALCO!O137="", "",TOTALCO!O137)</f>
        <v>371924.64084374672</v>
      </c>
      <c r="P1023" s="12">
        <f ca="1">IF(TOTALCO!P137="", "",TOTALCO!P137)</f>
        <v>361405.67348876363</v>
      </c>
      <c r="Q1023" s="12"/>
    </row>
    <row r="1024" spans="1:17" ht="15" x14ac:dyDescent="0.2">
      <c r="A1024" s="321">
        <f>IF(TOTALCO!A138="", "",TOTALCO!A138)</f>
        <v>19</v>
      </c>
      <c r="B1024" s="4" t="str">
        <f>IF(TOTALCO!B138="", "",TOTALCO!B138)</f>
        <v>TOTAL TRANSMISSION PLANT EXCL FERC</v>
      </c>
      <c r="C1024" s="4" t="str">
        <f>IF(TOTALCO!C138="", "",TOTALCO!C138)</f>
        <v>TRANPLTXF</v>
      </c>
      <c r="D1024" s="12">
        <f ca="1">IF(TOTALCO!D138="", "",TOTALCO!D138)</f>
        <v>1137173923.8333583</v>
      </c>
      <c r="E1024" s="12" t="str">
        <f>IF(TOTALCO!E138="", "",TOTALCO!E138)</f>
        <v/>
      </c>
      <c r="F1024" s="12">
        <f ca="1">IF(TOTALCO!F138="", "",TOTALCO!F138)</f>
        <v>1029901679.3999412</v>
      </c>
      <c r="G1024" s="12" t="str">
        <f>IF(TOTALCO!G138="", "",TOTALCO!G138)</f>
        <v/>
      </c>
      <c r="H1024" s="12">
        <f ca="1">IF(TOTALCO!H138="", "",TOTALCO!H138)</f>
        <v>107268946.88114238</v>
      </c>
      <c r="I1024" s="12">
        <f ca="1">IF(TOTALCO!I138="", "",TOTALCO!I138)</f>
        <v>3297.5522748105245</v>
      </c>
      <c r="J1024" s="12" t="str">
        <f>IF(TOTALCO!J138="", "",TOTALCO!J138)</f>
        <v/>
      </c>
      <c r="K1024" s="12" t="str">
        <f>IF(TOTALCO!K138="", "",TOTALCO!K138)</f>
        <v/>
      </c>
      <c r="L1024" s="12">
        <f ca="1">IF(TOTALCO!L138="", "",TOTALCO!L138)</f>
        <v>3297.5522748105245</v>
      </c>
      <c r="M1024" s="12" t="str">
        <f>IF(TOTALCO!M138="", "",TOTALCO!M138)</f>
        <v/>
      </c>
      <c r="N1024" s="12">
        <f>IF(TOTALCO!N138="", "",TOTALCO!N138)</f>
        <v>0</v>
      </c>
      <c r="O1024" s="12">
        <f>IF(TOTALCO!O138="", "",TOTALCO!O138)</f>
        <v>0</v>
      </c>
      <c r="P1024" s="12">
        <f>IF(TOTALCO!P138="", "",TOTALCO!P138)</f>
        <v>0</v>
      </c>
      <c r="Q1024" s="12"/>
    </row>
    <row r="1025" spans="1:17" ht="15" x14ac:dyDescent="0.2">
      <c r="A1025" s="321">
        <f>IF(TOTALCO!A139="", "",TOTALCO!A139)</f>
        <v>20</v>
      </c>
      <c r="B1025" s="4" t="str">
        <f>IF(TOTALCO!B139="", "",TOTALCO!B139)</f>
        <v>MAT &amp; SUPPLIES DISTRIBUTED</v>
      </c>
      <c r="C1025" s="4" t="str">
        <f>IF(TOTALCO!C139="", "",TOTALCO!C139)</f>
        <v>M_S</v>
      </c>
      <c r="D1025" s="12">
        <f ca="1">IF(TOTALCO!D139="", "",TOTALCO!D139)</f>
        <v>48204764</v>
      </c>
      <c r="E1025" s="12" t="str">
        <f>IF(TOTALCO!E139="", "",TOTALCO!E139)</f>
        <v/>
      </c>
      <c r="F1025" s="12">
        <f ca="1">IF(TOTALCO!F139="", "",TOTALCO!F139)</f>
        <v>44904121.00751958</v>
      </c>
      <c r="G1025" s="12" t="str">
        <f>IF(TOTALCO!G139="", "",TOTALCO!G139)</f>
        <v/>
      </c>
      <c r="H1025" s="12">
        <f ca="1">IF(TOTALCO!H139="", "",TOTALCO!H139)</f>
        <v>2627633.4712951239</v>
      </c>
      <c r="I1025" s="12">
        <f ca="1">IF(TOTALCO!I139="", "",TOTALCO!I139)</f>
        <v>673009.52118529729</v>
      </c>
      <c r="J1025" s="12" t="str">
        <f>IF(TOTALCO!J139="", "",TOTALCO!J139)</f>
        <v/>
      </c>
      <c r="K1025" s="12" t="str">
        <f>IF(TOTALCO!K139="", "",TOTALCO!K139)</f>
        <v/>
      </c>
      <c r="L1025" s="12">
        <f ca="1">IF(TOTALCO!L139="", "",TOTALCO!L139)</f>
        <v>2361.0170490595328</v>
      </c>
      <c r="M1025" s="12" t="str">
        <f>IF(TOTALCO!M139="", "",TOTALCO!M139)</f>
        <v/>
      </c>
      <c r="N1025" s="12">
        <f ca="1">IF(TOTALCO!N139="", "",TOTALCO!N139)</f>
        <v>670648.50413623778</v>
      </c>
      <c r="O1025" s="12">
        <f ca="1">IF(TOTALCO!O139="", "",TOTALCO!O139)</f>
        <v>346290.09994226391</v>
      </c>
      <c r="P1025" s="12">
        <f ca="1">IF(TOTALCO!P139="", "",TOTALCO!P139)</f>
        <v>324358.40419397381</v>
      </c>
      <c r="Q1025" s="12"/>
    </row>
    <row r="1026" spans="1:17" ht="15" x14ac:dyDescent="0.2">
      <c r="A1026" s="321">
        <f>IF(TOTALCO!A140="", "",TOTALCO!A140)</f>
        <v>21</v>
      </c>
      <c r="B1026" s="4" t="str">
        <f>IF(TOTALCO!B140="", "",TOTALCO!B140)</f>
        <v>ACCT 924 &amp; 925 INSURANCE</v>
      </c>
      <c r="C1026" s="4" t="str">
        <f>IF(TOTALCO!C140="", "",TOTALCO!C140)</f>
        <v>EXP9245TOT</v>
      </c>
      <c r="D1026" s="12">
        <f ca="1">IF(TOTALCO!D140="", "",TOTALCO!D140)</f>
        <v>11206094.999999998</v>
      </c>
      <c r="E1026" s="12" t="str">
        <f>IF(TOTALCO!E140="", "",TOTALCO!E140)</f>
        <v/>
      </c>
      <c r="F1026" s="12">
        <f ca="1">IF(TOTALCO!F140="", "",TOTALCO!F140)</f>
        <v>10505965.54958648</v>
      </c>
      <c r="G1026" s="12" t="str">
        <f>IF(TOTALCO!G140="", "",TOTALCO!G140)</f>
        <v/>
      </c>
      <c r="H1026" s="12">
        <f ca="1">IF(TOTALCO!H140="", "",TOTALCO!H140)</f>
        <v>549970.73127012397</v>
      </c>
      <c r="I1026" s="12">
        <f ca="1">IF(TOTALCO!I140="", "",TOTALCO!I140)</f>
        <v>150158.71914339473</v>
      </c>
      <c r="J1026" s="12" t="str">
        <f>IF(TOTALCO!J140="", "",TOTALCO!J140)</f>
        <v/>
      </c>
      <c r="K1026" s="12" t="str">
        <f>IF(TOTALCO!K140="", "",TOTALCO!K140)</f>
        <v/>
      </c>
      <c r="L1026" s="12">
        <f ca="1">IF(TOTALCO!L140="", "",TOTALCO!L140)</f>
        <v>763.39944367597059</v>
      </c>
      <c r="M1026" s="12" t="str">
        <f>IF(TOTALCO!M140="", "",TOTALCO!M140)</f>
        <v/>
      </c>
      <c r="N1026" s="12">
        <f ca="1">IF(TOTALCO!N140="", "",TOTALCO!N140)</f>
        <v>149395.31969971876</v>
      </c>
      <c r="O1026" s="12">
        <f ca="1">IF(TOTALCO!O140="", "",TOTALCO!O140)</f>
        <v>77740.16748229404</v>
      </c>
      <c r="P1026" s="12">
        <f ca="1">IF(TOTALCO!P140="", "",TOTALCO!P140)</f>
        <v>71655.152217424722</v>
      </c>
      <c r="Q1026" s="12"/>
    </row>
    <row r="1027" spans="1:17" ht="15" x14ac:dyDescent="0.2">
      <c r="A1027" s="321">
        <f>IF(TOTALCO!A141="", "",TOTALCO!A141)</f>
        <v>22</v>
      </c>
      <c r="B1027" s="4" t="str">
        <f>IF(TOTALCO!B141="", "",TOTALCO!B141)</f>
        <v>REVENUE SALE OF ELECT-KY</v>
      </c>
      <c r="C1027" s="4" t="str">
        <f>IF(TOTALCO!C141="", "",TOTALCO!C141)</f>
        <v>REVKY</v>
      </c>
      <c r="D1027" s="12">
        <f ca="1">IF(TOTALCO!D141="", "",TOTALCO!D141)</f>
        <v>1598218900.76336</v>
      </c>
      <c r="E1027" s="12" t="str">
        <f>IF(TOTALCO!E141="", "",TOTALCO!E141)</f>
        <v/>
      </c>
      <c r="F1027" s="12">
        <f ca="1">IF(TOTALCO!F141="", "",TOTALCO!F141)</f>
        <v>1598218900.76336</v>
      </c>
      <c r="G1027" s="12" t="str">
        <f>IF(TOTALCO!G141="", "",TOTALCO!G141)</f>
        <v/>
      </c>
      <c r="H1027" s="12">
        <f>IF(TOTALCO!H141="", "",TOTALCO!H141)</f>
        <v>0</v>
      </c>
      <c r="I1027" s="12">
        <f>IF(TOTALCO!I141="", "",TOTALCO!I141)</f>
        <v>0</v>
      </c>
      <c r="J1027" s="12" t="str">
        <f>IF(TOTALCO!J141="", "",TOTALCO!J141)</f>
        <v/>
      </c>
      <c r="K1027" s="12" t="str">
        <f>IF(TOTALCO!K141="", "",TOTALCO!K141)</f>
        <v/>
      </c>
      <c r="L1027" s="12">
        <f>IF(TOTALCO!L141="", "",TOTALCO!L141)</f>
        <v>0</v>
      </c>
      <c r="M1027" s="12" t="str">
        <f>IF(TOTALCO!M141="", "",TOTALCO!M141)</f>
        <v/>
      </c>
      <c r="N1027" s="12">
        <f>IF(TOTALCO!N141="", "",TOTALCO!N141)</f>
        <v>0</v>
      </c>
      <c r="O1027" s="12">
        <f>IF(TOTALCO!O141="", "",TOTALCO!O141)</f>
        <v>0</v>
      </c>
      <c r="P1027" s="12">
        <f>IF(TOTALCO!P141="", "",TOTALCO!P141)</f>
        <v>0</v>
      </c>
      <c r="Q1027" s="12"/>
    </row>
    <row r="1028" spans="1:17" ht="15" x14ac:dyDescent="0.2">
      <c r="A1028" s="321">
        <f>IF(TOTALCO!A142="", "",TOTALCO!A142)</f>
        <v>23</v>
      </c>
      <c r="B1028" s="4" t="str">
        <f>IF(TOTALCO!B142="", "",TOTALCO!B142)</f>
        <v>CWIP PROD FERC-POST ALLOC</v>
      </c>
      <c r="C1028" s="4" t="str">
        <f>IF(TOTALCO!C142="", "",TOTALCO!C142)</f>
        <v>AFUDC_FERC</v>
      </c>
      <c r="D1028" s="12">
        <f ca="1">IF(TOTALCO!D142="", "",TOTALCO!D142)</f>
        <v>2485934.5284356102</v>
      </c>
      <c r="E1028" s="12" t="str">
        <f>IF(TOTALCO!E142="", "",TOTALCO!E142)</f>
        <v/>
      </c>
      <c r="F1028" s="12">
        <f>IF(TOTALCO!F142="", "",TOTALCO!F142)</f>
        <v>0</v>
      </c>
      <c r="G1028" s="12" t="str">
        <f>IF(TOTALCO!G142="", "",TOTALCO!G142)</f>
        <v/>
      </c>
      <c r="H1028" s="12">
        <f>IF(TOTALCO!H142="", "",TOTALCO!H142)</f>
        <v>0</v>
      </c>
      <c r="I1028" s="12">
        <f ca="1">IF(TOTALCO!I142="", "",TOTALCO!I142)</f>
        <v>2485934.5284356102</v>
      </c>
      <c r="J1028" s="12" t="str">
        <f>IF(TOTALCO!J142="", "",TOTALCO!J142)</f>
        <v/>
      </c>
      <c r="K1028" s="12" t="str">
        <f>IF(TOTALCO!K142="", "",TOTALCO!K142)</f>
        <v/>
      </c>
      <c r="L1028" s="12">
        <f>IF(TOTALCO!L142="", "",TOTALCO!L142)</f>
        <v>0</v>
      </c>
      <c r="M1028" s="12" t="str">
        <f>IF(TOTALCO!M142="", "",TOTALCO!M142)</f>
        <v/>
      </c>
      <c r="N1028" s="12">
        <f ca="1">IF(TOTALCO!N142="", "",TOTALCO!N142)</f>
        <v>2485934.5284356102</v>
      </c>
      <c r="O1028" s="12">
        <f ca="1">IF(TOTALCO!O142="", "",TOTALCO!O142)</f>
        <v>1260796.517720738</v>
      </c>
      <c r="P1028" s="12">
        <f ca="1">IF(TOTALCO!P142="", "",TOTALCO!P142)</f>
        <v>1225138.0107148723</v>
      </c>
      <c r="Q1028" s="12"/>
    </row>
    <row r="1029" spans="1:17" ht="15" x14ac:dyDescent="0.2">
      <c r="A1029" s="321">
        <f>IF(TOTALCO!A143="", "",TOTALCO!A143)</f>
        <v>24</v>
      </c>
      <c r="B1029" s="4" t="str">
        <f>IF(TOTALCO!B143="", "",TOTALCO!B143)</f>
        <v>CWIP TRAN FERC-POST ALLOC</v>
      </c>
      <c r="C1029" s="4" t="str">
        <f>IF(TOTALCO!C143="", "",TOTALCO!C143)</f>
        <v>CWIPTP</v>
      </c>
      <c r="D1029" s="12">
        <f ca="1">IF(TOTALCO!D143="", "",TOTALCO!D143)</f>
        <v>0</v>
      </c>
      <c r="E1029" s="12" t="str">
        <f>IF(TOTALCO!E143="", "",TOTALCO!E143)</f>
        <v/>
      </c>
      <c r="F1029" s="12">
        <f>IF(TOTALCO!F143="", "",TOTALCO!F143)</f>
        <v>0</v>
      </c>
      <c r="G1029" s="12" t="str">
        <f>IF(TOTALCO!G143="", "",TOTALCO!G143)</f>
        <v/>
      </c>
      <c r="H1029" s="12">
        <f>IF(TOTALCO!H143="", "",TOTALCO!H143)</f>
        <v>0</v>
      </c>
      <c r="I1029" s="12">
        <f ca="1">IF(TOTALCO!I143="", "",TOTALCO!I143)</f>
        <v>0</v>
      </c>
      <c r="J1029" s="12" t="str">
        <f>IF(TOTALCO!J143="", "",TOTALCO!J143)</f>
        <v/>
      </c>
      <c r="K1029" s="12" t="str">
        <f>IF(TOTALCO!K143="", "",TOTALCO!K143)</f>
        <v/>
      </c>
      <c r="L1029" s="12">
        <f>IF(TOTALCO!L143="", "",TOTALCO!L143)</f>
        <v>0</v>
      </c>
      <c r="M1029" s="12" t="str">
        <f>IF(TOTALCO!M143="", "",TOTALCO!M143)</f>
        <v/>
      </c>
      <c r="N1029" s="12">
        <f ca="1">IF(TOTALCO!N143="", "",TOTALCO!N143)</f>
        <v>0</v>
      </c>
      <c r="O1029" s="12">
        <f ca="1">IF(TOTALCO!O143="", "",TOTALCO!O143)</f>
        <v>0</v>
      </c>
      <c r="P1029" s="12">
        <f ca="1">IF(TOTALCO!P143="", "",TOTALCO!P143)</f>
        <v>0</v>
      </c>
      <c r="Q1029" s="12"/>
    </row>
    <row r="1030" spans="1:17" ht="15" x14ac:dyDescent="0.2">
      <c r="A1030" s="321">
        <f>IF(TOTALCO!A144="", "",TOTALCO!A144)</f>
        <v>25</v>
      </c>
      <c r="B1030" s="4" t="str">
        <f>IF(TOTALCO!B144="", "",TOTALCO!B144)</f>
        <v>ACC DEF INC TX PROD FERC-POST</v>
      </c>
      <c r="C1030" s="4" t="str">
        <f>IF(TOTALCO!C144="", "",TOTALCO!C144)</f>
        <v>ADITPP</v>
      </c>
      <c r="D1030" s="12">
        <f ca="1">IF(TOTALCO!D144="", "",TOTALCO!D144)</f>
        <v>421019.48910862638</v>
      </c>
      <c r="E1030" s="12" t="str">
        <f>IF(TOTALCO!E144="", "",TOTALCO!E144)</f>
        <v/>
      </c>
      <c r="F1030" s="12">
        <f>IF(TOTALCO!F144="", "",TOTALCO!F144)</f>
        <v>0</v>
      </c>
      <c r="G1030" s="12" t="str">
        <f>IF(TOTALCO!G144="", "",TOTALCO!G144)</f>
        <v/>
      </c>
      <c r="H1030" s="12">
        <f>IF(TOTALCO!H144="", "",TOTALCO!H144)</f>
        <v>0</v>
      </c>
      <c r="I1030" s="12">
        <f ca="1">IF(TOTALCO!I144="", "",TOTALCO!I144)</f>
        <v>421019.48910862638</v>
      </c>
      <c r="J1030" s="12" t="str">
        <f>IF(TOTALCO!J144="", "",TOTALCO!J144)</f>
        <v/>
      </c>
      <c r="K1030" s="12" t="str">
        <f>IF(TOTALCO!K144="", "",TOTALCO!K144)</f>
        <v/>
      </c>
      <c r="L1030" s="12">
        <f>IF(TOTALCO!L144="", "",TOTALCO!L144)</f>
        <v>0</v>
      </c>
      <c r="M1030" s="12" t="str">
        <f>IF(TOTALCO!M144="", "",TOTALCO!M144)</f>
        <v/>
      </c>
      <c r="N1030" s="12">
        <f ca="1">IF(TOTALCO!N144="", "",TOTALCO!N144)</f>
        <v>421019.48910862638</v>
      </c>
      <c r="O1030" s="12">
        <f ca="1">IF(TOTALCO!O144="", "",TOTALCO!O144)</f>
        <v>213529.31852745268</v>
      </c>
      <c r="P1030" s="12">
        <f ca="1">IF(TOTALCO!P144="", "",TOTALCO!P144)</f>
        <v>207490.1705811737</v>
      </c>
      <c r="Q1030" s="12"/>
    </row>
    <row r="1031" spans="1:17" ht="15" x14ac:dyDescent="0.2">
      <c r="A1031" s="321">
        <f>IF(TOTALCO!A145="", "",TOTALCO!A145)</f>
        <v>26</v>
      </c>
      <c r="B1031" s="4" t="str">
        <f>IF(TOTALCO!B145="", "",TOTALCO!B145)</f>
        <v>ACC DEF INC TX TRAN FERC-POST</v>
      </c>
      <c r="C1031" s="4" t="str">
        <f>IF(TOTALCO!C145="", "",TOTALCO!C145)</f>
        <v>ADITTP</v>
      </c>
      <c r="D1031" s="12">
        <f ca="1">IF(TOTALCO!D145="", "",TOTALCO!D145)</f>
        <v>468.59558447488581</v>
      </c>
      <c r="E1031" s="12" t="str">
        <f>IF(TOTALCO!E145="", "",TOTALCO!E145)</f>
        <v/>
      </c>
      <c r="F1031" s="12">
        <f>IF(TOTALCO!F145="", "",TOTALCO!F145)</f>
        <v>0</v>
      </c>
      <c r="G1031" s="12" t="str">
        <f>IF(TOTALCO!G145="", "",TOTALCO!G145)</f>
        <v/>
      </c>
      <c r="H1031" s="12">
        <f>IF(TOTALCO!H145="", "",TOTALCO!H145)</f>
        <v>0</v>
      </c>
      <c r="I1031" s="12">
        <f ca="1">IF(TOTALCO!I145="", "",TOTALCO!I145)</f>
        <v>468.59558447488581</v>
      </c>
      <c r="J1031" s="12" t="str">
        <f>IF(TOTALCO!J145="", "",TOTALCO!J145)</f>
        <v/>
      </c>
      <c r="K1031" s="12" t="str">
        <f>IF(TOTALCO!K145="", "",TOTALCO!K145)</f>
        <v/>
      </c>
      <c r="L1031" s="12">
        <f>IF(TOTALCO!L145="", "",TOTALCO!L145)</f>
        <v>0</v>
      </c>
      <c r="M1031" s="12" t="str">
        <f>IF(TOTALCO!M145="", "",TOTALCO!M145)</f>
        <v/>
      </c>
      <c r="N1031" s="12">
        <f ca="1">IF(TOTALCO!N145="", "",TOTALCO!N145)</f>
        <v>468.59558447488581</v>
      </c>
      <c r="O1031" s="12">
        <f ca="1">IF(TOTALCO!O145="", "",TOTALCO!O145)</f>
        <v>237.65858447488583</v>
      </c>
      <c r="P1031" s="12">
        <f ca="1">IF(TOTALCO!P145="", "",TOTALCO!P145)</f>
        <v>230.93699999999998</v>
      </c>
      <c r="Q1031" s="12"/>
    </row>
    <row r="1032" spans="1:17" ht="15" x14ac:dyDescent="0.2">
      <c r="A1032" s="321">
        <f>IF(TOTALCO!A146="", "",TOTALCO!A146)</f>
        <v>27</v>
      </c>
      <c r="B1032" s="4" t="str">
        <f>IF(TOTALCO!B146="", "",TOTALCO!B146)</f>
        <v>TRANSMISSION PLANT EXCL VA</v>
      </c>
      <c r="C1032" s="4" t="str">
        <f>IF(TOTALCO!C146="", "",TOTALCO!C146)</f>
        <v>TRANPLTX</v>
      </c>
      <c r="D1032" s="12">
        <f ca="1">IF(TOTALCO!D146="", "",TOTALCO!D146)</f>
        <v>1069988719.9069217</v>
      </c>
      <c r="E1032" s="12" t="str">
        <f>IF(TOTALCO!E146="", "",TOTALCO!E146)</f>
        <v/>
      </c>
      <c r="F1032" s="12">
        <f ca="1">IF(TOTALCO!F146="", "",TOTALCO!F146)</f>
        <v>1021671276.4083883</v>
      </c>
      <c r="G1032" s="12" t="str">
        <f>IF(TOTALCO!G146="", "",TOTALCO!G146)</f>
        <v/>
      </c>
      <c r="H1032" s="12">
        <f ca="1">IF(TOTALCO!H146="", "",TOTALCO!H146)</f>
        <v>47580842.050373152</v>
      </c>
      <c r="I1032" s="12">
        <f ca="1">IF(TOTALCO!I146="", "",TOTALCO!I146)</f>
        <v>736601.44816027861</v>
      </c>
      <c r="J1032" s="12" t="str">
        <f>IF(TOTALCO!J146="", "",TOTALCO!J146)</f>
        <v/>
      </c>
      <c r="K1032" s="12" t="str">
        <f>IF(TOTALCO!K146="", "",TOTALCO!K146)</f>
        <v/>
      </c>
      <c r="L1032" s="12">
        <f ca="1">IF(TOTALCO!L146="", "",TOTALCO!L146)</f>
        <v>3271.1338277682412</v>
      </c>
      <c r="M1032" s="12" t="str">
        <f>IF(TOTALCO!M146="", "",TOTALCO!M146)</f>
        <v/>
      </c>
      <c r="N1032" s="12">
        <f ca="1">IF(TOTALCO!N146="", "",TOTALCO!N146)</f>
        <v>733330.31433251034</v>
      </c>
      <c r="O1032" s="12">
        <f ca="1">IF(TOTALCO!O146="", "",TOTALCO!O146)</f>
        <v>371924.64084374672</v>
      </c>
      <c r="P1032" s="12">
        <f ca="1">IF(TOTALCO!P146="", "",TOTALCO!P146)</f>
        <v>361405.67348876363</v>
      </c>
      <c r="Q1032" s="12"/>
    </row>
    <row r="1033" spans="1:17" ht="15" x14ac:dyDescent="0.2">
      <c r="A1033" s="321">
        <f>IF(TOTALCO!A147="", "",TOTALCO!A147)</f>
        <v>28</v>
      </c>
      <c r="B1033" s="4" t="str">
        <f>IF(TOTALCO!B147="", "",TOTALCO!B147)</f>
        <v>TRANSM PLANT VA</v>
      </c>
      <c r="C1033" s="4" t="str">
        <f>IF(TOTALCO!C147="", "",TOTALCO!C147)</f>
        <v>TRPLTVA</v>
      </c>
      <c r="D1033" s="12">
        <f ca="1">IF(TOTALCO!D147="", "",TOTALCO!D147)</f>
        <v>67918534.240769222</v>
      </c>
      <c r="E1033" s="12" t="str">
        <f>IF(TOTALCO!E147="", "",TOTALCO!E147)</f>
        <v/>
      </c>
      <c r="F1033" s="12">
        <f ca="1">IF(TOTALCO!F147="", "",TOTALCO!F147)</f>
        <v>8230402.9915529564</v>
      </c>
      <c r="G1033" s="12" t="str">
        <f>IF(TOTALCO!G147="", "",TOTALCO!G147)</f>
        <v/>
      </c>
      <c r="H1033" s="12">
        <f ca="1">IF(TOTALCO!H147="", "",TOTALCO!H147)</f>
        <v>59688104.830769219</v>
      </c>
      <c r="I1033" s="12">
        <f ca="1">IF(TOTALCO!I147="", "",TOTALCO!I147)</f>
        <v>26.418447042283358</v>
      </c>
      <c r="J1033" s="12" t="str">
        <f>IF(TOTALCO!J147="", "",TOTALCO!J147)</f>
        <v/>
      </c>
      <c r="K1033" s="12" t="str">
        <f>IF(TOTALCO!K147="", "",TOTALCO!K147)</f>
        <v/>
      </c>
      <c r="L1033" s="12">
        <f ca="1">IF(TOTALCO!L147="", "",TOTALCO!L147)</f>
        <v>26.418447042283358</v>
      </c>
      <c r="M1033" s="12" t="str">
        <f>IF(TOTALCO!M147="", "",TOTALCO!M147)</f>
        <v/>
      </c>
      <c r="N1033" s="12">
        <f ca="1">IF(TOTALCO!N147="", "",TOTALCO!N147)</f>
        <v>0</v>
      </c>
      <c r="O1033" s="12">
        <f ca="1">IF(TOTALCO!O147="", "",TOTALCO!O147)</f>
        <v>0</v>
      </c>
      <c r="P1033" s="12">
        <f ca="1">IF(TOTALCO!P147="", "",TOTALCO!P147)</f>
        <v>0</v>
      </c>
      <c r="Q1033" s="12"/>
    </row>
    <row r="1034" spans="1:17" ht="15" x14ac:dyDescent="0.2">
      <c r="A1034" s="321">
        <f>IF(TOTALCO!A148="", "",TOTALCO!A148)</f>
        <v>29</v>
      </c>
      <c r="B1034" s="4" t="str">
        <f>IF(TOTALCO!B148="", "",TOTALCO!B148)</f>
        <v>TOT ACCT 364 &amp; 365-OVHD LINE</v>
      </c>
      <c r="C1034" s="4" t="str">
        <f>IF(TOTALCO!C148="", "",TOTALCO!C148)</f>
        <v>PLT3645TOT</v>
      </c>
      <c r="D1034" s="12">
        <f ca="1">IF(TOTALCO!D148="", "",TOTALCO!D148)</f>
        <v>856267055.86230779</v>
      </c>
      <c r="E1034" s="12" t="str">
        <f>IF(TOTALCO!E148="", "",TOTALCO!E148)</f>
        <v/>
      </c>
      <c r="F1034" s="12">
        <f ca="1">IF(TOTALCO!F148="", "",TOTALCO!F148)</f>
        <v>796180183.32000017</v>
      </c>
      <c r="G1034" s="12" t="str">
        <f>IF(TOTALCO!G148="", "",TOTALCO!G148)</f>
        <v/>
      </c>
      <c r="H1034" s="12">
        <f ca="1">IF(TOTALCO!H148="", "",TOTALCO!H148)</f>
        <v>59992323.762307629</v>
      </c>
      <c r="I1034" s="12">
        <f ca="1">IF(TOTALCO!I148="", "",TOTALCO!I148)</f>
        <v>94548.78</v>
      </c>
      <c r="J1034" s="12" t="str">
        <f>IF(TOTALCO!J148="", "",TOTALCO!J148)</f>
        <v/>
      </c>
      <c r="K1034" s="12" t="str">
        <f>IF(TOTALCO!K148="", "",TOTALCO!K148)</f>
        <v/>
      </c>
      <c r="L1034" s="12">
        <f ca="1">IF(TOTALCO!L148="", "",TOTALCO!L148)</f>
        <v>94548.78</v>
      </c>
      <c r="M1034" s="12" t="str">
        <f>IF(TOTALCO!M148="", "",TOTALCO!M148)</f>
        <v/>
      </c>
      <c r="N1034" s="12">
        <f ca="1">IF(TOTALCO!N148="", "",TOTALCO!N148)</f>
        <v>0</v>
      </c>
      <c r="O1034" s="12">
        <f ca="1">IF(TOTALCO!O148="", "",TOTALCO!O148)</f>
        <v>0</v>
      </c>
      <c r="P1034" s="12">
        <f ca="1">IF(TOTALCO!P148="", "",TOTALCO!P148)</f>
        <v>0</v>
      </c>
      <c r="Q1034" s="12"/>
    </row>
    <row r="1035" spans="1:17" ht="15" x14ac:dyDescent="0.2">
      <c r="A1035" s="321">
        <f>IF(TOTALCO!A149="", "",TOTALCO!A149)</f>
        <v>30</v>
      </c>
      <c r="B1035" s="4" t="str">
        <f>IF(TOTALCO!B149="", "",TOTALCO!B149)</f>
        <v>TOTAL ELECTRIC PLANT</v>
      </c>
      <c r="C1035" s="4" t="str">
        <f>IF(TOTALCO!C149="", "",TOTALCO!C149)</f>
        <v>PLANT</v>
      </c>
      <c r="D1035" s="12">
        <f ca="1">IF(TOTALCO!D149="", "",TOTALCO!D149)</f>
        <v>10062394693.696922</v>
      </c>
      <c r="E1035" s="12" t="str">
        <f>IF(TOTALCO!E149="", "",TOTALCO!E149)</f>
        <v/>
      </c>
      <c r="F1035" s="12">
        <f ca="1">IF(TOTALCO!F149="", "",TOTALCO!F149)</f>
        <v>9408080312.420742</v>
      </c>
      <c r="G1035" s="12" t="str">
        <f>IF(TOTALCO!G149="", "",TOTALCO!G149)</f>
        <v/>
      </c>
      <c r="H1035" s="12">
        <f ca="1">IF(TOTALCO!H149="", "",TOTALCO!H149)</f>
        <v>507908229.56304741</v>
      </c>
      <c r="I1035" s="12">
        <f ca="1">IF(TOTALCO!I149="", "",TOTALCO!I149)</f>
        <v>146406151.71313202</v>
      </c>
      <c r="J1035" s="12" t="str">
        <f>IF(TOTALCO!J149="", "",TOTALCO!J149)</f>
        <v/>
      </c>
      <c r="K1035" s="12" t="str">
        <f>IF(TOTALCO!K149="", "",TOTALCO!K149)</f>
        <v/>
      </c>
      <c r="L1035" s="12">
        <f ca="1">IF(TOTALCO!L149="", "",TOTALCO!L149)</f>
        <v>691517.97762954782</v>
      </c>
      <c r="M1035" s="12" t="str">
        <f>IF(TOTALCO!M149="", "",TOTALCO!M149)</f>
        <v/>
      </c>
      <c r="N1035" s="12">
        <f ca="1">IF(TOTALCO!N149="", "",TOTALCO!N149)</f>
        <v>145714633.73550248</v>
      </c>
      <c r="O1035" s="12">
        <f ca="1">IF(TOTALCO!O149="", "",TOTALCO!O149)</f>
        <v>75736331.338313594</v>
      </c>
      <c r="P1035" s="12">
        <f ca="1">IF(TOTALCO!P149="", "",TOTALCO!P149)</f>
        <v>69978302.397188902</v>
      </c>
      <c r="Q1035" s="12"/>
    </row>
    <row r="1036" spans="1:17" ht="15" x14ac:dyDescent="0.2">
      <c r="A1036" s="321">
        <f>IF(TOTALCO!A150="", "",TOTALCO!A150)</f>
        <v>31</v>
      </c>
      <c r="B1036" s="4" t="str">
        <f>IF(TOTALCO!B150="", "",TOTALCO!B150)</f>
        <v>TOTAL ELECTRIC PLANT KY</v>
      </c>
      <c r="C1036" s="4" t="str">
        <f>IF(TOTALCO!C150="", "",TOTALCO!C150)</f>
        <v>PLANTKY</v>
      </c>
      <c r="D1036" s="12">
        <f ca="1">IF(TOTALCO!D150="", "",TOTALCO!D150)</f>
        <v>9408080312.420742</v>
      </c>
      <c r="E1036" s="12" t="str">
        <f>IF(TOTALCO!E150="", "",TOTALCO!E150)</f>
        <v/>
      </c>
      <c r="F1036" s="12">
        <f ca="1">IF(TOTALCO!F150="", "",TOTALCO!F150)</f>
        <v>9408080312.420742</v>
      </c>
      <c r="G1036" s="12" t="str">
        <f>IF(TOTALCO!G150="", "",TOTALCO!G150)</f>
        <v/>
      </c>
      <c r="H1036" s="12">
        <f>IF(TOTALCO!H150="", "",TOTALCO!H150)</f>
        <v>0</v>
      </c>
      <c r="I1036" s="12">
        <f>IF(TOTALCO!I150="", "",TOTALCO!I150)</f>
        <v>0</v>
      </c>
      <c r="J1036" s="12" t="str">
        <f>IF(TOTALCO!J150="", "",TOTALCO!J150)</f>
        <v/>
      </c>
      <c r="K1036" s="12" t="str">
        <f>IF(TOTALCO!K150="", "",TOTALCO!K150)</f>
        <v/>
      </c>
      <c r="L1036" s="12">
        <f>IF(TOTALCO!L150="", "",TOTALCO!L150)</f>
        <v>0</v>
      </c>
      <c r="M1036" s="12" t="str">
        <f>IF(TOTALCO!M150="", "",TOTALCO!M150)</f>
        <v/>
      </c>
      <c r="N1036" s="12">
        <f>IF(TOTALCO!N150="", "",TOTALCO!N150)</f>
        <v>0</v>
      </c>
      <c r="O1036" s="12">
        <f>IF(TOTALCO!O150="", "",TOTALCO!O150)</f>
        <v>0</v>
      </c>
      <c r="P1036" s="12">
        <f>IF(TOTALCO!P150="", "",TOTALCO!P150)</f>
        <v>0</v>
      </c>
      <c r="Q1036" s="12"/>
    </row>
    <row r="1037" spans="1:17" ht="15" x14ac:dyDescent="0.2">
      <c r="A1037" s="321">
        <f>IF(TOTALCO!A151="", "",TOTALCO!A151)</f>
        <v>32</v>
      </c>
      <c r="B1037" s="4" t="str">
        <f>IF(TOTALCO!B151="", "",TOTALCO!B151)</f>
        <v>TOTAL ELECTRIC PLANT KY &amp; FERC</v>
      </c>
      <c r="C1037" s="4" t="str">
        <f>IF(TOTALCO!C151="", "",TOTALCO!C151)</f>
        <v>PLANTKF</v>
      </c>
      <c r="D1037" s="12">
        <f ca="1">IF(TOTALCO!D151="", "",TOTALCO!D151)</f>
        <v>9554486464.1338749</v>
      </c>
      <c r="E1037" s="12" t="str">
        <f>IF(TOTALCO!E151="", "",TOTALCO!E151)</f>
        <v/>
      </c>
      <c r="F1037" s="12">
        <f ca="1">IF(TOTALCO!F151="", "",TOTALCO!F151)</f>
        <v>9408080312.420742</v>
      </c>
      <c r="G1037" s="12" t="str">
        <f>IF(TOTALCO!G151="", "",TOTALCO!G151)</f>
        <v/>
      </c>
      <c r="H1037" s="12">
        <f>IF(TOTALCO!H151="", "",TOTALCO!H151)</f>
        <v>0</v>
      </c>
      <c r="I1037" s="12">
        <f ca="1">IF(TOTALCO!I151="", "",TOTALCO!I151)</f>
        <v>146406151.71313202</v>
      </c>
      <c r="J1037" s="12" t="str">
        <f>IF(TOTALCO!J151="", "",TOTALCO!J151)</f>
        <v/>
      </c>
      <c r="K1037" s="12" t="str">
        <f>IF(TOTALCO!K151="", "",TOTALCO!K151)</f>
        <v/>
      </c>
      <c r="L1037" s="12">
        <f ca="1">IF(TOTALCO!L151="", "",TOTALCO!L151)</f>
        <v>691517.97762954782</v>
      </c>
      <c r="M1037" s="12" t="str">
        <f>IF(TOTALCO!M151="", "",TOTALCO!M151)</f>
        <v/>
      </c>
      <c r="N1037" s="12">
        <f ca="1">IF(TOTALCO!N151="", "",TOTALCO!N151)</f>
        <v>145714633.73550248</v>
      </c>
      <c r="O1037" s="12">
        <f ca="1">IF(TOTALCO!O151="", "",TOTALCO!O151)</f>
        <v>75736331.338313594</v>
      </c>
      <c r="P1037" s="12">
        <f ca="1">IF(TOTALCO!P151="", "",TOTALCO!P151)</f>
        <v>69978302.397188902</v>
      </c>
      <c r="Q1037" s="12"/>
    </row>
    <row r="1038" spans="1:17" ht="15" x14ac:dyDescent="0.2">
      <c r="A1038" s="321">
        <f>IF(TOTALCO!A152="", "",TOTALCO!A152)</f>
        <v>33</v>
      </c>
      <c r="B1038" s="4" t="str">
        <f>IF(TOTALCO!B152="", "",TOTALCO!B152)</f>
        <v>TOTAL ELECTRIC PLANT VA</v>
      </c>
      <c r="C1038" s="4" t="str">
        <f>IF(TOTALCO!C152="", "",TOTALCO!C152)</f>
        <v>PLANTVA</v>
      </c>
      <c r="D1038" s="12">
        <f ca="1">IF(TOTALCO!D152="", "",TOTALCO!D152)</f>
        <v>507908229.56304741</v>
      </c>
      <c r="E1038" s="12" t="str">
        <f>IF(TOTALCO!E152="", "",TOTALCO!E152)</f>
        <v/>
      </c>
      <c r="F1038" s="12">
        <f>IF(TOTALCO!F152="", "",TOTALCO!F152)</f>
        <v>0</v>
      </c>
      <c r="G1038" s="12" t="str">
        <f>IF(TOTALCO!G152="", "",TOTALCO!G152)</f>
        <v/>
      </c>
      <c r="H1038" s="12">
        <f ca="1">IF(TOTALCO!H152="", "",TOTALCO!H152)</f>
        <v>507908229.56304741</v>
      </c>
      <c r="I1038" s="12">
        <f>IF(TOTALCO!I152="", "",TOTALCO!I152)</f>
        <v>0</v>
      </c>
      <c r="J1038" s="12" t="str">
        <f>IF(TOTALCO!J152="", "",TOTALCO!J152)</f>
        <v/>
      </c>
      <c r="K1038" s="12" t="str">
        <f>IF(TOTALCO!K152="", "",TOTALCO!K152)</f>
        <v/>
      </c>
      <c r="L1038" s="12">
        <f>IF(TOTALCO!L152="", "",TOTALCO!L152)</f>
        <v>0</v>
      </c>
      <c r="M1038" s="12" t="str">
        <f>IF(TOTALCO!M152="", "",TOTALCO!M152)</f>
        <v/>
      </c>
      <c r="N1038" s="12">
        <f>IF(TOTALCO!N152="", "",TOTALCO!N152)</f>
        <v>0</v>
      </c>
      <c r="O1038" s="12">
        <f>IF(TOTALCO!O152="", "",TOTALCO!O152)</f>
        <v>0</v>
      </c>
      <c r="P1038" s="12">
        <f>IF(TOTALCO!P152="", "",TOTALCO!P152)</f>
        <v>0</v>
      </c>
      <c r="Q1038" s="12"/>
    </row>
    <row r="1039" spans="1:17" ht="15" x14ac:dyDescent="0.2">
      <c r="A1039" s="321">
        <f>IF(TOTALCO!A153="", "",TOTALCO!A153)</f>
        <v>34</v>
      </c>
      <c r="B1039" s="4" t="str">
        <f>IF(TOTALCO!B153="", "",TOTALCO!B153)</f>
        <v>TOTAL STEAM PROD PLANT</v>
      </c>
      <c r="C1039" s="4" t="str">
        <f>IF(TOTALCO!C153="", "",TOTALCO!C153)</f>
        <v>STMPLT</v>
      </c>
      <c r="D1039" s="12">
        <f ca="1">IF(TOTALCO!D153="", "",TOTALCO!D153)</f>
        <v>5458446316.1515388</v>
      </c>
      <c r="E1039" s="12" t="str">
        <f>IF(TOTALCO!E153="", "",TOTALCO!E153)</f>
        <v/>
      </c>
      <c r="F1039" s="12">
        <f ca="1">IF(TOTALCO!F153="", "",TOTALCO!F153)</f>
        <v>5106018003.8752146</v>
      </c>
      <c r="G1039" s="12" t="str">
        <f>IF(TOTALCO!G153="", "",TOTALCO!G153)</f>
        <v/>
      </c>
      <c r="H1039" s="12">
        <f ca="1">IF(TOTALCO!H153="", "",TOTALCO!H153)</f>
        <v>237996821.58085454</v>
      </c>
      <c r="I1039" s="12">
        <f ca="1">IF(TOTALCO!I153="", "",TOTALCO!I153)</f>
        <v>114431490.69546951</v>
      </c>
      <c r="J1039" s="12" t="str">
        <f>IF(TOTALCO!J153="", "",TOTALCO!J153)</f>
        <v/>
      </c>
      <c r="K1039" s="12" t="str">
        <f>IF(TOTALCO!K153="", "",TOTALCO!K153)</f>
        <v/>
      </c>
      <c r="L1039" s="12">
        <f ca="1">IF(TOTALCO!L153="", "",TOTALCO!L153)</f>
        <v>16299.867631499083</v>
      </c>
      <c r="M1039" s="12" t="str">
        <f>IF(TOTALCO!M153="", "",TOTALCO!M153)</f>
        <v/>
      </c>
      <c r="N1039" s="12">
        <f ca="1">IF(TOTALCO!N153="", "",TOTALCO!N153)</f>
        <v>114415190.82783802</v>
      </c>
      <c r="O1039" s="12">
        <f ca="1">IF(TOTALCO!O153="", "",TOTALCO!O153)</f>
        <v>58028187.194805413</v>
      </c>
      <c r="P1039" s="12">
        <f ca="1">IF(TOTALCO!P153="", "",TOTALCO!P153)</f>
        <v>56387003.633032605</v>
      </c>
      <c r="Q1039" s="12"/>
    </row>
    <row r="1040" spans="1:17" ht="15" x14ac:dyDescent="0.2">
      <c r="A1040" s="321">
        <f>IF(TOTALCO!A154="", "",TOTALCO!A154)</f>
        <v>35</v>
      </c>
      <c r="B1040" s="4" t="str">
        <f>IF(TOTALCO!B154="", "",TOTALCO!B154)</f>
        <v>TOTAL HYDRAULIC PROD PLANT</v>
      </c>
      <c r="C1040" s="4" t="str">
        <f>IF(TOTALCO!C154="", "",TOTALCO!C154)</f>
        <v>HYDPLT</v>
      </c>
      <c r="D1040" s="12">
        <f ca="1">IF(TOTALCO!D154="", "",TOTALCO!D154)</f>
        <v>43851877.754615381</v>
      </c>
      <c r="E1040" s="12" t="str">
        <f>IF(TOTALCO!E154="", "",TOTALCO!E154)</f>
        <v/>
      </c>
      <c r="F1040" s="12">
        <f ca="1">IF(TOTALCO!F154="", "",TOTALCO!F154)</f>
        <v>41090409.40883974</v>
      </c>
      <c r="G1040" s="12" t="str">
        <f>IF(TOTALCO!G154="", "",TOTALCO!G154)</f>
        <v/>
      </c>
      <c r="H1040" s="12">
        <f ca="1">IF(TOTALCO!H154="", "",TOTALCO!H154)</f>
        <v>1878071.1224434311</v>
      </c>
      <c r="I1040" s="12">
        <f ca="1">IF(TOTALCO!I154="", "",TOTALCO!I154)</f>
        <v>883397.22333220835</v>
      </c>
      <c r="J1040" s="12" t="str">
        <f>IF(TOTALCO!J154="", "",TOTALCO!J154)</f>
        <v/>
      </c>
      <c r="K1040" s="12" t="str">
        <f>IF(TOTALCO!K154="", "",TOTALCO!K154)</f>
        <v/>
      </c>
      <c r="L1040" s="12">
        <f ca="1">IF(TOTALCO!L154="", "",TOTALCO!L154)</f>
        <v>131.62977511407891</v>
      </c>
      <c r="M1040" s="12" t="str">
        <f>IF(TOTALCO!M154="", "",TOTALCO!M154)</f>
        <v/>
      </c>
      <c r="N1040" s="12">
        <f ca="1">IF(TOTALCO!N154="", "",TOTALCO!N154)</f>
        <v>883265.59355709422</v>
      </c>
      <c r="O1040" s="12">
        <f ca="1">IF(TOTALCO!O154="", "",TOTALCO!O154)</f>
        <v>447967.62418361881</v>
      </c>
      <c r="P1040" s="12">
        <f ca="1">IF(TOTALCO!P154="", "",TOTALCO!P154)</f>
        <v>435297.96937347541</v>
      </c>
      <c r="Q1040" s="12"/>
    </row>
    <row r="1041" spans="1:17" ht="15" x14ac:dyDescent="0.2">
      <c r="A1041" s="321">
        <f>IF(TOTALCO!A155="", "",TOTALCO!A155)</f>
        <v>36</v>
      </c>
      <c r="B1041" s="4" t="str">
        <f>IF(TOTALCO!B155="", "",TOTALCO!B155)</f>
        <v>TOTAL OTHER PROD PLANT</v>
      </c>
      <c r="C1041" s="4" t="str">
        <f>IF(TOTALCO!C155="", "",TOTALCO!C155)</f>
        <v>OTHPLT</v>
      </c>
      <c r="D1041" s="12">
        <f ca="1">IF(TOTALCO!D155="", "",TOTALCO!D155)</f>
        <v>1067657097.8999995</v>
      </c>
      <c r="E1041" s="12" t="str">
        <f>IF(TOTALCO!E155="", "",TOTALCO!E155)</f>
        <v/>
      </c>
      <c r="F1041" s="12">
        <f ca="1">IF(TOTALCO!F155="", "",TOTALCO!F155)</f>
        <v>1000047925.2778294</v>
      </c>
      <c r="G1041" s="12" t="str">
        <f>IF(TOTALCO!G155="", "",TOTALCO!G155)</f>
        <v/>
      </c>
      <c r="H1041" s="12">
        <f ca="1">IF(TOTALCO!H155="", "",TOTALCO!H155)</f>
        <v>45616324.672233164</v>
      </c>
      <c r="I1041" s="12">
        <f ca="1">IF(TOTALCO!I155="", "",TOTALCO!I155)</f>
        <v>21992847.949936979</v>
      </c>
      <c r="J1041" s="12" t="str">
        <f>IF(TOTALCO!J155="", "",TOTALCO!J155)</f>
        <v/>
      </c>
      <c r="K1041" s="12" t="str">
        <f>IF(TOTALCO!K155="", "",TOTALCO!K155)</f>
        <v/>
      </c>
      <c r="L1041" s="12">
        <f ca="1">IF(TOTALCO!L155="", "",TOTALCO!L155)</f>
        <v>3197.5560205224106</v>
      </c>
      <c r="M1041" s="12" t="str">
        <f>IF(TOTALCO!M155="", "",TOTALCO!M155)</f>
        <v/>
      </c>
      <c r="N1041" s="12">
        <f ca="1">IF(TOTALCO!N155="", "",TOTALCO!N155)</f>
        <v>21989650.393916458</v>
      </c>
      <c r="O1041" s="12">
        <f ca="1">IF(TOTALCO!O155="", "",TOTALCO!O155)</f>
        <v>11152536.128935479</v>
      </c>
      <c r="P1041" s="12">
        <f ca="1">IF(TOTALCO!P155="", "",TOTALCO!P155)</f>
        <v>10837114.264980981</v>
      </c>
      <c r="Q1041" s="12"/>
    </row>
    <row r="1042" spans="1:17" ht="15" x14ac:dyDescent="0.2">
      <c r="A1042" s="321">
        <f>IF(TOTALCO!A156="", "",TOTALCO!A156)</f>
        <v>37</v>
      </c>
      <c r="B1042" s="4" t="str">
        <f>IF(TOTALCO!B156="", "",TOTALCO!B156)</f>
        <v>TOT ACCT 360-362 SUBSTATIONS</v>
      </c>
      <c r="C1042" s="4" t="str">
        <f>IF(TOTALCO!C156="", "",TOTALCO!C156)</f>
        <v>PLT3602TOT</v>
      </c>
      <c r="D1042" s="12">
        <f ca="1">IF(TOTALCO!D156="", "",TOTALCO!D156)</f>
        <v>292325985.02307677</v>
      </c>
      <c r="E1042" s="12" t="str">
        <f>IF(TOTALCO!E156="", "",TOTALCO!E156)</f>
        <v/>
      </c>
      <c r="F1042" s="12">
        <f ca="1">IF(TOTALCO!F156="", "",TOTALCO!F156)</f>
        <v>278569225.07307678</v>
      </c>
      <c r="G1042" s="12" t="str">
        <f>IF(TOTALCO!G156="", "",TOTALCO!G156)</f>
        <v/>
      </c>
      <c r="H1042" s="12">
        <f ca="1">IF(TOTALCO!H156="", "",TOTALCO!H156)</f>
        <v>9594110.1399999969</v>
      </c>
      <c r="I1042" s="12">
        <f ca="1">IF(TOTALCO!I156="", "",TOTALCO!I156)</f>
        <v>4162649.81</v>
      </c>
      <c r="J1042" s="12" t="str">
        <f>IF(TOTALCO!J156="", "",TOTALCO!J156)</f>
        <v/>
      </c>
      <c r="K1042" s="12" t="str">
        <f>IF(TOTALCO!K156="", "",TOTALCO!K156)</f>
        <v/>
      </c>
      <c r="L1042" s="12">
        <f ca="1">IF(TOTALCO!L156="", "",TOTALCO!L156)</f>
        <v>544997.81000000006</v>
      </c>
      <c r="M1042" s="12" t="str">
        <f>IF(TOTALCO!M156="", "",TOTALCO!M156)</f>
        <v/>
      </c>
      <c r="N1042" s="12">
        <f ca="1">IF(TOTALCO!N156="", "",TOTALCO!N156)</f>
        <v>3617652</v>
      </c>
      <c r="O1042" s="12">
        <f ca="1">IF(TOTALCO!O156="", "",TOTALCO!O156)</f>
        <v>3617652</v>
      </c>
      <c r="P1042" s="12">
        <f ca="1">IF(TOTALCO!P156="", "",TOTALCO!P156)</f>
        <v>0</v>
      </c>
      <c r="Q1042" s="12"/>
    </row>
    <row r="1043" spans="1:17" ht="15" x14ac:dyDescent="0.2">
      <c r="A1043" s="321">
        <f>IF(TOTALCO!A157="", "",TOTALCO!A157)</f>
        <v>38</v>
      </c>
      <c r="B1043" s="4" t="str">
        <f>IF(TOTALCO!B157="", "",TOTALCO!B157)</f>
        <v>TOT ACCT 366 &amp; 367-UG LINES</v>
      </c>
      <c r="C1043" s="4" t="str">
        <f>IF(TOTALCO!C157="", "",TOTALCO!C157)</f>
        <v>PLT3667TOT</v>
      </c>
      <c r="D1043" s="12">
        <f ca="1">IF(TOTALCO!D157="", "",TOTALCO!D157)</f>
        <v>224040010.4576923</v>
      </c>
      <c r="E1043" s="12" t="str">
        <f>IF(TOTALCO!E157="", "",TOTALCO!E157)</f>
        <v/>
      </c>
      <c r="F1043" s="12">
        <f ca="1">IF(TOTALCO!F157="", "",TOTALCO!F157)</f>
        <v>218919032.25538459</v>
      </c>
      <c r="G1043" s="12" t="str">
        <f>IF(TOTALCO!G157="", "",TOTALCO!G157)</f>
        <v/>
      </c>
      <c r="H1043" s="12">
        <f ca="1">IF(TOTALCO!H157="", "",TOTALCO!H157)</f>
        <v>5120978.2023076899</v>
      </c>
      <c r="I1043" s="12">
        <f ca="1">IF(TOTALCO!I157="", "",TOTALCO!I157)</f>
        <v>0</v>
      </c>
      <c r="J1043" s="12" t="str">
        <f>IF(TOTALCO!J157="", "",TOTALCO!J157)</f>
        <v/>
      </c>
      <c r="K1043" s="12" t="str">
        <f>IF(TOTALCO!K157="", "",TOTALCO!K157)</f>
        <v/>
      </c>
      <c r="L1043" s="12">
        <f ca="1">IF(TOTALCO!L157="", "",TOTALCO!L157)</f>
        <v>0</v>
      </c>
      <c r="M1043" s="12" t="str">
        <f>IF(TOTALCO!M157="", "",TOTALCO!M157)</f>
        <v/>
      </c>
      <c r="N1043" s="12">
        <f ca="1">IF(TOTALCO!N157="", "",TOTALCO!N157)</f>
        <v>0</v>
      </c>
      <c r="O1043" s="12">
        <f ca="1">IF(TOTALCO!O157="", "",TOTALCO!O157)</f>
        <v>0</v>
      </c>
      <c r="P1043" s="12">
        <f ca="1">IF(TOTALCO!P157="", "",TOTALCO!P157)</f>
        <v>0</v>
      </c>
      <c r="Q1043" s="12"/>
    </row>
    <row r="1044" spans="1:17" ht="15" x14ac:dyDescent="0.2">
      <c r="A1044" s="321">
        <f>IF(TOTALCO!A158="", "",TOTALCO!A158)</f>
        <v>39</v>
      </c>
      <c r="B1044" s="4" t="str">
        <f>IF(TOTALCO!B158="", "",TOTALCO!B158)</f>
        <v>TOT ACCT 373-STREET LIGHTING</v>
      </c>
      <c r="C1044" s="4" t="str">
        <f>IF(TOTALCO!C158="", "",TOTALCO!C158)</f>
        <v>PLT373TOT</v>
      </c>
      <c r="D1044" s="12">
        <f ca="1">IF(TOTALCO!D158="", "",TOTALCO!D158)</f>
        <v>130848709.60230768</v>
      </c>
      <c r="E1044" s="12" t="str">
        <f>IF(TOTALCO!E158="", "",TOTALCO!E158)</f>
        <v/>
      </c>
      <c r="F1044" s="12">
        <f ca="1">IF(TOTALCO!F158="", "",TOTALCO!F158)</f>
        <v>126856868.76999998</v>
      </c>
      <c r="G1044" s="12" t="str">
        <f>IF(TOTALCO!G158="", "",TOTALCO!G158)</f>
        <v/>
      </c>
      <c r="H1044" s="12">
        <f ca="1">IF(TOTALCO!H158="", "",TOTALCO!H158)</f>
        <v>3991840.8323076926</v>
      </c>
      <c r="I1044" s="12">
        <f ca="1">IF(TOTALCO!I158="", "",TOTALCO!I158)</f>
        <v>0</v>
      </c>
      <c r="J1044" s="12" t="str">
        <f>IF(TOTALCO!J158="", "",TOTALCO!J158)</f>
        <v/>
      </c>
      <c r="K1044" s="12" t="str">
        <f>IF(TOTALCO!K158="", "",TOTALCO!K158)</f>
        <v/>
      </c>
      <c r="L1044" s="12">
        <f ca="1">IF(TOTALCO!L158="", "",TOTALCO!L158)</f>
        <v>0</v>
      </c>
      <c r="M1044" s="12" t="str">
        <f>IF(TOTALCO!M158="", "",TOTALCO!M158)</f>
        <v/>
      </c>
      <c r="N1044" s="12">
        <f ca="1">IF(TOTALCO!N158="", "",TOTALCO!N158)</f>
        <v>0</v>
      </c>
      <c r="O1044" s="12">
        <f ca="1">IF(TOTALCO!O158="", "",TOTALCO!O158)</f>
        <v>0</v>
      </c>
      <c r="P1044" s="12">
        <f ca="1">IF(TOTALCO!P158="", "",TOTALCO!P158)</f>
        <v>0</v>
      </c>
      <c r="Q1044" s="12"/>
    </row>
    <row r="1045" spans="1:17" ht="15" x14ac:dyDescent="0.2">
      <c r="A1045" s="321">
        <f>IF(TOTALCO!A159="", "",TOTALCO!A159)</f>
        <v>40</v>
      </c>
      <c r="B1045" s="4" t="str">
        <f>IF(TOTALCO!B159="", "",TOTALCO!B159)</f>
        <v>TOTAL ACCT 370-METERS</v>
      </c>
      <c r="C1045" s="4" t="str">
        <f>IF(TOTALCO!C159="", "",TOTALCO!C159)</f>
        <v>PLT370TOT</v>
      </c>
      <c r="D1045" s="12">
        <f ca="1">IF(TOTALCO!D159="", "",TOTALCO!D159)</f>
        <v>82578598.681538448</v>
      </c>
      <c r="E1045" s="12" t="str">
        <f>IF(TOTALCO!E159="", "",TOTALCO!E159)</f>
        <v/>
      </c>
      <c r="F1045" s="12">
        <f ca="1">IF(TOTALCO!F159="", "",TOTALCO!F159)</f>
        <v>78743546.271538451</v>
      </c>
      <c r="G1045" s="12" t="str">
        <f>IF(TOTALCO!G159="", "",TOTALCO!G159)</f>
        <v/>
      </c>
      <c r="H1045" s="12">
        <f ca="1">IF(TOTALCO!H159="", "",TOTALCO!H159)</f>
        <v>3783545.2</v>
      </c>
      <c r="I1045" s="12">
        <f ca="1">IF(TOTALCO!I159="", "",TOTALCO!I159)</f>
        <v>51507.21</v>
      </c>
      <c r="J1045" s="12" t="str">
        <f>IF(TOTALCO!J159="", "",TOTALCO!J159)</f>
        <v/>
      </c>
      <c r="K1045" s="12" t="str">
        <f>IF(TOTALCO!K159="", "",TOTALCO!K159)</f>
        <v/>
      </c>
      <c r="L1045" s="12">
        <f ca="1">IF(TOTALCO!L159="", "",TOTALCO!L159)</f>
        <v>4199.21</v>
      </c>
      <c r="M1045" s="12" t="str">
        <f>IF(TOTALCO!M159="", "",TOTALCO!M159)</f>
        <v/>
      </c>
      <c r="N1045" s="12">
        <f ca="1">IF(TOTALCO!N159="", "",TOTALCO!N159)</f>
        <v>47308</v>
      </c>
      <c r="O1045" s="12">
        <f ca="1">IF(TOTALCO!O159="", "",TOTALCO!O159)</f>
        <v>20456</v>
      </c>
      <c r="P1045" s="12">
        <f ca="1">IF(TOTALCO!P159="", "",TOTALCO!P159)</f>
        <v>26852</v>
      </c>
      <c r="Q1045" s="12"/>
    </row>
    <row r="1046" spans="1:17" ht="15" x14ac:dyDescent="0.2">
      <c r="A1046" s="321">
        <f>IF(TOTALCO!A160="", "",TOTALCO!A160)</f>
        <v>41</v>
      </c>
      <c r="B1046" s="4" t="str">
        <f>IF(TOTALCO!B160="", "",TOTALCO!B160)</f>
        <v>TOT ACCT 371-CUSTOMER INSTALL</v>
      </c>
      <c r="C1046" s="4" t="str">
        <f>IF(TOTALCO!C160="", "",TOTALCO!C160)</f>
        <v>PLT371TOT</v>
      </c>
      <c r="D1046" s="12">
        <f ca="1">IF(TOTALCO!D160="", "",TOTALCO!D160)</f>
        <v>145659.96</v>
      </c>
      <c r="E1046" s="12" t="str">
        <f>IF(TOTALCO!E160="", "",TOTALCO!E160)</f>
        <v/>
      </c>
      <c r="F1046" s="12">
        <f ca="1">IF(TOTALCO!F160="", "",TOTALCO!F160)</f>
        <v>145659.96</v>
      </c>
      <c r="G1046" s="12" t="str">
        <f>IF(TOTALCO!G160="", "",TOTALCO!G160)</f>
        <v/>
      </c>
      <c r="H1046" s="12">
        <f ca="1">IF(TOTALCO!H160="", "",TOTALCO!H160)</f>
        <v>0</v>
      </c>
      <c r="I1046" s="12">
        <f ca="1">IF(TOTALCO!I160="", "",TOTALCO!I160)</f>
        <v>0</v>
      </c>
      <c r="J1046" s="12" t="str">
        <f>IF(TOTALCO!J160="", "",TOTALCO!J160)</f>
        <v/>
      </c>
      <c r="K1046" s="12" t="str">
        <f>IF(TOTALCO!K160="", "",TOTALCO!K160)</f>
        <v/>
      </c>
      <c r="L1046" s="12">
        <f ca="1">IF(TOTALCO!L160="", "",TOTALCO!L160)</f>
        <v>0</v>
      </c>
      <c r="M1046" s="12" t="str">
        <f>IF(TOTALCO!M160="", "",TOTALCO!M160)</f>
        <v/>
      </c>
      <c r="N1046" s="12">
        <f ca="1">IF(TOTALCO!N160="", "",TOTALCO!N160)</f>
        <v>0</v>
      </c>
      <c r="O1046" s="12">
        <f ca="1">IF(TOTALCO!O160="", "",TOTALCO!O160)</f>
        <v>0</v>
      </c>
      <c r="P1046" s="12">
        <f ca="1">IF(TOTALCO!P160="", "",TOTALCO!P160)</f>
        <v>0</v>
      </c>
      <c r="Q1046" s="12"/>
    </row>
    <row r="1047" spans="1:17" ht="15" x14ac:dyDescent="0.2">
      <c r="A1047" s="321">
        <f>IF(TOTALCO!A161="", "",TOTALCO!A161)</f>
        <v>42</v>
      </c>
      <c r="B1047" s="4" t="str">
        <f>IF(TOTALCO!B161="", "",TOTALCO!B161)</f>
        <v>TOT ACCT 368-LINE TRANSFORMER</v>
      </c>
      <c r="C1047" s="4" t="str">
        <f>IF(TOTALCO!C161="", "",TOTALCO!C161)</f>
        <v>PLT368TOT</v>
      </c>
      <c r="D1047" s="12">
        <f ca="1">IF(TOTALCO!D161="", "",TOTALCO!D161)</f>
        <v>326614785.15153849</v>
      </c>
      <c r="E1047" s="12" t="str">
        <f>IF(TOTALCO!E161="", "",TOTALCO!E161)</f>
        <v/>
      </c>
      <c r="F1047" s="12">
        <f ca="1">IF(TOTALCO!F161="", "",TOTALCO!F161)</f>
        <v>315437142.83230776</v>
      </c>
      <c r="G1047" s="12" t="str">
        <f>IF(TOTALCO!G161="", "",TOTALCO!G161)</f>
        <v/>
      </c>
      <c r="H1047" s="12">
        <f ca="1">IF(TOTALCO!H161="", "",TOTALCO!H161)</f>
        <v>11174524.039230768</v>
      </c>
      <c r="I1047" s="12">
        <f ca="1">IF(TOTALCO!I161="", "",TOTALCO!I161)</f>
        <v>3118.2799999999988</v>
      </c>
      <c r="J1047" s="12" t="str">
        <f>IF(TOTALCO!J161="", "",TOTALCO!J161)</f>
        <v/>
      </c>
      <c r="K1047" s="12" t="str">
        <f>IF(TOTALCO!K161="", "",TOTALCO!K161)</f>
        <v/>
      </c>
      <c r="L1047" s="12">
        <f ca="1">IF(TOTALCO!L161="", "",TOTALCO!L161)</f>
        <v>3118.2799999999988</v>
      </c>
      <c r="M1047" s="12" t="str">
        <f>IF(TOTALCO!M161="", "",TOTALCO!M161)</f>
        <v/>
      </c>
      <c r="N1047" s="12">
        <f ca="1">IF(TOTALCO!N161="", "",TOTALCO!N161)</f>
        <v>0</v>
      </c>
      <c r="O1047" s="12">
        <f ca="1">IF(TOTALCO!O161="", "",TOTALCO!O161)</f>
        <v>0</v>
      </c>
      <c r="P1047" s="12">
        <f ca="1">IF(TOTALCO!P161="", "",TOTALCO!P161)</f>
        <v>0</v>
      </c>
      <c r="Q1047" s="12"/>
    </row>
    <row r="1048" spans="1:17" ht="15" x14ac:dyDescent="0.2">
      <c r="A1048" s="321">
        <f>IF(TOTALCO!A162="", "",TOTALCO!A162)</f>
        <v>43</v>
      </c>
      <c r="B1048" s="4" t="str">
        <f>IF(TOTALCO!B162="", "",TOTALCO!B162)</f>
        <v>TOT ACCT 902-904 CUST ACCTS</v>
      </c>
      <c r="C1048" s="4" t="str">
        <f>IF(TOTALCO!C162="", "",TOTALCO!C162)</f>
        <v>EXP9024CA</v>
      </c>
      <c r="D1048" s="12">
        <f ca="1">IF(TOTALCO!D162="", "",TOTALCO!D162)</f>
        <v>35444542.129999995</v>
      </c>
      <c r="E1048" s="12" t="str">
        <f>IF(TOTALCO!E162="", "",TOTALCO!E162)</f>
        <v/>
      </c>
      <c r="F1048" s="12">
        <f ca="1">IF(TOTALCO!F162="", "",TOTALCO!F162)</f>
        <v>33673447.616046697</v>
      </c>
      <c r="G1048" s="12" t="str">
        <f>IF(TOTALCO!G162="", "",TOTALCO!G162)</f>
        <v/>
      </c>
      <c r="H1048" s="12">
        <f ca="1">IF(TOTALCO!H162="", "",TOTALCO!H162)</f>
        <v>1760959.5620921196</v>
      </c>
      <c r="I1048" s="12">
        <f ca="1">IF(TOTALCO!I162="", "",TOTALCO!I162)</f>
        <v>10134.951861181571</v>
      </c>
      <c r="J1048" s="12" t="str">
        <f>IF(TOTALCO!J162="", "",TOTALCO!J162)</f>
        <v/>
      </c>
      <c r="K1048" s="12" t="str">
        <f>IF(TOTALCO!K162="", "",TOTALCO!K162)</f>
        <v/>
      </c>
      <c r="L1048" s="12">
        <f ca="1">IF(TOTALCO!L162="", "",TOTALCO!L162)</f>
        <v>233.52423643275509</v>
      </c>
      <c r="M1048" s="12" t="str">
        <f>IF(TOTALCO!M162="", "",TOTALCO!M162)</f>
        <v/>
      </c>
      <c r="N1048" s="12">
        <f ca="1">IF(TOTALCO!N162="", "",TOTALCO!N162)</f>
        <v>9901.427624748816</v>
      </c>
      <c r="O1048" s="12">
        <f ca="1">IF(TOTALCO!O162="", "",TOTALCO!O162)</f>
        <v>3969.9120193568365</v>
      </c>
      <c r="P1048" s="12">
        <f ca="1">IF(TOTALCO!P162="", "",TOTALCO!P162)</f>
        <v>5931.5156053919791</v>
      </c>
      <c r="Q1048" s="12"/>
    </row>
    <row r="1049" spans="1:17" ht="15" x14ac:dyDescent="0.2">
      <c r="A1049" s="321">
        <f>IF(TOTALCO!A163="", "",TOTALCO!A163)</f>
        <v>44</v>
      </c>
      <c r="B1049" s="4" t="str">
        <f>IF(TOTALCO!B163="", "",TOTALCO!B163)</f>
        <v>TOT ACCT 908-909 CUST SERV</v>
      </c>
      <c r="C1049" s="4" t="str">
        <f>IF(TOTALCO!C163="", "",TOTALCO!C163)</f>
        <v>EXP9089CS</v>
      </c>
      <c r="D1049" s="12">
        <f ca="1">IF(TOTALCO!D163="", "",TOTALCO!D163)</f>
        <v>10205363.999999998</v>
      </c>
      <c r="E1049" s="12" t="str">
        <f>IF(TOTALCO!E163="", "",TOTALCO!E163)</f>
        <v/>
      </c>
      <c r="F1049" s="12">
        <f ca="1">IF(TOTALCO!F163="", "",TOTALCO!F163)</f>
        <v>10110400.332189808</v>
      </c>
      <c r="G1049" s="12" t="str">
        <f>IF(TOTALCO!G163="", "",TOTALCO!G163)</f>
        <v/>
      </c>
      <c r="H1049" s="12">
        <f ca="1">IF(TOTALCO!H163="", "",TOTALCO!H163)</f>
        <v>94953.538712436683</v>
      </c>
      <c r="I1049" s="12">
        <f ca="1">IF(TOTALCO!I163="", "",TOTALCO!I163)</f>
        <v>10.129097754055758</v>
      </c>
      <c r="J1049" s="12" t="str">
        <f>IF(TOTALCO!J163="", "",TOTALCO!J163)</f>
        <v/>
      </c>
      <c r="K1049" s="12" t="str">
        <f>IF(TOTALCO!K163="", "",TOTALCO!K163)</f>
        <v/>
      </c>
      <c r="L1049" s="12">
        <f ca="1">IF(TOTALCO!L163="", "",TOTALCO!L163)</f>
        <v>10.129097754055758</v>
      </c>
      <c r="M1049" s="12" t="str">
        <f>IF(TOTALCO!M163="", "",TOTALCO!M163)</f>
        <v/>
      </c>
      <c r="N1049" s="12">
        <f ca="1">IF(TOTALCO!N163="", "",TOTALCO!N163)</f>
        <v>0</v>
      </c>
      <c r="O1049" s="12">
        <f ca="1">IF(TOTALCO!O163="", "",TOTALCO!O163)</f>
        <v>0</v>
      </c>
      <c r="P1049" s="12">
        <f ca="1">IF(TOTALCO!P163="", "",TOTALCO!P163)</f>
        <v>0</v>
      </c>
      <c r="Q1049" s="12"/>
    </row>
    <row r="1050" spans="1:17" ht="15" x14ac:dyDescent="0.2">
      <c r="A1050" s="321">
        <f>IF(TOTALCO!A164="", "",TOTALCO!A164)</f>
        <v>45</v>
      </c>
      <c r="B1050" s="4" t="str">
        <f>IF(TOTALCO!B164="", "",TOTALCO!B164)</f>
        <v>TOTAL TRANS &amp; DISTRIB PLANT</v>
      </c>
      <c r="C1050" s="4" t="str">
        <f>IF(TOTALCO!C164="", "",TOTALCO!C164)</f>
        <v>TRDSPLT</v>
      </c>
      <c r="D1050" s="12">
        <f ca="1">IF(TOTALCO!D164="", "",TOTALCO!D164)</f>
        <v>3165910780.6646137</v>
      </c>
      <c r="E1050" s="12" t="str">
        <f>IF(TOTALCO!E164="", "",TOTALCO!E164)</f>
        <v/>
      </c>
      <c r="F1050" s="12">
        <f ca="1">IF(TOTALCO!F164="", "",TOTALCO!F164)</f>
        <v>2954082857.5107102</v>
      </c>
      <c r="G1050" s="12" t="str">
        <f>IF(TOTALCO!G164="", "",TOTALCO!G164)</f>
        <v/>
      </c>
      <c r="H1050" s="12">
        <f ca="1">IF(TOTALCO!H164="", "",TOTALCO!H164)</f>
        <v>206779216.58729616</v>
      </c>
      <c r="I1050" s="12">
        <f ca="1">IF(TOTALCO!I164="", "",TOTALCO!I164)</f>
        <v>5048706.5666073207</v>
      </c>
      <c r="J1050" s="12" t="str">
        <f>IF(TOTALCO!J164="", "",TOTALCO!J164)</f>
        <v/>
      </c>
      <c r="K1050" s="12" t="str">
        <f>IF(TOTALCO!K164="", "",TOTALCO!K164)</f>
        <v/>
      </c>
      <c r="L1050" s="12">
        <f ca="1">IF(TOTALCO!L164="", "",TOTALCO!L164)</f>
        <v>650416.25227481057</v>
      </c>
      <c r="M1050" s="12" t="str">
        <f>IF(TOTALCO!M164="", "",TOTALCO!M164)</f>
        <v/>
      </c>
      <c r="N1050" s="12">
        <f ca="1">IF(TOTALCO!N164="", "",TOTALCO!N164)</f>
        <v>4398290.3143325103</v>
      </c>
      <c r="O1050" s="12">
        <f ca="1">IF(TOTALCO!O164="", "",TOTALCO!O164)</f>
        <v>4010032.6408437467</v>
      </c>
      <c r="P1050" s="12">
        <f ca="1">IF(TOTALCO!P164="", "",TOTALCO!P164)</f>
        <v>388257.67348876363</v>
      </c>
      <c r="Q1050" s="12"/>
    </row>
    <row r="1051" spans="1:17" ht="15" x14ac:dyDescent="0.2">
      <c r="A1051" s="321" t="str">
        <f>IF(TOTALCO!A165="", "",TOTALCO!A165)</f>
        <v/>
      </c>
      <c r="B1051" s="4" t="str">
        <f>IF(TOTALCO!B165="", "",TOTALCO!B165)</f>
        <v/>
      </c>
      <c r="C1051" s="4" t="str">
        <f>IF(TOTALCO!C165="", "",TOTALCO!C165)</f>
        <v/>
      </c>
      <c r="D1051" s="12" t="str">
        <f>IF(TOTALCO!D165="", "",TOTALCO!D165)</f>
        <v/>
      </c>
      <c r="E1051" s="12" t="str">
        <f>IF(TOTALCO!E165="", "",TOTALCO!E165)</f>
        <v/>
      </c>
      <c r="F1051" s="12" t="str">
        <f>IF(TOTALCO!F165="", "",TOTALCO!F165)</f>
        <v/>
      </c>
      <c r="G1051" s="12" t="str">
        <f>IF(TOTALCO!G165="", "",TOTALCO!G165)</f>
        <v/>
      </c>
      <c r="H1051" s="12" t="str">
        <f>IF(TOTALCO!H165="", "",TOTALCO!H165)</f>
        <v/>
      </c>
      <c r="I1051" s="12" t="str">
        <f>IF(TOTALCO!I165="", "",TOTALCO!I165)</f>
        <v/>
      </c>
      <c r="J1051" s="12" t="str">
        <f>IF(TOTALCO!J165="", "",TOTALCO!J165)</f>
        <v/>
      </c>
      <c r="K1051" s="12" t="str">
        <f>IF(TOTALCO!K165="", "",TOTALCO!K165)</f>
        <v/>
      </c>
      <c r="L1051" s="12" t="str">
        <f>IF(TOTALCO!L165="", "",TOTALCO!L165)</f>
        <v/>
      </c>
      <c r="M1051" s="12" t="str">
        <f>IF(TOTALCO!M165="", "",TOTALCO!M165)</f>
        <v/>
      </c>
      <c r="N1051" s="12" t="str">
        <f>IF(TOTALCO!N165="", "",TOTALCO!N165)</f>
        <v/>
      </c>
      <c r="O1051" s="12" t="str">
        <f>IF(TOTALCO!O165="", "",TOTALCO!O165)</f>
        <v/>
      </c>
      <c r="P1051" s="12" t="str">
        <f>IF(TOTALCO!P165="", "",TOTALCO!P165)</f>
        <v/>
      </c>
      <c r="Q1051" s="12"/>
    </row>
    <row r="1052" spans="1:17" ht="15" x14ac:dyDescent="0.2">
      <c r="A1052" s="321" t="str">
        <f>IF(TOTALCO!A166="", "",TOTALCO!A166)</f>
        <v/>
      </c>
      <c r="B1052" s="4" t="str">
        <f>IF(TOTALCO!B166="", "",TOTALCO!B166)</f>
        <v>INTERNALLY DEVELOPED-CON'T</v>
      </c>
      <c r="C1052" s="4" t="str">
        <f>IF(TOTALCO!C166="", "",TOTALCO!C166)</f>
        <v/>
      </c>
      <c r="D1052" s="12" t="str">
        <f>IF(TOTALCO!D166="", "",TOTALCO!D166)</f>
        <v/>
      </c>
      <c r="E1052" s="12" t="str">
        <f>IF(TOTALCO!E166="", "",TOTALCO!E166)</f>
        <v/>
      </c>
      <c r="F1052" s="12" t="str">
        <f>IF(TOTALCO!F166="", "",TOTALCO!F166)</f>
        <v/>
      </c>
      <c r="G1052" s="12" t="str">
        <f>IF(TOTALCO!G166="", "",TOTALCO!G166)</f>
        <v/>
      </c>
      <c r="H1052" s="12" t="str">
        <f>IF(TOTALCO!H166="", "",TOTALCO!H166)</f>
        <v/>
      </c>
      <c r="I1052" s="12" t="str">
        <f>IF(TOTALCO!I166="", "",TOTALCO!I166)</f>
        <v/>
      </c>
      <c r="J1052" s="12" t="str">
        <f>IF(TOTALCO!J166="", "",TOTALCO!J166)</f>
        <v/>
      </c>
      <c r="K1052" s="12" t="str">
        <f>IF(TOTALCO!K166="", "",TOTALCO!K166)</f>
        <v/>
      </c>
      <c r="L1052" s="12" t="str">
        <f>IF(TOTALCO!L166="", "",TOTALCO!L166)</f>
        <v/>
      </c>
      <c r="M1052" s="12" t="str">
        <f>IF(TOTALCO!M166="", "",TOTALCO!M166)</f>
        <v/>
      </c>
      <c r="N1052" s="12" t="str">
        <f>IF(TOTALCO!N166="", "",TOTALCO!N166)</f>
        <v/>
      </c>
      <c r="O1052" s="12" t="str">
        <f>IF(TOTALCO!O166="", "",TOTALCO!O166)</f>
        <v/>
      </c>
      <c r="P1052" s="12" t="str">
        <f>IF(TOTALCO!P166="", "",TOTALCO!P166)</f>
        <v/>
      </c>
      <c r="Q1052" s="12"/>
    </row>
    <row r="1053" spans="1:17" ht="15" x14ac:dyDescent="0.2">
      <c r="A1053" s="321" t="str">
        <f>IF(TOTALCO!A167="", "",TOTALCO!A167)</f>
        <v/>
      </c>
      <c r="B1053" s="4" t="str">
        <f>IF(TOTALCO!B167="", "",TOTALCO!B167)</f>
        <v>-</v>
      </c>
      <c r="C1053" s="4" t="str">
        <f>IF(TOTALCO!C167="", "",TOTALCO!C167)</f>
        <v/>
      </c>
      <c r="D1053" s="12" t="str">
        <f>IF(TOTALCO!D167="", "",TOTALCO!D167)</f>
        <v/>
      </c>
      <c r="E1053" s="12" t="str">
        <f>IF(TOTALCO!E167="", "",TOTALCO!E167)</f>
        <v/>
      </c>
      <c r="F1053" s="12" t="str">
        <f>IF(TOTALCO!F167="", "",TOTALCO!F167)</f>
        <v/>
      </c>
      <c r="G1053" s="12" t="str">
        <f>IF(TOTALCO!G167="", "",TOTALCO!G167)</f>
        <v/>
      </c>
      <c r="H1053" s="12" t="str">
        <f>IF(TOTALCO!H167="", "",TOTALCO!H167)</f>
        <v/>
      </c>
      <c r="I1053" s="12" t="str">
        <f>IF(TOTALCO!I167="", "",TOTALCO!I167)</f>
        <v/>
      </c>
      <c r="J1053" s="12" t="str">
        <f>IF(TOTALCO!J167="", "",TOTALCO!J167)</f>
        <v/>
      </c>
      <c r="K1053" s="12" t="str">
        <f>IF(TOTALCO!K167="", "",TOTALCO!K167)</f>
        <v/>
      </c>
      <c r="L1053" s="12" t="str">
        <f>IF(TOTALCO!L167="", "",TOTALCO!L167)</f>
        <v/>
      </c>
      <c r="M1053" s="12" t="str">
        <f>IF(TOTALCO!M167="", "",TOTALCO!M167)</f>
        <v/>
      </c>
      <c r="N1053" s="12" t="str">
        <f>IF(TOTALCO!N167="", "",TOTALCO!N167)</f>
        <v/>
      </c>
      <c r="O1053" s="12" t="str">
        <f>IF(TOTALCO!O167="", "",TOTALCO!O167)</f>
        <v/>
      </c>
      <c r="P1053" s="12" t="str">
        <f>IF(TOTALCO!P167="", "",TOTALCO!P167)</f>
        <v/>
      </c>
      <c r="Q1053" s="12"/>
    </row>
    <row r="1054" spans="1:17" ht="15" x14ac:dyDescent="0.2">
      <c r="A1054" s="321">
        <f>IF(TOTALCO!A168="", "",TOTALCO!A168)</f>
        <v>1</v>
      </c>
      <c r="B1054" s="4" t="str">
        <f>IF(TOTALCO!B168="", "",TOTALCO!B168)</f>
        <v>TOT ACCT 912-913 SALES EXP</v>
      </c>
      <c r="C1054" s="4" t="str">
        <f>IF(TOTALCO!C168="", "",TOTALCO!C168)</f>
        <v>EXP9123SA</v>
      </c>
      <c r="D1054" s="12">
        <f ca="1">IF(TOTALCO!D168="", "",TOTALCO!D168)</f>
        <v>1044482.0000000001</v>
      </c>
      <c r="E1054" s="12" t="str">
        <f>IF(TOTALCO!E168="", "",TOTALCO!E168)</f>
        <v/>
      </c>
      <c r="F1054" s="12">
        <f ca="1">IF(TOTALCO!F168="", "",TOTALCO!F168)</f>
        <v>991130.87987548974</v>
      </c>
      <c r="G1054" s="12" t="str">
        <f>IF(TOTALCO!G168="", "",TOTALCO!G168)</f>
        <v/>
      </c>
      <c r="H1054" s="12">
        <f ca="1">IF(TOTALCO!H168="", "",TOTALCO!H168)</f>
        <v>53345.429540695593</v>
      </c>
      <c r="I1054" s="12">
        <f ca="1">IF(TOTALCO!I168="", "",TOTALCO!I168)</f>
        <v>5.6905838147454677</v>
      </c>
      <c r="J1054" s="12" t="str">
        <f>IF(TOTALCO!J168="", "",TOTALCO!J168)</f>
        <v/>
      </c>
      <c r="K1054" s="12" t="str">
        <f>IF(TOTALCO!K168="", "",TOTALCO!K168)</f>
        <v/>
      </c>
      <c r="L1054" s="12">
        <f ca="1">IF(TOTALCO!L168="", "",TOTALCO!L168)</f>
        <v>5.6905838147454677</v>
      </c>
      <c r="M1054" s="12" t="str">
        <f>IF(TOTALCO!M168="", "",TOTALCO!M168)</f>
        <v/>
      </c>
      <c r="N1054" s="12">
        <f ca="1">IF(TOTALCO!N168="", "",TOTALCO!N168)</f>
        <v>0</v>
      </c>
      <c r="O1054" s="12">
        <f ca="1">IF(TOTALCO!O168="", "",TOTALCO!O168)</f>
        <v>0</v>
      </c>
      <c r="P1054" s="12">
        <f ca="1">IF(TOTALCO!P168="", "",TOTALCO!P168)</f>
        <v>0</v>
      </c>
      <c r="Q1054" s="12"/>
    </row>
    <row r="1055" spans="1:17" ht="15" x14ac:dyDescent="0.2">
      <c r="A1055" s="321">
        <f>IF(TOTALCO!A169="", "",TOTALCO!A169)</f>
        <v>2</v>
      </c>
      <c r="B1055" s="4" t="str">
        <f>IF(TOTALCO!B169="", "",TOTALCO!B169)</f>
        <v>REVENUE SALE OF ELECT-FERC</v>
      </c>
      <c r="C1055" s="4" t="str">
        <f>IF(TOTALCO!C169="", "",TOTALCO!C169)</f>
        <v>REVFERC</v>
      </c>
      <c r="D1055" s="12">
        <f ca="1">IF(TOTALCO!D169="", "",TOTALCO!D169)</f>
        <v>25065995.426900454</v>
      </c>
      <c r="E1055" s="12" t="str">
        <f>IF(TOTALCO!E169="", "",TOTALCO!E169)</f>
        <v/>
      </c>
      <c r="F1055" s="12">
        <f>IF(TOTALCO!F169="", "",TOTALCO!F169)</f>
        <v>0</v>
      </c>
      <c r="G1055" s="12" t="str">
        <f>IF(TOTALCO!G169="", "",TOTALCO!G169)</f>
        <v/>
      </c>
      <c r="H1055" s="12">
        <f>IF(TOTALCO!H169="", "",TOTALCO!H169)</f>
        <v>0</v>
      </c>
      <c r="I1055" s="12">
        <f ca="1">IF(TOTALCO!I169="", "",TOTALCO!I169)</f>
        <v>25065995.426900454</v>
      </c>
      <c r="J1055" s="12" t="str">
        <f>IF(TOTALCO!J169="", "",TOTALCO!J169)</f>
        <v/>
      </c>
      <c r="K1055" s="12" t="str">
        <f>IF(TOTALCO!K169="", "",TOTALCO!K169)</f>
        <v/>
      </c>
      <c r="L1055" s="12">
        <f>IF(TOTALCO!L169="", "",TOTALCO!L169)</f>
        <v>0</v>
      </c>
      <c r="M1055" s="12" t="str">
        <f>IF(TOTALCO!M169="", "",TOTALCO!M169)</f>
        <v/>
      </c>
      <c r="N1055" s="12">
        <f ca="1">IF(TOTALCO!N169="", "",TOTALCO!N169)</f>
        <v>25065995.426900454</v>
      </c>
      <c r="O1055" s="12">
        <f ca="1">IF(TOTALCO!O169="", "",TOTALCO!O169)</f>
        <v>12691491.179060366</v>
      </c>
      <c r="P1055" s="12">
        <f ca="1">IF(TOTALCO!P169="", "",TOTALCO!P169)</f>
        <v>12374504.247840088</v>
      </c>
      <c r="Q1055" s="12"/>
    </row>
    <row r="1056" spans="1:17" ht="15" x14ac:dyDescent="0.2">
      <c r="A1056" s="321">
        <f>IF(TOTALCO!A170="", "",TOTALCO!A170)</f>
        <v>3</v>
      </c>
      <c r="B1056" s="4" t="str">
        <f>IF(TOTALCO!B170="", "",TOTALCO!B170)</f>
        <v>REVENUE SALE OF ELECT-VA</v>
      </c>
      <c r="C1056" s="4" t="str">
        <f>IF(TOTALCO!C170="", "",TOTALCO!C170)</f>
        <v>REVVA</v>
      </c>
      <c r="D1056" s="12">
        <f ca="1">IF(TOTALCO!D170="", "",TOTALCO!D170)</f>
        <v>71559280.30532819</v>
      </c>
      <c r="E1056" s="12" t="str">
        <f>IF(TOTALCO!E170="", "",TOTALCO!E170)</f>
        <v/>
      </c>
      <c r="F1056" s="12">
        <f>IF(TOTALCO!F170="", "",TOTALCO!F170)</f>
        <v>0</v>
      </c>
      <c r="G1056" s="12" t="str">
        <f>IF(TOTALCO!G170="", "",TOTALCO!G170)</f>
        <v/>
      </c>
      <c r="H1056" s="12">
        <f ca="1">IF(TOTALCO!H170="", "",TOTALCO!H170)</f>
        <v>71559280.30532819</v>
      </c>
      <c r="I1056" s="12">
        <f>IF(TOTALCO!I170="", "",TOTALCO!I170)</f>
        <v>0</v>
      </c>
      <c r="J1056" s="12" t="str">
        <f>IF(TOTALCO!J170="", "",TOTALCO!J170)</f>
        <v/>
      </c>
      <c r="K1056" s="12" t="str">
        <f>IF(TOTALCO!K170="", "",TOTALCO!K170)</f>
        <v/>
      </c>
      <c r="L1056" s="12">
        <f>IF(TOTALCO!L170="", "",TOTALCO!L170)</f>
        <v>0</v>
      </c>
      <c r="M1056" s="12" t="str">
        <f>IF(TOTALCO!M170="", "",TOTALCO!M170)</f>
        <v/>
      </c>
      <c r="N1056" s="12">
        <f>IF(TOTALCO!N170="", "",TOTALCO!N170)</f>
        <v>0</v>
      </c>
      <c r="O1056" s="12">
        <f>IF(TOTALCO!O170="", "",TOTALCO!O170)</f>
        <v>0</v>
      </c>
      <c r="P1056" s="12">
        <f>IF(TOTALCO!P170="", "",TOTALCO!P170)</f>
        <v>0</v>
      </c>
      <c r="Q1056" s="12"/>
    </row>
    <row r="1057" spans="1:17" ht="15" x14ac:dyDescent="0.2">
      <c r="A1057" s="321">
        <f>IF(TOTALCO!A171="", "",TOTALCO!A171)</f>
        <v>4</v>
      </c>
      <c r="B1057" s="4" t="str">
        <f>IF(TOTALCO!B171="", "",TOTALCO!B171)</f>
        <v>REVENUE SALE OF ELECT</v>
      </c>
      <c r="C1057" s="4" t="str">
        <f>IF(TOTALCO!C171="", "",TOTALCO!C171)</f>
        <v>REVENUE</v>
      </c>
      <c r="D1057" s="12">
        <f ca="1">IF(TOTALCO!D171="", "",TOTALCO!D171)</f>
        <v>1694844219.1825507</v>
      </c>
      <c r="E1057" s="12" t="str">
        <f>IF(TOTALCO!E171="", "",TOTALCO!E171)</f>
        <v/>
      </c>
      <c r="F1057" s="12">
        <f ca="1">IF(TOTALCO!F171="", "",TOTALCO!F171)</f>
        <v>1598218900.76336</v>
      </c>
      <c r="G1057" s="12" t="str">
        <f>IF(TOTALCO!G171="", "",TOTALCO!G171)</f>
        <v/>
      </c>
      <c r="H1057" s="12">
        <f ca="1">IF(TOTALCO!H171="", "",TOTALCO!H171)</f>
        <v>71559280.30532819</v>
      </c>
      <c r="I1057" s="12">
        <f ca="1">IF(TOTALCO!I171="", "",TOTALCO!I171)</f>
        <v>25066038.1138625</v>
      </c>
      <c r="J1057" s="12" t="str">
        <f>IF(TOTALCO!J171="", "",TOTALCO!J171)</f>
        <v/>
      </c>
      <c r="K1057" s="12" t="str">
        <f>IF(TOTALCO!K171="", "",TOTALCO!K171)</f>
        <v/>
      </c>
      <c r="L1057" s="12">
        <f ca="1">IF(TOTALCO!L171="", "",TOTALCO!L171)</f>
        <v>42.686962046929459</v>
      </c>
      <c r="M1057" s="12" t="str">
        <f>IF(TOTALCO!M171="", "",TOTALCO!M171)</f>
        <v/>
      </c>
      <c r="N1057" s="12">
        <f ca="1">IF(TOTALCO!N171="", "",TOTALCO!N171)</f>
        <v>25065995.426900454</v>
      </c>
      <c r="O1057" s="12">
        <f ca="1">IF(TOTALCO!O171="", "",TOTALCO!O171)</f>
        <v>12691491.179060366</v>
      </c>
      <c r="P1057" s="12">
        <f ca="1">IF(TOTALCO!P171="", "",TOTALCO!P171)</f>
        <v>12374504.247840088</v>
      </c>
      <c r="Q1057" s="12"/>
    </row>
    <row r="1058" spans="1:17" ht="15" x14ac:dyDescent="0.2">
      <c r="A1058" s="321">
        <f>IF(TOTALCO!A172="", "",TOTALCO!A172)</f>
        <v>5</v>
      </c>
      <c r="B1058" s="4" t="str">
        <f>IF(TOTALCO!B172="", "",TOTALCO!B172)</f>
        <v>REV SALE OF ELECT-VA NON JUR</v>
      </c>
      <c r="C1058" s="4" t="str">
        <f>IF(TOTALCO!C172="", "",TOTALCO!C172)</f>
        <v>REVNJVA</v>
      </c>
      <c r="D1058" s="12">
        <f>IF(TOTALCO!D172="", "",TOTALCO!D172)</f>
        <v>1</v>
      </c>
      <c r="E1058" s="12" t="str">
        <f>IF(TOTALCO!E172="", "",TOTALCO!E172)</f>
        <v/>
      </c>
      <c r="F1058" s="12">
        <f>IF(TOTALCO!F172="", "",TOTALCO!F172)</f>
        <v>0</v>
      </c>
      <c r="G1058" s="12" t="str">
        <f>IF(TOTALCO!G172="", "",TOTALCO!G172)</f>
        <v/>
      </c>
      <c r="H1058" s="12">
        <f>IF(TOTALCO!H172="", "",TOTALCO!H172)</f>
        <v>1</v>
      </c>
      <c r="I1058" s="12">
        <f>IF(TOTALCO!I172="", "",TOTALCO!I172)</f>
        <v>0</v>
      </c>
      <c r="J1058" s="12" t="str">
        <f>IF(TOTALCO!J172="", "",TOTALCO!J172)</f>
        <v/>
      </c>
      <c r="K1058" s="12" t="str">
        <f>IF(TOTALCO!K172="", "",TOTALCO!K172)</f>
        <v/>
      </c>
      <c r="L1058" s="12">
        <f>IF(TOTALCO!L172="", "",TOTALCO!L172)</f>
        <v>0</v>
      </c>
      <c r="M1058" s="12" t="str">
        <f>IF(TOTALCO!M172="", "",TOTALCO!M172)</f>
        <v/>
      </c>
      <c r="N1058" s="12">
        <f>IF(TOTALCO!N172="", "",TOTALCO!N172)</f>
        <v>0</v>
      </c>
      <c r="O1058" s="12">
        <f>IF(TOTALCO!O172="", "",TOTALCO!O172)</f>
        <v>0</v>
      </c>
      <c r="P1058" s="12">
        <f>IF(TOTALCO!P172="", "",TOTALCO!P172)</f>
        <v>0</v>
      </c>
      <c r="Q1058" s="12"/>
    </row>
    <row r="1059" spans="1:17" ht="15" x14ac:dyDescent="0.2">
      <c r="A1059" s="321">
        <f>IF(TOTALCO!A173="", "",TOTALCO!A173)</f>
        <v>6</v>
      </c>
      <c r="B1059" s="4" t="str">
        <f>IF(TOTALCO!B173="", "",TOTALCO!B173)</f>
        <v>REV SALE OF ELECT-EXCL FERC</v>
      </c>
      <c r="C1059" s="4" t="str">
        <f>IF(TOTALCO!C173="", "",TOTALCO!C173)</f>
        <v>REVENUEX</v>
      </c>
      <c r="D1059" s="12">
        <f ca="1">IF(TOTALCO!D173="", "",TOTALCO!D173)</f>
        <v>1669778223.7556503</v>
      </c>
      <c r="E1059" s="12" t="str">
        <f>IF(TOTALCO!E173="", "",TOTALCO!E173)</f>
        <v/>
      </c>
      <c r="F1059" s="12">
        <f ca="1">IF(TOTALCO!F173="", "",TOTALCO!F173)</f>
        <v>1598218900.76336</v>
      </c>
      <c r="G1059" s="12" t="str">
        <f>IF(TOTALCO!G173="", "",TOTALCO!G173)</f>
        <v/>
      </c>
      <c r="H1059" s="12">
        <f ca="1">IF(TOTALCO!H173="", "",TOTALCO!H173)</f>
        <v>71559280.30532819</v>
      </c>
      <c r="I1059" s="12">
        <f ca="1">IF(TOTALCO!I173="", "",TOTALCO!I173)</f>
        <v>42.686962046929459</v>
      </c>
      <c r="J1059" s="12" t="str">
        <f>IF(TOTALCO!J173="", "",TOTALCO!J173)</f>
        <v/>
      </c>
      <c r="K1059" s="12" t="str">
        <f>IF(TOTALCO!K173="", "",TOTALCO!K173)</f>
        <v/>
      </c>
      <c r="L1059" s="12">
        <f ca="1">IF(TOTALCO!L173="", "",TOTALCO!L173)</f>
        <v>42.686962046929459</v>
      </c>
      <c r="M1059" s="12" t="str">
        <f>IF(TOTALCO!M173="", "",TOTALCO!M173)</f>
        <v/>
      </c>
      <c r="N1059" s="12">
        <f>IF(TOTALCO!N173="", "",TOTALCO!N173)</f>
        <v>0</v>
      </c>
      <c r="O1059" s="12">
        <f>IF(TOTALCO!O173="", "",TOTALCO!O173)</f>
        <v>0</v>
      </c>
      <c r="P1059" s="12">
        <f>IF(TOTALCO!P173="", "",TOTALCO!P173)</f>
        <v>0</v>
      </c>
      <c r="Q1059" s="12"/>
    </row>
    <row r="1060" spans="1:17" ht="15" x14ac:dyDescent="0.2">
      <c r="A1060" s="321">
        <f>IF(TOTALCO!A174="", "",TOTALCO!A174)</f>
        <v>7</v>
      </c>
      <c r="B1060" s="4" t="str">
        <f>IF(TOTALCO!B174="", "",TOTALCO!B174)</f>
        <v>KENTUCKY DISTRIBUTION PLANT</v>
      </c>
      <c r="C1060" s="4" t="str">
        <f>IF(TOTALCO!C174="", "",TOTALCO!C174)</f>
        <v>KYDIST</v>
      </c>
      <c r="D1060" s="12">
        <f ca="1">IF(TOTALCO!D174="", "",TOTALCO!D174)</f>
        <v>1927846138.110769</v>
      </c>
      <c r="E1060" s="12" t="str">
        <f>IF(TOTALCO!E174="", "",TOTALCO!E174)</f>
        <v/>
      </c>
      <c r="F1060" s="12">
        <f ca="1">IF(TOTALCO!F174="", "",TOTALCO!F174)</f>
        <v>1924181178.110769</v>
      </c>
      <c r="G1060" s="12" t="str">
        <f>IF(TOTALCO!G174="", "",TOTALCO!G174)</f>
        <v/>
      </c>
      <c r="H1060" s="12">
        <f ca="1">IF(TOTALCO!H174="", "",TOTALCO!H174)</f>
        <v>0</v>
      </c>
      <c r="I1060" s="12">
        <f ca="1">IF(TOTALCO!I174="", "",TOTALCO!I174)</f>
        <v>3664960</v>
      </c>
      <c r="J1060" s="12" t="str">
        <f>IF(TOTALCO!J174="", "",TOTALCO!J174)</f>
        <v/>
      </c>
      <c r="K1060" s="12" t="str">
        <f>IF(TOTALCO!K174="", "",TOTALCO!K174)</f>
        <v/>
      </c>
      <c r="L1060" s="12">
        <f ca="1">IF(TOTALCO!L174="", "",TOTALCO!L174)</f>
        <v>0</v>
      </c>
      <c r="M1060" s="12" t="str">
        <f>IF(TOTALCO!M174="", "",TOTALCO!M174)</f>
        <v/>
      </c>
      <c r="N1060" s="12">
        <f ca="1">IF(TOTALCO!N174="", "",TOTALCO!N174)</f>
        <v>3664960</v>
      </c>
      <c r="O1060" s="12">
        <f ca="1">IF(TOTALCO!O174="", "",TOTALCO!O174)</f>
        <v>3638108</v>
      </c>
      <c r="P1060" s="12">
        <f ca="1">IF(TOTALCO!P174="", "",TOTALCO!P174)</f>
        <v>26852</v>
      </c>
      <c r="Q1060" s="12"/>
    </row>
    <row r="1061" spans="1:17" ht="15" x14ac:dyDescent="0.2">
      <c r="A1061" s="321">
        <f>IF(TOTALCO!A175="", "",TOTALCO!A175)</f>
        <v>8</v>
      </c>
      <c r="B1061" s="4" t="str">
        <f>IF(TOTALCO!B175="", "",TOTALCO!B175)</f>
        <v>VIRGINIA DISTRIBUTION PLANT</v>
      </c>
      <c r="C1061" s="4" t="str">
        <f>IF(TOTALCO!C175="", "",TOTALCO!C175)</f>
        <v>VADIST</v>
      </c>
      <c r="D1061" s="12">
        <f ca="1">IF(TOTALCO!D175="", "",TOTALCO!D175)</f>
        <v>99510269.70615378</v>
      </c>
      <c r="E1061" s="12" t="str">
        <f>IF(TOTALCO!E175="", "",TOTALCO!E175)</f>
        <v/>
      </c>
      <c r="F1061" s="12">
        <f ca="1">IF(TOTALCO!F175="", "",TOTALCO!F175)</f>
        <v>0</v>
      </c>
      <c r="G1061" s="12" t="str">
        <f>IF(TOTALCO!G175="", "",TOTALCO!G175)</f>
        <v/>
      </c>
      <c r="H1061" s="12">
        <f ca="1">IF(TOTALCO!H175="", "",TOTALCO!H175)</f>
        <v>99510269.70615378</v>
      </c>
      <c r="I1061" s="12">
        <f ca="1">IF(TOTALCO!I175="", "",TOTALCO!I175)</f>
        <v>0</v>
      </c>
      <c r="J1061" s="12" t="str">
        <f>IF(TOTALCO!J175="", "",TOTALCO!J175)</f>
        <v/>
      </c>
      <c r="K1061" s="12" t="str">
        <f>IF(TOTALCO!K175="", "",TOTALCO!K175)</f>
        <v/>
      </c>
      <c r="L1061" s="12">
        <f ca="1">IF(TOTALCO!L175="", "",TOTALCO!L175)</f>
        <v>0</v>
      </c>
      <c r="M1061" s="12" t="str">
        <f>IF(TOTALCO!M175="", "",TOTALCO!M175)</f>
        <v/>
      </c>
      <c r="N1061" s="12">
        <f ca="1">IF(TOTALCO!N175="", "",TOTALCO!N175)</f>
        <v>0</v>
      </c>
      <c r="O1061" s="12">
        <f ca="1">IF(TOTALCO!O175="", "",TOTALCO!O175)</f>
        <v>0</v>
      </c>
      <c r="P1061" s="12">
        <f ca="1">IF(TOTALCO!P175="", "",TOTALCO!P175)</f>
        <v>0</v>
      </c>
      <c r="Q1061" s="12"/>
    </row>
    <row r="1062" spans="1:17" ht="15" x14ac:dyDescent="0.2">
      <c r="A1062" s="321">
        <f>IF(TOTALCO!A176="", "",TOTALCO!A176)</f>
        <v>9</v>
      </c>
      <c r="B1062" s="4" t="str">
        <f>IF(TOTALCO!B176="", "",TOTALCO!B176)</f>
        <v>TENNESSEE DISTRIBUTION PLT</v>
      </c>
      <c r="C1062" s="4" t="str">
        <f>IF(TOTALCO!C176="", "",TOTALCO!C176)</f>
        <v>TNDIST</v>
      </c>
      <c r="D1062" s="12">
        <f ca="1">IF(TOTALCO!D176="", "",TOTALCO!D176)</f>
        <v>647118.70000000007</v>
      </c>
      <c r="E1062" s="12" t="str">
        <f>IF(TOTALCO!E176="", "",TOTALCO!E176)</f>
        <v/>
      </c>
      <c r="F1062" s="12">
        <f ca="1">IF(TOTALCO!F176="", "",TOTALCO!F176)</f>
        <v>0</v>
      </c>
      <c r="G1062" s="12" t="str">
        <f>IF(TOTALCO!G176="", "",TOTALCO!G176)</f>
        <v/>
      </c>
      <c r="H1062" s="12">
        <f ca="1">IF(TOTALCO!H176="", "",TOTALCO!H176)</f>
        <v>0</v>
      </c>
      <c r="I1062" s="12">
        <f ca="1">IF(TOTALCO!I176="", "",TOTALCO!I176)</f>
        <v>647118.70000000007</v>
      </c>
      <c r="J1062" s="12" t="str">
        <f>IF(TOTALCO!J176="", "",TOTALCO!J176)</f>
        <v/>
      </c>
      <c r="K1062" s="12" t="str">
        <f>IF(TOTALCO!K176="", "",TOTALCO!K176)</f>
        <v/>
      </c>
      <c r="L1062" s="12">
        <f ca="1">IF(TOTALCO!L176="", "",TOTALCO!L176)</f>
        <v>647118.70000000007</v>
      </c>
      <c r="M1062" s="12" t="str">
        <f>IF(TOTALCO!M176="", "",TOTALCO!M176)</f>
        <v/>
      </c>
      <c r="N1062" s="12">
        <f ca="1">IF(TOTALCO!N176="", "",TOTALCO!N176)</f>
        <v>0</v>
      </c>
      <c r="O1062" s="12">
        <f ca="1">IF(TOTALCO!O176="", "",TOTALCO!O176)</f>
        <v>0</v>
      </c>
      <c r="P1062" s="12">
        <f ca="1">IF(TOTALCO!P176="", "",TOTALCO!P176)</f>
        <v>0</v>
      </c>
      <c r="Q1062" s="12"/>
    </row>
    <row r="1063" spans="1:17" ht="15" x14ac:dyDescent="0.2">
      <c r="A1063" s="321">
        <f>IF(TOTALCO!A177="", "",TOTALCO!A177)</f>
        <v>10</v>
      </c>
      <c r="B1063" s="4" t="str">
        <f>IF(TOTALCO!B177="", "",TOTALCO!B177)</f>
        <v>NET ELECTRIC PLANT IN SERVICE</v>
      </c>
      <c r="C1063" s="4" t="str">
        <f>IF(TOTALCO!C177="", "",TOTALCO!C177)</f>
        <v>NETPLANT</v>
      </c>
      <c r="D1063" s="12">
        <f ca="1">IF(TOTALCO!D177="", "",TOTALCO!D177)</f>
        <v>6565629812.6542749</v>
      </c>
      <c r="E1063" s="12" t="str">
        <f>IF(TOTALCO!E177="", "",TOTALCO!E177)</f>
        <v/>
      </c>
      <c r="F1063" s="12">
        <f ca="1">IF(TOTALCO!F177="", "",TOTALCO!F177)</f>
        <v>6159093660.3643436</v>
      </c>
      <c r="G1063" s="12" t="str">
        <f>IF(TOTALCO!G177="", "",TOTALCO!G177)</f>
        <v/>
      </c>
      <c r="H1063" s="12">
        <f ca="1">IF(TOTALCO!H177="", "",TOTALCO!H177)</f>
        <v>312782906.26836491</v>
      </c>
      <c r="I1063" s="12">
        <f ca="1">IF(TOTALCO!I177="", "",TOTALCO!I177)</f>
        <v>93753246.021566063</v>
      </c>
      <c r="J1063" s="12" t="str">
        <f>IF(TOTALCO!J177="", "",TOTALCO!J177)</f>
        <v/>
      </c>
      <c r="K1063" s="12" t="str">
        <f>IF(TOTALCO!K177="", "",TOTALCO!K177)</f>
        <v/>
      </c>
      <c r="L1063" s="12">
        <f ca="1">IF(TOTALCO!L177="", "",TOTALCO!L177)</f>
        <v>521485.80889177148</v>
      </c>
      <c r="M1063" s="12" t="str">
        <f>IF(TOTALCO!M177="", "",TOTALCO!M177)</f>
        <v/>
      </c>
      <c r="N1063" s="12">
        <f ca="1">IF(TOTALCO!N177="", "",TOTALCO!N177)</f>
        <v>93231760.21267429</v>
      </c>
      <c r="O1063" s="12">
        <f ca="1">IF(TOTALCO!O177="", "",TOTALCO!O177)</f>
        <v>48470546.244551659</v>
      </c>
      <c r="P1063" s="12">
        <f ca="1">IF(TOTALCO!P177="", "",TOTALCO!P177)</f>
        <v>44761213.968122631</v>
      </c>
      <c r="Q1063" s="12"/>
    </row>
    <row r="1064" spans="1:17" ht="15" x14ac:dyDescent="0.2">
      <c r="A1064" s="321">
        <f>IF(TOTALCO!A178="", "",TOTALCO!A178)</f>
        <v>11</v>
      </c>
      <c r="B1064" s="4" t="str">
        <f>IF(TOTALCO!B178="", "",TOTALCO!B178)</f>
        <v>RATE BASE</v>
      </c>
      <c r="C1064" s="4" t="str">
        <f>IF(TOTALCO!C178="", "",TOTALCO!C178)</f>
        <v>RATEBASE</v>
      </c>
      <c r="D1064" s="12">
        <f ca="1">IF(TOTALCO!D178="", "",TOTALCO!D178)</f>
        <v>5648763444.5205717</v>
      </c>
      <c r="E1064" s="12" t="str">
        <f>IF(TOTALCO!E178="", "",TOTALCO!E178)</f>
        <v/>
      </c>
      <c r="F1064" s="12">
        <f ca="1">IF(TOTALCO!F178="", "",TOTALCO!F178)</f>
        <v>5299519247.5164509</v>
      </c>
      <c r="G1064" s="12" t="str">
        <f>IF(TOTALCO!G178="", "",TOTALCO!G178)</f>
        <v/>
      </c>
      <c r="H1064" s="12">
        <f ca="1">IF(TOTALCO!H178="", "",TOTALCO!H178)</f>
        <v>267523170.52161622</v>
      </c>
      <c r="I1064" s="12">
        <f ca="1">IF(TOTALCO!I178="", "",TOTALCO!I178)</f>
        <v>81721026.482505113</v>
      </c>
      <c r="J1064" s="12" t="str">
        <f>IF(TOTALCO!J178="", "",TOTALCO!J178)</f>
        <v/>
      </c>
      <c r="K1064" s="12" t="str">
        <f>IF(TOTALCO!K178="", "",TOTALCO!K178)</f>
        <v/>
      </c>
      <c r="L1064" s="12">
        <f ca="1">IF(TOTALCO!L178="", "",TOTALCO!L178)</f>
        <v>433424.77757689013</v>
      </c>
      <c r="M1064" s="12" t="str">
        <f>IF(TOTALCO!M178="", "",TOTALCO!M178)</f>
        <v/>
      </c>
      <c r="N1064" s="12">
        <f ca="1">IF(TOTALCO!N178="", "",TOTALCO!N178)</f>
        <v>81287601.704928219</v>
      </c>
      <c r="O1064" s="12">
        <f ca="1">IF(TOTALCO!O178="", "",TOTALCO!O178)</f>
        <v>42169762.772069015</v>
      </c>
      <c r="P1064" s="12">
        <f ca="1">IF(TOTALCO!P178="", "",TOTALCO!P178)</f>
        <v>39117838.932859212</v>
      </c>
      <c r="Q1064" s="12"/>
    </row>
    <row r="1065" spans="1:17" ht="15" x14ac:dyDescent="0.2">
      <c r="A1065" s="321">
        <f>IF(TOTALCO!A179="", "",TOTALCO!A179)</f>
        <v>12</v>
      </c>
      <c r="B1065" s="4" t="str">
        <f>IF(TOTALCO!B179="", "",TOTALCO!B179)</f>
        <v>TOTAL CWIP FERC-AFUDC POST</v>
      </c>
      <c r="C1065" s="4" t="str">
        <f>IF(TOTALCO!C179="", "",TOTALCO!C179)</f>
        <v>AFUDC</v>
      </c>
      <c r="D1065" s="12">
        <f ca="1">IF(TOTALCO!D179="", "",TOTALCO!D179)</f>
        <v>961676.92</v>
      </c>
      <c r="E1065" s="12" t="str">
        <f>IF(TOTALCO!E179="", "",TOTALCO!E179)</f>
        <v/>
      </c>
      <c r="F1065" s="12">
        <f ca="1">IF(TOTALCO!F179="", "",TOTALCO!F179)</f>
        <v>748975.63997494429</v>
      </c>
      <c r="G1065" s="12" t="str">
        <f>IF(TOTALCO!G179="", "",TOTALCO!G179)</f>
        <v/>
      </c>
      <c r="H1065" s="12">
        <f ca="1">IF(TOTALCO!H179="", "",TOTALCO!H179)</f>
        <v>0</v>
      </c>
      <c r="I1065" s="12">
        <f ca="1">IF(TOTALCO!I179="", "",TOTALCO!I179)</f>
        <v>212701.28002505572</v>
      </c>
      <c r="J1065" s="12" t="str">
        <f>IF(TOTALCO!J179="", "",TOTALCO!J179)</f>
        <v/>
      </c>
      <c r="K1065" s="12" t="str">
        <f>IF(TOTALCO!K179="", "",TOTALCO!K179)</f>
        <v/>
      </c>
      <c r="L1065" s="12">
        <f ca="1">IF(TOTALCO!L179="", "",TOTALCO!L179)</f>
        <v>0</v>
      </c>
      <c r="M1065" s="12" t="str">
        <f>IF(TOTALCO!M179="", "",TOTALCO!M179)</f>
        <v/>
      </c>
      <c r="N1065" s="12">
        <f ca="1">IF(TOTALCO!N179="", "",TOTALCO!N179)</f>
        <v>212701.28002505572</v>
      </c>
      <c r="O1065" s="12">
        <f ca="1">IF(TOTALCO!O179="", "",TOTALCO!O179)</f>
        <v>107876.14480703727</v>
      </c>
      <c r="P1065" s="12">
        <f ca="1">IF(TOTALCO!P179="", "",TOTALCO!P179)</f>
        <v>104825.13521801845</v>
      </c>
      <c r="Q1065" s="12"/>
    </row>
    <row r="1066" spans="1:17" ht="15" x14ac:dyDescent="0.2">
      <c r="A1066" s="321">
        <f>IF(TOTALCO!A180="", "",TOTALCO!A180)</f>
        <v>13</v>
      </c>
      <c r="B1066" s="4" t="str">
        <f>IF(TOTALCO!B180="", "",TOTALCO!B180)</f>
        <v>TOTAL 203(E) EXCESS</v>
      </c>
      <c r="C1066" s="4" t="str">
        <f>IF(TOTALCO!C180="", "",TOTALCO!C180)</f>
        <v>TAX203E</v>
      </c>
      <c r="D1066" s="12">
        <f ca="1">IF(TOTALCO!D180="", "",TOTALCO!D180)</f>
        <v>-17139454</v>
      </c>
      <c r="E1066" s="12" t="str">
        <f>IF(TOTALCO!E180="", "",TOTALCO!E180)</f>
        <v/>
      </c>
      <c r="F1066" s="12">
        <f ca="1">IF(TOTALCO!F180="", "",TOTALCO!F180)</f>
        <v>-16101274</v>
      </c>
      <c r="G1066" s="12" t="str">
        <f>IF(TOTALCO!G180="", "",TOTALCO!G180)</f>
        <v/>
      </c>
      <c r="H1066" s="12">
        <f ca="1">IF(TOTALCO!H180="", "",TOTALCO!H180)</f>
        <v>-787616</v>
      </c>
      <c r="I1066" s="12">
        <f ca="1">IF(TOTALCO!I180="", "",TOTALCO!I180)</f>
        <v>-250564</v>
      </c>
      <c r="J1066" s="12" t="str">
        <f>IF(TOTALCO!J180="", "",TOTALCO!J180)</f>
        <v/>
      </c>
      <c r="K1066" s="12" t="str">
        <f>IF(TOTALCO!K180="", "",TOTALCO!K180)</f>
        <v/>
      </c>
      <c r="L1066" s="12">
        <f ca="1">IF(TOTALCO!L180="", "",TOTALCO!L180)</f>
        <v>-1183</v>
      </c>
      <c r="M1066" s="12" t="str">
        <f>IF(TOTALCO!M180="", "",TOTALCO!M180)</f>
        <v/>
      </c>
      <c r="N1066" s="12">
        <f ca="1">IF(TOTALCO!N180="", "",TOTALCO!N180)</f>
        <v>-249381</v>
      </c>
      <c r="O1066" s="12">
        <f ca="1">IF(TOTALCO!O180="", "",TOTALCO!O180)</f>
        <v>-129618</v>
      </c>
      <c r="P1066" s="12">
        <f ca="1">IF(TOTALCO!P180="", "",TOTALCO!P180)</f>
        <v>-119763</v>
      </c>
      <c r="Q1066" s="12"/>
    </row>
    <row r="1067" spans="1:17" ht="15" x14ac:dyDescent="0.2">
      <c r="A1067" s="321">
        <f>IF(TOTALCO!A181="", "",TOTALCO!A181)</f>
        <v>14</v>
      </c>
      <c r="B1067" s="4" t="str">
        <f>IF(TOTALCO!B181="", "",TOTALCO!B181)</f>
        <v>STEAM OPERATING EXP 501-507</v>
      </c>
      <c r="C1067" s="4" t="str">
        <f>IF(TOTALCO!C181="", "",TOTALCO!C181)</f>
        <v>EXP5017STM</v>
      </c>
      <c r="D1067" s="12">
        <f ca="1">IF(TOTALCO!D181="", "",TOTALCO!D181)</f>
        <v>360402687.23587352</v>
      </c>
      <c r="E1067" s="12" t="str">
        <f>IF(TOTALCO!E181="", "",TOTALCO!E181)</f>
        <v/>
      </c>
      <c r="F1067" s="12">
        <f ca="1">IF(TOTALCO!F181="", "",TOTALCO!F181)</f>
        <v>338847269.3918457</v>
      </c>
      <c r="G1067" s="12" t="str">
        <f>IF(TOTALCO!G181="", "",TOTALCO!G181)</f>
        <v/>
      </c>
      <c r="H1067" s="12">
        <f ca="1">IF(TOTALCO!H181="", "",TOTALCO!H181)</f>
        <v>14104675.588343311</v>
      </c>
      <c r="I1067" s="12">
        <f ca="1">IF(TOTALCO!I181="", "",TOTALCO!I181)</f>
        <v>7450742.2556845136</v>
      </c>
      <c r="J1067" s="12" t="str">
        <f>IF(TOTALCO!J181="", "",TOTALCO!J181)</f>
        <v/>
      </c>
      <c r="K1067" s="12" t="str">
        <f>IF(TOTALCO!K181="", "",TOTALCO!K181)</f>
        <v/>
      </c>
      <c r="L1067" s="12">
        <f ca="1">IF(TOTALCO!L181="", "",TOTALCO!L181)</f>
        <v>1460.0939808382836</v>
      </c>
      <c r="M1067" s="12" t="str">
        <f>IF(TOTALCO!M181="", "",TOTALCO!M181)</f>
        <v/>
      </c>
      <c r="N1067" s="12">
        <f ca="1">IF(TOTALCO!N181="", "",TOTALCO!N181)</f>
        <v>7449282.1617036751</v>
      </c>
      <c r="O1067" s="12">
        <f ca="1">IF(TOTALCO!O181="", "",TOTALCO!O181)</f>
        <v>3773307.6594109978</v>
      </c>
      <c r="P1067" s="12">
        <f ca="1">IF(TOTALCO!P181="", "",TOTALCO!P181)</f>
        <v>3675974.5022926773</v>
      </c>
      <c r="Q1067" s="12"/>
    </row>
    <row r="1068" spans="1:17" ht="15" x14ac:dyDescent="0.2">
      <c r="A1068" s="321">
        <f>IF(TOTALCO!A182="", "",TOTALCO!A182)</f>
        <v>15</v>
      </c>
      <c r="B1068" s="4" t="str">
        <f>IF(TOTALCO!B182="", "",TOTALCO!B182)</f>
        <v>STEAM MAINTENANCE EXP 511-514</v>
      </c>
      <c r="C1068" s="4" t="str">
        <f>IF(TOTALCO!C182="", "",TOTALCO!C182)</f>
        <v>EXP5114STM</v>
      </c>
      <c r="D1068" s="12">
        <f ca="1">IF(TOTALCO!D182="", "",TOTALCO!D182)</f>
        <v>70228787.99999997</v>
      </c>
      <c r="E1068" s="12" t="str">
        <f>IF(TOTALCO!E182="", "",TOTALCO!E182)</f>
        <v/>
      </c>
      <c r="F1068" s="12">
        <f ca="1">IF(TOTALCO!F182="", "",TOTALCO!F182)</f>
        <v>65122827.442171216</v>
      </c>
      <c r="G1068" s="12" t="str">
        <f>IF(TOTALCO!G182="", "",TOTALCO!G182)</f>
        <v/>
      </c>
      <c r="H1068" s="12">
        <f ca="1">IF(TOTALCO!H182="", "",TOTALCO!H182)</f>
        <v>3337327.8329507462</v>
      </c>
      <c r="I1068" s="12">
        <f ca="1">IF(TOTALCO!I182="", "",TOTALCO!I182)</f>
        <v>1768632.7248780131</v>
      </c>
      <c r="J1068" s="12" t="str">
        <f>IF(TOTALCO!J182="", "",TOTALCO!J182)</f>
        <v/>
      </c>
      <c r="K1068" s="12" t="str">
        <f>IF(TOTALCO!K182="", "",TOTALCO!K182)</f>
        <v/>
      </c>
      <c r="L1068" s="12">
        <f ca="1">IF(TOTALCO!L182="", "",TOTALCO!L182)</f>
        <v>191.1804438215695</v>
      </c>
      <c r="M1068" s="12" t="str">
        <f>IF(TOTALCO!M182="", "",TOTALCO!M182)</f>
        <v/>
      </c>
      <c r="N1068" s="12">
        <f ca="1">IF(TOTALCO!N182="", "",TOTALCO!N182)</f>
        <v>1768441.5444341917</v>
      </c>
      <c r="O1068" s="12">
        <f ca="1">IF(TOTALCO!O182="", "",TOTALCO!O182)</f>
        <v>895698.62993073219</v>
      </c>
      <c r="P1068" s="12">
        <f ca="1">IF(TOTALCO!P182="", "",TOTALCO!P182)</f>
        <v>872742.91450345959</v>
      </c>
      <c r="Q1068" s="12"/>
    </row>
    <row r="1069" spans="1:17" ht="15" x14ac:dyDescent="0.2">
      <c r="A1069" s="321">
        <f>IF(TOTALCO!A183="", "",TOTALCO!A183)</f>
        <v>16</v>
      </c>
      <c r="B1069" s="4" t="str">
        <f>IF(TOTALCO!B183="", "",TOTALCO!B183)</f>
        <v>HYDRO OPERATING EXP 536-540</v>
      </c>
      <c r="C1069" s="4" t="str">
        <f>IF(TOTALCO!C183="", "",TOTALCO!C183)</f>
        <v>EXP5360HYD</v>
      </c>
      <c r="D1069" s="12">
        <f ca="1">IF(TOTALCO!D183="", "",TOTALCO!D183)</f>
        <v>10111.9999999999</v>
      </c>
      <c r="E1069" s="12" t="str">
        <f>IF(TOTALCO!E183="", "",TOTALCO!E183)</f>
        <v/>
      </c>
      <c r="F1069" s="12">
        <f ca="1">IF(TOTALCO!F183="", "",TOTALCO!F183)</f>
        <v>9475.2207024578693</v>
      </c>
      <c r="G1069" s="12" t="str">
        <f>IF(TOTALCO!G183="", "",TOTALCO!G183)</f>
        <v/>
      </c>
      <c r="H1069" s="12">
        <f ca="1">IF(TOTALCO!H183="", "",TOTALCO!H183)</f>
        <v>433.0727932887433</v>
      </c>
      <c r="I1069" s="12">
        <f ca="1">IF(TOTALCO!I183="", "",TOTALCO!I183)</f>
        <v>203.70650425328751</v>
      </c>
      <c r="J1069" s="12" t="str">
        <f>IF(TOTALCO!J183="", "",TOTALCO!J183)</f>
        <v/>
      </c>
      <c r="K1069" s="12" t="str">
        <f>IF(TOTALCO!K183="", "",TOTALCO!K183)</f>
        <v/>
      </c>
      <c r="L1069" s="12">
        <f ca="1">IF(TOTALCO!L183="", "",TOTALCO!L183)</f>
        <v>3.0353096699797799E-2</v>
      </c>
      <c r="M1069" s="12" t="str">
        <f>IF(TOTALCO!M183="", "",TOTALCO!M183)</f>
        <v/>
      </c>
      <c r="N1069" s="12">
        <f ca="1">IF(TOTALCO!N183="", "",TOTALCO!N183)</f>
        <v>203.67615115658771</v>
      </c>
      <c r="O1069" s="12">
        <f ca="1">IF(TOTALCO!O183="", "",TOTALCO!O183)</f>
        <v>103.29885167273014</v>
      </c>
      <c r="P1069" s="12">
        <f ca="1">IF(TOTALCO!P183="", "",TOTALCO!P183)</f>
        <v>100.37729948385757</v>
      </c>
      <c r="Q1069" s="12"/>
    </row>
    <row r="1070" spans="1:17" ht="15" x14ac:dyDescent="0.2">
      <c r="A1070" s="321">
        <f>IF(TOTALCO!A184="", "",TOTALCO!A184)</f>
        <v>17</v>
      </c>
      <c r="B1070" s="4" t="str">
        <f>IF(TOTALCO!B184="", "",TOTALCO!B184)</f>
        <v>HYDRO MAINTENANCE EXP 542-545</v>
      </c>
      <c r="C1070" s="4" t="str">
        <f>IF(TOTALCO!C184="", "",TOTALCO!C184)</f>
        <v>EXP5425HYD</v>
      </c>
      <c r="D1070" s="12">
        <f ca="1">IF(TOTALCO!D184="", "",TOTALCO!D184)</f>
        <v>314366.99999999889</v>
      </c>
      <c r="E1070" s="12" t="str">
        <f>IF(TOTALCO!E184="", "",TOTALCO!E184)</f>
        <v/>
      </c>
      <c r="F1070" s="12">
        <f ca="1">IF(TOTALCO!F184="", "",TOTALCO!F184)</f>
        <v>294746.17402464</v>
      </c>
      <c r="G1070" s="12" t="str">
        <f>IF(TOTALCO!G184="", "",TOTALCO!G184)</f>
        <v/>
      </c>
      <c r="H1070" s="12">
        <f ca="1">IF(TOTALCO!H184="", "",TOTALCO!H184)</f>
        <v>13267.732856502023</v>
      </c>
      <c r="I1070" s="12">
        <f ca="1">IF(TOTALCO!I184="", "",TOTALCO!I184)</f>
        <v>6353.0931188568711</v>
      </c>
      <c r="J1070" s="12" t="str">
        <f>IF(TOTALCO!J184="", "",TOTALCO!J184)</f>
        <v/>
      </c>
      <c r="K1070" s="12" t="str">
        <f>IF(TOTALCO!K184="", "",TOTALCO!K184)</f>
        <v/>
      </c>
      <c r="L1070" s="12">
        <f ca="1">IF(TOTALCO!L184="", "",TOTALCO!L184)</f>
        <v>0.99701160906745434</v>
      </c>
      <c r="M1070" s="12" t="str">
        <f>IF(TOTALCO!M184="", "",TOTALCO!M184)</f>
        <v/>
      </c>
      <c r="N1070" s="12">
        <f ca="1">IF(TOTALCO!N184="", "",TOTALCO!N184)</f>
        <v>6352.096107247804</v>
      </c>
      <c r="O1070" s="12">
        <f ca="1">IF(TOTALCO!O184="", "",TOTALCO!O184)</f>
        <v>3220.9108977431538</v>
      </c>
      <c r="P1070" s="12">
        <f ca="1">IF(TOTALCO!P184="", "",TOTALCO!P184)</f>
        <v>3131.1852095046506</v>
      </c>
      <c r="Q1070" s="12"/>
    </row>
    <row r="1071" spans="1:17" ht="15" x14ac:dyDescent="0.2">
      <c r="A1071" s="321">
        <f>IF(TOTALCO!A185="", "",TOTALCO!A185)</f>
        <v>18</v>
      </c>
      <c r="B1071" s="4" t="str">
        <f>IF(TOTALCO!B185="", "",TOTALCO!B185)</f>
        <v>OTHER PROD OPER EXP 547-549</v>
      </c>
      <c r="C1071" s="4" t="str">
        <f>IF(TOTALCO!C185="", "",TOTALCO!C185)</f>
        <v>EXP5479OTH</v>
      </c>
      <c r="D1071" s="12">
        <f ca="1">IF(TOTALCO!D185="", "",TOTALCO!D185)</f>
        <v>126175143.15006201</v>
      </c>
      <c r="E1071" s="12" t="str">
        <f>IF(TOTALCO!E185="", "",TOTALCO!E185)</f>
        <v/>
      </c>
      <c r="F1071" s="12">
        <f ca="1">IF(TOTALCO!F185="", "",TOTALCO!F185)</f>
        <v>118729230.17427993</v>
      </c>
      <c r="G1071" s="12" t="str">
        <f>IF(TOTALCO!G185="", "",TOTALCO!G185)</f>
        <v/>
      </c>
      <c r="H1071" s="12">
        <f ca="1">IF(TOTALCO!H185="", "",TOTALCO!H185)</f>
        <v>4846459.6602255227</v>
      </c>
      <c r="I1071" s="12">
        <f ca="1">IF(TOTALCO!I185="", "",TOTALCO!I185)</f>
        <v>2599453.315556556</v>
      </c>
      <c r="J1071" s="12" t="str">
        <f>IF(TOTALCO!J185="", "",TOTALCO!J185)</f>
        <v/>
      </c>
      <c r="K1071" s="12" t="str">
        <f>IF(TOTALCO!K185="", "",TOTALCO!K185)</f>
        <v/>
      </c>
      <c r="L1071" s="12">
        <f ca="1">IF(TOTALCO!L185="", "",TOTALCO!L185)</f>
        <v>530.61162800092166</v>
      </c>
      <c r="M1071" s="12" t="str">
        <f>IF(TOTALCO!M185="", "",TOTALCO!M185)</f>
        <v/>
      </c>
      <c r="N1071" s="12">
        <f ca="1">IF(TOTALCO!N185="", "",TOTALCO!N185)</f>
        <v>2598922.7039285549</v>
      </c>
      <c r="O1071" s="12">
        <f ca="1">IF(TOTALCO!O185="", "",TOTALCO!O185)</f>
        <v>1316124.2956122607</v>
      </c>
      <c r="P1071" s="12">
        <f ca="1">IF(TOTALCO!P185="", "",TOTALCO!P185)</f>
        <v>1282798.4083162942</v>
      </c>
      <c r="Q1071" s="12"/>
    </row>
    <row r="1072" spans="1:17" ht="15" x14ac:dyDescent="0.2">
      <c r="A1072" s="321">
        <f>IF(TOTALCO!A186="", "",TOTALCO!A186)</f>
        <v>19</v>
      </c>
      <c r="B1072" s="4" t="str">
        <f>IF(TOTALCO!B186="", "",TOTALCO!B186)</f>
        <v>OTHER PROD MAINT EXP 552-554</v>
      </c>
      <c r="C1072" s="4" t="str">
        <f>IF(TOTALCO!C186="", "",TOTALCO!C186)</f>
        <v>EXP5524OTH</v>
      </c>
      <c r="D1072" s="12">
        <f ca="1">IF(TOTALCO!D186="", "",TOTALCO!D186)</f>
        <v>12718233</v>
      </c>
      <c r="E1072" s="12" t="str">
        <f>IF(TOTALCO!E186="", "",TOTALCO!E186)</f>
        <v/>
      </c>
      <c r="F1072" s="12">
        <f ca="1">IF(TOTALCO!F186="", "",TOTALCO!F186)</f>
        <v>11594579.690997576</v>
      </c>
      <c r="G1072" s="12" t="str">
        <f>IF(TOTALCO!G186="", "",TOTALCO!G186)</f>
        <v/>
      </c>
      <c r="H1072" s="12">
        <f ca="1">IF(TOTALCO!H186="", "",TOTALCO!H186)</f>
        <v>757926.92549646506</v>
      </c>
      <c r="I1072" s="12">
        <f ca="1">IF(TOTALCO!I186="", "",TOTALCO!I186)</f>
        <v>365726.38350595941</v>
      </c>
      <c r="J1072" s="12" t="str">
        <f>IF(TOTALCO!J186="", "",TOTALCO!J186)</f>
        <v/>
      </c>
      <c r="K1072" s="12" t="str">
        <f>IF(TOTALCO!K186="", "",TOTALCO!K186)</f>
        <v/>
      </c>
      <c r="L1072" s="12">
        <f ca="1">IF(TOTALCO!L186="", "",TOTALCO!L186)</f>
        <v>28.815417204378576</v>
      </c>
      <c r="M1072" s="12" t="str">
        <f>IF(TOTALCO!M186="", "",TOTALCO!M186)</f>
        <v/>
      </c>
      <c r="N1072" s="12">
        <f ca="1">IF(TOTALCO!N186="", "",TOTALCO!N186)</f>
        <v>365697.56808875501</v>
      </c>
      <c r="O1072" s="12">
        <f ca="1">IF(TOTALCO!O186="", "",TOTALCO!O186)</f>
        <v>185471.58628324559</v>
      </c>
      <c r="P1072" s="12">
        <f ca="1">IF(TOTALCO!P186="", "",TOTALCO!P186)</f>
        <v>180225.98180550939</v>
      </c>
      <c r="Q1072" s="12"/>
    </row>
    <row r="1073" spans="1:17" ht="15" x14ac:dyDescent="0.2">
      <c r="A1073" s="321">
        <f>IF(TOTALCO!A187="", "",TOTALCO!A187)</f>
        <v>20</v>
      </c>
      <c r="B1073" s="4" t="str">
        <f>IF(TOTALCO!B187="", "",TOTALCO!B187)</f>
        <v>TOT STEAM OPERATIONS LABOR</v>
      </c>
      <c r="C1073" s="4" t="str">
        <f>IF(TOTALCO!C187="", "",TOTALCO!C187)</f>
        <v>LABSTMOP</v>
      </c>
      <c r="D1073" s="12">
        <f ca="1">IF(TOTALCO!D187="", "",TOTALCO!D187)</f>
        <v>0</v>
      </c>
      <c r="E1073" s="12" t="str">
        <f>IF(TOTALCO!E187="", "",TOTALCO!E187)</f>
        <v/>
      </c>
      <c r="F1073" s="12">
        <f ca="1">IF(TOTALCO!F187="", "",TOTALCO!F187)</f>
        <v>0</v>
      </c>
      <c r="G1073" s="12" t="str">
        <f>IF(TOTALCO!G187="", "",TOTALCO!G187)</f>
        <v/>
      </c>
      <c r="H1073" s="12">
        <f ca="1">IF(TOTALCO!H187="", "",TOTALCO!H187)</f>
        <v>0</v>
      </c>
      <c r="I1073" s="12">
        <f ca="1">IF(TOTALCO!I187="", "",TOTALCO!I187)</f>
        <v>0</v>
      </c>
      <c r="J1073" s="12" t="str">
        <f>IF(TOTALCO!J187="", "",TOTALCO!J187)</f>
        <v/>
      </c>
      <c r="K1073" s="12" t="str">
        <f>IF(TOTALCO!K187="", "",TOTALCO!K187)</f>
        <v/>
      </c>
      <c r="L1073" s="12">
        <f ca="1">IF(TOTALCO!L187="", "",TOTALCO!L187)</f>
        <v>0</v>
      </c>
      <c r="M1073" s="12" t="str">
        <f>IF(TOTALCO!M187="", "",TOTALCO!M187)</f>
        <v/>
      </c>
      <c r="N1073" s="12">
        <f ca="1">IF(TOTALCO!N187="", "",TOTALCO!N187)</f>
        <v>0</v>
      </c>
      <c r="O1073" s="12">
        <f ca="1">IF(TOTALCO!O187="", "",TOTALCO!O187)</f>
        <v>0</v>
      </c>
      <c r="P1073" s="12">
        <f ca="1">IF(TOTALCO!P187="", "",TOTALCO!P187)</f>
        <v>0</v>
      </c>
      <c r="Q1073" s="12"/>
    </row>
    <row r="1074" spans="1:17" ht="15" x14ac:dyDescent="0.2">
      <c r="A1074" s="321">
        <f>IF(TOTALCO!A188="", "",TOTALCO!A188)</f>
        <v>21</v>
      </c>
      <c r="B1074" s="4" t="str">
        <f>IF(TOTALCO!B188="", "",TOTALCO!B188)</f>
        <v>TOT STEAM MAINTENANCE LABOR</v>
      </c>
      <c r="C1074" s="4" t="str">
        <f>IF(TOTALCO!C188="", "",TOTALCO!C188)</f>
        <v>LABSTMMN</v>
      </c>
      <c r="D1074" s="12">
        <f ca="1">IF(TOTALCO!D188="", "",TOTALCO!D188)</f>
        <v>0</v>
      </c>
      <c r="E1074" s="12" t="str">
        <f>IF(TOTALCO!E188="", "",TOTALCO!E188)</f>
        <v/>
      </c>
      <c r="F1074" s="12">
        <f ca="1">IF(TOTALCO!F188="", "",TOTALCO!F188)</f>
        <v>0</v>
      </c>
      <c r="G1074" s="12" t="str">
        <f>IF(TOTALCO!G188="", "",TOTALCO!G188)</f>
        <v/>
      </c>
      <c r="H1074" s="12">
        <f ca="1">IF(TOTALCO!H188="", "",TOTALCO!H188)</f>
        <v>0</v>
      </c>
      <c r="I1074" s="12">
        <f ca="1">IF(TOTALCO!I188="", "",TOTALCO!I188)</f>
        <v>0</v>
      </c>
      <c r="J1074" s="12" t="str">
        <f>IF(TOTALCO!J188="", "",TOTALCO!J188)</f>
        <v/>
      </c>
      <c r="K1074" s="12" t="str">
        <f>IF(TOTALCO!K188="", "",TOTALCO!K188)</f>
        <v/>
      </c>
      <c r="L1074" s="12">
        <f ca="1">IF(TOTALCO!L188="", "",TOTALCO!L188)</f>
        <v>0</v>
      </c>
      <c r="M1074" s="12" t="str">
        <f>IF(TOTALCO!M188="", "",TOTALCO!M188)</f>
        <v/>
      </c>
      <c r="N1074" s="12">
        <f ca="1">IF(TOTALCO!N188="", "",TOTALCO!N188)</f>
        <v>0</v>
      </c>
      <c r="O1074" s="12">
        <f ca="1">IF(TOTALCO!O188="", "",TOTALCO!O188)</f>
        <v>0</v>
      </c>
      <c r="P1074" s="12">
        <f ca="1">IF(TOTALCO!P188="", "",TOTALCO!P188)</f>
        <v>0</v>
      </c>
      <c r="Q1074" s="12"/>
    </row>
    <row r="1075" spans="1:17" ht="15" x14ac:dyDescent="0.2">
      <c r="A1075" s="321">
        <f>IF(TOTALCO!A189="", "",TOTALCO!A189)</f>
        <v>22</v>
      </c>
      <c r="B1075" s="4" t="str">
        <f>IF(TOTALCO!B189="", "",TOTALCO!B189)</f>
        <v>TOT HYDRO OPERATIONS LABOR</v>
      </c>
      <c r="C1075" s="4" t="str">
        <f>IF(TOTALCO!C189="", "",TOTALCO!C189)</f>
        <v>LABHYDOP</v>
      </c>
      <c r="D1075" s="12">
        <f ca="1">IF(TOTALCO!D189="", "",TOTALCO!D189)</f>
        <v>0</v>
      </c>
      <c r="E1075" s="12" t="str">
        <f>IF(TOTALCO!E189="", "",TOTALCO!E189)</f>
        <v/>
      </c>
      <c r="F1075" s="12">
        <f ca="1">IF(TOTALCO!F189="", "",TOTALCO!F189)</f>
        <v>0</v>
      </c>
      <c r="G1075" s="12" t="str">
        <f>IF(TOTALCO!G189="", "",TOTALCO!G189)</f>
        <v/>
      </c>
      <c r="H1075" s="12">
        <f ca="1">IF(TOTALCO!H189="", "",TOTALCO!H189)</f>
        <v>0</v>
      </c>
      <c r="I1075" s="12">
        <f ca="1">IF(TOTALCO!I189="", "",TOTALCO!I189)</f>
        <v>0</v>
      </c>
      <c r="J1075" s="12" t="str">
        <f>IF(TOTALCO!J189="", "",TOTALCO!J189)</f>
        <v/>
      </c>
      <c r="K1075" s="12" t="str">
        <f>IF(TOTALCO!K189="", "",TOTALCO!K189)</f>
        <v/>
      </c>
      <c r="L1075" s="12">
        <f ca="1">IF(TOTALCO!L189="", "",TOTALCO!L189)</f>
        <v>0</v>
      </c>
      <c r="M1075" s="12" t="str">
        <f>IF(TOTALCO!M189="", "",TOTALCO!M189)</f>
        <v/>
      </c>
      <c r="N1075" s="12">
        <f ca="1">IF(TOTALCO!N189="", "",TOTALCO!N189)</f>
        <v>0</v>
      </c>
      <c r="O1075" s="12">
        <f ca="1">IF(TOTALCO!O189="", "",TOTALCO!O189)</f>
        <v>0</v>
      </c>
      <c r="P1075" s="12">
        <f ca="1">IF(TOTALCO!P189="", "",TOTALCO!P189)</f>
        <v>0</v>
      </c>
      <c r="Q1075" s="12"/>
    </row>
    <row r="1076" spans="1:17" ht="15" x14ac:dyDescent="0.2">
      <c r="A1076" s="321">
        <f>IF(TOTALCO!A190="", "",TOTALCO!A190)</f>
        <v>23</v>
      </c>
      <c r="B1076" s="4" t="str">
        <f>IF(TOTALCO!B190="", "",TOTALCO!B190)</f>
        <v>TOT HYDRO MAINTENANCE LABOR</v>
      </c>
      <c r="C1076" s="4" t="str">
        <f>IF(TOTALCO!C190="", "",TOTALCO!C190)</f>
        <v>LABHYDMN</v>
      </c>
      <c r="D1076" s="12">
        <f ca="1">IF(TOTALCO!D190="", "",TOTALCO!D190)</f>
        <v>0</v>
      </c>
      <c r="E1076" s="12" t="str">
        <f>IF(TOTALCO!E190="", "",TOTALCO!E190)</f>
        <v/>
      </c>
      <c r="F1076" s="12">
        <f ca="1">IF(TOTALCO!F190="", "",TOTALCO!F190)</f>
        <v>0</v>
      </c>
      <c r="G1076" s="12" t="str">
        <f>IF(TOTALCO!G190="", "",TOTALCO!G190)</f>
        <v/>
      </c>
      <c r="H1076" s="12">
        <f ca="1">IF(TOTALCO!H190="", "",TOTALCO!H190)</f>
        <v>0</v>
      </c>
      <c r="I1076" s="12">
        <f ca="1">IF(TOTALCO!I190="", "",TOTALCO!I190)</f>
        <v>0</v>
      </c>
      <c r="J1076" s="12" t="str">
        <f>IF(TOTALCO!J190="", "",TOTALCO!J190)</f>
        <v/>
      </c>
      <c r="K1076" s="12" t="str">
        <f>IF(TOTALCO!K190="", "",TOTALCO!K190)</f>
        <v/>
      </c>
      <c r="L1076" s="12">
        <f ca="1">IF(TOTALCO!L190="", "",TOTALCO!L190)</f>
        <v>0</v>
      </c>
      <c r="M1076" s="12" t="str">
        <f>IF(TOTALCO!M190="", "",TOTALCO!M190)</f>
        <v/>
      </c>
      <c r="N1076" s="12">
        <f ca="1">IF(TOTALCO!N190="", "",TOTALCO!N190)</f>
        <v>0</v>
      </c>
      <c r="O1076" s="12">
        <f ca="1">IF(TOTALCO!O190="", "",TOTALCO!O190)</f>
        <v>0</v>
      </c>
      <c r="P1076" s="12">
        <f ca="1">IF(TOTALCO!P190="", "",TOTALCO!P190)</f>
        <v>0</v>
      </c>
      <c r="Q1076" s="12"/>
    </row>
    <row r="1077" spans="1:17" ht="15" x14ac:dyDescent="0.2">
      <c r="A1077" s="321">
        <f>IF(TOTALCO!A191="", "",TOTALCO!A191)</f>
        <v>24</v>
      </c>
      <c r="B1077" s="4" t="str">
        <f>IF(TOTALCO!B191="", "",TOTALCO!B191)</f>
        <v>TOT OTHER OPERATIONS LABOR</v>
      </c>
      <c r="C1077" s="4" t="str">
        <f>IF(TOTALCO!C191="", "",TOTALCO!C191)</f>
        <v>LABOTHOP</v>
      </c>
      <c r="D1077" s="12">
        <f ca="1">IF(TOTALCO!D191="", "",TOTALCO!D191)</f>
        <v>0</v>
      </c>
      <c r="E1077" s="12" t="str">
        <f>IF(TOTALCO!E191="", "",TOTALCO!E191)</f>
        <v/>
      </c>
      <c r="F1077" s="12">
        <f ca="1">IF(TOTALCO!F191="", "",TOTALCO!F191)</f>
        <v>0</v>
      </c>
      <c r="G1077" s="12" t="str">
        <f>IF(TOTALCO!G191="", "",TOTALCO!G191)</f>
        <v/>
      </c>
      <c r="H1077" s="12">
        <f ca="1">IF(TOTALCO!H191="", "",TOTALCO!H191)</f>
        <v>0</v>
      </c>
      <c r="I1077" s="12">
        <f ca="1">IF(TOTALCO!I191="", "",TOTALCO!I191)</f>
        <v>0</v>
      </c>
      <c r="J1077" s="12" t="str">
        <f>IF(TOTALCO!J191="", "",TOTALCO!J191)</f>
        <v/>
      </c>
      <c r="K1077" s="12" t="str">
        <f>IF(TOTALCO!K191="", "",TOTALCO!K191)</f>
        <v/>
      </c>
      <c r="L1077" s="12">
        <f ca="1">IF(TOTALCO!L191="", "",TOTALCO!L191)</f>
        <v>0</v>
      </c>
      <c r="M1077" s="12" t="str">
        <f>IF(TOTALCO!M191="", "",TOTALCO!M191)</f>
        <v/>
      </c>
      <c r="N1077" s="12">
        <f ca="1">IF(TOTALCO!N191="", "",TOTALCO!N191)</f>
        <v>0</v>
      </c>
      <c r="O1077" s="12">
        <f ca="1">IF(TOTALCO!O191="", "",TOTALCO!O191)</f>
        <v>0</v>
      </c>
      <c r="P1077" s="12">
        <f ca="1">IF(TOTALCO!P191="", "",TOTALCO!P191)</f>
        <v>0</v>
      </c>
      <c r="Q1077" s="12"/>
    </row>
    <row r="1078" spans="1:17" ht="15" x14ac:dyDescent="0.2">
      <c r="A1078" s="321">
        <f>IF(TOTALCO!A192="", "",TOTALCO!A192)</f>
        <v>25</v>
      </c>
      <c r="B1078" s="4" t="str">
        <f>IF(TOTALCO!B192="", "",TOTALCO!B192)</f>
        <v>TOT OTHER MAINTENANCE LABOR</v>
      </c>
      <c r="C1078" s="4" t="str">
        <f>IF(TOTALCO!C192="", "",TOTALCO!C192)</f>
        <v>LABOTHMN</v>
      </c>
      <c r="D1078" s="12">
        <f ca="1">IF(TOTALCO!D192="", "",TOTALCO!D192)</f>
        <v>0</v>
      </c>
      <c r="E1078" s="12" t="str">
        <f>IF(TOTALCO!E192="", "",TOTALCO!E192)</f>
        <v/>
      </c>
      <c r="F1078" s="12">
        <f ca="1">IF(TOTALCO!F192="", "",TOTALCO!F192)</f>
        <v>0</v>
      </c>
      <c r="G1078" s="12" t="str">
        <f>IF(TOTALCO!G192="", "",TOTALCO!G192)</f>
        <v/>
      </c>
      <c r="H1078" s="12">
        <f ca="1">IF(TOTALCO!H192="", "",TOTALCO!H192)</f>
        <v>0</v>
      </c>
      <c r="I1078" s="12">
        <f ca="1">IF(TOTALCO!I192="", "",TOTALCO!I192)</f>
        <v>0</v>
      </c>
      <c r="J1078" s="12" t="str">
        <f>IF(TOTALCO!J192="", "",TOTALCO!J192)</f>
        <v/>
      </c>
      <c r="K1078" s="12" t="str">
        <f>IF(TOTALCO!K192="", "",TOTALCO!K192)</f>
        <v/>
      </c>
      <c r="L1078" s="12">
        <f ca="1">IF(TOTALCO!L192="", "",TOTALCO!L192)</f>
        <v>0</v>
      </c>
      <c r="M1078" s="12" t="str">
        <f>IF(TOTALCO!M192="", "",TOTALCO!M192)</f>
        <v/>
      </c>
      <c r="N1078" s="12">
        <f ca="1">IF(TOTALCO!N192="", "",TOTALCO!N192)</f>
        <v>0</v>
      </c>
      <c r="O1078" s="12">
        <f ca="1">IF(TOTALCO!O192="", "",TOTALCO!O192)</f>
        <v>0</v>
      </c>
      <c r="P1078" s="12">
        <f ca="1">IF(TOTALCO!P192="", "",TOTALCO!P192)</f>
        <v>0</v>
      </c>
      <c r="Q1078" s="12"/>
    </row>
    <row r="1079" spans="1:17" ht="15" x14ac:dyDescent="0.2">
      <c r="A1079" s="321">
        <f>IF(TOTALCO!A193="", "",TOTALCO!A193)</f>
        <v>26</v>
      </c>
      <c r="B1079" s="4" t="str">
        <f>IF(TOTALCO!B193="", "",TOTALCO!B193)</f>
        <v>TRANSM OPER EXP 562-567</v>
      </c>
      <c r="C1079" s="4" t="str">
        <f>IF(TOTALCO!C193="", "",TOTALCO!C193)</f>
        <v>EXP5627TX</v>
      </c>
      <c r="D1079" s="12">
        <f ca="1">IF(TOTALCO!D193="", "",TOTALCO!D193)</f>
        <v>29803591.999999892</v>
      </c>
      <c r="E1079" s="12" t="str">
        <f>IF(TOTALCO!E193="", "",TOTALCO!E193)</f>
        <v/>
      </c>
      <c r="F1079" s="12">
        <f ca="1">IF(TOTALCO!F193="", "",TOTALCO!F193)</f>
        <v>26992150.285578091</v>
      </c>
      <c r="G1079" s="12" t="str">
        <f>IF(TOTALCO!G193="", "",TOTALCO!G193)</f>
        <v/>
      </c>
      <c r="H1079" s="12">
        <f ca="1">IF(TOTALCO!H193="", "",TOTALCO!H193)</f>
        <v>2811355.2906122711</v>
      </c>
      <c r="I1079" s="12">
        <f ca="1">IF(TOTALCO!I193="", "",TOTALCO!I193)</f>
        <v>86.4238095311146</v>
      </c>
      <c r="J1079" s="12" t="str">
        <f>IF(TOTALCO!J193="", "",TOTALCO!J193)</f>
        <v/>
      </c>
      <c r="K1079" s="12" t="str">
        <f>IF(TOTALCO!K193="", "",TOTALCO!K193)</f>
        <v/>
      </c>
      <c r="L1079" s="12">
        <f ca="1">IF(TOTALCO!L193="", "",TOTALCO!L193)</f>
        <v>86.4238095311146</v>
      </c>
      <c r="M1079" s="12" t="str">
        <f>IF(TOTALCO!M193="", "",TOTALCO!M193)</f>
        <v/>
      </c>
      <c r="N1079" s="12">
        <f ca="1">IF(TOTALCO!N193="", "",TOTALCO!N193)</f>
        <v>0</v>
      </c>
      <c r="O1079" s="12">
        <f ca="1">IF(TOTALCO!O193="", "",TOTALCO!O193)</f>
        <v>0</v>
      </c>
      <c r="P1079" s="12">
        <f ca="1">IF(TOTALCO!P193="", "",TOTALCO!P193)</f>
        <v>0</v>
      </c>
      <c r="Q1079" s="12"/>
    </row>
    <row r="1080" spans="1:17" ht="15" x14ac:dyDescent="0.2">
      <c r="A1080" s="321">
        <f>IF(TOTALCO!A194="", "",TOTALCO!A194)</f>
        <v>27</v>
      </c>
      <c r="B1080" s="4" t="str">
        <f>IF(TOTALCO!B194="", "",TOTALCO!B194)</f>
        <v>TRANSM MAINT EXP 569-573</v>
      </c>
      <c r="C1080" s="4" t="str">
        <f>IF(TOTALCO!C194="", "",TOTALCO!C194)</f>
        <v>EXP5693TX</v>
      </c>
      <c r="D1080" s="12">
        <f ca="1">IF(TOTALCO!D194="", "",TOTALCO!D194)</f>
        <v>15907907</v>
      </c>
      <c r="E1080" s="12" t="str">
        <f>IF(TOTALCO!E194="", "",TOTALCO!E194)</f>
        <v/>
      </c>
      <c r="F1080" s="12">
        <f ca="1">IF(TOTALCO!F194="", "",TOTALCO!F194)</f>
        <v>14412224.289105205</v>
      </c>
      <c r="G1080" s="12" t="str">
        <f>IF(TOTALCO!G194="", "",TOTALCO!G194)</f>
        <v/>
      </c>
      <c r="H1080" s="12">
        <f ca="1">IF(TOTALCO!H194="", "",TOTALCO!H194)</f>
        <v>1495636.7335597277</v>
      </c>
      <c r="I1080" s="12">
        <f ca="1">IF(TOTALCO!I194="", "",TOTALCO!I194)</f>
        <v>45.977335067014494</v>
      </c>
      <c r="J1080" s="12" t="str">
        <f>IF(TOTALCO!J194="", "",TOTALCO!J194)</f>
        <v/>
      </c>
      <c r="K1080" s="12" t="str">
        <f>IF(TOTALCO!K194="", "",TOTALCO!K194)</f>
        <v/>
      </c>
      <c r="L1080" s="12">
        <f ca="1">IF(TOTALCO!L194="", "",TOTALCO!L194)</f>
        <v>45.977335067014494</v>
      </c>
      <c r="M1080" s="12" t="str">
        <f>IF(TOTALCO!M194="", "",TOTALCO!M194)</f>
        <v/>
      </c>
      <c r="N1080" s="12">
        <f ca="1">IF(TOTALCO!N194="", "",TOTALCO!N194)</f>
        <v>0</v>
      </c>
      <c r="O1080" s="12">
        <f ca="1">IF(TOTALCO!O194="", "",TOTALCO!O194)</f>
        <v>0</v>
      </c>
      <c r="P1080" s="12">
        <f ca="1">IF(TOTALCO!P194="", "",TOTALCO!P194)</f>
        <v>0</v>
      </c>
      <c r="Q1080" s="12"/>
    </row>
    <row r="1081" spans="1:17" ht="15" x14ac:dyDescent="0.2">
      <c r="A1081" s="321">
        <f>IF(TOTALCO!A195="", "",TOTALCO!A195)</f>
        <v>28</v>
      </c>
      <c r="B1081" s="4" t="str">
        <f>IF(TOTALCO!B195="", "",TOTALCO!B195)</f>
        <v>TOT TRANSM OPERATIONS LABOR</v>
      </c>
      <c r="C1081" s="4" t="str">
        <f>IF(TOTALCO!C195="", "",TOTALCO!C195)</f>
        <v>LABTROP</v>
      </c>
      <c r="D1081" s="12">
        <f ca="1">IF(TOTALCO!D195="", "",TOTALCO!D195)</f>
        <v>7409761.0000000009</v>
      </c>
      <c r="E1081" s="12" t="str">
        <f>IF(TOTALCO!E195="", "",TOTALCO!E195)</f>
        <v/>
      </c>
      <c r="F1081" s="12">
        <f ca="1">IF(TOTALCO!F195="", "",TOTALCO!F195)</f>
        <v>6710781.1196790012</v>
      </c>
      <c r="G1081" s="12" t="str">
        <f>IF(TOTALCO!G195="", "",TOTALCO!G195)</f>
        <v/>
      </c>
      <c r="H1081" s="12">
        <f ca="1">IF(TOTALCO!H195="", "",TOTALCO!H195)</f>
        <v>698958.39365679654</v>
      </c>
      <c r="I1081" s="12">
        <f ca="1">IF(TOTALCO!I195="", "",TOTALCO!I195)</f>
        <v>21.48666420259288</v>
      </c>
      <c r="J1081" s="12" t="str">
        <f>IF(TOTALCO!J195="", "",TOTALCO!J195)</f>
        <v/>
      </c>
      <c r="K1081" s="12" t="str">
        <f>IF(TOTALCO!K195="", "",TOTALCO!K195)</f>
        <v/>
      </c>
      <c r="L1081" s="12">
        <f ca="1">IF(TOTALCO!L195="", "",TOTALCO!L195)</f>
        <v>21.48666420259288</v>
      </c>
      <c r="M1081" s="12" t="str">
        <f>IF(TOTALCO!M195="", "",TOTALCO!M195)</f>
        <v/>
      </c>
      <c r="N1081" s="12">
        <f ca="1">IF(TOTALCO!N195="", "",TOTALCO!N195)</f>
        <v>0</v>
      </c>
      <c r="O1081" s="12">
        <f ca="1">IF(TOTALCO!O195="", "",TOTALCO!O195)</f>
        <v>0</v>
      </c>
      <c r="P1081" s="12">
        <f ca="1">IF(TOTALCO!P195="", "",TOTALCO!P195)</f>
        <v>0</v>
      </c>
      <c r="Q1081" s="12"/>
    </row>
    <row r="1082" spans="1:17" ht="15" x14ac:dyDescent="0.2">
      <c r="A1082" s="321">
        <f>IF(TOTALCO!A196="", "",TOTALCO!A196)</f>
        <v>29</v>
      </c>
      <c r="B1082" s="4" t="str">
        <f>IF(TOTALCO!B196="", "",TOTALCO!B196)</f>
        <v>TOT TRANSM MAINTENANCE LABOR</v>
      </c>
      <c r="C1082" s="4" t="str">
        <f>IF(TOTALCO!C196="", "",TOTALCO!C196)</f>
        <v>LABTRMN</v>
      </c>
      <c r="D1082" s="12">
        <f>IF(TOTALCO!D196="", "",TOTALCO!D196)</f>
        <v>0</v>
      </c>
      <c r="E1082" s="12" t="str">
        <f>IF(TOTALCO!E196="", "",TOTALCO!E196)</f>
        <v/>
      </c>
      <c r="F1082" s="12">
        <f>IF(TOTALCO!F196="", "",TOTALCO!F196)</f>
        <v>0</v>
      </c>
      <c r="G1082" s="12" t="str">
        <f>IF(TOTALCO!G196="", "",TOTALCO!G196)</f>
        <v/>
      </c>
      <c r="H1082" s="12">
        <f>IF(TOTALCO!H196="", "",TOTALCO!H196)</f>
        <v>0</v>
      </c>
      <c r="I1082" s="12">
        <f>IF(TOTALCO!I196="", "",TOTALCO!I196)</f>
        <v>0</v>
      </c>
      <c r="J1082" s="12" t="str">
        <f>IF(TOTALCO!J196="", "",TOTALCO!J196)</f>
        <v/>
      </c>
      <c r="K1082" s="12" t="str">
        <f>IF(TOTALCO!K196="", "",TOTALCO!K196)</f>
        <v/>
      </c>
      <c r="L1082" s="12">
        <f>IF(TOTALCO!L196="", "",TOTALCO!L196)</f>
        <v>0</v>
      </c>
      <c r="M1082" s="12" t="str">
        <f>IF(TOTALCO!M196="", "",TOTALCO!M196)</f>
        <v/>
      </c>
      <c r="N1082" s="12">
        <f>IF(TOTALCO!N196="", "",TOTALCO!N196)</f>
        <v>0</v>
      </c>
      <c r="O1082" s="12">
        <f>IF(TOTALCO!O196="", "",TOTALCO!O196)</f>
        <v>0</v>
      </c>
      <c r="P1082" s="12">
        <f>IF(TOTALCO!P196="", "",TOTALCO!P196)</f>
        <v>0</v>
      </c>
      <c r="Q1082" s="12"/>
    </row>
    <row r="1083" spans="1:17" ht="15" x14ac:dyDescent="0.2">
      <c r="A1083" s="321">
        <f>IF(TOTALCO!A197="", "",TOTALCO!A197)</f>
        <v>30</v>
      </c>
      <c r="B1083" s="4" t="str">
        <f>IF(TOTALCO!B197="", "",TOTALCO!B197)</f>
        <v>DISTR OPER EXP 582-589</v>
      </c>
      <c r="C1083" s="4" t="str">
        <f>IF(TOTALCO!C197="", "",TOTALCO!C197)</f>
        <v>EXP5829DIS</v>
      </c>
      <c r="D1083" s="12">
        <f ca="1">IF(TOTALCO!D197="", "",TOTALCO!D197)</f>
        <v>25125956.000000004</v>
      </c>
      <c r="E1083" s="12" t="str">
        <f>IF(TOTALCO!E197="", "",TOTALCO!E197)</f>
        <v/>
      </c>
      <c r="F1083" s="12">
        <f ca="1">IF(TOTALCO!F197="", "",TOTALCO!F197)</f>
        <v>23778825.600000083</v>
      </c>
      <c r="G1083" s="12" t="str">
        <f>IF(TOTALCO!G197="", "",TOTALCO!G197)</f>
        <v/>
      </c>
      <c r="H1083" s="12">
        <f ca="1">IF(TOTALCO!H197="", "",TOTALCO!H197)</f>
        <v>1293097.0626162165</v>
      </c>
      <c r="I1083" s="12">
        <f ca="1">IF(TOTALCO!I197="", "",TOTALCO!I197)</f>
        <v>54033.337383703976</v>
      </c>
      <c r="J1083" s="12" t="str">
        <f>IF(TOTALCO!J197="", "",TOTALCO!J197)</f>
        <v/>
      </c>
      <c r="K1083" s="12" t="str">
        <f>IF(TOTALCO!K197="", "",TOTALCO!K197)</f>
        <v/>
      </c>
      <c r="L1083" s="12">
        <f ca="1">IF(TOTALCO!L197="", "",TOTALCO!L197)</f>
        <v>7690.6787542715101</v>
      </c>
      <c r="M1083" s="12" t="str">
        <f>IF(TOTALCO!M197="", "",TOTALCO!M197)</f>
        <v/>
      </c>
      <c r="N1083" s="12">
        <f ca="1">IF(TOTALCO!N197="", "",TOTALCO!N197)</f>
        <v>46342.658629432466</v>
      </c>
      <c r="O1083" s="12">
        <f ca="1">IF(TOTALCO!O197="", "",TOTALCO!O197)</f>
        <v>43296.287436368315</v>
      </c>
      <c r="P1083" s="12">
        <f ca="1">IF(TOTALCO!P197="", "",TOTALCO!P197)</f>
        <v>3046.3711930641548</v>
      </c>
      <c r="Q1083" s="12"/>
    </row>
    <row r="1084" spans="1:17" ht="15" x14ac:dyDescent="0.2">
      <c r="A1084" s="321">
        <f>IF(TOTALCO!A198="", "",TOTALCO!A198)</f>
        <v>31</v>
      </c>
      <c r="B1084" s="4" t="str">
        <f>IF(TOTALCO!B198="", "",TOTALCO!B198)</f>
        <v>DISTR MAINT EXP 591-598</v>
      </c>
      <c r="C1084" s="4" t="str">
        <f>IF(TOTALCO!C198="", "",TOTALCO!C198)</f>
        <v>EXP5918DIS</v>
      </c>
      <c r="D1084" s="12">
        <f ca="1">IF(TOTALCO!D198="", "",TOTALCO!D198)</f>
        <v>34902097</v>
      </c>
      <c r="E1084" s="12" t="str">
        <f>IF(TOTALCO!E198="", "",TOTALCO!E198)</f>
        <v/>
      </c>
      <c r="F1084" s="12">
        <f ca="1">IF(TOTALCO!F198="", "",TOTALCO!F198)</f>
        <v>32828071.36991775</v>
      </c>
      <c r="G1084" s="12" t="str">
        <f>IF(TOTALCO!G198="", "",TOTALCO!G198)</f>
        <v/>
      </c>
      <c r="H1084" s="12">
        <f ca="1">IF(TOTALCO!H198="", "",TOTALCO!H198)</f>
        <v>2052194.1314103054</v>
      </c>
      <c r="I1084" s="12">
        <f ca="1">IF(TOTALCO!I198="", "",TOTALCO!I198)</f>
        <v>21831.498671943591</v>
      </c>
      <c r="J1084" s="12" t="str">
        <f>IF(TOTALCO!J198="", "",TOTALCO!J198)</f>
        <v/>
      </c>
      <c r="K1084" s="12" t="str">
        <f>IF(TOTALCO!K198="", "",TOTALCO!K198)</f>
        <v/>
      </c>
      <c r="L1084" s="12">
        <f ca="1">IF(TOTALCO!L198="", "",TOTALCO!L198)</f>
        <v>5577.5294800409811</v>
      </c>
      <c r="M1084" s="12" t="str">
        <f>IF(TOTALCO!M198="", "",TOTALCO!M198)</f>
        <v/>
      </c>
      <c r="N1084" s="12">
        <f ca="1">IF(TOTALCO!N198="", "",TOTALCO!N198)</f>
        <v>16253.96919190261</v>
      </c>
      <c r="O1084" s="12">
        <f ca="1">IF(TOTALCO!O198="", "",TOTALCO!O198)</f>
        <v>16249.300447547781</v>
      </c>
      <c r="P1084" s="12">
        <f ca="1">IF(TOTALCO!P198="", "",TOTALCO!P198)</f>
        <v>4.6687443548294008</v>
      </c>
      <c r="Q1084" s="12"/>
    </row>
    <row r="1085" spans="1:17" ht="15" x14ac:dyDescent="0.2">
      <c r="A1085" s="321">
        <f>IF(TOTALCO!A199="", "",TOTALCO!A199)</f>
        <v>32</v>
      </c>
      <c r="B1085" s="4" t="str">
        <f>IF(TOTALCO!B199="", "",TOTALCO!B199)</f>
        <v>TOT DISTR OPERATIONS LABOR</v>
      </c>
      <c r="C1085" s="4" t="str">
        <f>IF(TOTALCO!C199="", "",TOTALCO!C199)</f>
        <v>LABDISOP</v>
      </c>
      <c r="D1085" s="12">
        <f ca="1">IF(TOTALCO!D199="", "",TOTALCO!D199)</f>
        <v>22794160.000000004</v>
      </c>
      <c r="E1085" s="12" t="str">
        <f>IF(TOTALCO!E199="", "",TOTALCO!E199)</f>
        <v/>
      </c>
      <c r="F1085" s="12">
        <f ca="1">IF(TOTALCO!F199="", "",TOTALCO!F199)</f>
        <v>21627227.502002757</v>
      </c>
      <c r="G1085" s="12" t="str">
        <f>IF(TOTALCO!G199="", "",TOTALCO!G199)</f>
        <v/>
      </c>
      <c r="H1085" s="12">
        <f ca="1">IF(TOTALCO!H199="", "",TOTALCO!H199)</f>
        <v>1118466.0084003534</v>
      </c>
      <c r="I1085" s="12">
        <f ca="1">IF(TOTALCO!I199="", "",TOTALCO!I199)</f>
        <v>48466.489596891632</v>
      </c>
      <c r="J1085" s="12" t="str">
        <f>IF(TOTALCO!J199="", "",TOTALCO!J199)</f>
        <v/>
      </c>
      <c r="K1085" s="12" t="str">
        <f>IF(TOTALCO!K199="", "",TOTALCO!K199)</f>
        <v/>
      </c>
      <c r="L1085" s="12">
        <f ca="1">IF(TOTALCO!L199="", "",TOTALCO!L199)</f>
        <v>7273.4228485913409</v>
      </c>
      <c r="M1085" s="12" t="str">
        <f>IF(TOTALCO!M199="", "",TOTALCO!M199)</f>
        <v/>
      </c>
      <c r="N1085" s="12">
        <f ca="1">IF(TOTALCO!N199="", "",TOTALCO!N199)</f>
        <v>41193.066748300291</v>
      </c>
      <c r="O1085" s="12">
        <f ca="1">IF(TOTALCO!O199="", "",TOTALCO!O199)</f>
        <v>40891.258207872736</v>
      </c>
      <c r="P1085" s="12">
        <f ca="1">IF(TOTALCO!P199="", "",TOTALCO!P199)</f>
        <v>301.80854042755169</v>
      </c>
      <c r="Q1085" s="12"/>
    </row>
    <row r="1086" spans="1:17" ht="15" x14ac:dyDescent="0.2">
      <c r="A1086" s="321">
        <f>IF(TOTALCO!A200="", "",TOTALCO!A200)</f>
        <v>33</v>
      </c>
      <c r="B1086" s="4" t="str">
        <f>IF(TOTALCO!B200="", "",TOTALCO!B200)</f>
        <v>TOT DISTR MAINTENANCE LABOR</v>
      </c>
      <c r="C1086" s="4" t="str">
        <f>IF(TOTALCO!C200="", "",TOTALCO!C200)</f>
        <v>LABDISMN</v>
      </c>
      <c r="D1086" s="12">
        <f>IF(TOTALCO!D200="", "",TOTALCO!D200)</f>
        <v>0</v>
      </c>
      <c r="E1086" s="12" t="str">
        <f>IF(TOTALCO!E200="", "",TOTALCO!E200)</f>
        <v/>
      </c>
      <c r="F1086" s="12">
        <f>IF(TOTALCO!F200="", "",TOTALCO!F200)</f>
        <v>0</v>
      </c>
      <c r="G1086" s="12" t="str">
        <f>IF(TOTALCO!G200="", "",TOTALCO!G200)</f>
        <v/>
      </c>
      <c r="H1086" s="12">
        <f>IF(TOTALCO!H200="", "",TOTALCO!H200)</f>
        <v>0</v>
      </c>
      <c r="I1086" s="12">
        <f>IF(TOTALCO!I200="", "",TOTALCO!I200)</f>
        <v>0</v>
      </c>
      <c r="J1086" s="12" t="str">
        <f>IF(TOTALCO!J200="", "",TOTALCO!J200)</f>
        <v/>
      </c>
      <c r="K1086" s="12" t="str">
        <f>IF(TOTALCO!K200="", "",TOTALCO!K200)</f>
        <v/>
      </c>
      <c r="L1086" s="12">
        <f>IF(TOTALCO!L200="", "",TOTALCO!L200)</f>
        <v>0</v>
      </c>
      <c r="M1086" s="12" t="str">
        <f>IF(TOTALCO!M200="", "",TOTALCO!M200)</f>
        <v/>
      </c>
      <c r="N1086" s="12">
        <f>IF(TOTALCO!N200="", "",TOTALCO!N200)</f>
        <v>0</v>
      </c>
      <c r="O1086" s="12">
        <f>IF(TOTALCO!O200="", "",TOTALCO!O200)</f>
        <v>0</v>
      </c>
      <c r="P1086" s="12">
        <f>IF(TOTALCO!P200="", "",TOTALCO!P200)</f>
        <v>0</v>
      </c>
      <c r="Q1086" s="12"/>
    </row>
    <row r="1087" spans="1:17" ht="15" x14ac:dyDescent="0.2">
      <c r="A1087" s="321">
        <f>IF(TOTALCO!A201="", "",TOTALCO!A201)</f>
        <v>34</v>
      </c>
      <c r="B1087" s="4" t="str">
        <f>IF(TOTALCO!B201="", "",TOTALCO!B201)</f>
        <v>CUST ACCT EXP 902, 903 &amp; 905</v>
      </c>
      <c r="C1087" s="4" t="str">
        <f>IF(TOTALCO!C201="", "",TOTALCO!C201)</f>
        <v>EXP9025CA</v>
      </c>
      <c r="D1087" s="12">
        <f ca="1">IF(TOTALCO!D201="", "",TOTALCO!D201)</f>
        <v>30289429</v>
      </c>
      <c r="E1087" s="12" t="str">
        <f>IF(TOTALCO!E201="", "",TOTALCO!E201)</f>
        <v/>
      </c>
      <c r="F1087" s="12">
        <f ca="1">IF(TOTALCO!F201="", "",TOTALCO!F201)</f>
        <v>28775925.416403897</v>
      </c>
      <c r="G1087" s="12" t="str">
        <f>IF(TOTALCO!G201="", "",TOTALCO!G201)</f>
        <v/>
      </c>
      <c r="H1087" s="12">
        <f ca="1">IF(TOTALCO!H201="", "",TOTALCO!H201)</f>
        <v>1504842.6759818422</v>
      </c>
      <c r="I1087" s="12">
        <f ca="1">IF(TOTALCO!I201="", "",TOTALCO!I201)</f>
        <v>8660.9076142600188</v>
      </c>
      <c r="J1087" s="12" t="str">
        <f>IF(TOTALCO!J201="", "",TOTALCO!J201)</f>
        <v/>
      </c>
      <c r="K1087" s="12" t="str">
        <f>IF(TOTALCO!K201="", "",TOTALCO!K201)</f>
        <v/>
      </c>
      <c r="L1087" s="12">
        <f ca="1">IF(TOTALCO!L201="", "",TOTALCO!L201)</f>
        <v>199.56008327788064</v>
      </c>
      <c r="M1087" s="12" t="str">
        <f>IF(TOTALCO!M201="", "",TOTALCO!M201)</f>
        <v/>
      </c>
      <c r="N1087" s="12">
        <f ca="1">IF(TOTALCO!N201="", "",TOTALCO!N201)</f>
        <v>8461.3475309821388</v>
      </c>
      <c r="O1087" s="12">
        <f ca="1">IF(TOTALCO!O201="", "",TOTALCO!O201)</f>
        <v>3392.5214157239707</v>
      </c>
      <c r="P1087" s="12">
        <f ca="1">IF(TOTALCO!P201="", "",TOTALCO!P201)</f>
        <v>5068.8261152581681</v>
      </c>
      <c r="Q1087" s="12"/>
    </row>
    <row r="1088" spans="1:17" ht="15" x14ac:dyDescent="0.2">
      <c r="A1088" s="321">
        <f>IF(TOTALCO!A202="", "",TOTALCO!A202)</f>
        <v>35</v>
      </c>
      <c r="B1088" s="4" t="str">
        <f>IF(TOTALCO!B202="", "",TOTALCO!B202)</f>
        <v>TOTAL CUST ACCOUNTS LABOR</v>
      </c>
      <c r="C1088" s="4" t="str">
        <f>IF(TOTALCO!C202="", "",TOTALCO!C202)</f>
        <v>LABCA</v>
      </c>
      <c r="D1088" s="12">
        <f ca="1">IF(TOTALCO!D202="", "",TOTALCO!D202)</f>
        <v>3641154</v>
      </c>
      <c r="E1088" s="12" t="str">
        <f>IF(TOTALCO!E202="", "",TOTALCO!E202)</f>
        <v/>
      </c>
      <c r="F1088" s="12">
        <f ca="1">IF(TOTALCO!F202="", "",TOTALCO!F202)</f>
        <v>3459212.6491932455</v>
      </c>
      <c r="G1088" s="12" t="str">
        <f>IF(TOTALCO!G202="", "",TOTALCO!G202)</f>
        <v/>
      </c>
      <c r="H1088" s="12">
        <f ca="1">IF(TOTALCO!H202="", "",TOTALCO!H202)</f>
        <v>180900.20544863981</v>
      </c>
      <c r="I1088" s="12">
        <f ca="1">IF(TOTALCO!I202="", "",TOTALCO!I202)</f>
        <v>1041.145358114652</v>
      </c>
      <c r="J1088" s="12" t="str">
        <f>IF(TOTALCO!J202="", "",TOTALCO!J202)</f>
        <v/>
      </c>
      <c r="K1088" s="12" t="str">
        <f>IF(TOTALCO!K202="", "",TOTALCO!K202)</f>
        <v/>
      </c>
      <c r="L1088" s="12">
        <f ca="1">IF(TOTALCO!L202="", "",TOTALCO!L202)</f>
        <v>23.989524380521935</v>
      </c>
      <c r="M1088" s="12" t="str">
        <f>IF(TOTALCO!M202="", "",TOTALCO!M202)</f>
        <v/>
      </c>
      <c r="N1088" s="12">
        <f ca="1">IF(TOTALCO!N202="", "",TOTALCO!N202)</f>
        <v>1017.1558337341302</v>
      </c>
      <c r="O1088" s="12">
        <f ca="1">IF(TOTALCO!O202="", "",TOTALCO!O202)</f>
        <v>407.82191446887293</v>
      </c>
      <c r="P1088" s="12">
        <f ca="1">IF(TOTALCO!P202="", "",TOTALCO!P202)</f>
        <v>609.33391926525724</v>
      </c>
      <c r="Q1088" s="12"/>
    </row>
    <row r="1089" spans="1:17" ht="15" x14ac:dyDescent="0.2">
      <c r="A1089" s="321">
        <f>IF(TOTALCO!A203="", "",TOTALCO!A203)</f>
        <v>36</v>
      </c>
      <c r="B1089" s="4" t="str">
        <f>IF(TOTALCO!B203="", "",TOTALCO!B203)</f>
        <v>CUST SERVICES &amp; SALES EXP</v>
      </c>
      <c r="C1089" s="4" t="str">
        <f>IF(TOTALCO!C203="", "",TOTALCO!C203)</f>
        <v>EXP9080CS</v>
      </c>
      <c r="D1089" s="12">
        <f ca="1">IF(TOTALCO!D203="", "",TOTALCO!D203)</f>
        <v>12770043.999999991</v>
      </c>
      <c r="E1089" s="12" t="str">
        <f>IF(TOTALCO!E203="", "",TOTALCO!E203)</f>
        <v/>
      </c>
      <c r="F1089" s="12">
        <f ca="1">IF(TOTALCO!F203="", "",TOTALCO!F203)</f>
        <v>12607583.359170897</v>
      </c>
      <c r="G1089" s="12" t="str">
        <f>IF(TOTALCO!G203="", "",TOTALCO!G203)</f>
        <v/>
      </c>
      <c r="H1089" s="12">
        <f ca="1">IF(TOTALCO!H203="", "",TOTALCO!H203)</f>
        <v>162443.31231019559</v>
      </c>
      <c r="I1089" s="12">
        <f ca="1">IF(TOTALCO!I203="", "",TOTALCO!I203)</f>
        <v>17.328518896653513</v>
      </c>
      <c r="J1089" s="12" t="str">
        <f>IF(TOTALCO!J203="", "",TOTALCO!J203)</f>
        <v/>
      </c>
      <c r="K1089" s="12" t="str">
        <f>IF(TOTALCO!K203="", "",TOTALCO!K203)</f>
        <v/>
      </c>
      <c r="L1089" s="12">
        <f ca="1">IF(TOTALCO!L203="", "",TOTALCO!L203)</f>
        <v>17.328518896653513</v>
      </c>
      <c r="M1089" s="12" t="str">
        <f>IF(TOTALCO!M203="", "",TOTALCO!M203)</f>
        <v/>
      </c>
      <c r="N1089" s="12">
        <f ca="1">IF(TOTALCO!N203="", "",TOTALCO!N203)</f>
        <v>0</v>
      </c>
      <c r="O1089" s="12">
        <f ca="1">IF(TOTALCO!O203="", "",TOTALCO!O203)</f>
        <v>0</v>
      </c>
      <c r="P1089" s="12">
        <f ca="1">IF(TOTALCO!P203="", "",TOTALCO!P203)</f>
        <v>0</v>
      </c>
      <c r="Q1089" s="12"/>
    </row>
    <row r="1090" spans="1:17" ht="15" x14ac:dyDescent="0.2">
      <c r="A1090" s="321">
        <f>IF(TOTALCO!A204="", "",TOTALCO!A204)</f>
        <v>37</v>
      </c>
      <c r="B1090" s="4" t="str">
        <f>IF(TOTALCO!B204="", "",TOTALCO!B204)</f>
        <v>TOTAL CUST SERVICES LABOR</v>
      </c>
      <c r="C1090" s="4" t="str">
        <f>IF(TOTALCO!C204="", "",TOTALCO!C204)</f>
        <v>LABCS</v>
      </c>
      <c r="D1090" s="12">
        <f ca="1">IF(TOTALCO!D204="", "",TOTALCO!D204)</f>
        <v>3641154</v>
      </c>
      <c r="E1090" s="12" t="str">
        <f>IF(TOTALCO!E204="", "",TOTALCO!E204)</f>
        <v/>
      </c>
      <c r="F1090" s="12">
        <f ca="1">IF(TOTALCO!F204="", "",TOTALCO!F204)</f>
        <v>3459212.6491932455</v>
      </c>
      <c r="G1090" s="12" t="str">
        <f>IF(TOTALCO!G204="", "",TOTALCO!G204)</f>
        <v/>
      </c>
      <c r="H1090" s="12">
        <f ca="1">IF(TOTALCO!H204="", "",TOTALCO!H204)</f>
        <v>180900.20544863981</v>
      </c>
      <c r="I1090" s="12">
        <f ca="1">IF(TOTALCO!I204="", "",TOTALCO!I204)</f>
        <v>1041.145358114652</v>
      </c>
      <c r="J1090" s="12" t="str">
        <f>IF(TOTALCO!J204="", "",TOTALCO!J204)</f>
        <v/>
      </c>
      <c r="K1090" s="12" t="str">
        <f>IF(TOTALCO!K204="", "",TOTALCO!K204)</f>
        <v/>
      </c>
      <c r="L1090" s="12">
        <f ca="1">IF(TOTALCO!L204="", "",TOTALCO!L204)</f>
        <v>23.989524380521935</v>
      </c>
      <c r="M1090" s="12" t="str">
        <f>IF(TOTALCO!M204="", "",TOTALCO!M204)</f>
        <v/>
      </c>
      <c r="N1090" s="12">
        <f ca="1">IF(TOTALCO!N204="", "",TOTALCO!N204)</f>
        <v>1017.1558337341302</v>
      </c>
      <c r="O1090" s="12">
        <f ca="1">IF(TOTALCO!O204="", "",TOTALCO!O204)</f>
        <v>407.82191446887293</v>
      </c>
      <c r="P1090" s="12">
        <f ca="1">IF(TOTALCO!P204="", "",TOTALCO!P204)</f>
        <v>609.33391926525724</v>
      </c>
      <c r="Q1090" s="12"/>
    </row>
    <row r="1091" spans="1:17" ht="15" x14ac:dyDescent="0.2">
      <c r="A1091" s="321">
        <f>IF(TOTALCO!A205="", "",TOTALCO!A205)</f>
        <v>38</v>
      </c>
      <c r="B1091" s="4" t="str">
        <f>IF(TOTALCO!B205="", "",TOTALCO!B205)</f>
        <v>SALES EXPENSE 912-916</v>
      </c>
      <c r="C1091" s="4" t="str">
        <f>IF(TOTALCO!C205="", "",TOTALCO!C205)</f>
        <v>EXP9126SA</v>
      </c>
      <c r="D1091" s="12">
        <f ca="1">IF(TOTALCO!D205="", "",TOTALCO!D205)</f>
        <v>1044482.0000000001</v>
      </c>
      <c r="E1091" s="12" t="str">
        <f>IF(TOTALCO!E205="", "",TOTALCO!E205)</f>
        <v/>
      </c>
      <c r="F1091" s="12">
        <f ca="1">IF(TOTALCO!F205="", "",TOTALCO!F205)</f>
        <v>991130.87987548974</v>
      </c>
      <c r="G1091" s="12" t="str">
        <f>IF(TOTALCO!G205="", "",TOTALCO!G205)</f>
        <v/>
      </c>
      <c r="H1091" s="12">
        <f ca="1">IF(TOTALCO!H205="", "",TOTALCO!H205)</f>
        <v>53345.429540695593</v>
      </c>
      <c r="I1091" s="12">
        <f ca="1">IF(TOTALCO!I205="", "",TOTALCO!I205)</f>
        <v>5.6905838147454677</v>
      </c>
      <c r="J1091" s="12" t="str">
        <f>IF(TOTALCO!J205="", "",TOTALCO!J205)</f>
        <v/>
      </c>
      <c r="K1091" s="12" t="str">
        <f>IF(TOTALCO!K205="", "",TOTALCO!K205)</f>
        <v/>
      </c>
      <c r="L1091" s="12">
        <f ca="1">IF(TOTALCO!L205="", "",TOTALCO!L205)</f>
        <v>5.6905838147454677</v>
      </c>
      <c r="M1091" s="12" t="str">
        <f>IF(TOTALCO!M205="", "",TOTALCO!M205)</f>
        <v/>
      </c>
      <c r="N1091" s="12">
        <f ca="1">IF(TOTALCO!N205="", "",TOTALCO!N205)</f>
        <v>0</v>
      </c>
      <c r="O1091" s="12">
        <f ca="1">IF(TOTALCO!O205="", "",TOTALCO!O205)</f>
        <v>0</v>
      </c>
      <c r="P1091" s="12">
        <f ca="1">IF(TOTALCO!P205="", "",TOTALCO!P205)</f>
        <v>0</v>
      </c>
      <c r="Q1091" s="12"/>
    </row>
    <row r="1092" spans="1:17" ht="15" x14ac:dyDescent="0.2">
      <c r="A1092" s="321">
        <f>IF(TOTALCO!A206="", "",TOTALCO!A206)</f>
        <v>39</v>
      </c>
      <c r="B1092" s="4" t="str">
        <f>IF(TOTALCO!B206="", "",TOTALCO!B206)</f>
        <v>TOTAL SALES EXP LABOR</v>
      </c>
      <c r="C1092" s="4" t="str">
        <f>IF(TOTALCO!C206="", "",TOTALCO!C206)</f>
        <v>LABSA</v>
      </c>
      <c r="D1092" s="12">
        <f ca="1">IF(TOTALCO!D206="", "",TOTALCO!D206)</f>
        <v>1701224.9999999998</v>
      </c>
      <c r="E1092" s="12" t="str">
        <f>IF(TOTALCO!E206="", "",TOTALCO!E206)</f>
        <v/>
      </c>
      <c r="F1092" s="12">
        <f ca="1">IF(TOTALCO!F206="", "",TOTALCO!F206)</f>
        <v>1679581.996757844</v>
      </c>
      <c r="G1092" s="12" t="str">
        <f>IF(TOTALCO!G206="", "",TOTALCO!G206)</f>
        <v/>
      </c>
      <c r="H1092" s="12">
        <f ca="1">IF(TOTALCO!H206="", "",TOTALCO!H206)</f>
        <v>21640.694737223512</v>
      </c>
      <c r="I1092" s="12">
        <f ca="1">IF(TOTALCO!I206="", "",TOTALCO!I206)</f>
        <v>2.3085049323212505</v>
      </c>
      <c r="J1092" s="12" t="str">
        <f>IF(TOTALCO!J206="", "",TOTALCO!J206)</f>
        <v/>
      </c>
      <c r="K1092" s="12" t="str">
        <f>IF(TOTALCO!K206="", "",TOTALCO!K206)</f>
        <v/>
      </c>
      <c r="L1092" s="12">
        <f ca="1">IF(TOTALCO!L206="", "",TOTALCO!L206)</f>
        <v>2.3085049323212505</v>
      </c>
      <c r="M1092" s="12" t="str">
        <f>IF(TOTALCO!M206="", "",TOTALCO!M206)</f>
        <v/>
      </c>
      <c r="N1092" s="12">
        <f ca="1">IF(TOTALCO!N206="", "",TOTALCO!N206)</f>
        <v>0</v>
      </c>
      <c r="O1092" s="12">
        <f ca="1">IF(TOTALCO!O206="", "",TOTALCO!O206)</f>
        <v>0</v>
      </c>
      <c r="P1092" s="12">
        <f ca="1">IF(TOTALCO!P206="", "",TOTALCO!P206)</f>
        <v>0</v>
      </c>
      <c r="Q1092" s="12"/>
    </row>
    <row r="1093" spans="1:17" ht="15" x14ac:dyDescent="0.2">
      <c r="A1093" s="321">
        <f>IF(TOTALCO!A207="", "",TOTALCO!A207)</f>
        <v>40</v>
      </c>
      <c r="B1093" s="4" t="str">
        <f>IF(TOTALCO!B207="", "",TOTALCO!B207)</f>
        <v>TOT ADMINISTRATIVE &amp; GEN EXP</v>
      </c>
      <c r="C1093" s="4" t="str">
        <f>IF(TOTALCO!C207="", "",TOTALCO!C207)</f>
        <v>A_GEXP</v>
      </c>
      <c r="D1093" s="12">
        <f ca="1">IF(TOTALCO!D207="", "",TOTALCO!D207)</f>
        <v>115982377.99999997</v>
      </c>
      <c r="E1093" s="12" t="str">
        <f>IF(TOTALCO!E207="", "",TOTALCO!E207)</f>
        <v/>
      </c>
      <c r="F1093" s="12">
        <f ca="1">IF(TOTALCO!F207="", "",TOTALCO!F207)</f>
        <v>109038721.97839193</v>
      </c>
      <c r="G1093" s="12" t="str">
        <f>IF(TOTALCO!G207="", "",TOTALCO!G207)</f>
        <v/>
      </c>
      <c r="H1093" s="12">
        <f ca="1">IF(TOTALCO!H207="", "",TOTALCO!H207)</f>
        <v>5526225.6610029377</v>
      </c>
      <c r="I1093" s="12">
        <f ca="1">IF(TOTALCO!I207="", "",TOTALCO!I207)</f>
        <v>1417430.3606050992</v>
      </c>
      <c r="J1093" s="12" t="str">
        <f>IF(TOTALCO!J207="", "",TOTALCO!J207)</f>
        <v/>
      </c>
      <c r="K1093" s="12" t="str">
        <f>IF(TOTALCO!K207="", "",TOTALCO!K207)</f>
        <v/>
      </c>
      <c r="L1093" s="12">
        <f ca="1">IF(TOTALCO!L207="", "",TOTALCO!L207)</f>
        <v>7718.3760793046158</v>
      </c>
      <c r="M1093" s="12" t="str">
        <f>IF(TOTALCO!M207="", "",TOTALCO!M207)</f>
        <v/>
      </c>
      <c r="N1093" s="12">
        <f ca="1">IF(TOTALCO!N207="", "",TOTALCO!N207)</f>
        <v>1409711.9845257946</v>
      </c>
      <c r="O1093" s="12">
        <f ca="1">IF(TOTALCO!O207="", "",TOTALCO!O207)</f>
        <v>734582.36658578459</v>
      </c>
      <c r="P1093" s="12">
        <f ca="1">IF(TOTALCO!P207="", "",TOTALCO!P207)</f>
        <v>675129.61794001015</v>
      </c>
      <c r="Q1093" s="12"/>
    </row>
    <row r="1094" spans="1:17" ht="15" x14ac:dyDescent="0.2">
      <c r="A1094" s="321" t="str">
        <f>IF(TOTALCO!A208="", "",TOTALCO!A208)</f>
        <v/>
      </c>
      <c r="B1094" s="4" t="str">
        <f>IF(TOTALCO!B208="", "",TOTALCO!B208)</f>
        <v/>
      </c>
      <c r="C1094" s="4" t="str">
        <f>IF(TOTALCO!C208="", "",TOTALCO!C208)</f>
        <v/>
      </c>
      <c r="D1094" s="12" t="str">
        <f>IF(TOTALCO!D208="", "",TOTALCO!D208)</f>
        <v/>
      </c>
      <c r="E1094" s="12" t="str">
        <f>IF(TOTALCO!E208="", "",TOTALCO!E208)</f>
        <v/>
      </c>
      <c r="F1094" s="12" t="str">
        <f>IF(TOTALCO!F208="", "",TOTALCO!F208)</f>
        <v/>
      </c>
      <c r="G1094" s="12" t="str">
        <f>IF(TOTALCO!G208="", "",TOTALCO!G208)</f>
        <v/>
      </c>
      <c r="H1094" s="12" t="str">
        <f>IF(TOTALCO!H208="", "",TOTALCO!H208)</f>
        <v/>
      </c>
      <c r="I1094" s="12" t="str">
        <f>IF(TOTALCO!I208="", "",TOTALCO!I208)</f>
        <v/>
      </c>
      <c r="J1094" s="12" t="str">
        <f>IF(TOTALCO!J208="", "",TOTALCO!J208)</f>
        <v/>
      </c>
      <c r="K1094" s="12" t="str">
        <f>IF(TOTALCO!K208="", "",TOTALCO!K208)</f>
        <v/>
      </c>
      <c r="L1094" s="12" t="str">
        <f>IF(TOTALCO!L208="", "",TOTALCO!L208)</f>
        <v/>
      </c>
      <c r="M1094" s="12" t="str">
        <f>IF(TOTALCO!M208="", "",TOTALCO!M208)</f>
        <v/>
      </c>
      <c r="N1094" s="12" t="str">
        <f>IF(TOTALCO!N208="", "",TOTALCO!N208)</f>
        <v/>
      </c>
      <c r="O1094" s="12" t="str">
        <f>IF(TOTALCO!O208="", "",TOTALCO!O208)</f>
        <v/>
      </c>
      <c r="P1094" s="12" t="str">
        <f>IF(TOTALCO!P208="", "",TOTALCO!P208)</f>
        <v/>
      </c>
      <c r="Q1094" s="12"/>
    </row>
    <row r="1095" spans="1:17" ht="15" x14ac:dyDescent="0.2">
      <c r="A1095" s="321" t="str">
        <f>IF(TOTALCO!A209="", "",TOTALCO!A209)</f>
        <v/>
      </c>
      <c r="B1095" s="4" t="str">
        <f>IF(TOTALCO!B209="", "",TOTALCO!B209)</f>
        <v>INTERNALLY DEVELOPED-CON'T</v>
      </c>
      <c r="C1095" s="4" t="str">
        <f>IF(TOTALCO!C209="", "",TOTALCO!C209)</f>
        <v/>
      </c>
      <c r="D1095" s="12" t="str">
        <f>IF(TOTALCO!D209="", "",TOTALCO!D209)</f>
        <v/>
      </c>
      <c r="E1095" s="12" t="str">
        <f>IF(TOTALCO!E209="", "",TOTALCO!E209)</f>
        <v/>
      </c>
      <c r="F1095" s="12" t="str">
        <f>IF(TOTALCO!F209="", "",TOTALCO!F209)</f>
        <v/>
      </c>
      <c r="G1095" s="12" t="str">
        <f>IF(TOTALCO!G209="", "",TOTALCO!G209)</f>
        <v/>
      </c>
      <c r="H1095" s="12" t="str">
        <f>IF(TOTALCO!H209="", "",TOTALCO!H209)</f>
        <v/>
      </c>
      <c r="I1095" s="12" t="str">
        <f>IF(TOTALCO!I209="", "",TOTALCO!I209)</f>
        <v/>
      </c>
      <c r="J1095" s="12" t="str">
        <f>IF(TOTALCO!J209="", "",TOTALCO!J209)</f>
        <v/>
      </c>
      <c r="K1095" s="12" t="str">
        <f>IF(TOTALCO!K209="", "",TOTALCO!K209)</f>
        <v/>
      </c>
      <c r="L1095" s="12" t="str">
        <f>IF(TOTALCO!L209="", "",TOTALCO!L209)</f>
        <v/>
      </c>
      <c r="M1095" s="12" t="str">
        <f>IF(TOTALCO!M209="", "",TOTALCO!M209)</f>
        <v/>
      </c>
      <c r="N1095" s="12" t="str">
        <f>IF(TOTALCO!N209="", "",TOTALCO!N209)</f>
        <v/>
      </c>
      <c r="O1095" s="12" t="str">
        <f>IF(TOTALCO!O209="", "",TOTALCO!O209)</f>
        <v/>
      </c>
      <c r="P1095" s="12" t="str">
        <f>IF(TOTALCO!P209="", "",TOTALCO!P209)</f>
        <v/>
      </c>
      <c r="Q1095" s="12"/>
    </row>
    <row r="1096" spans="1:17" ht="15" x14ac:dyDescent="0.2">
      <c r="A1096" s="321" t="str">
        <f>IF(TOTALCO!A210="", "",TOTALCO!A210)</f>
        <v/>
      </c>
      <c r="B1096" s="4" t="str">
        <f>IF(TOTALCO!B210="", "",TOTALCO!B210)</f>
        <v>-</v>
      </c>
      <c r="C1096" s="4" t="str">
        <f>IF(TOTALCO!C210="", "",TOTALCO!C210)</f>
        <v/>
      </c>
      <c r="D1096" s="12" t="str">
        <f>IF(TOTALCO!D210="", "",TOTALCO!D210)</f>
        <v/>
      </c>
      <c r="E1096" s="12" t="str">
        <f>IF(TOTALCO!E210="", "",TOTALCO!E210)</f>
        <v/>
      </c>
      <c r="F1096" s="12" t="str">
        <f>IF(TOTALCO!F210="", "",TOTALCO!F210)</f>
        <v/>
      </c>
      <c r="G1096" s="12" t="str">
        <f>IF(TOTALCO!G210="", "",TOTALCO!G210)</f>
        <v/>
      </c>
      <c r="H1096" s="12" t="str">
        <f>IF(TOTALCO!H210="", "",TOTALCO!H210)</f>
        <v/>
      </c>
      <c r="I1096" s="12" t="str">
        <f>IF(TOTALCO!I210="", "",TOTALCO!I210)</f>
        <v/>
      </c>
      <c r="J1096" s="12" t="str">
        <f>IF(TOTALCO!J210="", "",TOTALCO!J210)</f>
        <v/>
      </c>
      <c r="K1096" s="12" t="str">
        <f>IF(TOTALCO!K210="", "",TOTALCO!K210)</f>
        <v/>
      </c>
      <c r="L1096" s="12" t="str">
        <f>IF(TOTALCO!L210="", "",TOTALCO!L210)</f>
        <v/>
      </c>
      <c r="M1096" s="12" t="str">
        <f>IF(TOTALCO!M210="", "",TOTALCO!M210)</f>
        <v/>
      </c>
      <c r="N1096" s="12" t="str">
        <f>IF(TOTALCO!N210="", "",TOTALCO!N210)</f>
        <v/>
      </c>
      <c r="O1096" s="12" t="str">
        <f>IF(TOTALCO!O210="", "",TOTALCO!O210)</f>
        <v/>
      </c>
      <c r="P1096" s="12" t="str">
        <f>IF(TOTALCO!P210="", "",TOTALCO!P210)</f>
        <v/>
      </c>
      <c r="Q1096" s="12"/>
    </row>
    <row r="1097" spans="1:17" ht="15" x14ac:dyDescent="0.2">
      <c r="A1097" s="321">
        <f>IF(TOTALCO!A211="", "",TOTALCO!A211)</f>
        <v>1</v>
      </c>
      <c r="B1097" s="4" t="str">
        <f>IF(TOTALCO!B211="", "",TOTALCO!B211)</f>
        <v>ACCT 930-GEN MISC &amp; ADVERTISING</v>
      </c>
      <c r="C1097" s="4" t="str">
        <f>IF(TOTALCO!C211="", "",TOTALCO!C211)</f>
        <v>EXP930A</v>
      </c>
      <c r="D1097" s="12">
        <f ca="1">IF(TOTALCO!D211="", "",TOTALCO!D211)</f>
        <v>3709646.9999999898</v>
      </c>
      <c r="E1097" s="12" t="str">
        <f>IF(TOTALCO!E211="", "",TOTALCO!E211)</f>
        <v/>
      </c>
      <c r="F1097" s="12">
        <f ca="1">IF(TOTALCO!F211="", "",TOTALCO!F211)</f>
        <v>3495689.4081818983</v>
      </c>
      <c r="G1097" s="12" t="str">
        <f>IF(TOTALCO!G211="", "",TOTALCO!G211)</f>
        <v/>
      </c>
      <c r="H1097" s="12">
        <f ca="1">IF(TOTALCO!H211="", "",TOTALCO!H211)</f>
        <v>170795.19027622245</v>
      </c>
      <c r="I1097" s="12">
        <f ca="1">IF(TOTALCO!I211="", "",TOTALCO!I211)</f>
        <v>43162.401541869323</v>
      </c>
      <c r="J1097" s="12" t="str">
        <f>IF(TOTALCO!J211="", "",TOTALCO!J211)</f>
        <v/>
      </c>
      <c r="K1097" s="12" t="str">
        <f>IF(TOTALCO!K211="", "",TOTALCO!K211)</f>
        <v/>
      </c>
      <c r="L1097" s="12">
        <f ca="1">IF(TOTALCO!L211="", "",TOTALCO!L211)</f>
        <v>243.06297898144908</v>
      </c>
      <c r="M1097" s="12" t="str">
        <f>IF(TOTALCO!M211="", "",TOTALCO!M211)</f>
        <v/>
      </c>
      <c r="N1097" s="12">
        <f ca="1">IF(TOTALCO!N211="", "",TOTALCO!N211)</f>
        <v>42919.338562887875</v>
      </c>
      <c r="O1097" s="12">
        <f ca="1">IF(TOTALCO!O211="", "",TOTALCO!O211)</f>
        <v>22372.980438560684</v>
      </c>
      <c r="P1097" s="12">
        <f ca="1">IF(TOTALCO!P211="", "",TOTALCO!P211)</f>
        <v>20546.358124327187</v>
      </c>
      <c r="Q1097" s="12"/>
    </row>
    <row r="1098" spans="1:17" ht="15" x14ac:dyDescent="0.2">
      <c r="A1098" s="321">
        <f>IF(TOTALCO!A212="", "",TOTALCO!A212)</f>
        <v>2</v>
      </c>
      <c r="B1098" s="4" t="str">
        <f>IF(TOTALCO!B212="", "",TOTALCO!B212)</f>
        <v>TOTAL CUSTOMER SERVICES EXP</v>
      </c>
      <c r="C1098" s="4" t="str">
        <f>IF(TOTALCO!C212="", "",TOTALCO!C212)</f>
        <v>CUSTSER</v>
      </c>
      <c r="D1098" s="12">
        <f ca="1">IF(TOTALCO!D212="", "",TOTALCO!D212)</f>
        <v>12381934.999999989</v>
      </c>
      <c r="E1098" s="12" t="str">
        <f>IF(TOTALCO!E212="", "",TOTALCO!E212)</f>
        <v/>
      </c>
      <c r="F1098" s="12">
        <f ca="1">IF(TOTALCO!F212="", "",TOTALCO!F212)</f>
        <v>12264475.094738947</v>
      </c>
      <c r="G1098" s="12" t="str">
        <f>IF(TOTALCO!G212="", "",TOTALCO!G212)</f>
        <v/>
      </c>
      <c r="H1098" s="12">
        <f ca="1">IF(TOTALCO!H212="", "",TOTALCO!H212)</f>
        <v>117447.37664994238</v>
      </c>
      <c r="I1098" s="12">
        <f ca="1">IF(TOTALCO!I212="", "",TOTALCO!I212)</f>
        <v>12.528611099449819</v>
      </c>
      <c r="J1098" s="12" t="str">
        <f>IF(TOTALCO!J212="", "",TOTALCO!J212)</f>
        <v/>
      </c>
      <c r="K1098" s="12" t="str">
        <f>IF(TOTALCO!K212="", "",TOTALCO!K212)</f>
        <v/>
      </c>
      <c r="L1098" s="12">
        <f ca="1">IF(TOTALCO!L212="", "",TOTALCO!L212)</f>
        <v>12.528611099449819</v>
      </c>
      <c r="M1098" s="12" t="str">
        <f>IF(TOTALCO!M212="", "",TOTALCO!M212)</f>
        <v/>
      </c>
      <c r="N1098" s="12">
        <f ca="1">IF(TOTALCO!N212="", "",TOTALCO!N212)</f>
        <v>0</v>
      </c>
      <c r="O1098" s="12">
        <f ca="1">IF(TOTALCO!O212="", "",TOTALCO!O212)</f>
        <v>0</v>
      </c>
      <c r="P1098" s="12">
        <f ca="1">IF(TOTALCO!P212="", "",TOTALCO!P212)</f>
        <v>0</v>
      </c>
      <c r="Q1098" s="12"/>
    </row>
    <row r="1099" spans="1:17" ht="15" x14ac:dyDescent="0.2">
      <c r="A1099" s="321">
        <f>IF(TOTALCO!A213="", "",TOTALCO!A213)</f>
        <v>3</v>
      </c>
      <c r="B1099" s="4" t="str">
        <f>IF(TOTALCO!B213="", "",TOTALCO!B213)</f>
        <v>DISTRIBUTION PLANT EXCL VA</v>
      </c>
      <c r="C1099" s="4" t="str">
        <f>IF(TOTALCO!C213="", "",TOTALCO!C213)</f>
        <v>DPLTXVA</v>
      </c>
      <c r="D1099" s="12">
        <f ca="1">IF(TOTALCO!D213="", "",TOTALCO!D213)</f>
        <v>1928493256.8107691</v>
      </c>
      <c r="E1099" s="12" t="str">
        <f>IF(TOTALCO!E213="", "",TOTALCO!E213)</f>
        <v/>
      </c>
      <c r="F1099" s="12">
        <f ca="1">IF(TOTALCO!F213="", "",TOTALCO!F213)</f>
        <v>1924181178.110769</v>
      </c>
      <c r="G1099" s="12" t="str">
        <f>IF(TOTALCO!G213="", "",TOTALCO!G213)</f>
        <v/>
      </c>
      <c r="H1099" s="12">
        <f ca="1">IF(TOTALCO!H213="", "",TOTALCO!H213)</f>
        <v>0</v>
      </c>
      <c r="I1099" s="12">
        <f ca="1">IF(TOTALCO!I213="", "",TOTALCO!I213)</f>
        <v>4312078.7</v>
      </c>
      <c r="J1099" s="12" t="str">
        <f>IF(TOTALCO!J213="", "",TOTALCO!J213)</f>
        <v/>
      </c>
      <c r="K1099" s="12" t="str">
        <f>IF(TOTALCO!K213="", "",TOTALCO!K213)</f>
        <v/>
      </c>
      <c r="L1099" s="12">
        <f ca="1">IF(TOTALCO!L213="", "",TOTALCO!L213)</f>
        <v>647118.70000000007</v>
      </c>
      <c r="M1099" s="12" t="str">
        <f>IF(TOTALCO!M213="", "",TOTALCO!M213)</f>
        <v/>
      </c>
      <c r="N1099" s="12">
        <f ca="1">IF(TOTALCO!N213="", "",TOTALCO!N213)</f>
        <v>3664960</v>
      </c>
      <c r="O1099" s="12">
        <f ca="1">IF(TOTALCO!O213="", "",TOTALCO!O213)</f>
        <v>3638108</v>
      </c>
      <c r="P1099" s="12">
        <f ca="1">IF(TOTALCO!P213="", "",TOTALCO!P213)</f>
        <v>26852</v>
      </c>
      <c r="Q1099" s="12"/>
    </row>
    <row r="1100" spans="1:17" ht="15" x14ac:dyDescent="0.2">
      <c r="A1100" s="321">
        <f>IF(TOTALCO!A214="", "",TOTALCO!A214)</f>
        <v>4</v>
      </c>
      <c r="B1100" s="4" t="str">
        <f>IF(TOTALCO!B214="", "",TOTALCO!B214)</f>
        <v>ACCT 926 DIR ASSIGN COMP.KY RET</v>
      </c>
      <c r="C1100" s="4" t="str">
        <f>IF(TOTALCO!C214="", "",TOTALCO!C214)</f>
        <v>LABPTDKY</v>
      </c>
      <c r="D1100" s="12">
        <f ca="1">IF(TOTALCO!D214="", "",TOTALCO!D214)</f>
        <v>87183813.808233812</v>
      </c>
      <c r="E1100" s="12" t="str">
        <f>IF(TOTALCO!E214="", "",TOTALCO!E214)</f>
        <v/>
      </c>
      <c r="F1100" s="12">
        <f ca="1">IF(TOTALCO!F214="", "",TOTALCO!F214)</f>
        <v>87183813.808233812</v>
      </c>
      <c r="G1100" s="12" t="str">
        <f>IF(TOTALCO!G214="", "",TOTALCO!G214)</f>
        <v/>
      </c>
      <c r="H1100" s="12">
        <f>IF(TOTALCO!H214="", "",TOTALCO!H214)</f>
        <v>0</v>
      </c>
      <c r="I1100" s="12">
        <f>IF(TOTALCO!I214="", "",TOTALCO!I214)</f>
        <v>0</v>
      </c>
      <c r="J1100" s="12" t="str">
        <f>IF(TOTALCO!J214="", "",TOTALCO!J214)</f>
        <v/>
      </c>
      <c r="K1100" s="12" t="str">
        <f>IF(TOTALCO!K214="", "",TOTALCO!K214)</f>
        <v/>
      </c>
      <c r="L1100" s="12">
        <f>IF(TOTALCO!L214="", "",TOTALCO!L214)</f>
        <v>0</v>
      </c>
      <c r="M1100" s="12" t="str">
        <f>IF(TOTALCO!M214="", "",TOTALCO!M214)</f>
        <v/>
      </c>
      <c r="N1100" s="12">
        <f>IF(TOTALCO!N214="", "",TOTALCO!N214)</f>
        <v>0</v>
      </c>
      <c r="O1100" s="12">
        <f>IF(TOTALCO!O214="", "",TOTALCO!O214)</f>
        <v>0</v>
      </c>
      <c r="P1100" s="12">
        <f>IF(TOTALCO!P214="", "",TOTALCO!P214)</f>
        <v>0</v>
      </c>
      <c r="Q1100" s="12"/>
    </row>
    <row r="1101" spans="1:17" ht="15" x14ac:dyDescent="0.2">
      <c r="A1101" s="321">
        <f>IF(TOTALCO!A215="", "",TOTALCO!A215)</f>
        <v>5</v>
      </c>
      <c r="B1101" s="4" t="str">
        <f>IF(TOTALCO!B215="", "",TOTALCO!B215)</f>
        <v>ACCT 926 DIR ASSIGN COMP.VAJ</v>
      </c>
      <c r="C1101" s="4" t="str">
        <f>IF(TOTALCO!C215="", "",TOTALCO!C215)</f>
        <v>LABPTDVAJ</v>
      </c>
      <c r="D1101" s="12">
        <f ca="1">IF(TOTALCO!D215="", "",TOTALCO!D215)</f>
        <v>4416324.0819489257</v>
      </c>
      <c r="E1101" s="12" t="str">
        <f>IF(TOTALCO!E215="", "",TOTALCO!E215)</f>
        <v/>
      </c>
      <c r="F1101" s="12">
        <f>IF(TOTALCO!F215="", "",TOTALCO!F215)</f>
        <v>0</v>
      </c>
      <c r="G1101" s="12" t="str">
        <f>IF(TOTALCO!G215="", "",TOTALCO!G215)</f>
        <v/>
      </c>
      <c r="H1101" s="12">
        <f ca="1">IF(TOTALCO!H215="", "",TOTALCO!H215)</f>
        <v>4416324.0819489257</v>
      </c>
      <c r="I1101" s="12">
        <f>IF(TOTALCO!I215="", "",TOTALCO!I215)</f>
        <v>0</v>
      </c>
      <c r="J1101" s="12" t="str">
        <f>IF(TOTALCO!J215="", "",TOTALCO!J215)</f>
        <v/>
      </c>
      <c r="K1101" s="12" t="str">
        <f>IF(TOTALCO!K215="", "",TOTALCO!K215)</f>
        <v/>
      </c>
      <c r="L1101" s="12">
        <f>IF(TOTALCO!L215="", "",TOTALCO!L215)</f>
        <v>0</v>
      </c>
      <c r="M1101" s="12" t="str">
        <f>IF(TOTALCO!M215="", "",TOTALCO!M215)</f>
        <v/>
      </c>
      <c r="N1101" s="12">
        <f>IF(TOTALCO!N215="", "",TOTALCO!N215)</f>
        <v>0</v>
      </c>
      <c r="O1101" s="12">
        <f>IF(TOTALCO!O215="", "",TOTALCO!O215)</f>
        <v>0</v>
      </c>
      <c r="P1101" s="12">
        <f>IF(TOTALCO!P215="", "",TOTALCO!P215)</f>
        <v>0</v>
      </c>
      <c r="Q1101" s="12"/>
    </row>
    <row r="1102" spans="1:17" ht="15" x14ac:dyDescent="0.2">
      <c r="A1102" s="321">
        <f>IF(TOTALCO!A216="", "",TOTALCO!A216)</f>
        <v>6</v>
      </c>
      <c r="B1102" s="4" t="str">
        <f>IF(TOTALCO!B216="", "",TOTALCO!B216)</f>
        <v>ACCT 926 DIR ASSIGN COMP.VANJ</v>
      </c>
      <c r="C1102" s="4" t="str">
        <f>IF(TOTALCO!C216="", "",TOTALCO!C216)</f>
        <v>LABPTDVNJ</v>
      </c>
      <c r="D1102" s="12">
        <f>IF(TOTALCO!D216="", "",TOTALCO!D216)</f>
        <v>0</v>
      </c>
      <c r="E1102" s="12" t="str">
        <f>IF(TOTALCO!E216="", "",TOTALCO!E216)</f>
        <v/>
      </c>
      <c r="F1102" s="12">
        <f>IF(TOTALCO!F216="", "",TOTALCO!F216)</f>
        <v>0</v>
      </c>
      <c r="G1102" s="12" t="str">
        <f>IF(TOTALCO!G216="", "",TOTALCO!G216)</f>
        <v/>
      </c>
      <c r="H1102" s="12">
        <f>IF(TOTALCO!H216="", "",TOTALCO!H216)</f>
        <v>0</v>
      </c>
      <c r="I1102" s="12">
        <f>IF(TOTALCO!I216="", "",TOTALCO!I216)</f>
        <v>0</v>
      </c>
      <c r="J1102" s="12" t="str">
        <f>IF(TOTALCO!J216="", "",TOTALCO!J216)</f>
        <v/>
      </c>
      <c r="K1102" s="12" t="str">
        <f>IF(TOTALCO!K216="", "",TOTALCO!K216)</f>
        <v/>
      </c>
      <c r="L1102" s="12">
        <f>IF(TOTALCO!L216="", "",TOTALCO!L216)</f>
        <v>0</v>
      </c>
      <c r="M1102" s="12" t="str">
        <f>IF(TOTALCO!M216="", "",TOTALCO!M216)</f>
        <v/>
      </c>
      <c r="N1102" s="12">
        <f>IF(TOTALCO!N216="", "",TOTALCO!N216)</f>
        <v>0</v>
      </c>
      <c r="O1102" s="12">
        <f>IF(TOTALCO!O216="", "",TOTALCO!O216)</f>
        <v>0</v>
      </c>
      <c r="P1102" s="12">
        <f>IF(TOTALCO!P216="", "",TOTALCO!P216)</f>
        <v>0</v>
      </c>
      <c r="Q1102" s="12"/>
    </row>
    <row r="1103" spans="1:17" ht="15" x14ac:dyDescent="0.2">
      <c r="A1103" s="321">
        <f>IF(TOTALCO!A217="", "",TOTALCO!A217)</f>
        <v>7</v>
      </c>
      <c r="B1103" s="4" t="str">
        <f>IF(TOTALCO!B217="", "",TOTALCO!B217)</f>
        <v>ACCT 926 DIR ASSIGN COMP.FERC</v>
      </c>
      <c r="C1103" s="4" t="str">
        <f>IF(TOTALCO!C217="", "",TOTALCO!C217)</f>
        <v>LABPTDFER</v>
      </c>
      <c r="D1103" s="12">
        <f ca="1">IF(TOTALCO!D217="", "",TOTALCO!D217)</f>
        <v>1344874.8545014865</v>
      </c>
      <c r="E1103" s="12" t="str">
        <f>IF(TOTALCO!E217="", "",TOTALCO!E217)</f>
        <v/>
      </c>
      <c r="F1103" s="12">
        <f>IF(TOTALCO!F217="", "",TOTALCO!F217)</f>
        <v>0</v>
      </c>
      <c r="G1103" s="12" t="str">
        <f>IF(TOTALCO!G217="", "",TOTALCO!G217)</f>
        <v/>
      </c>
      <c r="H1103" s="12">
        <f>IF(TOTALCO!H217="", "",TOTALCO!H217)</f>
        <v>0</v>
      </c>
      <c r="I1103" s="12">
        <f ca="1">IF(TOTALCO!I217="", "",TOTALCO!I217)</f>
        <v>1344874.8545014865</v>
      </c>
      <c r="J1103" s="12" t="str">
        <f>IF(TOTALCO!J217="", "",TOTALCO!J217)</f>
        <v/>
      </c>
      <c r="K1103" s="12" t="str">
        <f>IF(TOTALCO!K217="", "",TOTALCO!K217)</f>
        <v/>
      </c>
      <c r="L1103" s="12">
        <f>IF(TOTALCO!L217="", "",TOTALCO!L217)</f>
        <v>0</v>
      </c>
      <c r="M1103" s="12" t="str">
        <f>IF(TOTALCO!M217="", "",TOTALCO!M217)</f>
        <v/>
      </c>
      <c r="N1103" s="12">
        <f ca="1">IF(TOTALCO!N217="", "",TOTALCO!N217)</f>
        <v>1344874.8545014865</v>
      </c>
      <c r="O1103" s="12">
        <f ca="1">IF(TOTALCO!O217="", "",TOTALCO!O217)</f>
        <v>701685.02695065807</v>
      </c>
      <c r="P1103" s="12">
        <f ca="1">IF(TOTALCO!P217="", "",TOTALCO!P217)</f>
        <v>643189.82755082846</v>
      </c>
      <c r="Q1103" s="12"/>
    </row>
    <row r="1104" spans="1:17" ht="15" x14ac:dyDescent="0.2">
      <c r="A1104" s="321">
        <f>IF(TOTALCO!A218="", "",TOTALCO!A218)</f>
        <v>8</v>
      </c>
      <c r="B1104" s="4" t="str">
        <f>IF(TOTALCO!B218="", "",TOTALCO!B218)</f>
        <v>203(E) EXCESS DEF TAXES EXCL VA</v>
      </c>
      <c r="C1104" s="4" t="str">
        <f>IF(TOTALCO!C218="", "",TOTALCO!C218)</f>
        <v>STATE203E</v>
      </c>
      <c r="D1104" s="12">
        <f ca="1">IF(TOTALCO!D218="", "",TOTALCO!D218)</f>
        <v>-1535639</v>
      </c>
      <c r="E1104" s="12" t="str">
        <f>IF(TOTALCO!E218="", "",TOTALCO!E218)</f>
        <v/>
      </c>
      <c r="F1104" s="12">
        <f ca="1">IF(TOTALCO!F218="", "",TOTALCO!F218)</f>
        <v>-1512108</v>
      </c>
      <c r="G1104" s="12" t="str">
        <f>IF(TOTALCO!G218="", "",TOTALCO!G218)</f>
        <v/>
      </c>
      <c r="H1104" s="12">
        <f ca="1">IF(TOTALCO!H218="", "",TOTALCO!H218)</f>
        <v>0</v>
      </c>
      <c r="I1104" s="12">
        <f ca="1">IF(TOTALCO!I218="", "",TOTALCO!I218)</f>
        <v>-23531</v>
      </c>
      <c r="J1104" s="12" t="str">
        <f>IF(TOTALCO!J218="", "",TOTALCO!J218)</f>
        <v/>
      </c>
      <c r="K1104" s="12" t="str">
        <f>IF(TOTALCO!K218="", "",TOTALCO!K218)</f>
        <v/>
      </c>
      <c r="L1104" s="12">
        <f ca="1">IF(TOTALCO!L218="", "",TOTALCO!L218)</f>
        <v>-111</v>
      </c>
      <c r="M1104" s="12" t="str">
        <f>IF(TOTALCO!M218="", "",TOTALCO!M218)</f>
        <v/>
      </c>
      <c r="N1104" s="12">
        <f ca="1">IF(TOTALCO!N218="", "",TOTALCO!N218)</f>
        <v>-23420</v>
      </c>
      <c r="O1104" s="12">
        <f ca="1">IF(TOTALCO!O218="", "",TOTALCO!O218)</f>
        <v>-12173</v>
      </c>
      <c r="P1104" s="12">
        <f ca="1">IF(TOTALCO!P218="", "",TOTALCO!P218)</f>
        <v>-11247</v>
      </c>
      <c r="Q1104" s="12"/>
    </row>
    <row r="1105" spans="1:17" ht="15" x14ac:dyDescent="0.2">
      <c r="A1105" s="321">
        <f>IF(TOTALCO!A219="", "",TOTALCO!A219)</f>
        <v>9</v>
      </c>
      <c r="B1105" s="4" t="str">
        <f>IF(TOTALCO!B219="", "",TOTALCO!B219)</f>
        <v>ALLOC O&amp;M LABOR EXPENSE EXCL FERC</v>
      </c>
      <c r="C1105" s="4" t="str">
        <f>IF(TOTALCO!C219="", "",TOTALCO!C219)</f>
        <v>LABORXF</v>
      </c>
      <c r="D1105" s="12">
        <f ca="1">IF(TOTALCO!D219="", "",TOTALCO!D219)</f>
        <v>176737014.39915222</v>
      </c>
      <c r="E1105" s="12" t="str">
        <f>IF(TOTALCO!E219="", "",TOTALCO!E219)</f>
        <v/>
      </c>
      <c r="F1105" s="12">
        <f ca="1">IF(TOTALCO!F219="", "",TOTALCO!F219)</f>
        <v>168255995.62654746</v>
      </c>
      <c r="G1105" s="12" t="str">
        <f>IF(TOTALCO!G219="", "",TOTALCO!G219)</f>
        <v/>
      </c>
      <c r="H1105" s="12">
        <f ca="1">IF(TOTALCO!H219="", "",TOTALCO!H219)</f>
        <v>8468966.3711773921</v>
      </c>
      <c r="I1105" s="12">
        <f ca="1">IF(TOTALCO!I219="", "",TOTALCO!I219)</f>
        <v>12052.401427364233</v>
      </c>
      <c r="J1105" s="12" t="str">
        <f>IF(TOTALCO!J219="", "",TOTALCO!J219)</f>
        <v/>
      </c>
      <c r="K1105" s="12" t="str">
        <f>IF(TOTALCO!K219="", "",TOTALCO!K219)</f>
        <v/>
      </c>
      <c r="L1105" s="12">
        <f ca="1">IF(TOTALCO!L219="", "",TOTALCO!L219)</f>
        <v>12052.401427364233</v>
      </c>
      <c r="M1105" s="12" t="str">
        <f>IF(TOTALCO!M219="", "",TOTALCO!M219)</f>
        <v/>
      </c>
      <c r="N1105" s="12">
        <f>IF(TOTALCO!N219="", "",TOTALCO!N219)</f>
        <v>0</v>
      </c>
      <c r="O1105" s="12">
        <f>IF(TOTALCO!O219="", "",TOTALCO!O219)</f>
        <v>0</v>
      </c>
      <c r="P1105" s="12">
        <f>IF(TOTALCO!P219="", "",TOTALCO!P219)</f>
        <v>0</v>
      </c>
      <c r="Q1105" s="12"/>
    </row>
    <row r="1106" spans="1:17" ht="15" x14ac:dyDescent="0.2">
      <c r="A1106" s="321">
        <f>IF(TOTALCO!A220="", "",TOTALCO!A220)</f>
        <v>10</v>
      </c>
      <c r="B1106" s="4" t="str">
        <f>IF(TOTALCO!B220="", "",TOTALCO!B220)</f>
        <v>TRANSM KENTUCKY SYS PROP XFERC</v>
      </c>
      <c r="C1106" s="4" t="str">
        <f>IF(TOTALCO!C220="", "",TOTALCO!C220)</f>
        <v>KYTRPLTXF</v>
      </c>
      <c r="D1106" s="12">
        <f ca="1">IF(TOTALCO!D220="", "",TOTALCO!D220)</f>
        <v>1069255389.5925893</v>
      </c>
      <c r="E1106" s="12" t="str">
        <f>IF(TOTALCO!E220="", "",TOTALCO!E220)</f>
        <v/>
      </c>
      <c r="F1106" s="12">
        <f ca="1">IF(TOTALCO!F220="", "",TOTALCO!F220)</f>
        <v>1021671276.4083883</v>
      </c>
      <c r="G1106" s="12" t="str">
        <f>IF(TOTALCO!G220="", "",TOTALCO!G220)</f>
        <v/>
      </c>
      <c r="H1106" s="12">
        <f ca="1">IF(TOTALCO!H220="", "",TOTALCO!H220)</f>
        <v>47580842.050373152</v>
      </c>
      <c r="I1106" s="12">
        <f ca="1">IF(TOTALCO!I220="", "",TOTALCO!I220)</f>
        <v>3271.1338277682412</v>
      </c>
      <c r="J1106" s="12" t="str">
        <f>IF(TOTALCO!J220="", "",TOTALCO!J220)</f>
        <v/>
      </c>
      <c r="K1106" s="12" t="str">
        <f>IF(TOTALCO!K220="", "",TOTALCO!K220)</f>
        <v/>
      </c>
      <c r="L1106" s="12">
        <f ca="1">IF(TOTALCO!L220="", "",TOTALCO!L220)</f>
        <v>3271.1338277682412</v>
      </c>
      <c r="M1106" s="12" t="str">
        <f>IF(TOTALCO!M220="", "",TOTALCO!M220)</f>
        <v/>
      </c>
      <c r="N1106" s="12">
        <f>IF(TOTALCO!N220="", "",TOTALCO!N220)</f>
        <v>0</v>
      </c>
      <c r="O1106" s="12">
        <f>IF(TOTALCO!O220="", "",TOTALCO!O220)</f>
        <v>0</v>
      </c>
      <c r="P1106" s="12">
        <f>IF(TOTALCO!P220="", "",TOTALCO!P220)</f>
        <v>0</v>
      </c>
      <c r="Q1106" s="12"/>
    </row>
    <row r="1107" spans="1:17" ht="15" x14ac:dyDescent="0.2">
      <c r="A1107" s="321">
        <f>IF(TOTALCO!A221="", "",TOTALCO!A221)</f>
        <v>11</v>
      </c>
      <c r="B1107" s="4" t="str">
        <f>IF(TOTALCO!B221="", "",TOTALCO!B221)</f>
        <v/>
      </c>
      <c r="C1107" s="4" t="str">
        <f>IF(TOTALCO!C221="", "",TOTALCO!C221)</f>
        <v/>
      </c>
      <c r="D1107" s="12" t="str">
        <f>IF(TOTALCO!D221="", "",TOTALCO!D221)</f>
        <v/>
      </c>
      <c r="E1107" s="12" t="str">
        <f>IF(TOTALCO!E221="", "",TOTALCO!E221)</f>
        <v/>
      </c>
      <c r="F1107" s="12" t="str">
        <f>IF(TOTALCO!F221="", "",TOTALCO!F221)</f>
        <v/>
      </c>
      <c r="G1107" s="12" t="str">
        <f>IF(TOTALCO!G221="", "",TOTALCO!G221)</f>
        <v/>
      </c>
      <c r="H1107" s="12" t="str">
        <f>IF(TOTALCO!H221="", "",TOTALCO!H221)</f>
        <v/>
      </c>
      <c r="I1107" s="12" t="str">
        <f>IF(TOTALCO!I221="", "",TOTALCO!I221)</f>
        <v/>
      </c>
      <c r="J1107" s="12" t="str">
        <f>IF(TOTALCO!J221="", "",TOTALCO!J221)</f>
        <v/>
      </c>
      <c r="K1107" s="12" t="str">
        <f>IF(TOTALCO!K221="", "",TOTALCO!K221)</f>
        <v/>
      </c>
      <c r="L1107" s="12" t="str">
        <f>IF(TOTALCO!L221="", "",TOTALCO!L221)</f>
        <v/>
      </c>
      <c r="M1107" s="12" t="str">
        <f>IF(TOTALCO!M221="", "",TOTALCO!M221)</f>
        <v/>
      </c>
      <c r="N1107" s="12" t="str">
        <f>IF(TOTALCO!N221="", "",TOTALCO!N221)</f>
        <v/>
      </c>
      <c r="O1107" s="12" t="str">
        <f>IF(TOTALCO!O221="", "",TOTALCO!O221)</f>
        <v/>
      </c>
      <c r="P1107" s="12" t="str">
        <f>IF(TOTALCO!P221="", "",TOTALCO!P221)</f>
        <v/>
      </c>
      <c r="Q1107" s="12"/>
    </row>
    <row r="1108" spans="1:17" ht="15" x14ac:dyDescent="0.2">
      <c r="A1108" s="321">
        <f>IF(TOTALCO!A222="", "",TOTALCO!A222)</f>
        <v>12</v>
      </c>
      <c r="B1108" s="4" t="str">
        <f>IF(TOTALCO!B222="", "",TOTALCO!B222)</f>
        <v/>
      </c>
      <c r="C1108" s="4" t="str">
        <f>IF(TOTALCO!C222="", "",TOTALCO!C222)</f>
        <v/>
      </c>
      <c r="D1108" s="12" t="str">
        <f>IF(TOTALCO!D222="", "",TOTALCO!D222)</f>
        <v/>
      </c>
      <c r="E1108" s="12" t="str">
        <f>IF(TOTALCO!E222="", "",TOTALCO!E222)</f>
        <v/>
      </c>
      <c r="F1108" s="12" t="str">
        <f>IF(TOTALCO!F222="", "",TOTALCO!F222)</f>
        <v/>
      </c>
      <c r="G1108" s="12" t="str">
        <f>IF(TOTALCO!G222="", "",TOTALCO!G222)</f>
        <v/>
      </c>
      <c r="H1108" s="12" t="str">
        <f>IF(TOTALCO!H222="", "",TOTALCO!H222)</f>
        <v/>
      </c>
      <c r="I1108" s="12" t="str">
        <f>IF(TOTALCO!I222="", "",TOTALCO!I222)</f>
        <v/>
      </c>
      <c r="J1108" s="12" t="str">
        <f>IF(TOTALCO!J222="", "",TOTALCO!J222)</f>
        <v/>
      </c>
      <c r="K1108" s="12" t="str">
        <f>IF(TOTALCO!K222="", "",TOTALCO!K222)</f>
        <v/>
      </c>
      <c r="L1108" s="12" t="str">
        <f>IF(TOTALCO!L222="", "",TOTALCO!L222)</f>
        <v/>
      </c>
      <c r="M1108" s="12" t="str">
        <f>IF(TOTALCO!M222="", "",TOTALCO!M222)</f>
        <v/>
      </c>
      <c r="N1108" s="12" t="str">
        <f>IF(TOTALCO!N222="", "",TOTALCO!N222)</f>
        <v/>
      </c>
      <c r="O1108" s="12" t="str">
        <f>IF(TOTALCO!O222="", "",TOTALCO!O222)</f>
        <v/>
      </c>
      <c r="P1108" s="12" t="str">
        <f>IF(TOTALCO!P222="", "",TOTALCO!P222)</f>
        <v/>
      </c>
      <c r="Q1108" s="12"/>
    </row>
    <row r="1109" spans="1:17" ht="15" x14ac:dyDescent="0.2">
      <c r="A1109" s="321">
        <f>IF(TOTALCO!A223="", "",TOTALCO!A223)</f>
        <v>13</v>
      </c>
      <c r="B1109" s="4" t="str">
        <f>IF(TOTALCO!B223="", "",TOTALCO!B223)</f>
        <v/>
      </c>
      <c r="C1109" s="4" t="str">
        <f>IF(TOTALCO!C223="", "",TOTALCO!C223)</f>
        <v/>
      </c>
      <c r="D1109" s="12" t="str">
        <f>IF(TOTALCO!D223="", "",TOTALCO!D223)</f>
        <v/>
      </c>
      <c r="E1109" s="12" t="str">
        <f>IF(TOTALCO!E223="", "",TOTALCO!E223)</f>
        <v/>
      </c>
      <c r="F1109" s="12" t="str">
        <f>IF(TOTALCO!F223="", "",TOTALCO!F223)</f>
        <v/>
      </c>
      <c r="G1109" s="12" t="str">
        <f>IF(TOTALCO!G223="", "",TOTALCO!G223)</f>
        <v/>
      </c>
      <c r="H1109" s="12" t="str">
        <f>IF(TOTALCO!H223="", "",TOTALCO!H223)</f>
        <v/>
      </c>
      <c r="I1109" s="12" t="str">
        <f>IF(TOTALCO!I223="", "",TOTALCO!I223)</f>
        <v/>
      </c>
      <c r="J1109" s="12" t="str">
        <f>IF(TOTALCO!J223="", "",TOTALCO!J223)</f>
        <v/>
      </c>
      <c r="K1109" s="12" t="str">
        <f>IF(TOTALCO!K223="", "",TOTALCO!K223)</f>
        <v/>
      </c>
      <c r="L1109" s="12" t="str">
        <f>IF(TOTALCO!L223="", "",TOTALCO!L223)</f>
        <v/>
      </c>
      <c r="M1109" s="12" t="str">
        <f>IF(TOTALCO!M223="", "",TOTALCO!M223)</f>
        <v/>
      </c>
      <c r="N1109" s="12" t="str">
        <f>IF(TOTALCO!N223="", "",TOTALCO!N223)</f>
        <v/>
      </c>
      <c r="O1109" s="12" t="str">
        <f>IF(TOTALCO!O223="", "",TOTALCO!O223)</f>
        <v/>
      </c>
      <c r="P1109" s="12" t="str">
        <f>IF(TOTALCO!P223="", "",TOTALCO!P223)</f>
        <v/>
      </c>
      <c r="Q1109" s="12"/>
    </row>
    <row r="1110" spans="1:17" ht="15" x14ac:dyDescent="0.2">
      <c r="A1110" s="321">
        <f>IF(TOTALCO!A224="", "",TOTALCO!A224)</f>
        <v>14</v>
      </c>
      <c r="B1110" s="4" t="str">
        <f>IF(TOTALCO!B224="", "",TOTALCO!B224)</f>
        <v/>
      </c>
      <c r="C1110" s="4" t="str">
        <f>IF(TOTALCO!C224="", "",TOTALCO!C224)</f>
        <v/>
      </c>
      <c r="D1110" s="12" t="str">
        <f>IF(TOTALCO!D224="", "",TOTALCO!D224)</f>
        <v/>
      </c>
      <c r="E1110" s="12" t="str">
        <f>IF(TOTALCO!E224="", "",TOTALCO!E224)</f>
        <v/>
      </c>
      <c r="F1110" s="12" t="str">
        <f>IF(TOTALCO!F224="", "",TOTALCO!F224)</f>
        <v/>
      </c>
      <c r="G1110" s="12" t="str">
        <f>IF(TOTALCO!G224="", "",TOTALCO!G224)</f>
        <v/>
      </c>
      <c r="H1110" s="12" t="str">
        <f>IF(TOTALCO!H224="", "",TOTALCO!H224)</f>
        <v/>
      </c>
      <c r="I1110" s="12" t="str">
        <f>IF(TOTALCO!I224="", "",TOTALCO!I224)</f>
        <v/>
      </c>
      <c r="J1110" s="12" t="str">
        <f>IF(TOTALCO!J224="", "",TOTALCO!J224)</f>
        <v/>
      </c>
      <c r="K1110" s="12" t="str">
        <f>IF(TOTALCO!K224="", "",TOTALCO!K224)</f>
        <v/>
      </c>
      <c r="L1110" s="12" t="str">
        <f>IF(TOTALCO!L224="", "",TOTALCO!L224)</f>
        <v/>
      </c>
      <c r="M1110" s="12" t="str">
        <f>IF(TOTALCO!M224="", "",TOTALCO!M224)</f>
        <v/>
      </c>
      <c r="N1110" s="12" t="str">
        <f>IF(TOTALCO!N224="", "",TOTALCO!N224)</f>
        <v/>
      </c>
      <c r="O1110" s="12" t="str">
        <f>IF(TOTALCO!O224="", "",TOTALCO!O224)</f>
        <v/>
      </c>
      <c r="P1110" s="12" t="str">
        <f>IF(TOTALCO!P224="", "",TOTALCO!P224)</f>
        <v/>
      </c>
      <c r="Q1110" s="12"/>
    </row>
    <row r="1111" spans="1:17" ht="15" x14ac:dyDescent="0.2">
      <c r="A1111" s="321">
        <f>IF(TOTALCO!A225="", "",TOTALCO!A225)</f>
        <v>15</v>
      </c>
      <c r="B1111" s="4" t="str">
        <f>IF(TOTALCO!B225="", "",TOTALCO!B225)</f>
        <v/>
      </c>
      <c r="C1111" s="4" t="str">
        <f>IF(TOTALCO!C225="", "",TOTALCO!C225)</f>
        <v/>
      </c>
      <c r="D1111" s="12" t="str">
        <f>IF(TOTALCO!D225="", "",TOTALCO!D225)</f>
        <v/>
      </c>
      <c r="E1111" s="12" t="str">
        <f>IF(TOTALCO!E225="", "",TOTALCO!E225)</f>
        <v/>
      </c>
      <c r="F1111" s="12" t="str">
        <f>IF(TOTALCO!F225="", "",TOTALCO!F225)</f>
        <v/>
      </c>
      <c r="G1111" s="12" t="str">
        <f>IF(TOTALCO!G225="", "",TOTALCO!G225)</f>
        <v/>
      </c>
      <c r="H1111" s="12" t="str">
        <f>IF(TOTALCO!H225="", "",TOTALCO!H225)</f>
        <v/>
      </c>
      <c r="I1111" s="12" t="str">
        <f>IF(TOTALCO!I225="", "",TOTALCO!I225)</f>
        <v/>
      </c>
      <c r="J1111" s="12" t="str">
        <f>IF(TOTALCO!J225="", "",TOTALCO!J225)</f>
        <v/>
      </c>
      <c r="K1111" s="12" t="str">
        <f>IF(TOTALCO!K225="", "",TOTALCO!K225)</f>
        <v/>
      </c>
      <c r="L1111" s="12" t="str">
        <f>IF(TOTALCO!L225="", "",TOTALCO!L225)</f>
        <v/>
      </c>
      <c r="M1111" s="12" t="str">
        <f>IF(TOTALCO!M225="", "",TOTALCO!M225)</f>
        <v/>
      </c>
      <c r="N1111" s="12" t="str">
        <f>IF(TOTALCO!N225="", "",TOTALCO!N225)</f>
        <v/>
      </c>
      <c r="O1111" s="12" t="str">
        <f>IF(TOTALCO!O225="", "",TOTALCO!O225)</f>
        <v/>
      </c>
      <c r="P1111" s="12" t="str">
        <f>IF(TOTALCO!P225="", "",TOTALCO!P225)</f>
        <v/>
      </c>
      <c r="Q1111" s="12"/>
    </row>
    <row r="1112" spans="1:17" ht="15" x14ac:dyDescent="0.2">
      <c r="A1112" s="321">
        <f>IF(TOTALCO!A226="", "",TOTALCO!A226)</f>
        <v>16</v>
      </c>
      <c r="B1112" s="4" t="str">
        <f>IF(TOTALCO!B226="", "",TOTALCO!B226)</f>
        <v/>
      </c>
      <c r="C1112" s="4" t="str">
        <f>IF(TOTALCO!C226="", "",TOTALCO!C226)</f>
        <v/>
      </c>
      <c r="D1112" s="12" t="str">
        <f>IF(TOTALCO!D226="", "",TOTALCO!D226)</f>
        <v/>
      </c>
      <c r="E1112" s="12" t="str">
        <f>IF(TOTALCO!E226="", "",TOTALCO!E226)</f>
        <v/>
      </c>
      <c r="F1112" s="12" t="str">
        <f>IF(TOTALCO!F226="", "",TOTALCO!F226)</f>
        <v/>
      </c>
      <c r="G1112" s="12" t="str">
        <f>IF(TOTALCO!G226="", "",TOTALCO!G226)</f>
        <v/>
      </c>
      <c r="H1112" s="12" t="str">
        <f>IF(TOTALCO!H226="", "",TOTALCO!H226)</f>
        <v/>
      </c>
      <c r="I1112" s="12" t="str">
        <f>IF(TOTALCO!I226="", "",TOTALCO!I226)</f>
        <v/>
      </c>
      <c r="J1112" s="12" t="str">
        <f>IF(TOTALCO!J226="", "",TOTALCO!J226)</f>
        <v/>
      </c>
      <c r="K1112" s="12" t="str">
        <f>IF(TOTALCO!K226="", "",TOTALCO!K226)</f>
        <v/>
      </c>
      <c r="L1112" s="12" t="str">
        <f>IF(TOTALCO!L226="", "",TOTALCO!L226)</f>
        <v/>
      </c>
      <c r="M1112" s="12" t="str">
        <f>IF(TOTALCO!M226="", "",TOTALCO!M226)</f>
        <v/>
      </c>
      <c r="N1112" s="12" t="str">
        <f>IF(TOTALCO!N226="", "",TOTALCO!N226)</f>
        <v/>
      </c>
      <c r="O1112" s="12" t="str">
        <f>IF(TOTALCO!O226="", "",TOTALCO!O226)</f>
        <v/>
      </c>
      <c r="P1112" s="12" t="str">
        <f>IF(TOTALCO!P226="", "",TOTALCO!P226)</f>
        <v/>
      </c>
      <c r="Q1112" s="12"/>
    </row>
    <row r="1113" spans="1:17" ht="15" x14ac:dyDescent="0.2">
      <c r="A1113" s="321">
        <f>IF(TOTALCO!A227="", "",TOTALCO!A227)</f>
        <v>17</v>
      </c>
      <c r="B1113" s="4" t="str">
        <f>IF(TOTALCO!B227="", "",TOTALCO!B227)</f>
        <v/>
      </c>
      <c r="C1113" s="4" t="str">
        <f>IF(TOTALCO!C227="", "",TOTALCO!C227)</f>
        <v/>
      </c>
      <c r="D1113" s="12" t="str">
        <f>IF(TOTALCO!D227="", "",TOTALCO!D227)</f>
        <v/>
      </c>
      <c r="E1113" s="12" t="str">
        <f>IF(TOTALCO!E227="", "",TOTALCO!E227)</f>
        <v/>
      </c>
      <c r="F1113" s="12" t="str">
        <f>IF(TOTALCO!F227="", "",TOTALCO!F227)</f>
        <v/>
      </c>
      <c r="G1113" s="12" t="str">
        <f>IF(TOTALCO!G227="", "",TOTALCO!G227)</f>
        <v/>
      </c>
      <c r="H1113" s="12" t="str">
        <f>IF(TOTALCO!H227="", "",TOTALCO!H227)</f>
        <v/>
      </c>
      <c r="I1113" s="12" t="str">
        <f>IF(TOTALCO!I227="", "",TOTALCO!I227)</f>
        <v/>
      </c>
      <c r="J1113" s="12" t="str">
        <f>IF(TOTALCO!J227="", "",TOTALCO!J227)</f>
        <v/>
      </c>
      <c r="K1113" s="12" t="str">
        <f>IF(TOTALCO!K227="", "",TOTALCO!K227)</f>
        <v/>
      </c>
      <c r="L1113" s="12" t="str">
        <f>IF(TOTALCO!L227="", "",TOTALCO!L227)</f>
        <v/>
      </c>
      <c r="M1113" s="12" t="str">
        <f>IF(TOTALCO!M227="", "",TOTALCO!M227)</f>
        <v/>
      </c>
      <c r="N1113" s="12" t="str">
        <f>IF(TOTALCO!N227="", "",TOTALCO!N227)</f>
        <v/>
      </c>
      <c r="O1113" s="12" t="str">
        <f>IF(TOTALCO!O227="", "",TOTALCO!O227)</f>
        <v/>
      </c>
      <c r="P1113" s="12" t="str">
        <f>IF(TOTALCO!P227="", "",TOTALCO!P227)</f>
        <v/>
      </c>
      <c r="Q1113" s="12"/>
    </row>
    <row r="1114" spans="1:17" ht="15" x14ac:dyDescent="0.2">
      <c r="A1114" s="321">
        <f>IF(TOTALCO!A228="", "",TOTALCO!A228)</f>
        <v>18</v>
      </c>
      <c r="B1114" s="4" t="str">
        <f>IF(TOTALCO!B228="", "",TOTALCO!B228)</f>
        <v/>
      </c>
      <c r="C1114" s="4" t="str">
        <f>IF(TOTALCO!C228="", "",TOTALCO!C228)</f>
        <v/>
      </c>
      <c r="D1114" s="12" t="str">
        <f>IF(TOTALCO!D228="", "",TOTALCO!D228)</f>
        <v/>
      </c>
      <c r="E1114" s="12" t="str">
        <f>IF(TOTALCO!E228="", "",TOTALCO!E228)</f>
        <v/>
      </c>
      <c r="F1114" s="12" t="str">
        <f>IF(TOTALCO!F228="", "",TOTALCO!F228)</f>
        <v/>
      </c>
      <c r="G1114" s="12" t="str">
        <f>IF(TOTALCO!G228="", "",TOTALCO!G228)</f>
        <v/>
      </c>
      <c r="H1114" s="12" t="str">
        <f>IF(TOTALCO!H228="", "",TOTALCO!H228)</f>
        <v/>
      </c>
      <c r="I1114" s="12" t="str">
        <f>IF(TOTALCO!I228="", "",TOTALCO!I228)</f>
        <v/>
      </c>
      <c r="J1114" s="12" t="str">
        <f>IF(TOTALCO!J228="", "",TOTALCO!J228)</f>
        <v/>
      </c>
      <c r="K1114" s="12" t="str">
        <f>IF(TOTALCO!K228="", "",TOTALCO!K228)</f>
        <v/>
      </c>
      <c r="L1114" s="12" t="str">
        <f>IF(TOTALCO!L228="", "",TOTALCO!L228)</f>
        <v/>
      </c>
      <c r="M1114" s="12" t="str">
        <f>IF(TOTALCO!M228="", "",TOTALCO!M228)</f>
        <v/>
      </c>
      <c r="N1114" s="12" t="str">
        <f>IF(TOTALCO!N228="", "",TOTALCO!N228)</f>
        <v/>
      </c>
      <c r="O1114" s="12" t="str">
        <f>IF(TOTALCO!O228="", "",TOTALCO!O228)</f>
        <v/>
      </c>
      <c r="P1114" s="12" t="str">
        <f>IF(TOTALCO!P228="", "",TOTALCO!P228)</f>
        <v/>
      </c>
      <c r="Q1114" s="12"/>
    </row>
    <row r="1115" spans="1:17" ht="15" x14ac:dyDescent="0.2">
      <c r="A1115" s="321">
        <f>IF(TOTALCO!A229="", "",TOTALCO!A229)</f>
        <v>19</v>
      </c>
      <c r="B1115" s="4" t="str">
        <f>IF(TOTALCO!B229="", "",TOTALCO!B229)</f>
        <v/>
      </c>
      <c r="C1115" s="4" t="str">
        <f>IF(TOTALCO!C229="", "",TOTALCO!C229)</f>
        <v/>
      </c>
      <c r="D1115" s="12" t="str">
        <f>IF(TOTALCO!D229="", "",TOTALCO!D229)</f>
        <v/>
      </c>
      <c r="E1115" s="12" t="str">
        <f>IF(TOTALCO!E229="", "",TOTALCO!E229)</f>
        <v/>
      </c>
      <c r="F1115" s="12" t="str">
        <f>IF(TOTALCO!F229="", "",TOTALCO!F229)</f>
        <v/>
      </c>
      <c r="G1115" s="12" t="str">
        <f>IF(TOTALCO!G229="", "",TOTALCO!G229)</f>
        <v/>
      </c>
      <c r="H1115" s="12" t="str">
        <f>IF(TOTALCO!H229="", "",TOTALCO!H229)</f>
        <v/>
      </c>
      <c r="I1115" s="12" t="str">
        <f>IF(TOTALCO!I229="", "",TOTALCO!I229)</f>
        <v/>
      </c>
      <c r="J1115" s="12" t="str">
        <f>IF(TOTALCO!J229="", "",TOTALCO!J229)</f>
        <v/>
      </c>
      <c r="K1115" s="12" t="str">
        <f>IF(TOTALCO!K229="", "",TOTALCO!K229)</f>
        <v/>
      </c>
      <c r="L1115" s="12" t="str">
        <f>IF(TOTALCO!L229="", "",TOTALCO!L229)</f>
        <v/>
      </c>
      <c r="M1115" s="12" t="str">
        <f>IF(TOTALCO!M229="", "",TOTALCO!M229)</f>
        <v/>
      </c>
      <c r="N1115" s="12" t="str">
        <f>IF(TOTALCO!N229="", "",TOTALCO!N229)</f>
        <v/>
      </c>
      <c r="O1115" s="12" t="str">
        <f>IF(TOTALCO!O229="", "",TOTALCO!O229)</f>
        <v/>
      </c>
      <c r="P1115" s="12" t="str">
        <f>IF(TOTALCO!P229="", "",TOTALCO!P229)</f>
        <v/>
      </c>
      <c r="Q1115" s="12"/>
    </row>
    <row r="1116" spans="1:17" ht="15" x14ac:dyDescent="0.2">
      <c r="A1116" s="321">
        <f>IF(TOTALCO!A230="", "",TOTALCO!A230)</f>
        <v>20</v>
      </c>
      <c r="B1116" s="4" t="str">
        <f>IF(TOTALCO!B230="", "",TOTALCO!B230)</f>
        <v/>
      </c>
      <c r="C1116" s="4" t="str">
        <f>IF(TOTALCO!C230="", "",TOTALCO!C230)</f>
        <v/>
      </c>
      <c r="D1116" s="12" t="str">
        <f>IF(TOTALCO!D230="", "",TOTALCO!D230)</f>
        <v/>
      </c>
      <c r="E1116" s="12" t="str">
        <f>IF(TOTALCO!E230="", "",TOTALCO!E230)</f>
        <v/>
      </c>
      <c r="F1116" s="12" t="str">
        <f>IF(TOTALCO!F230="", "",TOTALCO!F230)</f>
        <v/>
      </c>
      <c r="G1116" s="12" t="str">
        <f>IF(TOTALCO!G230="", "",TOTALCO!G230)</f>
        <v/>
      </c>
      <c r="H1116" s="12" t="str">
        <f>IF(TOTALCO!H230="", "",TOTALCO!H230)</f>
        <v/>
      </c>
      <c r="I1116" s="12" t="str">
        <f>IF(TOTALCO!I230="", "",TOTALCO!I230)</f>
        <v/>
      </c>
      <c r="J1116" s="12" t="str">
        <f>IF(TOTALCO!J230="", "",TOTALCO!J230)</f>
        <v/>
      </c>
      <c r="K1116" s="12" t="str">
        <f>IF(TOTALCO!K230="", "",TOTALCO!K230)</f>
        <v/>
      </c>
      <c r="L1116" s="12" t="str">
        <f>IF(TOTALCO!L230="", "",TOTALCO!L230)</f>
        <v/>
      </c>
      <c r="M1116" s="12" t="str">
        <f>IF(TOTALCO!M230="", "",TOTALCO!M230)</f>
        <v/>
      </c>
      <c r="N1116" s="12" t="str">
        <f>IF(TOTALCO!N230="", "",TOTALCO!N230)</f>
        <v/>
      </c>
      <c r="O1116" s="12" t="str">
        <f>IF(TOTALCO!O230="", "",TOTALCO!O230)</f>
        <v/>
      </c>
      <c r="P1116" s="12" t="str">
        <f>IF(TOTALCO!P230="", "",TOTALCO!P230)</f>
        <v/>
      </c>
      <c r="Q1116" s="12"/>
    </row>
    <row r="1117" spans="1:17" ht="15" x14ac:dyDescent="0.2">
      <c r="A1117" s="321">
        <f>IF(TOTALCO!A231="", "",TOTALCO!A231)</f>
        <v>21</v>
      </c>
      <c r="B1117" s="4" t="str">
        <f>IF(TOTALCO!B231="", "",TOTALCO!B231)</f>
        <v/>
      </c>
      <c r="C1117" s="4" t="str">
        <f>IF(TOTALCO!C231="", "",TOTALCO!C231)</f>
        <v/>
      </c>
      <c r="D1117" s="12" t="str">
        <f>IF(TOTALCO!D231="", "",TOTALCO!D231)</f>
        <v/>
      </c>
      <c r="E1117" s="12" t="str">
        <f>IF(TOTALCO!E231="", "",TOTALCO!E231)</f>
        <v/>
      </c>
      <c r="F1117" s="12" t="str">
        <f>IF(TOTALCO!F231="", "",TOTALCO!F231)</f>
        <v/>
      </c>
      <c r="G1117" s="12" t="str">
        <f>IF(TOTALCO!G231="", "",TOTALCO!G231)</f>
        <v/>
      </c>
      <c r="H1117" s="12" t="str">
        <f>IF(TOTALCO!H231="", "",TOTALCO!H231)</f>
        <v/>
      </c>
      <c r="I1117" s="12" t="str">
        <f>IF(TOTALCO!I231="", "",TOTALCO!I231)</f>
        <v/>
      </c>
      <c r="J1117" s="12" t="str">
        <f>IF(TOTALCO!J231="", "",TOTALCO!J231)</f>
        <v/>
      </c>
      <c r="K1117" s="12" t="str">
        <f>IF(TOTALCO!K231="", "",TOTALCO!K231)</f>
        <v/>
      </c>
      <c r="L1117" s="12" t="str">
        <f>IF(TOTALCO!L231="", "",TOTALCO!L231)</f>
        <v/>
      </c>
      <c r="M1117" s="12" t="str">
        <f>IF(TOTALCO!M231="", "",TOTALCO!M231)</f>
        <v/>
      </c>
      <c r="N1117" s="12" t="str">
        <f>IF(TOTALCO!N231="", "",TOTALCO!N231)</f>
        <v/>
      </c>
      <c r="O1117" s="12" t="str">
        <f>IF(TOTALCO!O231="", "",TOTALCO!O231)</f>
        <v/>
      </c>
      <c r="P1117" s="12" t="str">
        <f>IF(TOTALCO!P231="", "",TOTALCO!P231)</f>
        <v/>
      </c>
      <c r="Q1117" s="12"/>
    </row>
    <row r="1118" spans="1:17" ht="15" x14ac:dyDescent="0.2">
      <c r="A1118" s="321">
        <f>IF(TOTALCO!A232="", "",TOTALCO!A232)</f>
        <v>22</v>
      </c>
      <c r="B1118" s="4" t="str">
        <f>IF(TOTALCO!B232="", "",TOTALCO!B232)</f>
        <v/>
      </c>
      <c r="C1118" s="4" t="str">
        <f>IF(TOTALCO!C232="", "",TOTALCO!C232)</f>
        <v/>
      </c>
      <c r="D1118" s="12" t="str">
        <f>IF(TOTALCO!D232="", "",TOTALCO!D232)</f>
        <v/>
      </c>
      <c r="E1118" s="12" t="str">
        <f>IF(TOTALCO!E232="", "",TOTALCO!E232)</f>
        <v/>
      </c>
      <c r="F1118" s="12" t="str">
        <f>IF(TOTALCO!F232="", "",TOTALCO!F232)</f>
        <v/>
      </c>
      <c r="G1118" s="12" t="str">
        <f>IF(TOTALCO!G232="", "",TOTALCO!G232)</f>
        <v/>
      </c>
      <c r="H1118" s="12" t="str">
        <f>IF(TOTALCO!H232="", "",TOTALCO!H232)</f>
        <v/>
      </c>
      <c r="I1118" s="12" t="str">
        <f>IF(TOTALCO!I232="", "",TOTALCO!I232)</f>
        <v/>
      </c>
      <c r="J1118" s="12" t="str">
        <f>IF(TOTALCO!J232="", "",TOTALCO!J232)</f>
        <v/>
      </c>
      <c r="K1118" s="12" t="str">
        <f>IF(TOTALCO!K232="", "",TOTALCO!K232)</f>
        <v/>
      </c>
      <c r="L1118" s="12" t="str">
        <f>IF(TOTALCO!L232="", "",TOTALCO!L232)</f>
        <v/>
      </c>
      <c r="M1118" s="12" t="str">
        <f>IF(TOTALCO!M232="", "",TOTALCO!M232)</f>
        <v/>
      </c>
      <c r="N1118" s="12" t="str">
        <f>IF(TOTALCO!N232="", "",TOTALCO!N232)</f>
        <v/>
      </c>
      <c r="O1118" s="12" t="str">
        <f>IF(TOTALCO!O232="", "",TOTALCO!O232)</f>
        <v/>
      </c>
      <c r="P1118" s="12" t="str">
        <f>IF(TOTALCO!P232="", "",TOTALCO!P232)</f>
        <v/>
      </c>
      <c r="Q1118" s="12"/>
    </row>
    <row r="1119" spans="1:17" ht="15" x14ac:dyDescent="0.2">
      <c r="A1119" s="321">
        <f>IF(TOTALCO!A233="", "",TOTALCO!A233)</f>
        <v>23</v>
      </c>
      <c r="B1119" s="4" t="str">
        <f>IF(TOTALCO!B233="", "",TOTALCO!B233)</f>
        <v/>
      </c>
      <c r="C1119" s="4" t="str">
        <f>IF(TOTALCO!C233="", "",TOTALCO!C233)</f>
        <v/>
      </c>
      <c r="D1119" s="12" t="str">
        <f>IF(TOTALCO!D233="", "",TOTALCO!D233)</f>
        <v/>
      </c>
      <c r="E1119" s="12" t="str">
        <f>IF(TOTALCO!E233="", "",TOTALCO!E233)</f>
        <v/>
      </c>
      <c r="F1119" s="12" t="str">
        <f>IF(TOTALCO!F233="", "",TOTALCO!F233)</f>
        <v/>
      </c>
      <c r="G1119" s="12" t="str">
        <f>IF(TOTALCO!G233="", "",TOTALCO!G233)</f>
        <v/>
      </c>
      <c r="H1119" s="12" t="str">
        <f>IF(TOTALCO!H233="", "",TOTALCO!H233)</f>
        <v/>
      </c>
      <c r="I1119" s="12" t="str">
        <f>IF(TOTALCO!I233="", "",TOTALCO!I233)</f>
        <v/>
      </c>
      <c r="J1119" s="12" t="str">
        <f>IF(TOTALCO!J233="", "",TOTALCO!J233)</f>
        <v/>
      </c>
      <c r="K1119" s="12" t="str">
        <f>IF(TOTALCO!K233="", "",TOTALCO!K233)</f>
        <v/>
      </c>
      <c r="L1119" s="12" t="str">
        <f>IF(TOTALCO!L233="", "",TOTALCO!L233)</f>
        <v/>
      </c>
      <c r="M1119" s="12" t="str">
        <f>IF(TOTALCO!M233="", "",TOTALCO!M233)</f>
        <v/>
      </c>
      <c r="N1119" s="12" t="str">
        <f>IF(TOTALCO!N233="", "",TOTALCO!N233)</f>
        <v/>
      </c>
      <c r="O1119" s="12" t="str">
        <f>IF(TOTALCO!O233="", "",TOTALCO!O233)</f>
        <v/>
      </c>
      <c r="P1119" s="12" t="str">
        <f>IF(TOTALCO!P233="", "",TOTALCO!P233)</f>
        <v/>
      </c>
      <c r="Q1119" s="12"/>
    </row>
    <row r="1120" spans="1:17" ht="15" x14ac:dyDescent="0.2">
      <c r="A1120" s="321">
        <f>IF(TOTALCO!A234="", "",TOTALCO!A234)</f>
        <v>24</v>
      </c>
      <c r="B1120" s="4" t="str">
        <f>IF(TOTALCO!B234="", "",TOTALCO!B234)</f>
        <v/>
      </c>
      <c r="C1120" s="4" t="str">
        <f>IF(TOTALCO!C234="", "",TOTALCO!C234)</f>
        <v/>
      </c>
      <c r="D1120" s="12" t="str">
        <f>IF(TOTALCO!D234="", "",TOTALCO!D234)</f>
        <v/>
      </c>
      <c r="E1120" s="12" t="str">
        <f>IF(TOTALCO!E234="", "",TOTALCO!E234)</f>
        <v/>
      </c>
      <c r="F1120" s="12" t="str">
        <f>IF(TOTALCO!F234="", "",TOTALCO!F234)</f>
        <v/>
      </c>
      <c r="G1120" s="12" t="str">
        <f>IF(TOTALCO!G234="", "",TOTALCO!G234)</f>
        <v/>
      </c>
      <c r="H1120" s="12" t="str">
        <f>IF(TOTALCO!H234="", "",TOTALCO!H234)</f>
        <v/>
      </c>
      <c r="I1120" s="12" t="str">
        <f>IF(TOTALCO!I234="", "",TOTALCO!I234)</f>
        <v/>
      </c>
      <c r="J1120" s="12" t="str">
        <f>IF(TOTALCO!J234="", "",TOTALCO!J234)</f>
        <v/>
      </c>
      <c r="K1120" s="12" t="str">
        <f>IF(TOTALCO!K234="", "",TOTALCO!K234)</f>
        <v/>
      </c>
      <c r="L1120" s="12" t="str">
        <f>IF(TOTALCO!L234="", "",TOTALCO!L234)</f>
        <v/>
      </c>
      <c r="M1120" s="12" t="str">
        <f>IF(TOTALCO!M234="", "",TOTALCO!M234)</f>
        <v/>
      </c>
      <c r="N1120" s="12" t="str">
        <f>IF(TOTALCO!N234="", "",TOTALCO!N234)</f>
        <v/>
      </c>
      <c r="O1120" s="12" t="str">
        <f>IF(TOTALCO!O234="", "",TOTALCO!O234)</f>
        <v/>
      </c>
      <c r="P1120" s="12" t="str">
        <f>IF(TOTALCO!P234="", "",TOTALCO!P234)</f>
        <v/>
      </c>
      <c r="Q1120" s="12"/>
    </row>
    <row r="1121" spans="1:17" ht="15" x14ac:dyDescent="0.2">
      <c r="A1121" s="321">
        <f>IF(TOTALCO!A235="", "",TOTALCO!A235)</f>
        <v>25</v>
      </c>
      <c r="B1121" s="4" t="str">
        <f>IF(TOTALCO!B235="", "",TOTALCO!B235)</f>
        <v/>
      </c>
      <c r="C1121" s="4" t="str">
        <f>IF(TOTALCO!C235="", "",TOTALCO!C235)</f>
        <v/>
      </c>
      <c r="D1121" s="12" t="str">
        <f>IF(TOTALCO!D235="", "",TOTALCO!D235)</f>
        <v/>
      </c>
      <c r="E1121" s="12" t="str">
        <f>IF(TOTALCO!E235="", "",TOTALCO!E235)</f>
        <v/>
      </c>
      <c r="F1121" s="12" t="str">
        <f>IF(TOTALCO!F235="", "",TOTALCO!F235)</f>
        <v/>
      </c>
      <c r="G1121" s="12" t="str">
        <f>IF(TOTALCO!G235="", "",TOTALCO!G235)</f>
        <v/>
      </c>
      <c r="H1121" s="12" t="str">
        <f>IF(TOTALCO!H235="", "",TOTALCO!H235)</f>
        <v/>
      </c>
      <c r="I1121" s="12" t="str">
        <f>IF(TOTALCO!I235="", "",TOTALCO!I235)</f>
        <v/>
      </c>
      <c r="J1121" s="12" t="str">
        <f>IF(TOTALCO!J235="", "",TOTALCO!J235)</f>
        <v/>
      </c>
      <c r="K1121" s="12" t="str">
        <f>IF(TOTALCO!K235="", "",TOTALCO!K235)</f>
        <v/>
      </c>
      <c r="L1121" s="12" t="str">
        <f>IF(TOTALCO!L235="", "",TOTALCO!L235)</f>
        <v/>
      </c>
      <c r="M1121" s="12" t="str">
        <f>IF(TOTALCO!M235="", "",TOTALCO!M235)</f>
        <v/>
      </c>
      <c r="N1121" s="12" t="str">
        <f>IF(TOTALCO!N235="", "",TOTALCO!N235)</f>
        <v/>
      </c>
      <c r="O1121" s="12" t="str">
        <f>IF(TOTALCO!O235="", "",TOTALCO!O235)</f>
        <v/>
      </c>
      <c r="P1121" s="12" t="str">
        <f>IF(TOTALCO!P235="", "",TOTALCO!P235)</f>
        <v/>
      </c>
      <c r="Q1121" s="12"/>
    </row>
    <row r="1122" spans="1:17" ht="15" x14ac:dyDescent="0.2">
      <c r="A1122" s="321">
        <f>IF(TOTALCO!A236="", "",TOTALCO!A236)</f>
        <v>26</v>
      </c>
      <c r="B1122" s="4" t="str">
        <f>IF(TOTALCO!B236="", "",TOTALCO!B236)</f>
        <v/>
      </c>
      <c r="C1122" s="4" t="str">
        <f>IF(TOTALCO!C236="", "",TOTALCO!C236)</f>
        <v/>
      </c>
      <c r="D1122" s="12" t="str">
        <f>IF(TOTALCO!D236="", "",TOTALCO!D236)</f>
        <v/>
      </c>
      <c r="E1122" s="12" t="str">
        <f>IF(TOTALCO!E236="", "",TOTALCO!E236)</f>
        <v/>
      </c>
      <c r="F1122" s="12" t="str">
        <f>IF(TOTALCO!F236="", "",TOTALCO!F236)</f>
        <v/>
      </c>
      <c r="G1122" s="12" t="str">
        <f>IF(TOTALCO!G236="", "",TOTALCO!G236)</f>
        <v/>
      </c>
      <c r="H1122" s="12" t="str">
        <f>IF(TOTALCO!H236="", "",TOTALCO!H236)</f>
        <v/>
      </c>
      <c r="I1122" s="12" t="str">
        <f>IF(TOTALCO!I236="", "",TOTALCO!I236)</f>
        <v/>
      </c>
      <c r="J1122" s="12" t="str">
        <f>IF(TOTALCO!J236="", "",TOTALCO!J236)</f>
        <v/>
      </c>
      <c r="K1122" s="12" t="str">
        <f>IF(TOTALCO!K236="", "",TOTALCO!K236)</f>
        <v/>
      </c>
      <c r="L1122" s="12" t="str">
        <f>IF(TOTALCO!L236="", "",TOTALCO!L236)</f>
        <v/>
      </c>
      <c r="M1122" s="12" t="str">
        <f>IF(TOTALCO!M236="", "",TOTALCO!M236)</f>
        <v/>
      </c>
      <c r="N1122" s="12" t="str">
        <f>IF(TOTALCO!N236="", "",TOTALCO!N236)</f>
        <v/>
      </c>
      <c r="O1122" s="12" t="str">
        <f>IF(TOTALCO!O236="", "",TOTALCO!O236)</f>
        <v/>
      </c>
      <c r="P1122" s="12" t="str">
        <f>IF(TOTALCO!P236="", "",TOTALCO!P236)</f>
        <v/>
      </c>
      <c r="Q1122" s="12"/>
    </row>
    <row r="1123" spans="1:17" ht="15" x14ac:dyDescent="0.2">
      <c r="A1123" s="321">
        <f>IF(TOTALCO!A237="", "",TOTALCO!A237)</f>
        <v>27</v>
      </c>
      <c r="B1123" s="4" t="str">
        <f>IF(TOTALCO!B237="", "",TOTALCO!B237)</f>
        <v/>
      </c>
      <c r="C1123" s="4" t="str">
        <f>IF(TOTALCO!C237="", "",TOTALCO!C237)</f>
        <v/>
      </c>
      <c r="D1123" s="12" t="str">
        <f>IF(TOTALCO!D237="", "",TOTALCO!D237)</f>
        <v/>
      </c>
      <c r="E1123" s="12" t="str">
        <f>IF(TOTALCO!E237="", "",TOTALCO!E237)</f>
        <v/>
      </c>
      <c r="F1123" s="12" t="str">
        <f>IF(TOTALCO!F237="", "",TOTALCO!F237)</f>
        <v/>
      </c>
      <c r="G1123" s="12" t="str">
        <f>IF(TOTALCO!G237="", "",TOTALCO!G237)</f>
        <v/>
      </c>
      <c r="H1123" s="12" t="str">
        <f>IF(TOTALCO!H237="", "",TOTALCO!H237)</f>
        <v/>
      </c>
      <c r="I1123" s="12" t="str">
        <f>IF(TOTALCO!I237="", "",TOTALCO!I237)</f>
        <v/>
      </c>
      <c r="J1123" s="12" t="str">
        <f>IF(TOTALCO!J237="", "",TOTALCO!J237)</f>
        <v/>
      </c>
      <c r="K1123" s="12" t="str">
        <f>IF(TOTALCO!K237="", "",TOTALCO!K237)</f>
        <v/>
      </c>
      <c r="L1123" s="12" t="str">
        <f>IF(TOTALCO!L237="", "",TOTALCO!L237)</f>
        <v/>
      </c>
      <c r="M1123" s="12" t="str">
        <f>IF(TOTALCO!M237="", "",TOTALCO!M237)</f>
        <v/>
      </c>
      <c r="N1123" s="12" t="str">
        <f>IF(TOTALCO!N237="", "",TOTALCO!N237)</f>
        <v/>
      </c>
      <c r="O1123" s="12" t="str">
        <f>IF(TOTALCO!O237="", "",TOTALCO!O237)</f>
        <v/>
      </c>
      <c r="P1123" s="12" t="str">
        <f>IF(TOTALCO!P237="", "",TOTALCO!P237)</f>
        <v/>
      </c>
      <c r="Q1123" s="12"/>
    </row>
    <row r="1124" spans="1:17" ht="15" x14ac:dyDescent="0.2">
      <c r="A1124" s="321">
        <f>IF(TOTALCO!A238="", "",TOTALCO!A238)</f>
        <v>28</v>
      </c>
      <c r="B1124" s="4" t="str">
        <f>IF(TOTALCO!B238="", "",TOTALCO!B238)</f>
        <v/>
      </c>
      <c r="C1124" s="4" t="str">
        <f>IF(TOTALCO!C238="", "",TOTALCO!C238)</f>
        <v/>
      </c>
      <c r="D1124" s="12" t="str">
        <f>IF(TOTALCO!D238="", "",TOTALCO!D238)</f>
        <v/>
      </c>
      <c r="E1124" s="12" t="str">
        <f>IF(TOTALCO!E238="", "",TOTALCO!E238)</f>
        <v/>
      </c>
      <c r="F1124" s="12" t="str">
        <f>IF(TOTALCO!F238="", "",TOTALCO!F238)</f>
        <v/>
      </c>
      <c r="G1124" s="12" t="str">
        <f>IF(TOTALCO!G238="", "",TOTALCO!G238)</f>
        <v/>
      </c>
      <c r="H1124" s="12" t="str">
        <f>IF(TOTALCO!H238="", "",TOTALCO!H238)</f>
        <v/>
      </c>
      <c r="I1124" s="12" t="str">
        <f>IF(TOTALCO!I238="", "",TOTALCO!I238)</f>
        <v/>
      </c>
      <c r="J1124" s="12" t="str">
        <f>IF(TOTALCO!J238="", "",TOTALCO!J238)</f>
        <v/>
      </c>
      <c r="K1124" s="12" t="str">
        <f>IF(TOTALCO!K238="", "",TOTALCO!K238)</f>
        <v/>
      </c>
      <c r="L1124" s="12" t="str">
        <f>IF(TOTALCO!L238="", "",TOTALCO!L238)</f>
        <v/>
      </c>
      <c r="M1124" s="12" t="str">
        <f>IF(TOTALCO!M238="", "",TOTALCO!M238)</f>
        <v/>
      </c>
      <c r="N1124" s="12" t="str">
        <f>IF(TOTALCO!N238="", "",TOTALCO!N238)</f>
        <v/>
      </c>
      <c r="O1124" s="12" t="str">
        <f>IF(TOTALCO!O238="", "",TOTALCO!O238)</f>
        <v/>
      </c>
      <c r="P1124" s="12" t="str">
        <f>IF(TOTALCO!P238="", "",TOTALCO!P238)</f>
        <v/>
      </c>
      <c r="Q1124" s="12"/>
    </row>
    <row r="1125" spans="1:17" ht="15" x14ac:dyDescent="0.2">
      <c r="A1125" s="321">
        <f>IF(TOTALCO!A239="", "",TOTALCO!A239)</f>
        <v>29</v>
      </c>
      <c r="B1125" s="4" t="str">
        <f>IF(TOTALCO!B239="", "",TOTALCO!B239)</f>
        <v/>
      </c>
      <c r="C1125" s="4" t="str">
        <f>IF(TOTALCO!C239="", "",TOTALCO!C239)</f>
        <v/>
      </c>
      <c r="D1125" s="12" t="str">
        <f>IF(TOTALCO!D239="", "",TOTALCO!D239)</f>
        <v/>
      </c>
      <c r="E1125" s="12" t="str">
        <f>IF(TOTALCO!E239="", "",TOTALCO!E239)</f>
        <v/>
      </c>
      <c r="F1125" s="12" t="str">
        <f>IF(TOTALCO!F239="", "",TOTALCO!F239)</f>
        <v/>
      </c>
      <c r="G1125" s="12" t="str">
        <f>IF(TOTALCO!G239="", "",TOTALCO!G239)</f>
        <v/>
      </c>
      <c r="H1125" s="12" t="str">
        <f>IF(TOTALCO!H239="", "",TOTALCO!H239)</f>
        <v/>
      </c>
      <c r="I1125" s="12" t="str">
        <f>IF(TOTALCO!I239="", "",TOTALCO!I239)</f>
        <v/>
      </c>
      <c r="J1125" s="12" t="str">
        <f>IF(TOTALCO!J239="", "",TOTALCO!J239)</f>
        <v/>
      </c>
      <c r="K1125" s="12" t="str">
        <f>IF(TOTALCO!K239="", "",TOTALCO!K239)</f>
        <v/>
      </c>
      <c r="L1125" s="12" t="str">
        <f>IF(TOTALCO!L239="", "",TOTALCO!L239)</f>
        <v/>
      </c>
      <c r="M1125" s="12" t="str">
        <f>IF(TOTALCO!M239="", "",TOTALCO!M239)</f>
        <v/>
      </c>
      <c r="N1125" s="12" t="str">
        <f>IF(TOTALCO!N239="", "",TOTALCO!N239)</f>
        <v/>
      </c>
      <c r="O1125" s="12" t="str">
        <f>IF(TOTALCO!O239="", "",TOTALCO!O239)</f>
        <v/>
      </c>
      <c r="P1125" s="12" t="str">
        <f>IF(TOTALCO!P239="", "",TOTALCO!P239)</f>
        <v/>
      </c>
      <c r="Q1125" s="12"/>
    </row>
    <row r="1126" spans="1:17" ht="15" x14ac:dyDescent="0.2">
      <c r="A1126" s="321">
        <f>IF(TOTALCO!A240="", "",TOTALCO!A240)</f>
        <v>30</v>
      </c>
      <c r="B1126" s="4" t="str">
        <f>IF(TOTALCO!B240="", "",TOTALCO!B240)</f>
        <v/>
      </c>
      <c r="C1126" s="4" t="str">
        <f>IF(TOTALCO!C240="", "",TOTALCO!C240)</f>
        <v/>
      </c>
      <c r="D1126" s="12" t="str">
        <f>IF(TOTALCO!D240="", "",TOTALCO!D240)</f>
        <v/>
      </c>
      <c r="E1126" s="12" t="str">
        <f>IF(TOTALCO!E240="", "",TOTALCO!E240)</f>
        <v/>
      </c>
      <c r="F1126" s="12" t="str">
        <f>IF(TOTALCO!F240="", "",TOTALCO!F240)</f>
        <v/>
      </c>
      <c r="G1126" s="12" t="str">
        <f>IF(TOTALCO!G240="", "",TOTALCO!G240)</f>
        <v/>
      </c>
      <c r="H1126" s="12" t="str">
        <f>IF(TOTALCO!H240="", "",TOTALCO!H240)</f>
        <v/>
      </c>
      <c r="I1126" s="12" t="str">
        <f>IF(TOTALCO!I240="", "",TOTALCO!I240)</f>
        <v/>
      </c>
      <c r="J1126" s="12" t="str">
        <f>IF(TOTALCO!J240="", "",TOTALCO!J240)</f>
        <v/>
      </c>
      <c r="K1126" s="12" t="str">
        <f>IF(TOTALCO!K240="", "",TOTALCO!K240)</f>
        <v/>
      </c>
      <c r="L1126" s="12" t="str">
        <f>IF(TOTALCO!L240="", "",TOTALCO!L240)</f>
        <v/>
      </c>
      <c r="M1126" s="12" t="str">
        <f>IF(TOTALCO!M240="", "",TOTALCO!M240)</f>
        <v/>
      </c>
      <c r="N1126" s="12" t="str">
        <f>IF(TOTALCO!N240="", "",TOTALCO!N240)</f>
        <v/>
      </c>
      <c r="O1126" s="12" t="str">
        <f>IF(TOTALCO!O240="", "",TOTALCO!O240)</f>
        <v/>
      </c>
      <c r="P1126" s="12" t="str">
        <f>IF(TOTALCO!P240="", "",TOTALCO!P240)</f>
        <v/>
      </c>
      <c r="Q1126" s="12"/>
    </row>
    <row r="1127" spans="1:17" ht="15" x14ac:dyDescent="0.2">
      <c r="A1127" s="321" t="str">
        <f>IF(TOTALCO!A251="", "",TOTALCO!A251)</f>
        <v/>
      </c>
      <c r="B1127" s="4" t="str">
        <f>IF(TOTALCO!B251="", "",TOTALCO!B251)</f>
        <v/>
      </c>
      <c r="C1127" s="4" t="str">
        <f>IF(TOTALCO!C251="", "",TOTALCO!C251)</f>
        <v/>
      </c>
      <c r="D1127" s="12" t="str">
        <f>IF(TOTALCO!D251="", "",TOTALCO!D251)</f>
        <v/>
      </c>
      <c r="E1127" s="12" t="str">
        <f>IF(TOTALCO!E251="", "",TOTALCO!E251)</f>
        <v/>
      </c>
      <c r="F1127" s="12" t="str">
        <f>IF(TOTALCO!F251="", "",TOTALCO!F251)</f>
        <v/>
      </c>
      <c r="G1127" s="12" t="str">
        <f>IF(TOTALCO!G251="", "",TOTALCO!G251)</f>
        <v/>
      </c>
      <c r="H1127" s="12" t="str">
        <f>IF(TOTALCO!H251="", "",TOTALCO!H251)</f>
        <v/>
      </c>
      <c r="I1127" s="12" t="str">
        <f>IF(TOTALCO!I251="", "",TOTALCO!I251)</f>
        <v/>
      </c>
      <c r="J1127" s="12" t="str">
        <f>IF(TOTALCO!J251="", "",TOTALCO!J251)</f>
        <v/>
      </c>
      <c r="K1127" s="12" t="str">
        <f>IF(TOTALCO!K251="", "",TOTALCO!K251)</f>
        <v/>
      </c>
      <c r="L1127" s="12" t="str">
        <f>IF(TOTALCO!L251="", "",TOTALCO!L251)</f>
        <v/>
      </c>
      <c r="M1127" s="12" t="str">
        <f>IF(TOTALCO!M251="", "",TOTALCO!M251)</f>
        <v/>
      </c>
      <c r="N1127" s="12" t="str">
        <f>IF(TOTALCO!N251="", "",TOTALCO!N251)</f>
        <v/>
      </c>
      <c r="O1127" s="12" t="str">
        <f>IF(TOTALCO!O251="", "",TOTALCO!O251)</f>
        <v/>
      </c>
      <c r="P1127" s="12" t="str">
        <f>IF(TOTALCO!P251="", "",TOTALCO!P251)</f>
        <v/>
      </c>
      <c r="Q1127" s="12"/>
    </row>
    <row r="1128" spans="1:17" ht="15" x14ac:dyDescent="0.2">
      <c r="A1128" s="321" t="str">
        <f>IF(TOTALCO!A252="", "",TOTALCO!A252)</f>
        <v/>
      </c>
      <c r="B1128" s="4" t="str">
        <f>IF(TOTALCO!B252="", "",TOTALCO!B252)</f>
        <v>REVENUES FROM ELECTRIC SALES</v>
      </c>
      <c r="C1128" s="4" t="str">
        <f>IF(TOTALCO!C252="", "",TOTALCO!C252)</f>
        <v/>
      </c>
      <c r="D1128" s="12" t="str">
        <f>IF(TOTALCO!D252="", "",TOTALCO!D252)</f>
        <v/>
      </c>
      <c r="E1128" s="12" t="str">
        <f>IF(TOTALCO!E252="", "",TOTALCO!E252)</f>
        <v/>
      </c>
      <c r="F1128" s="12" t="str">
        <f>IF(TOTALCO!F252="", "",TOTALCO!F252)</f>
        <v/>
      </c>
      <c r="G1128" s="12" t="str">
        <f>IF(TOTALCO!G252="", "",TOTALCO!G252)</f>
        <v/>
      </c>
      <c r="H1128" s="12" t="str">
        <f>IF(TOTALCO!H252="", "",TOTALCO!H252)</f>
        <v/>
      </c>
      <c r="I1128" s="12" t="str">
        <f>IF(TOTALCO!I252="", "",TOTALCO!I252)</f>
        <v/>
      </c>
      <c r="J1128" s="12" t="str">
        <f>IF(TOTALCO!J252="", "",TOTALCO!J252)</f>
        <v/>
      </c>
      <c r="K1128" s="12" t="str">
        <f>IF(TOTALCO!K252="", "",TOTALCO!K252)</f>
        <v/>
      </c>
      <c r="L1128" s="12" t="str">
        <f>IF(TOTALCO!L252="", "",TOTALCO!L252)</f>
        <v/>
      </c>
      <c r="M1128" s="12" t="str">
        <f>IF(TOTALCO!M252="", "",TOTALCO!M252)</f>
        <v/>
      </c>
      <c r="N1128" s="12" t="str">
        <f>IF(TOTALCO!N252="", "",TOTALCO!N252)</f>
        <v/>
      </c>
      <c r="O1128" s="12" t="str">
        <f>IF(TOTALCO!O252="", "",TOTALCO!O252)</f>
        <v/>
      </c>
      <c r="P1128" s="12" t="str">
        <f>IF(TOTALCO!P252="", "",TOTALCO!P252)</f>
        <v/>
      </c>
      <c r="Q1128" s="12"/>
    </row>
    <row r="1129" spans="1:17" ht="15" x14ac:dyDescent="0.2">
      <c r="A1129" s="321" t="str">
        <f>IF(TOTALCO!A253="", "",TOTALCO!A253)</f>
        <v/>
      </c>
      <c r="B1129" s="4" t="str">
        <f>IF(TOTALCO!B253="", "",TOTALCO!B253)</f>
        <v>-</v>
      </c>
      <c r="C1129" s="4" t="str">
        <f>IF(TOTALCO!C253="", "",TOTALCO!C253)</f>
        <v/>
      </c>
      <c r="D1129" s="12" t="str">
        <f>IF(TOTALCO!D253="", "",TOTALCO!D253)</f>
        <v/>
      </c>
      <c r="E1129" s="12" t="str">
        <f>IF(TOTALCO!E253="", "",TOTALCO!E253)</f>
        <v/>
      </c>
      <c r="F1129" s="12" t="str">
        <f>IF(TOTALCO!F253="", "",TOTALCO!F253)</f>
        <v/>
      </c>
      <c r="G1129" s="12" t="str">
        <f>IF(TOTALCO!G253="", "",TOTALCO!G253)</f>
        <v/>
      </c>
      <c r="H1129" s="12" t="str">
        <f>IF(TOTALCO!H253="", "",TOTALCO!H253)</f>
        <v/>
      </c>
      <c r="I1129" s="12" t="str">
        <f>IF(TOTALCO!I253="", "",TOTALCO!I253)</f>
        <v/>
      </c>
      <c r="J1129" s="12" t="str">
        <f>IF(TOTALCO!J253="", "",TOTALCO!J253)</f>
        <v/>
      </c>
      <c r="K1129" s="12" t="str">
        <f>IF(TOTALCO!K253="", "",TOTALCO!K253)</f>
        <v/>
      </c>
      <c r="L1129" s="12" t="str">
        <f>IF(TOTALCO!L253="", "",TOTALCO!L253)</f>
        <v/>
      </c>
      <c r="M1129" s="12" t="str">
        <f>IF(TOTALCO!M253="", "",TOTALCO!M253)</f>
        <v/>
      </c>
      <c r="N1129" s="12" t="str">
        <f>IF(TOTALCO!N253="", "",TOTALCO!N253)</f>
        <v/>
      </c>
      <c r="O1129" s="12" t="str">
        <f>IF(TOTALCO!O253="", "",TOTALCO!O253)</f>
        <v/>
      </c>
      <c r="P1129" s="12" t="str">
        <f>IF(TOTALCO!P253="", "",TOTALCO!P253)</f>
        <v/>
      </c>
      <c r="Q1129" s="12"/>
    </row>
    <row r="1130" spans="1:17" ht="15" x14ac:dyDescent="0.2">
      <c r="A1130" s="321">
        <f>IF(TOTALCO!A254="", "",TOTALCO!A254)</f>
        <v>1</v>
      </c>
      <c r="B1130" s="4" t="str">
        <f>IF(TOTALCO!B254="", "",TOTALCO!B254)</f>
        <v>440-RESIDENTIAL</v>
      </c>
      <c r="C1130" s="4" t="str">
        <f>IF(TOTALCO!C254="", "",TOTALCO!C254)</f>
        <v/>
      </c>
      <c r="D1130" s="12">
        <f>IF(TOTALCO!D254="", "",TOTALCO!D254)</f>
        <v>665780256.86918175</v>
      </c>
      <c r="E1130" s="12" t="str">
        <f>IF(TOTALCO!E254="", "",TOTALCO!E254)</f>
        <v/>
      </c>
      <c r="F1130" s="12">
        <f>IF(TOTALCO!F254="", "",TOTALCO!F254)</f>
        <v>627615321.31252027</v>
      </c>
      <c r="G1130" s="12" t="str">
        <f>IF(TOTALCO!G254="", "",TOTALCO!G254)</f>
        <v/>
      </c>
      <c r="H1130" s="12">
        <f>IF(TOTALCO!H254="", "",TOTALCO!H254)</f>
        <v>38164935.556661539</v>
      </c>
      <c r="I1130" s="12">
        <f>IF(TOTALCO!I254="", "",TOTALCO!I254)</f>
        <v>0</v>
      </c>
      <c r="J1130" s="12" t="str">
        <f>IF(TOTALCO!J254="", "",TOTALCO!J254)</f>
        <v/>
      </c>
      <c r="K1130" s="12" t="str">
        <f>IF(TOTALCO!K254="", "",TOTALCO!K254)</f>
        <v/>
      </c>
      <c r="L1130" s="12">
        <f>IF(TOTALCO!L254="", "",TOTALCO!L254)</f>
        <v>0</v>
      </c>
      <c r="M1130" s="12" t="str">
        <f>IF(TOTALCO!M254="", "",TOTALCO!M254)</f>
        <v/>
      </c>
      <c r="N1130" s="12">
        <f>IF(TOTALCO!N254="", "",TOTALCO!N254)</f>
        <v>0</v>
      </c>
      <c r="O1130" s="12">
        <f>IF(TOTALCO!O254="", "",TOTALCO!O254)</f>
        <v>0</v>
      </c>
      <c r="P1130" s="12">
        <f>IF(TOTALCO!P254="", "",TOTALCO!P254)</f>
        <v>0</v>
      </c>
      <c r="Q1130" s="12"/>
    </row>
    <row r="1131" spans="1:17" ht="15" x14ac:dyDescent="0.2">
      <c r="A1131" s="321">
        <f>IF(TOTALCO!A255="", "",TOTALCO!A255)</f>
        <v>2</v>
      </c>
      <c r="B1131" s="4" t="str">
        <f>IF(TOTALCO!B255="", "",TOTALCO!B255)</f>
        <v>442-COMMERCIAL</v>
      </c>
      <c r="C1131" s="4" t="str">
        <f>IF(TOTALCO!C255="", "",TOTALCO!C255)</f>
        <v/>
      </c>
      <c r="D1131" s="12">
        <f>IF(TOTALCO!D255="", "",TOTALCO!D255)</f>
        <v>416945597.73430771</v>
      </c>
      <c r="E1131" s="12" t="str">
        <f>IF(TOTALCO!E255="", "",TOTALCO!E255)</f>
        <v/>
      </c>
      <c r="F1131" s="12">
        <f>IF(TOTALCO!F255="", "",TOTALCO!F255)</f>
        <v>399084022.75055635</v>
      </c>
      <c r="G1131" s="12" t="str">
        <f>IF(TOTALCO!G255="", "",TOTALCO!G255)</f>
        <v/>
      </c>
      <c r="H1131" s="12">
        <f>IF(TOTALCO!H255="", "",TOTALCO!H255)</f>
        <v>17861574.983751338</v>
      </c>
      <c r="I1131" s="12">
        <f>IF(TOTALCO!I255="", "",TOTALCO!I255)</f>
        <v>0</v>
      </c>
      <c r="J1131" s="12" t="str">
        <f>IF(TOTALCO!J255="", "",TOTALCO!J255)</f>
        <v/>
      </c>
      <c r="K1131" s="12" t="str">
        <f>IF(TOTALCO!K255="", "",TOTALCO!K255)</f>
        <v/>
      </c>
      <c r="L1131" s="12">
        <f>IF(TOTALCO!L255="", "",TOTALCO!L255)</f>
        <v>0</v>
      </c>
      <c r="M1131" s="12" t="str">
        <f>IF(TOTALCO!M255="", "",TOTALCO!M255)</f>
        <v/>
      </c>
      <c r="N1131" s="12">
        <f>IF(TOTALCO!N255="", "",TOTALCO!N255)</f>
        <v>0</v>
      </c>
      <c r="O1131" s="12">
        <f>IF(TOTALCO!O255="", "",TOTALCO!O255)</f>
        <v>0</v>
      </c>
      <c r="P1131" s="12">
        <f>IF(TOTALCO!P255="", "",TOTALCO!P255)</f>
        <v>0</v>
      </c>
      <c r="Q1131" s="12"/>
    </row>
    <row r="1132" spans="1:17" ht="15" x14ac:dyDescent="0.2">
      <c r="A1132" s="321">
        <f>IF(TOTALCO!A256="", "",TOTALCO!A256)</f>
        <v>3</v>
      </c>
      <c r="B1132" s="4" t="str">
        <f>IF(TOTALCO!B256="", "",TOTALCO!B256)</f>
        <v>442-LARGE COMMERCIAL</v>
      </c>
      <c r="C1132" s="4" t="str">
        <f>IF(TOTALCO!C256="", "",TOTALCO!C256)</f>
        <v/>
      </c>
      <c r="D1132" s="12">
        <f>IF(TOTALCO!D256="", "",TOTALCO!D256)</f>
        <v>0</v>
      </c>
      <c r="E1132" s="12" t="str">
        <f>IF(TOTALCO!E256="", "",TOTALCO!E256)</f>
        <v/>
      </c>
      <c r="F1132" s="12">
        <f>IF(TOTALCO!F256="", "",TOTALCO!F256)</f>
        <v>0</v>
      </c>
      <c r="G1132" s="12" t="str">
        <f>IF(TOTALCO!G256="", "",TOTALCO!G256)</f>
        <v/>
      </c>
      <c r="H1132" s="12">
        <f>IF(TOTALCO!H256="", "",TOTALCO!H256)</f>
        <v>0</v>
      </c>
      <c r="I1132" s="12">
        <f>IF(TOTALCO!I256="", "",TOTALCO!I256)</f>
        <v>0</v>
      </c>
      <c r="J1132" s="12" t="str">
        <f>IF(TOTALCO!J256="", "",TOTALCO!J256)</f>
        <v/>
      </c>
      <c r="K1132" s="12" t="str">
        <f>IF(TOTALCO!K256="", "",TOTALCO!K256)</f>
        <v/>
      </c>
      <c r="L1132" s="12">
        <f>IF(TOTALCO!L256="", "",TOTALCO!L256)</f>
        <v>0</v>
      </c>
      <c r="M1132" s="12" t="str">
        <f>IF(TOTALCO!M256="", "",TOTALCO!M256)</f>
        <v/>
      </c>
      <c r="N1132" s="12">
        <f>IF(TOTALCO!N256="", "",TOTALCO!N256)</f>
        <v>0</v>
      </c>
      <c r="O1132" s="12">
        <f>IF(TOTALCO!O256="", "",TOTALCO!O256)</f>
        <v>0</v>
      </c>
      <c r="P1132" s="12">
        <f>IF(TOTALCO!P256="", "",TOTALCO!P256)</f>
        <v>0</v>
      </c>
      <c r="Q1132" s="12"/>
    </row>
    <row r="1133" spans="1:17" ht="15" x14ac:dyDescent="0.2">
      <c r="A1133" s="321">
        <f>IF(TOTALCO!A257="", "",TOTALCO!A257)</f>
        <v>4</v>
      </c>
      <c r="B1133" s="4" t="str">
        <f>IF(TOTALCO!B257="", "",TOTALCO!B257)</f>
        <v>442-INDUSTRIAL</v>
      </c>
      <c r="C1133" s="4" t="str">
        <f>IF(TOTALCO!C257="", "",TOTALCO!C257)</f>
        <v/>
      </c>
      <c r="D1133" s="12">
        <f>IF(TOTALCO!D257="", "",TOTALCO!D257)</f>
        <v>432591682.68587506</v>
      </c>
      <c r="E1133" s="12" t="str">
        <f>IF(TOTALCO!E257="", "",TOTALCO!E257)</f>
        <v/>
      </c>
      <c r="F1133" s="12">
        <f>IF(TOTALCO!F257="", "",TOTALCO!F257)</f>
        <v>424467890.24351609</v>
      </c>
      <c r="G1133" s="12" t="str">
        <f>IF(TOTALCO!G257="", "",TOTALCO!G257)</f>
        <v/>
      </c>
      <c r="H1133" s="12">
        <f>IF(TOTALCO!H257="", "",TOTALCO!H257)</f>
        <v>8123792.442358966</v>
      </c>
      <c r="I1133" s="12">
        <f>IF(TOTALCO!I257="", "",TOTALCO!I257)</f>
        <v>0</v>
      </c>
      <c r="J1133" s="12" t="str">
        <f>IF(TOTALCO!J257="", "",TOTALCO!J257)</f>
        <v/>
      </c>
      <c r="K1133" s="12" t="str">
        <f>IF(TOTALCO!K257="", "",TOTALCO!K257)</f>
        <v/>
      </c>
      <c r="L1133" s="12">
        <f>IF(TOTALCO!L257="", "",TOTALCO!L257)</f>
        <v>0</v>
      </c>
      <c r="M1133" s="12" t="str">
        <f>IF(TOTALCO!M257="", "",TOTALCO!M257)</f>
        <v/>
      </c>
      <c r="N1133" s="12">
        <f>IF(TOTALCO!N257="", "",TOTALCO!N257)</f>
        <v>0</v>
      </c>
      <c r="O1133" s="12">
        <f>IF(TOTALCO!O257="", "",TOTALCO!O257)</f>
        <v>0</v>
      </c>
      <c r="P1133" s="12">
        <f>IF(TOTALCO!P257="", "",TOTALCO!P257)</f>
        <v>0</v>
      </c>
      <c r="Q1133" s="12"/>
    </row>
    <row r="1134" spans="1:17" ht="15" x14ac:dyDescent="0.2">
      <c r="A1134" s="321">
        <f>IF(TOTALCO!A258="", "",TOTALCO!A258)</f>
        <v>5</v>
      </c>
      <c r="B1134" s="4" t="str">
        <f>IF(TOTALCO!B258="", "",TOTALCO!B258)</f>
        <v>442-MINE POWER</v>
      </c>
      <c r="C1134" s="4" t="str">
        <f>IF(TOTALCO!C258="", "",TOTALCO!C258)</f>
        <v/>
      </c>
      <c r="D1134" s="12">
        <f>IF(TOTALCO!D258="", "",TOTALCO!D258)</f>
        <v>0</v>
      </c>
      <c r="E1134" s="12" t="str">
        <f>IF(TOTALCO!E258="", "",TOTALCO!E258)</f>
        <v/>
      </c>
      <c r="F1134" s="12">
        <f>IF(TOTALCO!F258="", "",TOTALCO!F258)</f>
        <v>0</v>
      </c>
      <c r="G1134" s="12" t="str">
        <f>IF(TOTALCO!G258="", "",TOTALCO!G258)</f>
        <v/>
      </c>
      <c r="H1134" s="12">
        <f>IF(TOTALCO!H258="", "",TOTALCO!H258)</f>
        <v>0</v>
      </c>
      <c r="I1134" s="12">
        <f>IF(TOTALCO!I258="", "",TOTALCO!I258)</f>
        <v>0</v>
      </c>
      <c r="J1134" s="12" t="str">
        <f>IF(TOTALCO!J258="", "",TOTALCO!J258)</f>
        <v/>
      </c>
      <c r="K1134" s="12" t="str">
        <f>IF(TOTALCO!K258="", "",TOTALCO!K258)</f>
        <v/>
      </c>
      <c r="L1134" s="12">
        <f>IF(TOTALCO!L258="", "",TOTALCO!L258)</f>
        <v>0</v>
      </c>
      <c r="M1134" s="12" t="str">
        <f>IF(TOTALCO!M258="", "",TOTALCO!M258)</f>
        <v/>
      </c>
      <c r="N1134" s="12">
        <f>IF(TOTALCO!N258="", "",TOTALCO!N258)</f>
        <v>0</v>
      </c>
      <c r="O1134" s="12">
        <f>IF(TOTALCO!O258="", "",TOTALCO!O258)</f>
        <v>0</v>
      </c>
      <c r="P1134" s="12">
        <f>IF(TOTALCO!P258="", "",TOTALCO!P258)</f>
        <v>0</v>
      </c>
      <c r="Q1134" s="12"/>
    </row>
    <row r="1135" spans="1:17" ht="15" x14ac:dyDescent="0.2">
      <c r="A1135" s="321">
        <f>IF(TOTALCO!A259="", "",TOTALCO!A259)</f>
        <v>6</v>
      </c>
      <c r="B1135" s="4" t="str">
        <f>IF(TOTALCO!B259="", "",TOTALCO!B259)</f>
        <v>444-PUBLIC ST &amp; HWY LIGHTING</v>
      </c>
      <c r="C1135" s="4" t="str">
        <f>IF(TOTALCO!C259="", "",TOTALCO!C259)</f>
        <v/>
      </c>
      <c r="D1135" s="12">
        <f>IF(TOTALCO!D259="", "",TOTALCO!D259)</f>
        <v>13596736.40943232</v>
      </c>
      <c r="E1135" s="12" t="str">
        <f>IF(TOTALCO!E259="", "",TOTALCO!E259)</f>
        <v/>
      </c>
      <c r="F1135" s="12">
        <f>IF(TOTALCO!F259="", "",TOTALCO!F259)</f>
        <v>13142540.284420729</v>
      </c>
      <c r="G1135" s="12" t="str">
        <f>IF(TOTALCO!G259="", "",TOTALCO!G259)</f>
        <v/>
      </c>
      <c r="H1135" s="12">
        <f>IF(TOTALCO!H259="", "",TOTALCO!H259)</f>
        <v>454196.12501159054</v>
      </c>
      <c r="I1135" s="12">
        <f>IF(TOTALCO!I259="", "",TOTALCO!I259)</f>
        <v>0</v>
      </c>
      <c r="J1135" s="12" t="str">
        <f>IF(TOTALCO!J259="", "",TOTALCO!J259)</f>
        <v/>
      </c>
      <c r="K1135" s="12" t="str">
        <f>IF(TOTALCO!K259="", "",TOTALCO!K259)</f>
        <v/>
      </c>
      <c r="L1135" s="12">
        <f>IF(TOTALCO!L259="", "",TOTALCO!L259)</f>
        <v>0</v>
      </c>
      <c r="M1135" s="12" t="str">
        <f>IF(TOTALCO!M259="", "",TOTALCO!M259)</f>
        <v/>
      </c>
      <c r="N1135" s="12">
        <f>IF(TOTALCO!N259="", "",TOTALCO!N259)</f>
        <v>0</v>
      </c>
      <c r="O1135" s="12">
        <f>IF(TOTALCO!O259="", "",TOTALCO!O259)</f>
        <v>0</v>
      </c>
      <c r="P1135" s="12">
        <f>IF(TOTALCO!P259="", "",TOTALCO!P259)</f>
        <v>0</v>
      </c>
      <c r="Q1135" s="12"/>
    </row>
    <row r="1136" spans="1:17" ht="15" x14ac:dyDescent="0.2">
      <c r="A1136" s="321">
        <f>IF(TOTALCO!A260="", "",TOTALCO!A260)</f>
        <v>7</v>
      </c>
      <c r="B1136" s="4" t="str">
        <f>IF(TOTALCO!B260="", "",TOTALCO!B260)</f>
        <v>445-OTHER PUBLIC AUTHORITIES</v>
      </c>
      <c r="C1136" s="4" t="str">
        <f>IF(TOTALCO!C260="", "",TOTALCO!C260)</f>
        <v/>
      </c>
      <c r="D1136" s="12">
        <f>IF(TOTALCO!D260="", "",TOTALCO!D260)</f>
        <v>130933810.87643737</v>
      </c>
      <c r="E1136" s="12" t="str">
        <f>IF(TOTALCO!E260="", "",TOTALCO!E260)</f>
        <v/>
      </c>
      <c r="F1136" s="12">
        <f>IF(TOTALCO!F260="", "",TOTALCO!F260)</f>
        <v>124371106.8708469</v>
      </c>
      <c r="G1136" s="12" t="str">
        <f>IF(TOTALCO!G260="", "",TOTALCO!G260)</f>
        <v/>
      </c>
      <c r="H1136" s="12">
        <f>IF(TOTALCO!H260="", "",TOTALCO!H260)</f>
        <v>6562704.0055904742</v>
      </c>
      <c r="I1136" s="12">
        <f>IF(TOTALCO!I260="", "",TOTALCO!I260)</f>
        <v>0</v>
      </c>
      <c r="J1136" s="12" t="str">
        <f>IF(TOTALCO!J260="", "",TOTALCO!J260)</f>
        <v/>
      </c>
      <c r="K1136" s="12" t="str">
        <f>IF(TOTALCO!K260="", "",TOTALCO!K260)</f>
        <v/>
      </c>
      <c r="L1136" s="12">
        <f>IF(TOTALCO!L260="", "",TOTALCO!L260)</f>
        <v>0</v>
      </c>
      <c r="M1136" s="12" t="str">
        <f>IF(TOTALCO!M260="", "",TOTALCO!M260)</f>
        <v/>
      </c>
      <c r="N1136" s="12">
        <f>IF(TOTALCO!N260="", "",TOTALCO!N260)</f>
        <v>0</v>
      </c>
      <c r="O1136" s="12">
        <f>IF(TOTALCO!O260="", "",TOTALCO!O260)</f>
        <v>0</v>
      </c>
      <c r="P1136" s="12">
        <f>IF(TOTALCO!P260="", "",TOTALCO!P260)</f>
        <v>0</v>
      </c>
      <c r="Q1136" s="12"/>
    </row>
    <row r="1137" spans="1:17" ht="15" x14ac:dyDescent="0.2">
      <c r="A1137" s="321">
        <f>IF(TOTALCO!A261="", "",TOTALCO!A261)</f>
        <v>8</v>
      </c>
      <c r="B1137" s="4" t="str">
        <f>IF(TOTALCO!B261="", "",TOTALCO!B261)</f>
        <v>445-MUNICIPAL PUMPING</v>
      </c>
      <c r="C1137" s="4" t="str">
        <f>IF(TOTALCO!C261="", "",TOTALCO!C261)</f>
        <v/>
      </c>
      <c r="D1137" s="12">
        <f>IF(TOTALCO!D261="", "",TOTALCO!D261)</f>
        <v>0</v>
      </c>
      <c r="E1137" s="12" t="str">
        <f>IF(TOTALCO!E261="", "",TOTALCO!E261)</f>
        <v/>
      </c>
      <c r="F1137" s="12">
        <f>IF(TOTALCO!F261="", "",TOTALCO!F261)</f>
        <v>0</v>
      </c>
      <c r="G1137" s="12" t="str">
        <f>IF(TOTALCO!G261="", "",TOTALCO!G261)</f>
        <v/>
      </c>
      <c r="H1137" s="12">
        <f>IF(TOTALCO!H261="", "",TOTALCO!H261)</f>
        <v>0</v>
      </c>
      <c r="I1137" s="12">
        <f>IF(TOTALCO!I261="", "",TOTALCO!I261)</f>
        <v>0</v>
      </c>
      <c r="J1137" s="12" t="str">
        <f>IF(TOTALCO!J261="", "",TOTALCO!J261)</f>
        <v/>
      </c>
      <c r="K1137" s="12" t="str">
        <f>IF(TOTALCO!K261="", "",TOTALCO!K261)</f>
        <v/>
      </c>
      <c r="L1137" s="12">
        <f>IF(TOTALCO!L261="", "",TOTALCO!L261)</f>
        <v>0</v>
      </c>
      <c r="M1137" s="12" t="str">
        <f>IF(TOTALCO!M261="", "",TOTALCO!M261)</f>
        <v/>
      </c>
      <c r="N1137" s="12">
        <f>IF(TOTALCO!N261="", "",TOTALCO!N261)</f>
        <v>0</v>
      </c>
      <c r="O1137" s="12">
        <f>IF(TOTALCO!O261="", "",TOTALCO!O261)</f>
        <v>0</v>
      </c>
      <c r="P1137" s="12">
        <f>IF(TOTALCO!P261="", "",TOTALCO!P261)</f>
        <v>0</v>
      </c>
      <c r="Q1137" s="12"/>
    </row>
    <row r="1138" spans="1:17" ht="15" x14ac:dyDescent="0.2">
      <c r="A1138" s="321">
        <f>IF(TOTALCO!A262="", "",TOTALCO!A262)</f>
        <v>9</v>
      </c>
      <c r="B1138" s="4" t="str">
        <f>IF(TOTALCO!B262="", "",TOTALCO!B262)</f>
        <v>447-SALES FOR RESALE-MUNICIPAL WHOLESALE</v>
      </c>
      <c r="C1138" s="4" t="str">
        <f>IF(TOTALCO!C262="", "",TOTALCO!C262)</f>
        <v/>
      </c>
      <c r="D1138" s="12">
        <f>IF(TOTALCO!D262="", "",TOTALCO!D262)</f>
        <v>24857217.745995708</v>
      </c>
      <c r="E1138" s="12" t="str">
        <f>IF(TOTALCO!E262="", "",TOTALCO!E262)</f>
        <v/>
      </c>
      <c r="F1138" s="12">
        <f>IF(TOTALCO!F262="", "",TOTALCO!F262)</f>
        <v>0</v>
      </c>
      <c r="G1138" s="12" t="str">
        <f>IF(TOTALCO!G262="", "",TOTALCO!G262)</f>
        <v/>
      </c>
      <c r="H1138" s="12">
        <f>IF(TOTALCO!H262="", "",TOTALCO!H262)</f>
        <v>0</v>
      </c>
      <c r="I1138" s="12">
        <f>IF(TOTALCO!I262="", "",TOTALCO!I262)</f>
        <v>24857217.745995708</v>
      </c>
      <c r="J1138" s="12" t="str">
        <f>IF(TOTALCO!J262="", "",TOTALCO!J262)</f>
        <v/>
      </c>
      <c r="K1138" s="12" t="str">
        <f>IF(TOTALCO!K262="", "",TOTALCO!K262)</f>
        <v/>
      </c>
      <c r="L1138" s="12">
        <f>IF(TOTALCO!L262="", "",TOTALCO!L262)</f>
        <v>0</v>
      </c>
      <c r="M1138" s="12" t="str">
        <f>IF(TOTALCO!M262="", "",TOTALCO!M262)</f>
        <v/>
      </c>
      <c r="N1138" s="12">
        <f>IF(TOTALCO!N262="", "",TOTALCO!N262)</f>
        <v>24857217.745995708</v>
      </c>
      <c r="O1138" s="12">
        <f>IF(TOTALCO!O262="", "",TOTALCO!O262)</f>
        <v>12585764.562653359</v>
      </c>
      <c r="P1138" s="12">
        <f>IF(TOTALCO!P262="", "",TOTALCO!P262)</f>
        <v>12271453.183342351</v>
      </c>
      <c r="Q1138" s="12"/>
    </row>
    <row r="1139" spans="1:17" ht="15" x14ac:dyDescent="0.2">
      <c r="A1139" s="321">
        <f>IF(TOTALCO!A263="", "",TOTALCO!A263)</f>
        <v>10</v>
      </c>
      <c r="B1139" s="4" t="str">
        <f>IF(TOTALCO!B263="", "",TOTALCO!B263)</f>
        <v>ANNUALIZATION</v>
      </c>
      <c r="C1139" s="4" t="str">
        <f>IF(TOTALCO!C263="", "",TOTALCO!C263)</f>
        <v/>
      </c>
      <c r="D1139" s="12">
        <f>IF(TOTALCO!D263="", "",TOTALCO!D263)</f>
        <v>0</v>
      </c>
      <c r="E1139" s="12" t="str">
        <f>IF(TOTALCO!E263="", "",TOTALCO!E263)</f>
        <v/>
      </c>
      <c r="F1139" s="12">
        <f>IF(TOTALCO!F263="", "",TOTALCO!F263)</f>
        <v>0</v>
      </c>
      <c r="G1139" s="12" t="str">
        <f>IF(TOTALCO!G263="", "",TOTALCO!G263)</f>
        <v/>
      </c>
      <c r="H1139" s="12">
        <f>IF(TOTALCO!H263="", "",TOTALCO!H263)</f>
        <v>0</v>
      </c>
      <c r="I1139" s="12">
        <f>IF(TOTALCO!I263="", "",TOTALCO!I263)</f>
        <v>0</v>
      </c>
      <c r="J1139" s="12" t="str">
        <f>IF(TOTALCO!J263="", "",TOTALCO!J263)</f>
        <v/>
      </c>
      <c r="K1139" s="12" t="str">
        <f>IF(TOTALCO!K263="", "",TOTALCO!K263)</f>
        <v/>
      </c>
      <c r="L1139" s="12">
        <f>IF(TOTALCO!L263="", "",TOTALCO!L263)</f>
        <v>0</v>
      </c>
      <c r="M1139" s="12" t="str">
        <f>IF(TOTALCO!M263="", "",TOTALCO!M263)</f>
        <v/>
      </c>
      <c r="N1139" s="12">
        <f>IF(TOTALCO!N263="", "",TOTALCO!N263)</f>
        <v>0</v>
      </c>
      <c r="O1139" s="12">
        <f>IF(TOTALCO!O263="", "",TOTALCO!O263)</f>
        <v>0</v>
      </c>
      <c r="P1139" s="12">
        <f>IF(TOTALCO!P263="", "",TOTALCO!P263)</f>
        <v>0</v>
      </c>
      <c r="Q1139" s="12"/>
    </row>
    <row r="1140" spans="1:17" ht="15" x14ac:dyDescent="0.2">
      <c r="A1140" s="321">
        <f>IF(TOTALCO!A264="", "",TOTALCO!A264)</f>
        <v>11</v>
      </c>
      <c r="B1140" s="4" t="str">
        <f>IF(TOTALCO!B264="", "",TOTALCO!B264)</f>
        <v>449-PROVISION FOR RATE REFUND</v>
      </c>
      <c r="C1140" s="4" t="str">
        <f>IF(TOTALCO!C264="", "",TOTALCO!C264)</f>
        <v/>
      </c>
      <c r="D1140" s="12">
        <f>IF(TOTALCO!D264="", "",TOTALCO!D264)</f>
        <v>0</v>
      </c>
      <c r="E1140" s="12" t="str">
        <f>IF(TOTALCO!E264="", "",TOTALCO!E264)</f>
        <v/>
      </c>
      <c r="F1140" s="12">
        <f>IF(TOTALCO!F264="", "",TOTALCO!F264)</f>
        <v>0</v>
      </c>
      <c r="G1140" s="12" t="str">
        <f>IF(TOTALCO!G264="", "",TOTALCO!G264)</f>
        <v/>
      </c>
      <c r="H1140" s="12">
        <f>IF(TOTALCO!H264="", "",TOTALCO!H264)</f>
        <v>0</v>
      </c>
      <c r="I1140" s="12">
        <f>IF(TOTALCO!I264="", "",TOTALCO!I264)</f>
        <v>0</v>
      </c>
      <c r="J1140" s="12" t="str">
        <f>IF(TOTALCO!J264="", "",TOTALCO!J264)</f>
        <v/>
      </c>
      <c r="K1140" s="12" t="str">
        <f>IF(TOTALCO!K264="", "",TOTALCO!K264)</f>
        <v/>
      </c>
      <c r="L1140" s="12">
        <f>IF(TOTALCO!L264="", "",TOTALCO!L264)</f>
        <v>0</v>
      </c>
      <c r="M1140" s="12" t="str">
        <f>IF(TOTALCO!M264="", "",TOTALCO!M264)</f>
        <v/>
      </c>
      <c r="N1140" s="12">
        <f>IF(TOTALCO!N264="", "",TOTALCO!N264)</f>
        <v>0</v>
      </c>
      <c r="O1140" s="12">
        <f>IF(TOTALCO!O264="", "",TOTALCO!O264)</f>
        <v>0</v>
      </c>
      <c r="P1140" s="12">
        <f>IF(TOTALCO!P264="", "",TOTALCO!P264)</f>
        <v>0</v>
      </c>
      <c r="Q1140" s="12"/>
    </row>
    <row r="1141" spans="1:17" ht="15" x14ac:dyDescent="0.2">
      <c r="A1141" s="321">
        <f>IF(TOTALCO!A265="", "",TOTALCO!A265)</f>
        <v>12</v>
      </c>
      <c r="B1141" s="4" t="str">
        <f>IF(TOTALCO!B265="", "",TOTALCO!B265)</f>
        <v/>
      </c>
      <c r="C1141" s="4" t="str">
        <f>IF(TOTALCO!C265="", "",TOTALCO!C265)</f>
        <v/>
      </c>
      <c r="D1141" s="12" t="str">
        <f>IF(TOTALCO!D265="", "",TOTALCO!D265)</f>
        <v/>
      </c>
      <c r="E1141" s="12" t="str">
        <f>IF(TOTALCO!E265="", "",TOTALCO!E265)</f>
        <v/>
      </c>
      <c r="F1141" s="12" t="str">
        <f>IF(TOTALCO!F265="", "",TOTALCO!F265)</f>
        <v/>
      </c>
      <c r="G1141" s="12" t="str">
        <f>IF(TOTALCO!G265="", "",TOTALCO!G265)</f>
        <v/>
      </c>
      <c r="H1141" s="12" t="str">
        <f>IF(TOTALCO!H265="", "",TOTALCO!H265)</f>
        <v/>
      </c>
      <c r="I1141" s="12" t="str">
        <f>IF(TOTALCO!I265="", "",TOTALCO!I265)</f>
        <v/>
      </c>
      <c r="J1141" s="12" t="str">
        <f>IF(TOTALCO!J265="", "",TOTALCO!J265)</f>
        <v/>
      </c>
      <c r="K1141" s="12" t="str">
        <f>IF(TOTALCO!K265="", "",TOTALCO!K265)</f>
        <v/>
      </c>
      <c r="L1141" s="12" t="str">
        <f>IF(TOTALCO!L265="", "",TOTALCO!L265)</f>
        <v/>
      </c>
      <c r="M1141" s="12" t="str">
        <f>IF(TOTALCO!M265="", "",TOTALCO!M265)</f>
        <v/>
      </c>
      <c r="N1141" s="12" t="str">
        <f>IF(TOTALCO!N265="", "",TOTALCO!N265)</f>
        <v/>
      </c>
      <c r="O1141" s="12" t="str">
        <f>IF(TOTALCO!O265="", "",TOTALCO!O265)</f>
        <v/>
      </c>
      <c r="P1141" s="12" t="str">
        <f>IF(TOTALCO!P265="", "",TOTALCO!P265)</f>
        <v/>
      </c>
      <c r="Q1141" s="12"/>
    </row>
    <row r="1142" spans="1:17" ht="15" x14ac:dyDescent="0.2">
      <c r="A1142" s="321">
        <f>IF(TOTALCO!A266="", "",TOTALCO!A266)</f>
        <v>13</v>
      </c>
      <c r="B1142" s="4" t="str">
        <f>IF(TOTALCO!B266="", "",TOTALCO!B266)</f>
        <v/>
      </c>
      <c r="C1142" s="4" t="str">
        <f>IF(TOTALCO!C266="", "",TOTALCO!C266)</f>
        <v/>
      </c>
      <c r="D1142" s="12" t="str">
        <f>IF(TOTALCO!D266="", "",TOTALCO!D266)</f>
        <v/>
      </c>
      <c r="E1142" s="12" t="str">
        <f>IF(TOTALCO!E266="", "",TOTALCO!E266)</f>
        <v/>
      </c>
      <c r="F1142" s="12" t="str">
        <f>IF(TOTALCO!F266="", "",TOTALCO!F266)</f>
        <v/>
      </c>
      <c r="G1142" s="12" t="str">
        <f>IF(TOTALCO!G266="", "",TOTALCO!G266)</f>
        <v/>
      </c>
      <c r="H1142" s="12" t="str">
        <f>IF(TOTALCO!H266="", "",TOTALCO!H266)</f>
        <v/>
      </c>
      <c r="I1142" s="12" t="str">
        <f>IF(TOTALCO!I266="", "",TOTALCO!I266)</f>
        <v/>
      </c>
      <c r="J1142" s="12" t="str">
        <f>IF(TOTALCO!J266="", "",TOTALCO!J266)</f>
        <v/>
      </c>
      <c r="K1142" s="12" t="str">
        <f>IF(TOTALCO!K266="", "",TOTALCO!K266)</f>
        <v/>
      </c>
      <c r="L1142" s="12" t="str">
        <f>IF(TOTALCO!L266="", "",TOTALCO!L266)</f>
        <v/>
      </c>
      <c r="M1142" s="12" t="str">
        <f>IF(TOTALCO!M266="", "",TOTALCO!M266)</f>
        <v/>
      </c>
      <c r="N1142" s="12" t="str">
        <f>IF(TOTALCO!N266="", "",TOTALCO!N266)</f>
        <v/>
      </c>
      <c r="O1142" s="12" t="str">
        <f>IF(TOTALCO!O266="", "",TOTALCO!O266)</f>
        <v/>
      </c>
      <c r="P1142" s="12" t="str">
        <f>IF(TOTALCO!P266="", "",TOTALCO!P266)</f>
        <v/>
      </c>
      <c r="Q1142" s="12"/>
    </row>
    <row r="1143" spans="1:17" ht="15" x14ac:dyDescent="0.2">
      <c r="A1143" s="321" t="str">
        <f>IF(TOTALCO!A267="", "",TOTALCO!A267)</f>
        <v/>
      </c>
      <c r="B1143" s="4" t="str">
        <f>IF(TOTALCO!B267="", "",TOTALCO!B267)</f>
        <v/>
      </c>
      <c r="C1143" s="4" t="str">
        <f>IF(TOTALCO!C267="", "",TOTALCO!C267)</f>
        <v/>
      </c>
      <c r="D1143" s="12" t="str">
        <f>IF(TOTALCO!D267="", "",TOTALCO!D267)</f>
        <v/>
      </c>
      <c r="E1143" s="12" t="str">
        <f>IF(TOTALCO!E267="", "",TOTALCO!E267)</f>
        <v/>
      </c>
      <c r="F1143" s="12" t="str">
        <f>IF(TOTALCO!F267="", "",TOTALCO!F267)</f>
        <v/>
      </c>
      <c r="G1143" s="12" t="str">
        <f>IF(TOTALCO!G267="", "",TOTALCO!G267)</f>
        <v/>
      </c>
      <c r="H1143" s="12" t="str">
        <f>IF(TOTALCO!H267="", "",TOTALCO!H267)</f>
        <v/>
      </c>
      <c r="I1143" s="12" t="str">
        <f>IF(TOTALCO!I267="", "",TOTALCO!I267)</f>
        <v/>
      </c>
      <c r="J1143" s="12" t="str">
        <f>IF(TOTALCO!J267="", "",TOTALCO!J267)</f>
        <v/>
      </c>
      <c r="K1143" s="12" t="str">
        <f>IF(TOTALCO!K267="", "",TOTALCO!K267)</f>
        <v/>
      </c>
      <c r="L1143" s="12" t="str">
        <f>IF(TOTALCO!L267="", "",TOTALCO!L267)</f>
        <v/>
      </c>
      <c r="M1143" s="12" t="str">
        <f>IF(TOTALCO!M267="", "",TOTALCO!M267)</f>
        <v/>
      </c>
      <c r="N1143" s="12" t="str">
        <f>IF(TOTALCO!N267="", "",TOTALCO!N267)</f>
        <v/>
      </c>
      <c r="O1143" s="12" t="str">
        <f>IF(TOTALCO!O267="", "",TOTALCO!O267)</f>
        <v/>
      </c>
      <c r="P1143" s="12" t="str">
        <f>IF(TOTALCO!P267="", "",TOTALCO!P267)</f>
        <v/>
      </c>
      <c r="Q1143" s="12"/>
    </row>
    <row r="1144" spans="1:17" ht="15" x14ac:dyDescent="0.2">
      <c r="A1144" s="321" t="str">
        <f>IF(TOTALCO!A268="", "",TOTALCO!A268)</f>
        <v/>
      </c>
      <c r="B1144" s="4" t="str">
        <f>IF(TOTALCO!B268="", "",TOTALCO!B268)</f>
        <v/>
      </c>
      <c r="C1144" s="4" t="str">
        <f>IF(TOTALCO!C268="", "",TOTALCO!C268)</f>
        <v/>
      </c>
      <c r="D1144" s="4" t="str">
        <f>IF(TOTALCO!D268="", "",TOTALCO!D268)</f>
        <v/>
      </c>
      <c r="E1144" s="4" t="str">
        <f>IF(TOTALCO!E268="", "",TOTALCO!E268)</f>
        <v/>
      </c>
      <c r="F1144" s="4" t="str">
        <f>IF(TOTALCO!F268="", "",TOTALCO!F268)</f>
        <v/>
      </c>
      <c r="G1144" s="4" t="str">
        <f>IF(TOTALCO!G268="", "",TOTALCO!G268)</f>
        <v/>
      </c>
      <c r="H1144" s="4" t="str">
        <f>IF(TOTALCO!H268="", "",TOTALCO!H268)</f>
        <v/>
      </c>
      <c r="I1144" s="4" t="str">
        <f>IF(TOTALCO!I268="", "",TOTALCO!I268)</f>
        <v/>
      </c>
      <c r="J1144" s="4" t="str">
        <f>IF(TOTALCO!J268="", "",TOTALCO!J268)</f>
        <v/>
      </c>
      <c r="K1144" s="4" t="str">
        <f>IF(TOTALCO!K268="", "",TOTALCO!K268)</f>
        <v/>
      </c>
      <c r="L1144" s="4" t="str">
        <f>IF(TOTALCO!L268="", "",TOTALCO!L268)</f>
        <v/>
      </c>
      <c r="M1144" s="4" t="str">
        <f>IF(TOTALCO!M268="", "",TOTALCO!M268)</f>
        <v/>
      </c>
      <c r="N1144" s="4" t="str">
        <f>IF(TOTALCO!N268="", "",TOTALCO!N268)</f>
        <v/>
      </c>
      <c r="O1144" s="4" t="str">
        <f>IF(TOTALCO!O268="", "",TOTALCO!O268)</f>
        <v/>
      </c>
      <c r="P1144" s="4" t="str">
        <f>IF(TOTALCO!P268="", "",TOTALCO!P268)</f>
        <v/>
      </c>
      <c r="Q1144" s="4"/>
    </row>
    <row r="1145" spans="1:17" ht="15" x14ac:dyDescent="0.2">
      <c r="A1145" s="321" t="str">
        <f>IF(TOTALCO!A269="", "",TOTALCO!A269)</f>
        <v/>
      </c>
      <c r="B1145" s="4" t="str">
        <f>IF(TOTALCO!B269="", "",TOTALCO!B269)</f>
        <v/>
      </c>
      <c r="C1145" s="4" t="str">
        <f>IF(TOTALCO!C269="", "",TOTALCO!C269)</f>
        <v/>
      </c>
      <c r="D1145" s="4" t="str">
        <f>IF(TOTALCO!D269="", "",TOTALCO!D269)</f>
        <v/>
      </c>
      <c r="E1145" s="4" t="str">
        <f>IF(TOTALCO!E269="", "",TOTALCO!E269)</f>
        <v/>
      </c>
      <c r="F1145" s="4" t="str">
        <f>IF(TOTALCO!F269="", "",TOTALCO!F269)</f>
        <v/>
      </c>
      <c r="G1145" s="4" t="str">
        <f>IF(TOTALCO!G269="", "",TOTALCO!G269)</f>
        <v/>
      </c>
      <c r="H1145" s="4" t="str">
        <f>IF(TOTALCO!H269="", "",TOTALCO!H269)</f>
        <v/>
      </c>
      <c r="I1145" s="4" t="str">
        <f>IF(TOTALCO!I269="", "",TOTALCO!I269)</f>
        <v/>
      </c>
      <c r="J1145" s="4" t="str">
        <f>IF(TOTALCO!J269="", "",TOTALCO!J269)</f>
        <v/>
      </c>
      <c r="K1145" s="4" t="str">
        <f>IF(TOTALCO!K269="", "",TOTALCO!K269)</f>
        <v/>
      </c>
      <c r="L1145" s="4" t="str">
        <f>IF(TOTALCO!L269="", "",TOTALCO!L269)</f>
        <v/>
      </c>
      <c r="M1145" s="4" t="str">
        <f>IF(TOTALCO!M269="", "",TOTALCO!M269)</f>
        <v/>
      </c>
      <c r="N1145" s="4" t="str">
        <f>IF(TOTALCO!N269="", "",TOTALCO!N269)</f>
        <v/>
      </c>
      <c r="O1145" s="4" t="str">
        <f>IF(TOTALCO!O269="", "",TOTALCO!O269)</f>
        <v/>
      </c>
      <c r="P1145" s="4" t="str">
        <f>IF(TOTALCO!P269="", "",TOTALCO!P269)</f>
        <v/>
      </c>
      <c r="Q1145" s="4"/>
    </row>
    <row r="1146" spans="1:17" ht="15" x14ac:dyDescent="0.2">
      <c r="A1146" s="321" t="str">
        <f>IF(TOTALCO!A270="", "",TOTALCO!A270)</f>
        <v/>
      </c>
      <c r="B1146" s="4" t="str">
        <f>IF(TOTALCO!B270="", "",TOTALCO!B270)</f>
        <v/>
      </c>
      <c r="C1146" s="4" t="str">
        <f>IF(TOTALCO!C270="", "",TOTALCO!C270)</f>
        <v/>
      </c>
      <c r="D1146" s="4" t="str">
        <f>IF(TOTALCO!D270="", "",TOTALCO!D270)</f>
        <v/>
      </c>
      <c r="E1146" s="4" t="str">
        <f>IF(TOTALCO!E270="", "",TOTALCO!E270)</f>
        <v/>
      </c>
      <c r="F1146" s="4" t="str">
        <f>IF(TOTALCO!F270="", "",TOTALCO!F270)</f>
        <v/>
      </c>
      <c r="G1146" s="4" t="str">
        <f>IF(TOTALCO!G270="", "",TOTALCO!G270)</f>
        <v/>
      </c>
      <c r="H1146" s="4" t="str">
        <f>IF(TOTALCO!H270="", "",TOTALCO!H270)</f>
        <v/>
      </c>
      <c r="I1146" s="4" t="str">
        <f>IF(TOTALCO!I270="", "",TOTALCO!I270)</f>
        <v/>
      </c>
      <c r="J1146" s="4" t="str">
        <f>IF(TOTALCO!J270="", "",TOTALCO!J270)</f>
        <v/>
      </c>
      <c r="K1146" s="4" t="str">
        <f>IF(TOTALCO!K270="", "",TOTALCO!K270)</f>
        <v/>
      </c>
      <c r="L1146" s="4" t="str">
        <f>IF(TOTALCO!L270="", "",TOTALCO!L270)</f>
        <v/>
      </c>
      <c r="M1146" s="4" t="str">
        <f>IF(TOTALCO!M270="", "",TOTALCO!M270)</f>
        <v/>
      </c>
      <c r="N1146" s="4" t="str">
        <f>IF(TOTALCO!N270="", "",TOTALCO!N270)</f>
        <v/>
      </c>
      <c r="O1146" s="4" t="str">
        <f>IF(TOTALCO!O270="", "",TOTALCO!O270)</f>
        <v/>
      </c>
      <c r="P1146" s="4" t="str">
        <f>IF(TOTALCO!P270="", "",TOTALCO!P270)</f>
        <v/>
      </c>
      <c r="Q1146" s="4"/>
    </row>
    <row r="1147" spans="1:17" ht="15" x14ac:dyDescent="0.2">
      <c r="A1147" s="321" t="str">
        <f>IF(TOTALCO!A271="", "",TOTALCO!A271)</f>
        <v/>
      </c>
      <c r="B1147" s="4" t="str">
        <f>IF(TOTALCO!B271="", "",TOTALCO!B271)</f>
        <v/>
      </c>
      <c r="C1147" s="4" t="str">
        <f>IF(TOTALCO!C271="", "",TOTALCO!C271)</f>
        <v/>
      </c>
      <c r="D1147" s="4" t="str">
        <f>IF(TOTALCO!D271="", "",TOTALCO!D271)</f>
        <v/>
      </c>
      <c r="E1147" s="4" t="str">
        <f>IF(TOTALCO!E271="", "",TOTALCO!E271)</f>
        <v/>
      </c>
      <c r="F1147" s="4" t="str">
        <f>IF(TOTALCO!F271="", "",TOTALCO!F271)</f>
        <v/>
      </c>
      <c r="G1147" s="4" t="str">
        <f>IF(TOTALCO!G271="", "",TOTALCO!G271)</f>
        <v/>
      </c>
      <c r="H1147" s="4" t="str">
        <f>IF(TOTALCO!H271="", "",TOTALCO!H271)</f>
        <v/>
      </c>
      <c r="I1147" s="4" t="str">
        <f>IF(TOTALCO!I271="", "",TOTALCO!I271)</f>
        <v/>
      </c>
      <c r="J1147" s="4" t="str">
        <f>IF(TOTALCO!J271="", "",TOTALCO!J271)</f>
        <v/>
      </c>
      <c r="K1147" s="4" t="str">
        <f>IF(TOTALCO!K271="", "",TOTALCO!K271)</f>
        <v/>
      </c>
      <c r="L1147" s="4" t="str">
        <f>IF(TOTALCO!L271="", "",TOTALCO!L271)</f>
        <v/>
      </c>
      <c r="M1147" s="4" t="str">
        <f>IF(TOTALCO!M271="", "",TOTALCO!M271)</f>
        <v/>
      </c>
      <c r="N1147" s="4" t="str">
        <f>IF(TOTALCO!N271="", "",TOTALCO!N271)</f>
        <v/>
      </c>
      <c r="O1147" s="4" t="str">
        <f>IF(TOTALCO!O271="", "",TOTALCO!O271)</f>
        <v/>
      </c>
      <c r="P1147" s="4" t="str">
        <f>IF(TOTALCO!P271="", "",TOTALCO!P271)</f>
        <v/>
      </c>
      <c r="Q1147" s="4"/>
    </row>
    <row r="1148" spans="1:17" ht="15" x14ac:dyDescent="0.2">
      <c r="A1148" s="321" t="str">
        <f>IF(TOTALCO!A272="", "",TOTALCO!A272)</f>
        <v/>
      </c>
      <c r="B1148" s="4" t="str">
        <f>IF(TOTALCO!B272="", "",TOTALCO!B272)</f>
        <v>RATIO TABLE</v>
      </c>
      <c r="C1148" s="4" t="str">
        <f>IF(TOTALCO!C272="", "",TOTALCO!C272)</f>
        <v/>
      </c>
      <c r="D1148" s="4" t="str">
        <f>IF(TOTALCO!D272="", "",TOTALCO!D272)</f>
        <v/>
      </c>
      <c r="E1148" s="4" t="str">
        <f>IF(TOTALCO!E272="", "",TOTALCO!E272)</f>
        <v/>
      </c>
      <c r="F1148" s="4" t="str">
        <f>IF(TOTALCO!F272="", "",TOTALCO!F272)</f>
        <v/>
      </c>
      <c r="G1148" s="4" t="str">
        <f>IF(TOTALCO!G272="", "",TOTALCO!G272)</f>
        <v/>
      </c>
      <c r="H1148" s="4" t="str">
        <f>IF(TOTALCO!H272="", "",TOTALCO!H272)</f>
        <v/>
      </c>
      <c r="I1148" s="4" t="str">
        <f>IF(TOTALCO!I272="", "",TOTALCO!I272)</f>
        <v/>
      </c>
      <c r="J1148" s="4" t="str">
        <f>IF(TOTALCO!J272="", "",TOTALCO!J272)</f>
        <v/>
      </c>
      <c r="K1148" s="4" t="str">
        <f>IF(TOTALCO!K272="", "",TOTALCO!K272)</f>
        <v/>
      </c>
      <c r="L1148" s="4" t="str">
        <f>IF(TOTALCO!L272="", "",TOTALCO!L272)</f>
        <v/>
      </c>
      <c r="M1148" s="4" t="str">
        <f>IF(TOTALCO!M272="", "",TOTALCO!M272)</f>
        <v/>
      </c>
      <c r="N1148" s="4" t="str">
        <f>IF(TOTALCO!N272="", "",TOTALCO!N272)</f>
        <v/>
      </c>
      <c r="O1148" s="4" t="str">
        <f>IF(TOTALCO!O272="", "",TOTALCO!O272)</f>
        <v/>
      </c>
      <c r="P1148" s="4" t="str">
        <f>IF(TOTALCO!P272="", "",TOTALCO!P272)</f>
        <v/>
      </c>
      <c r="Q1148" s="4"/>
    </row>
    <row r="1149" spans="1:17" ht="15" x14ac:dyDescent="0.2">
      <c r="A1149" s="321" t="str">
        <f>IF(TOTALCO!A273="", "",TOTALCO!A273)</f>
        <v/>
      </c>
      <c r="B1149" s="4" t="str">
        <f>IF(TOTALCO!B273="", "",TOTALCO!B273)</f>
        <v/>
      </c>
      <c r="C1149" s="4" t="str">
        <f>IF(TOTALCO!C273="", "",TOTALCO!C273)</f>
        <v/>
      </c>
      <c r="D1149" s="4" t="str">
        <f>IF(TOTALCO!D273="", "",TOTALCO!D273)</f>
        <v/>
      </c>
      <c r="E1149" s="4" t="str">
        <f>IF(TOTALCO!E273="", "",TOTALCO!E273)</f>
        <v/>
      </c>
      <c r="F1149" s="4" t="str">
        <f>IF(TOTALCO!F273="", "",TOTALCO!F273)</f>
        <v/>
      </c>
      <c r="G1149" s="4" t="str">
        <f>IF(TOTALCO!G273="", "",TOTALCO!G273)</f>
        <v/>
      </c>
      <c r="H1149" s="4" t="str">
        <f>IF(TOTALCO!H273="", "",TOTALCO!H273)</f>
        <v/>
      </c>
      <c r="I1149" s="4" t="str">
        <f>IF(TOTALCO!I273="", "",TOTALCO!I273)</f>
        <v/>
      </c>
      <c r="J1149" s="4" t="str">
        <f>IF(TOTALCO!J273="", "",TOTALCO!J273)</f>
        <v/>
      </c>
      <c r="K1149" s="4" t="str">
        <f>IF(TOTALCO!K273="", "",TOTALCO!K273)</f>
        <v/>
      </c>
      <c r="L1149" s="4" t="str">
        <f>IF(TOTALCO!L273="", "",TOTALCO!L273)</f>
        <v/>
      </c>
      <c r="M1149" s="4" t="str">
        <f>IF(TOTALCO!M273="", "",TOTALCO!M273)</f>
        <v/>
      </c>
      <c r="N1149" s="4" t="str">
        <f>IF(TOTALCO!N273="", "",TOTALCO!N273)</f>
        <v/>
      </c>
      <c r="O1149" s="4" t="str">
        <f>IF(TOTALCO!O273="", "",TOTALCO!O273)</f>
        <v/>
      </c>
      <c r="P1149" s="4" t="str">
        <f>IF(TOTALCO!P273="", "",TOTALCO!P273)</f>
        <v/>
      </c>
      <c r="Q1149" s="4"/>
    </row>
    <row r="1150" spans="1:17" ht="15" x14ac:dyDescent="0.2">
      <c r="A1150" s="321" t="str">
        <f>IF(TOTALCO!A274="", "",TOTALCO!A274)</f>
        <v/>
      </c>
      <c r="B1150" s="4" t="str">
        <f>IF(TOTALCO!B274="", "",TOTALCO!B274)</f>
        <v>CAPACITY RELATED</v>
      </c>
      <c r="C1150" s="4" t="str">
        <f>IF(TOTALCO!C274="", "",TOTALCO!C274)</f>
        <v/>
      </c>
      <c r="D1150" s="4" t="str">
        <f>IF(TOTALCO!D274="", "",TOTALCO!D274)</f>
        <v/>
      </c>
      <c r="E1150" s="4" t="str">
        <f>IF(TOTALCO!E274="", "",TOTALCO!E274)</f>
        <v/>
      </c>
      <c r="F1150" s="4" t="str">
        <f>IF(TOTALCO!F274="", "",TOTALCO!F274)</f>
        <v/>
      </c>
      <c r="G1150" s="4" t="str">
        <f>IF(TOTALCO!G274="", "",TOTALCO!G274)</f>
        <v/>
      </c>
      <c r="H1150" s="4" t="str">
        <f>IF(TOTALCO!H274="", "",TOTALCO!H274)</f>
        <v/>
      </c>
      <c r="I1150" s="4" t="str">
        <f>IF(TOTALCO!I274="", "",TOTALCO!I274)</f>
        <v/>
      </c>
      <c r="J1150" s="4" t="str">
        <f>IF(TOTALCO!J274="", "",TOTALCO!J274)</f>
        <v/>
      </c>
      <c r="K1150" s="4" t="str">
        <f>IF(TOTALCO!K274="", "",TOTALCO!K274)</f>
        <v/>
      </c>
      <c r="L1150" s="4" t="str">
        <f>IF(TOTALCO!L274="", "",TOTALCO!L274)</f>
        <v/>
      </c>
      <c r="M1150" s="4" t="str">
        <f>IF(TOTALCO!M274="", "",TOTALCO!M274)</f>
        <v/>
      </c>
      <c r="N1150" s="4" t="str">
        <f>IF(TOTALCO!N274="", "",TOTALCO!N274)</f>
        <v/>
      </c>
      <c r="O1150" s="4" t="str">
        <f>IF(TOTALCO!O274="", "",TOTALCO!O274)</f>
        <v/>
      </c>
      <c r="P1150" s="4" t="str">
        <f>IF(TOTALCO!P274="", "",TOTALCO!P274)</f>
        <v/>
      </c>
      <c r="Q1150" s="4"/>
    </row>
    <row r="1151" spans="1:17" ht="15" x14ac:dyDescent="0.2">
      <c r="A1151" s="321" t="str">
        <f>IF(TOTALCO!A275="", "",TOTALCO!A275)</f>
        <v/>
      </c>
      <c r="B1151" s="4" t="str">
        <f>IF(TOTALCO!B275="", "",TOTALCO!B275)</f>
        <v>-</v>
      </c>
      <c r="C1151" s="4" t="str">
        <f>IF(TOTALCO!C275="", "",TOTALCO!C275)</f>
        <v/>
      </c>
      <c r="D1151" s="4" t="str">
        <f>IF(TOTALCO!D275="", "",TOTALCO!D275)</f>
        <v/>
      </c>
      <c r="E1151" s="4" t="str">
        <f>IF(TOTALCO!E275="", "",TOTALCO!E275)</f>
        <v/>
      </c>
      <c r="F1151" s="4" t="str">
        <f>IF(TOTALCO!F275="", "",TOTALCO!F275)</f>
        <v/>
      </c>
      <c r="G1151" s="4" t="str">
        <f>IF(TOTALCO!G275="", "",TOTALCO!G275)</f>
        <v/>
      </c>
      <c r="H1151" s="4" t="str">
        <f>IF(TOTALCO!H275="", "",TOTALCO!H275)</f>
        <v/>
      </c>
      <c r="I1151" s="4" t="str">
        <f>IF(TOTALCO!I275="", "",TOTALCO!I275)</f>
        <v/>
      </c>
      <c r="J1151" s="4" t="str">
        <f>IF(TOTALCO!J275="", "",TOTALCO!J275)</f>
        <v/>
      </c>
      <c r="K1151" s="4" t="str">
        <f>IF(TOTALCO!K275="", "",TOTALCO!K275)</f>
        <v/>
      </c>
      <c r="L1151" s="4" t="str">
        <f>IF(TOTALCO!L275="", "",TOTALCO!L275)</f>
        <v/>
      </c>
      <c r="M1151" s="4" t="str">
        <f>IF(TOTALCO!M275="", "",TOTALCO!M275)</f>
        <v/>
      </c>
      <c r="N1151" s="4" t="str">
        <f>IF(TOTALCO!N275="", "",TOTALCO!N275)</f>
        <v/>
      </c>
      <c r="O1151" s="4" t="str">
        <f>IF(TOTALCO!O275="", "",TOTALCO!O275)</f>
        <v/>
      </c>
      <c r="P1151" s="4" t="str">
        <f>IF(TOTALCO!P275="", "",TOTALCO!P275)</f>
        <v/>
      </c>
      <c r="Q1151" s="4"/>
    </row>
    <row r="1152" spans="1:17" ht="15" x14ac:dyDescent="0.2">
      <c r="A1152" s="321" t="str">
        <f>IF(TOTALCO!A276="", "",TOTALCO!A276)</f>
        <v/>
      </c>
      <c r="B1152" s="4" t="str">
        <f>IF(TOTALCO!B276="", "",TOTALCO!B276)</f>
        <v>PRODUCTION ALLOCATORS</v>
      </c>
      <c r="C1152" s="4" t="str">
        <f>IF(TOTALCO!C276="", "",TOTALCO!C276)</f>
        <v/>
      </c>
      <c r="D1152" s="4" t="str">
        <f>IF(TOTALCO!D276="", "",TOTALCO!D276)</f>
        <v/>
      </c>
      <c r="E1152" s="4" t="str">
        <f>IF(TOTALCO!E276="", "",TOTALCO!E276)</f>
        <v/>
      </c>
      <c r="F1152" s="4" t="str">
        <f>IF(TOTALCO!F276="", "",TOTALCO!F276)</f>
        <v/>
      </c>
      <c r="G1152" s="4" t="str">
        <f>IF(TOTALCO!G276="", "",TOTALCO!G276)</f>
        <v/>
      </c>
      <c r="H1152" s="4" t="str">
        <f>IF(TOTALCO!H276="", "",TOTALCO!H276)</f>
        <v/>
      </c>
      <c r="I1152" s="4" t="str">
        <f>IF(TOTALCO!I276="", "",TOTALCO!I276)</f>
        <v/>
      </c>
      <c r="J1152" s="4" t="str">
        <f>IF(TOTALCO!J276="", "",TOTALCO!J276)</f>
        <v/>
      </c>
      <c r="K1152" s="4" t="str">
        <f>IF(TOTALCO!K276="", "",TOTALCO!K276)</f>
        <v/>
      </c>
      <c r="L1152" s="4" t="str">
        <f>IF(TOTALCO!L276="", "",TOTALCO!L276)</f>
        <v/>
      </c>
      <c r="M1152" s="4" t="str">
        <f>IF(TOTALCO!M276="", "",TOTALCO!M276)</f>
        <v/>
      </c>
      <c r="N1152" s="4" t="str">
        <f>IF(TOTALCO!N276="", "",TOTALCO!N276)</f>
        <v/>
      </c>
      <c r="O1152" s="4" t="str">
        <f>IF(TOTALCO!O276="", "",TOTALCO!O276)</f>
        <v/>
      </c>
      <c r="P1152" s="4" t="str">
        <f>IF(TOTALCO!P276="", "",TOTALCO!P276)</f>
        <v/>
      </c>
      <c r="Q1152" s="4"/>
    </row>
    <row r="1153" spans="1:17" ht="15" x14ac:dyDescent="0.2">
      <c r="A1153" s="321">
        <f>IF(TOTALCO!A277="", "",TOTALCO!A277)</f>
        <v>1</v>
      </c>
      <c r="B1153" s="4" t="str">
        <f>IF(TOTALCO!B277="", "",TOTALCO!B277)</f>
        <v>DEMAND (12 CP GEN LEV)-PROD</v>
      </c>
      <c r="C1153" s="4" t="str">
        <f>IF(TOTALCO!C277="", "",TOTALCO!C277)</f>
        <v>DEMPROD</v>
      </c>
      <c r="D1153" s="14">
        <f>IF(TOTALCO!D277="", "",TOTALCO!D277)</f>
        <v>1</v>
      </c>
      <c r="E1153" s="14" t="str">
        <f>IF(TOTALCO!E277="", "",TOTALCO!E277)</f>
        <v/>
      </c>
      <c r="F1153" s="14">
        <f>IF(TOTALCO!F277="", "",TOTALCO!F277)</f>
        <v>0.93741603079505242</v>
      </c>
      <c r="G1153" s="14" t="str">
        <f>IF(TOTALCO!G277="", "",TOTALCO!G277)</f>
        <v/>
      </c>
      <c r="H1153" s="14">
        <f>IF(TOTALCO!H277="", "",TOTALCO!H277)</f>
        <v>4.2925433691070353E-2</v>
      </c>
      <c r="I1153" s="14">
        <f>IF(TOTALCO!I277="", "",TOTALCO!I277)</f>
        <v>1.9658535513877244E-2</v>
      </c>
      <c r="J1153" s="14" t="str">
        <f>IF(TOTALCO!J277="", "",TOTALCO!J277)</f>
        <v/>
      </c>
      <c r="K1153" s="14" t="str">
        <f>IF(TOTALCO!K277="", "",TOTALCO!K277)</f>
        <v/>
      </c>
      <c r="L1153" s="14">
        <f>IF(TOTALCO!L277="", "",TOTALCO!L277)</f>
        <v>3.0089748693427888E-6</v>
      </c>
      <c r="M1153" s="14" t="str">
        <f>IF(TOTALCO!M277="", "",TOTALCO!M277)</f>
        <v/>
      </c>
      <c r="N1153" s="14">
        <f>IF(TOTALCO!N277="", "",TOTALCO!N277)</f>
        <v>1.96555265390079E-2</v>
      </c>
      <c r="O1153" s="14">
        <f>IF(TOTALCO!O277="", "",TOTALCO!O277)</f>
        <v>9.9687337421326596E-3</v>
      </c>
      <c r="P1153" s="14">
        <f>IF(TOTALCO!P277="", "",TOTALCO!P277)</f>
        <v>9.686792796875239E-3</v>
      </c>
      <c r="Q1153" s="14"/>
    </row>
    <row r="1154" spans="1:17" ht="15" x14ac:dyDescent="0.2">
      <c r="A1154" s="321">
        <f>IF(TOTALCO!A278="", "",TOTALCO!A278)</f>
        <v>2</v>
      </c>
      <c r="B1154" s="4" t="str">
        <f>IF(TOTALCO!B278="", "",TOTALCO!B278)</f>
        <v>DEMAND (12 CP GEN LEV)-FERC</v>
      </c>
      <c r="C1154" s="4" t="str">
        <f>IF(TOTALCO!C278="", "",TOTALCO!C278)</f>
        <v>DEMFERC</v>
      </c>
      <c r="D1154" s="14">
        <f>IF(TOTALCO!D278="", "",TOTALCO!D278)</f>
        <v>1</v>
      </c>
      <c r="E1154" s="14" t="str">
        <f>IF(TOTALCO!E278="", "",TOTALCO!E278)</f>
        <v/>
      </c>
      <c r="F1154" s="14">
        <f>IF(TOTALCO!F278="", "",TOTALCO!F278)</f>
        <v>0.5251575342465753</v>
      </c>
      <c r="G1154" s="14" t="str">
        <f>IF(TOTALCO!G278="", "",TOTALCO!G278)</f>
        <v/>
      </c>
      <c r="H1154" s="14">
        <f>IF(TOTALCO!H278="", "",TOTALCO!H278)</f>
        <v>0.32570319634703199</v>
      </c>
      <c r="I1154" s="14">
        <f>IF(TOTALCO!I278="", "",TOTALCO!I278)</f>
        <v>0.14913926940639269</v>
      </c>
      <c r="J1154" s="14" t="str">
        <f>IF(TOTALCO!J278="", "",TOTALCO!J278)</f>
        <v/>
      </c>
      <c r="K1154" s="14" t="str">
        <f>IF(TOTALCO!K278="", "",TOTALCO!K278)</f>
        <v/>
      </c>
      <c r="L1154" s="14">
        <f>IF(TOTALCO!L278="", "",TOTALCO!L278)</f>
        <v>0</v>
      </c>
      <c r="M1154" s="14" t="str">
        <f>IF(TOTALCO!M278="", "",TOTALCO!M278)</f>
        <v/>
      </c>
      <c r="N1154" s="14">
        <f>IF(TOTALCO!N278="", "",TOTALCO!N278)</f>
        <v>0.14913926940639269</v>
      </c>
      <c r="O1154" s="14">
        <f>IF(TOTALCO!O278="", "",TOTALCO!O278)</f>
        <v>7.5639269406392692E-2</v>
      </c>
      <c r="P1154" s="14">
        <f>IF(TOTALCO!P278="", "",TOTALCO!P278)</f>
        <v>7.3499999999999996E-2</v>
      </c>
      <c r="Q1154" s="14"/>
    </row>
    <row r="1155" spans="1:17" ht="15" x14ac:dyDescent="0.2">
      <c r="A1155" s="321">
        <f>IF(TOTALCO!A279="", "",TOTALCO!A279)</f>
        <v>3</v>
      </c>
      <c r="B1155" s="4" t="str">
        <f>IF(TOTALCO!B279="", "",TOTALCO!B279)</f>
        <v>DEMAND (12 CP GEN)-PROD VA</v>
      </c>
      <c r="C1155" s="4" t="str">
        <f>IF(TOTALCO!C279="", "",TOTALCO!C279)</f>
        <v>DPRODVA</v>
      </c>
      <c r="D1155" s="14">
        <f>IF(TOTALCO!D279="", "",TOTALCO!D279)</f>
        <v>1</v>
      </c>
      <c r="E1155" s="14" t="str">
        <f>IF(TOTALCO!E279="", "",TOTALCO!E279)</f>
        <v/>
      </c>
      <c r="F1155" s="14">
        <f>IF(TOTALCO!F279="", "",TOTALCO!F279)</f>
        <v>0</v>
      </c>
      <c r="G1155" s="14" t="str">
        <f>IF(TOTALCO!G279="", "",TOTALCO!G279)</f>
        <v/>
      </c>
      <c r="H1155" s="14">
        <f>IF(TOTALCO!H279="", "",TOTALCO!H279)</f>
        <v>1</v>
      </c>
      <c r="I1155" s="14">
        <f>IF(TOTALCO!I279="", "",TOTALCO!I279)</f>
        <v>0</v>
      </c>
      <c r="J1155" s="14" t="str">
        <f>IF(TOTALCO!J279="", "",TOTALCO!J279)</f>
        <v/>
      </c>
      <c r="K1155" s="14" t="str">
        <f>IF(TOTALCO!K279="", "",TOTALCO!K279)</f>
        <v/>
      </c>
      <c r="L1155" s="14">
        <f>IF(TOTALCO!L279="", "",TOTALCO!L279)</f>
        <v>0</v>
      </c>
      <c r="M1155" s="14" t="str">
        <f>IF(TOTALCO!M279="", "",TOTALCO!M279)</f>
        <v/>
      </c>
      <c r="N1155" s="14">
        <f>IF(TOTALCO!N279="", "",TOTALCO!N279)</f>
        <v>0</v>
      </c>
      <c r="O1155" s="14">
        <f>IF(TOTALCO!O279="", "",TOTALCO!O279)</f>
        <v>0</v>
      </c>
      <c r="P1155" s="14">
        <f>IF(TOTALCO!P279="", "",TOTALCO!P279)</f>
        <v>0</v>
      </c>
      <c r="Q1155" s="14"/>
    </row>
    <row r="1156" spans="1:17" ht="15" x14ac:dyDescent="0.2">
      <c r="A1156" s="321">
        <f>IF(TOTALCO!A280="", "",TOTALCO!A280)</f>
        <v>4</v>
      </c>
      <c r="B1156" s="4" t="str">
        <f>IF(TOTALCO!B280="", "",TOTALCO!B280)</f>
        <v>DEMAND (12 CP GEN)-PROD KY</v>
      </c>
      <c r="C1156" s="4" t="str">
        <f>IF(TOTALCO!C280="", "",TOTALCO!C280)</f>
        <v>DPRODKY</v>
      </c>
      <c r="D1156" s="14">
        <f>IF(TOTALCO!D280="", "",TOTALCO!D280)</f>
        <v>1</v>
      </c>
      <c r="E1156" s="14" t="str">
        <f>IF(TOTALCO!E280="", "",TOTALCO!E280)</f>
        <v/>
      </c>
      <c r="F1156" s="14">
        <f>IF(TOTALCO!F280="", "",TOTALCO!F280)</f>
        <v>0.97946284539709993</v>
      </c>
      <c r="G1156" s="14" t="str">
        <f>IF(TOTALCO!G280="", "",TOTALCO!G280)</f>
        <v/>
      </c>
      <c r="H1156" s="14">
        <f>IF(TOTALCO!H280="", "",TOTALCO!H280)</f>
        <v>0</v>
      </c>
      <c r="I1156" s="14">
        <f>IF(TOTALCO!I280="", "",TOTALCO!I280)</f>
        <v>2.053715460290003E-2</v>
      </c>
      <c r="J1156" s="14" t="str">
        <f>IF(TOTALCO!J280="", "",TOTALCO!J280)</f>
        <v/>
      </c>
      <c r="K1156" s="14" t="str">
        <f>IF(TOTALCO!K280="", "",TOTALCO!K280)</f>
        <v/>
      </c>
      <c r="L1156" s="14">
        <f>IF(TOTALCO!L280="", "",TOTALCO!L280)</f>
        <v>0</v>
      </c>
      <c r="M1156" s="14" t="str">
        <f>IF(TOTALCO!M280="", "",TOTALCO!M280)</f>
        <v/>
      </c>
      <c r="N1156" s="14">
        <f>IF(TOTALCO!N280="", "",TOTALCO!N280)</f>
        <v>2.053715460290003E-2</v>
      </c>
      <c r="O1156" s="14">
        <f>IF(TOTALCO!O280="", "",TOTALCO!O280)</f>
        <v>1.0415870857034706E-2</v>
      </c>
      <c r="P1156" s="14">
        <f>IF(TOTALCO!P280="", "",TOTALCO!P280)</f>
        <v>1.0121283745865326E-2</v>
      </c>
      <c r="Q1156" s="14"/>
    </row>
    <row r="1157" spans="1:17" ht="15" x14ac:dyDescent="0.2">
      <c r="A1157" s="321">
        <f>IF(TOTALCO!A281="", "",TOTALCO!A281)</f>
        <v>5</v>
      </c>
      <c r="B1157" s="4" t="str">
        <f>IF(TOTALCO!B281="", "",TOTALCO!B281)</f>
        <v>DEM (12 CP GEN LV)-FERC POST</v>
      </c>
      <c r="C1157" s="4" t="str">
        <f>IF(TOTALCO!C281="", "",TOTALCO!C281)</f>
        <v>DEMFERCP</v>
      </c>
      <c r="D1157" s="14">
        <f>IF(TOTALCO!D281="", "",TOTALCO!D281)</f>
        <v>1</v>
      </c>
      <c r="E1157" s="14" t="str">
        <f>IF(TOTALCO!E281="", "",TOTALCO!E281)</f>
        <v/>
      </c>
      <c r="F1157" s="14">
        <f>IF(TOTALCO!F281="", "",TOTALCO!F281)</f>
        <v>0.7788225176236363</v>
      </c>
      <c r="G1157" s="14" t="str">
        <f>IF(TOTALCO!G281="", "",TOTALCO!G281)</f>
        <v/>
      </c>
      <c r="H1157" s="14">
        <f>IF(TOTALCO!H281="", "",TOTALCO!H281)</f>
        <v>0</v>
      </c>
      <c r="I1157" s="14">
        <f>IF(TOTALCO!I281="", "",TOTALCO!I281)</f>
        <v>0.2211774823763637</v>
      </c>
      <c r="J1157" s="14" t="str">
        <f>IF(TOTALCO!J281="", "",TOTALCO!J281)</f>
        <v/>
      </c>
      <c r="K1157" s="14" t="str">
        <f>IF(TOTALCO!K281="", "",TOTALCO!K281)</f>
        <v/>
      </c>
      <c r="L1157" s="14">
        <f>IF(TOTALCO!L281="", "",TOTALCO!L281)</f>
        <v>0</v>
      </c>
      <c r="M1157" s="14" t="str">
        <f>IF(TOTALCO!M281="", "",TOTALCO!M281)</f>
        <v/>
      </c>
      <c r="N1157" s="14">
        <f>IF(TOTALCO!N281="", "",TOTALCO!N281)</f>
        <v>0.2211774823763637</v>
      </c>
      <c r="O1157" s="14">
        <f>IF(TOTALCO!O281="", "",TOTALCO!O281)</f>
        <v>0.11217503775284247</v>
      </c>
      <c r="P1157" s="14">
        <f>IF(TOTALCO!P281="", "",TOTALCO!P281)</f>
        <v>0.10900244462352121</v>
      </c>
      <c r="Q1157" s="14"/>
    </row>
    <row r="1158" spans="1:17" ht="15" x14ac:dyDescent="0.2">
      <c r="A1158" s="321">
        <f>IF(TOTALCO!A282="", "",TOTALCO!A282)</f>
        <v>6</v>
      </c>
      <c r="B1158" s="4" t="str">
        <f>IF(TOTALCO!B282="", "",TOTALCO!B282)</f>
        <v>DEM (12 CP GEN LV)-NON VA</v>
      </c>
      <c r="C1158" s="4" t="str">
        <f>IF(TOTALCO!C282="", "",TOTALCO!C282)</f>
        <v>DEMPRODNV</v>
      </c>
      <c r="D1158" s="14">
        <f>IF(TOTALCO!D282="", "",TOTALCO!D282)</f>
        <v>1</v>
      </c>
      <c r="E1158" s="14" t="str">
        <f>IF(TOTALCO!E282="", "",TOTALCO!E282)</f>
        <v/>
      </c>
      <c r="F1158" s="14">
        <f>IF(TOTALCO!F282="", "",TOTALCO!F282)</f>
        <v>0.97945976603506169</v>
      </c>
      <c r="G1158" s="14" t="str">
        <f>IF(TOTALCO!G282="", "",TOTALCO!G282)</f>
        <v/>
      </c>
      <c r="H1158" s="14">
        <f>IF(TOTALCO!H282="", "",TOTALCO!H282)</f>
        <v>0</v>
      </c>
      <c r="I1158" s="14">
        <f>IF(TOTALCO!I282="", "",TOTALCO!I282)</f>
        <v>2.054023396493827E-2</v>
      </c>
      <c r="J1158" s="14" t="str">
        <f>IF(TOTALCO!J282="", "",TOTALCO!J282)</f>
        <v/>
      </c>
      <c r="K1158" s="14" t="str">
        <f>IF(TOTALCO!K282="", "",TOTALCO!K282)</f>
        <v/>
      </c>
      <c r="L1158" s="14">
        <f>IF(TOTALCO!L282="", "",TOTALCO!L282)</f>
        <v>3.1439294024364822E-6</v>
      </c>
      <c r="M1158" s="14" t="str">
        <f>IF(TOTALCO!M282="", "",TOTALCO!M282)</f>
        <v/>
      </c>
      <c r="N1158" s="14">
        <f>IF(TOTALCO!N282="", "",TOTALCO!N282)</f>
        <v>2.0537090035535832E-2</v>
      </c>
      <c r="O1158" s="14">
        <f>IF(TOTALCO!O282="", "",TOTALCO!O282)</f>
        <v>1.0415838110272066E-2</v>
      </c>
      <c r="P1158" s="14">
        <f>IF(TOTALCO!P282="", "",TOTALCO!P282)</f>
        <v>1.0121251925263768E-2</v>
      </c>
      <c r="Q1158" s="14"/>
    </row>
    <row r="1159" spans="1:17" ht="15" x14ac:dyDescent="0.2">
      <c r="A1159" s="321" t="str">
        <f>IF(TOTALCO!A283="", "",TOTALCO!A283)</f>
        <v/>
      </c>
      <c r="B1159" s="4" t="str">
        <f>IF(TOTALCO!B283="", "",TOTALCO!B283)</f>
        <v>TRANSMISSION ALLOCATORS</v>
      </c>
      <c r="C1159" s="4" t="str">
        <f>IF(TOTALCO!C283="", "",TOTALCO!C283)</f>
        <v/>
      </c>
      <c r="D1159" s="14" t="str">
        <f>IF(TOTALCO!D283="", "",TOTALCO!D283)</f>
        <v/>
      </c>
      <c r="E1159" s="14" t="str">
        <f>IF(TOTALCO!E283="", "",TOTALCO!E283)</f>
        <v/>
      </c>
      <c r="F1159" s="14" t="str">
        <f>IF(TOTALCO!F283="", "",TOTALCO!F283)</f>
        <v/>
      </c>
      <c r="G1159" s="14" t="str">
        <f>IF(TOTALCO!G283="", "",TOTALCO!G283)</f>
        <v/>
      </c>
      <c r="H1159" s="14" t="str">
        <f>IF(TOTALCO!H283="", "",TOTALCO!H283)</f>
        <v/>
      </c>
      <c r="I1159" s="14" t="str">
        <f>IF(TOTALCO!I283="", "",TOTALCO!I283)</f>
        <v/>
      </c>
      <c r="J1159" s="14" t="str">
        <f>IF(TOTALCO!J283="", "",TOTALCO!J283)</f>
        <v/>
      </c>
      <c r="K1159" s="14" t="str">
        <f>IF(TOTALCO!K283="", "",TOTALCO!K283)</f>
        <v/>
      </c>
      <c r="L1159" s="14" t="str">
        <f>IF(TOTALCO!L283="", "",TOTALCO!L283)</f>
        <v/>
      </c>
      <c r="M1159" s="14" t="str">
        <f>IF(TOTALCO!M283="", "",TOTALCO!M283)</f>
        <v/>
      </c>
      <c r="N1159" s="14" t="str">
        <f>IF(TOTALCO!N283="", "",TOTALCO!N283)</f>
        <v/>
      </c>
      <c r="O1159" s="14" t="str">
        <f>IF(TOTALCO!O283="", "",TOTALCO!O283)</f>
        <v/>
      </c>
      <c r="P1159" s="14" t="str">
        <f>IF(TOTALCO!P283="", "",TOTALCO!P283)</f>
        <v/>
      </c>
      <c r="Q1159" s="14"/>
    </row>
    <row r="1160" spans="1:17" ht="15" x14ac:dyDescent="0.2">
      <c r="A1160" s="321">
        <f>IF(TOTALCO!A284="", "",TOTALCO!A284)</f>
        <v>7</v>
      </c>
      <c r="B1160" s="4" t="str">
        <f>IF(TOTALCO!B284="", "",TOTALCO!B284)</f>
        <v>DEMAND (12 CP GEN LEV)-TRAN</v>
      </c>
      <c r="C1160" s="4" t="str">
        <f>IF(TOTALCO!C284="", "",TOTALCO!C284)</f>
        <v>DEMTRAN</v>
      </c>
      <c r="D1160" s="14">
        <f>IF(TOTALCO!D284="", "",TOTALCO!D284)</f>
        <v>1</v>
      </c>
      <c r="E1160" s="14" t="str">
        <f>IF(TOTALCO!E284="", "",TOTALCO!E284)</f>
        <v/>
      </c>
      <c r="F1160" s="14">
        <f>IF(TOTALCO!F284="", "",TOTALCO!F284)</f>
        <v>0.93741603079505242</v>
      </c>
      <c r="G1160" s="14" t="str">
        <f>IF(TOTALCO!G284="", "",TOTALCO!G284)</f>
        <v/>
      </c>
      <c r="H1160" s="14">
        <f>IF(TOTALCO!H284="", "",TOTALCO!H284)</f>
        <v>4.2925433691070353E-2</v>
      </c>
      <c r="I1160" s="14">
        <f>IF(TOTALCO!I284="", "",TOTALCO!I284)</f>
        <v>1.9658535513877244E-2</v>
      </c>
      <c r="J1160" s="14" t="str">
        <f>IF(TOTALCO!J284="", "",TOTALCO!J284)</f>
        <v/>
      </c>
      <c r="K1160" s="14" t="str">
        <f>IF(TOTALCO!K284="", "",TOTALCO!K284)</f>
        <v/>
      </c>
      <c r="L1160" s="14">
        <f>IF(TOTALCO!L284="", "",TOTALCO!L284)</f>
        <v>3.0089748693427888E-6</v>
      </c>
      <c r="M1160" s="14" t="str">
        <f>IF(TOTALCO!M284="", "",TOTALCO!M284)</f>
        <v/>
      </c>
      <c r="N1160" s="14">
        <f>IF(TOTALCO!N284="", "",TOTALCO!N284)</f>
        <v>1.96555265390079E-2</v>
      </c>
      <c r="O1160" s="14">
        <f>IF(TOTALCO!O284="", "",TOTALCO!O284)</f>
        <v>9.9687337421326596E-3</v>
      </c>
      <c r="P1160" s="14">
        <f>IF(TOTALCO!P284="", "",TOTALCO!P284)</f>
        <v>9.686792796875239E-3</v>
      </c>
      <c r="Q1160" s="14"/>
    </row>
    <row r="1161" spans="1:17" ht="15" x14ac:dyDescent="0.2">
      <c r="A1161" s="321">
        <f>IF(TOTALCO!A285="", "",TOTALCO!A285)</f>
        <v>8</v>
      </c>
      <c r="B1161" s="4" t="str">
        <f>IF(TOTALCO!B285="", "",TOTALCO!B285)</f>
        <v>DEMAND (12 CP GEN LEV)-VA</v>
      </c>
      <c r="C1161" s="4" t="str">
        <f>IF(TOTALCO!C285="", "",TOTALCO!C285)</f>
        <v>DEMVA</v>
      </c>
      <c r="D1161" s="14">
        <f>IF(TOTALCO!D285="", "",TOTALCO!D285)</f>
        <v>1</v>
      </c>
      <c r="E1161" s="14" t="str">
        <f>IF(TOTALCO!E285="", "",TOTALCO!E285)</f>
        <v/>
      </c>
      <c r="F1161" s="14">
        <f>IF(TOTALCO!F285="", "",TOTALCO!F285)</f>
        <v>0</v>
      </c>
      <c r="G1161" s="14" t="str">
        <f>IF(TOTALCO!G285="", "",TOTALCO!G285)</f>
        <v/>
      </c>
      <c r="H1161" s="14">
        <f>IF(TOTALCO!H285="", "",TOTALCO!H285)</f>
        <v>1</v>
      </c>
      <c r="I1161" s="14">
        <f>IF(TOTALCO!I285="", "",TOTALCO!I285)</f>
        <v>0</v>
      </c>
      <c r="J1161" s="14" t="str">
        <f>IF(TOTALCO!J285="", "",TOTALCO!J285)</f>
        <v/>
      </c>
      <c r="K1161" s="14" t="str">
        <f>IF(TOTALCO!K285="", "",TOTALCO!K285)</f>
        <v/>
      </c>
      <c r="L1161" s="14">
        <f>IF(TOTALCO!L285="", "",TOTALCO!L285)</f>
        <v>0</v>
      </c>
      <c r="M1161" s="14" t="str">
        <f>IF(TOTALCO!M285="", "",TOTALCO!M285)</f>
        <v/>
      </c>
      <c r="N1161" s="14">
        <f>IF(TOTALCO!N285="", "",TOTALCO!N285)</f>
        <v>0</v>
      </c>
      <c r="O1161" s="14">
        <f>IF(TOTALCO!O285="", "",TOTALCO!O285)</f>
        <v>0</v>
      </c>
      <c r="P1161" s="14">
        <f>IF(TOTALCO!P285="", "",TOTALCO!P285)</f>
        <v>0</v>
      </c>
      <c r="Q1161" s="14"/>
    </row>
    <row r="1162" spans="1:17" ht="15" x14ac:dyDescent="0.2">
      <c r="A1162" s="321">
        <f>IF(TOTALCO!A286="", "",TOTALCO!A286)</f>
        <v>9</v>
      </c>
      <c r="B1162" s="4" t="str">
        <f>IF(TOTALCO!B286="", "",TOTALCO!B286)</f>
        <v>DEM (12 CP GEN LEV)-NON FERC</v>
      </c>
      <c r="C1162" s="4" t="str">
        <f>IF(TOTALCO!C286="", "",TOTALCO!C286)</f>
        <v>DEMTRANNF</v>
      </c>
      <c r="D1162" s="14">
        <f>IF(TOTALCO!D286="", "",TOTALCO!D286)</f>
        <v>1</v>
      </c>
      <c r="E1162" s="14" t="str">
        <f>IF(TOTALCO!E286="", "",TOTALCO!E286)</f>
        <v/>
      </c>
      <c r="F1162" s="14">
        <f>IF(TOTALCO!F286="", "",TOTALCO!F286)</f>
        <v>0.95621085870522038</v>
      </c>
      <c r="G1162" s="14" t="str">
        <f>IF(TOTALCO!G286="", "",TOTALCO!G286)</f>
        <v/>
      </c>
      <c r="H1162" s="14">
        <f>IF(TOTALCO!H286="", "",TOTALCO!H286)</f>
        <v>4.3786071991130937E-2</v>
      </c>
      <c r="I1162" s="14">
        <f>IF(TOTALCO!I286="", "",TOTALCO!I286)</f>
        <v>3.0693036486654055E-6</v>
      </c>
      <c r="J1162" s="14" t="str">
        <f>IF(TOTALCO!J286="", "",TOTALCO!J286)</f>
        <v/>
      </c>
      <c r="K1162" s="14" t="str">
        <f>IF(TOTALCO!K286="", "",TOTALCO!K286)</f>
        <v/>
      </c>
      <c r="L1162" s="14">
        <f>IF(TOTALCO!L286="", "",TOTALCO!L286)</f>
        <v>3.0693036486654055E-6</v>
      </c>
      <c r="M1162" s="14" t="str">
        <f>IF(TOTALCO!M286="", "",TOTALCO!M286)</f>
        <v/>
      </c>
      <c r="N1162" s="14">
        <f>IF(TOTALCO!N286="", "",TOTALCO!N286)</f>
        <v>0</v>
      </c>
      <c r="O1162" s="14">
        <f>IF(TOTALCO!O286="", "",TOTALCO!O286)</f>
        <v>0</v>
      </c>
      <c r="P1162" s="14">
        <f>IF(TOTALCO!P286="", "",TOTALCO!P286)</f>
        <v>0</v>
      </c>
      <c r="Q1162" s="14"/>
    </row>
    <row r="1163" spans="1:17" ht="15" x14ac:dyDescent="0.2">
      <c r="A1163" s="321">
        <f>IF(TOTALCO!A287="", "",TOTALCO!A287)</f>
        <v>10</v>
      </c>
      <c r="B1163" s="4" t="str">
        <f>IF(TOTALCO!B287="", "",TOTALCO!B287)</f>
        <v>DEM (12 CP GN LEV)-TRAN FERC</v>
      </c>
      <c r="C1163" s="4" t="str">
        <f>IF(TOTALCO!C287="", "",TOTALCO!C287)</f>
        <v>DEMFERCT</v>
      </c>
      <c r="D1163" s="14">
        <f>IF(TOTALCO!D287="", "",TOTALCO!D287)</f>
        <v>1</v>
      </c>
      <c r="E1163" s="14" t="str">
        <f>IF(TOTALCO!E287="", "",TOTALCO!E287)</f>
        <v/>
      </c>
      <c r="F1163" s="14">
        <f>IF(TOTALCO!F287="", "",TOTALCO!F287)</f>
        <v>0</v>
      </c>
      <c r="G1163" s="14" t="str">
        <f>IF(TOTALCO!G287="", "",TOTALCO!G287)</f>
        <v/>
      </c>
      <c r="H1163" s="14">
        <f>IF(TOTALCO!H287="", "",TOTALCO!H287)</f>
        <v>0.68591842524076718</v>
      </c>
      <c r="I1163" s="14">
        <f>IF(TOTALCO!I287="", "",TOTALCO!I287)</f>
        <v>0.31408157475923282</v>
      </c>
      <c r="J1163" s="14" t="str">
        <f>IF(TOTALCO!J287="", "",TOTALCO!J287)</f>
        <v/>
      </c>
      <c r="K1163" s="14" t="str">
        <f>IF(TOTALCO!K287="", "",TOTALCO!K287)</f>
        <v/>
      </c>
      <c r="L1163" s="14">
        <f>IF(TOTALCO!L287="", "",TOTALCO!L287)</f>
        <v>0</v>
      </c>
      <c r="M1163" s="14" t="str">
        <f>IF(TOTALCO!M287="", "",TOTALCO!M287)</f>
        <v/>
      </c>
      <c r="N1163" s="14">
        <f>IF(TOTALCO!N287="", "",TOTALCO!N287)</f>
        <v>0.31408157475923282</v>
      </c>
      <c r="O1163" s="14">
        <f>IF(TOTALCO!O287="", "",TOTALCO!O287)</f>
        <v>0.15929339699299455</v>
      </c>
      <c r="P1163" s="14">
        <f>IF(TOTALCO!P287="", "",TOTALCO!P287)</f>
        <v>0.15478817776623827</v>
      </c>
      <c r="Q1163" s="14"/>
    </row>
    <row r="1164" spans="1:17" ht="15" x14ac:dyDescent="0.2">
      <c r="A1164" s="321">
        <f>IF(TOTALCO!A288="", "",TOTALCO!A288)</f>
        <v>11</v>
      </c>
      <c r="B1164" s="4" t="str">
        <f>IF(TOTALCO!B288="", "",TOTALCO!B288)</f>
        <v>DEM (12 CP GEN LEV)-NON VA&amp;FERC</v>
      </c>
      <c r="C1164" s="4" t="str">
        <f>IF(TOTALCO!C288="", "",TOTALCO!C288)</f>
        <v>DEMTRANNVF</v>
      </c>
      <c r="D1164" s="14">
        <f>IF(TOTALCO!D288="", "",TOTALCO!D288)</f>
        <v>1</v>
      </c>
      <c r="E1164" s="14" t="str">
        <f>IF(TOTALCO!E288="", "",TOTALCO!E288)</f>
        <v/>
      </c>
      <c r="F1164" s="14">
        <f>IF(TOTALCO!F288="", "",TOTALCO!F288)</f>
        <v>0.99999679014961118</v>
      </c>
      <c r="G1164" s="14" t="str">
        <f>IF(TOTALCO!G288="", "",TOTALCO!G288)</f>
        <v/>
      </c>
      <c r="H1164" s="14">
        <f>IF(TOTALCO!H288="", "",TOTALCO!H288)</f>
        <v>0</v>
      </c>
      <c r="I1164" s="14">
        <f>IF(TOTALCO!I288="", "",TOTALCO!I288)</f>
        <v>3.2098503888733748E-6</v>
      </c>
      <c r="J1164" s="14" t="str">
        <f>IF(TOTALCO!J288="", "",TOTALCO!J288)</f>
        <v/>
      </c>
      <c r="K1164" s="14" t="str">
        <f>IF(TOTALCO!K288="", "",TOTALCO!K288)</f>
        <v/>
      </c>
      <c r="L1164" s="14">
        <f>IF(TOTALCO!L288="", "",TOTALCO!L288)</f>
        <v>3.2098503888733748E-6</v>
      </c>
      <c r="M1164" s="14" t="str">
        <f>IF(TOTALCO!M288="", "",TOTALCO!M288)</f>
        <v/>
      </c>
      <c r="N1164" s="14">
        <f>IF(TOTALCO!N288="", "",TOTALCO!N288)</f>
        <v>0</v>
      </c>
      <c r="O1164" s="14">
        <f>IF(TOTALCO!O288="", "",TOTALCO!O288)</f>
        <v>0</v>
      </c>
      <c r="P1164" s="14">
        <f>IF(TOTALCO!P288="", "",TOTALCO!P288)</f>
        <v>0</v>
      </c>
      <c r="Q1164" s="14"/>
    </row>
    <row r="1165" spans="1:17" ht="15" x14ac:dyDescent="0.2">
      <c r="A1165" s="321" t="str">
        <f>IF(TOTALCO!A289="", "",TOTALCO!A289)</f>
        <v/>
      </c>
      <c r="B1165" s="4" t="str">
        <f>IF(TOTALCO!B289="", "",TOTALCO!B289)</f>
        <v/>
      </c>
      <c r="C1165" s="4" t="str">
        <f>IF(TOTALCO!C289="", "",TOTALCO!C289)</f>
        <v/>
      </c>
      <c r="D1165" s="14" t="str">
        <f>IF(TOTALCO!D289="", "",TOTALCO!D289)</f>
        <v/>
      </c>
      <c r="E1165" s="14" t="str">
        <f>IF(TOTALCO!E289="", "",TOTALCO!E289)</f>
        <v/>
      </c>
      <c r="F1165" s="14" t="str">
        <f>IF(TOTALCO!F289="", "",TOTALCO!F289)</f>
        <v/>
      </c>
      <c r="G1165" s="14" t="str">
        <f>IF(TOTALCO!G289="", "",TOTALCO!G289)</f>
        <v/>
      </c>
      <c r="H1165" s="14" t="str">
        <f>IF(TOTALCO!H289="", "",TOTALCO!H289)</f>
        <v/>
      </c>
      <c r="I1165" s="14" t="str">
        <f>IF(TOTALCO!I289="", "",TOTALCO!I289)</f>
        <v/>
      </c>
      <c r="J1165" s="14" t="str">
        <f>IF(TOTALCO!J289="", "",TOTALCO!J289)</f>
        <v/>
      </c>
      <c r="K1165" s="14" t="str">
        <f>IF(TOTALCO!K289="", "",TOTALCO!K289)</f>
        <v/>
      </c>
      <c r="L1165" s="14" t="str">
        <f>IF(TOTALCO!L289="", "",TOTALCO!L289)</f>
        <v/>
      </c>
      <c r="M1165" s="14" t="str">
        <f>IF(TOTALCO!M289="", "",TOTALCO!M289)</f>
        <v/>
      </c>
      <c r="N1165" s="14" t="str">
        <f>IF(TOTALCO!N289="", "",TOTALCO!N289)</f>
        <v/>
      </c>
      <c r="O1165" s="14" t="str">
        <f>IF(TOTALCO!O289="", "",TOTALCO!O289)</f>
        <v/>
      </c>
      <c r="P1165" s="14" t="str">
        <f>IF(TOTALCO!P289="", "",TOTALCO!P289)</f>
        <v/>
      </c>
      <c r="Q1165" s="14"/>
    </row>
    <row r="1166" spans="1:17" ht="15" x14ac:dyDescent="0.2">
      <c r="A1166" s="321" t="str">
        <f>IF(TOTALCO!A290="", "",TOTALCO!A290)</f>
        <v/>
      </c>
      <c r="B1166" s="4" t="str">
        <f>IF(TOTALCO!B290="", "",TOTALCO!B290)</f>
        <v>DISTRIBUTION ALLOCATORS</v>
      </c>
      <c r="C1166" s="4" t="str">
        <f>IF(TOTALCO!C290="", "",TOTALCO!C290)</f>
        <v/>
      </c>
      <c r="D1166" s="14" t="str">
        <f>IF(TOTALCO!D290="", "",TOTALCO!D290)</f>
        <v/>
      </c>
      <c r="E1166" s="14" t="str">
        <f>IF(TOTALCO!E290="", "",TOTALCO!E290)</f>
        <v/>
      </c>
      <c r="F1166" s="14" t="str">
        <f>IF(TOTALCO!F290="", "",TOTALCO!F290)</f>
        <v/>
      </c>
      <c r="G1166" s="14" t="str">
        <f>IF(TOTALCO!G290="", "",TOTALCO!G290)</f>
        <v/>
      </c>
      <c r="H1166" s="14" t="str">
        <f>IF(TOTALCO!H290="", "",TOTALCO!H290)</f>
        <v/>
      </c>
      <c r="I1166" s="14" t="str">
        <f>IF(TOTALCO!I290="", "",TOTALCO!I290)</f>
        <v/>
      </c>
      <c r="J1166" s="14" t="str">
        <f>IF(TOTALCO!J290="", "",TOTALCO!J290)</f>
        <v/>
      </c>
      <c r="K1166" s="14" t="str">
        <f>IF(TOTALCO!K290="", "",TOTALCO!K290)</f>
        <v/>
      </c>
      <c r="L1166" s="14" t="str">
        <f>IF(TOTALCO!L290="", "",TOTALCO!L290)</f>
        <v/>
      </c>
      <c r="M1166" s="14" t="str">
        <f>IF(TOTALCO!M290="", "",TOTALCO!M290)</f>
        <v/>
      </c>
      <c r="N1166" s="14" t="str">
        <f>IF(TOTALCO!N290="", "",TOTALCO!N290)</f>
        <v/>
      </c>
      <c r="O1166" s="14" t="str">
        <f>IF(TOTALCO!O290="", "",TOTALCO!O290)</f>
        <v/>
      </c>
      <c r="P1166" s="14" t="str">
        <f>IF(TOTALCO!P290="", "",TOTALCO!P290)</f>
        <v/>
      </c>
      <c r="Q1166" s="14"/>
    </row>
    <row r="1167" spans="1:17" ht="15" x14ac:dyDescent="0.2">
      <c r="A1167" s="321">
        <f>IF(TOTALCO!A291="", "",TOTALCO!A291)</f>
        <v>12</v>
      </c>
      <c r="B1167" s="4" t="str">
        <f>IF(TOTALCO!B291="", "",TOTALCO!B291)</f>
        <v>DIRECT ASSIGN 360 KY</v>
      </c>
      <c r="C1167" s="4" t="str">
        <f>IF(TOTALCO!C291="", "",TOTALCO!C291)</f>
        <v>DEM360K</v>
      </c>
      <c r="D1167" s="14">
        <f>IF(TOTALCO!D291="", "",TOTALCO!D291)</f>
        <v>1</v>
      </c>
      <c r="E1167" s="14" t="str">
        <f>IF(TOTALCO!E291="", "",TOTALCO!E291)</f>
        <v/>
      </c>
      <c r="F1167" s="14">
        <f>IF(TOTALCO!F291="", "",TOTALCO!F291)</f>
        <v>0.9990083979834431</v>
      </c>
      <c r="G1167" s="14" t="str">
        <f>IF(TOTALCO!G291="", "",TOTALCO!G291)</f>
        <v/>
      </c>
      <c r="H1167" s="14">
        <f>IF(TOTALCO!H291="", "",TOTALCO!H291)</f>
        <v>0</v>
      </c>
      <c r="I1167" s="14">
        <f>IF(TOTALCO!I291="", "",TOTALCO!I291)</f>
        <v>9.916020165568677E-4</v>
      </c>
      <c r="J1167" s="14" t="str">
        <f>IF(TOTALCO!J291="", "",TOTALCO!J291)</f>
        <v/>
      </c>
      <c r="K1167" s="14" t="str">
        <f>IF(TOTALCO!K291="", "",TOTALCO!K291)</f>
        <v/>
      </c>
      <c r="L1167" s="14">
        <f>IF(TOTALCO!L291="", "",TOTALCO!L291)</f>
        <v>0</v>
      </c>
      <c r="M1167" s="14" t="str">
        <f>IF(TOTALCO!M291="", "",TOTALCO!M291)</f>
        <v/>
      </c>
      <c r="N1167" s="14">
        <f>IF(TOTALCO!N291="", "",TOTALCO!N291)</f>
        <v>9.916020165568677E-4</v>
      </c>
      <c r="O1167" s="14">
        <f>IF(TOTALCO!O291="", "",TOTALCO!O291)</f>
        <v>9.916020165568677E-4</v>
      </c>
      <c r="P1167" s="14">
        <f>IF(TOTALCO!P291="", "",TOTALCO!P291)</f>
        <v>0</v>
      </c>
      <c r="Q1167" s="14"/>
    </row>
    <row r="1168" spans="1:17" ht="15" x14ac:dyDescent="0.2">
      <c r="A1168" s="321">
        <f>IF(TOTALCO!A292="", "",TOTALCO!A292)</f>
        <v>13</v>
      </c>
      <c r="B1168" s="4" t="str">
        <f>IF(TOTALCO!B292="", "",TOTALCO!B292)</f>
        <v>DIRECT ASSIGN 361 KY</v>
      </c>
      <c r="C1168" s="4" t="str">
        <f>IF(TOTALCO!C292="", "",TOTALCO!C292)</f>
        <v>DEM361K</v>
      </c>
      <c r="D1168" s="14">
        <f>IF(TOTALCO!D292="", "",TOTALCO!D292)</f>
        <v>1</v>
      </c>
      <c r="E1168" s="14" t="str">
        <f>IF(TOTALCO!E292="", "",TOTALCO!E292)</f>
        <v/>
      </c>
      <c r="F1168" s="14">
        <f>IF(TOTALCO!F292="", "",TOTALCO!F292)</f>
        <v>0.9872039260858263</v>
      </c>
      <c r="G1168" s="14" t="str">
        <f>IF(TOTALCO!G292="", "",TOTALCO!G292)</f>
        <v/>
      </c>
      <c r="H1168" s="14">
        <f>IF(TOTALCO!H292="", "",TOTALCO!H292)</f>
        <v>0</v>
      </c>
      <c r="I1168" s="14">
        <f>IF(TOTALCO!I292="", "",TOTALCO!I292)</f>
        <v>1.2796073914173665E-2</v>
      </c>
      <c r="J1168" s="14" t="str">
        <f>IF(TOTALCO!J292="", "",TOTALCO!J292)</f>
        <v/>
      </c>
      <c r="K1168" s="14" t="str">
        <f>IF(TOTALCO!K292="", "",TOTALCO!K292)</f>
        <v/>
      </c>
      <c r="L1168" s="14">
        <f>IF(TOTALCO!L292="", "",TOTALCO!L292)</f>
        <v>0</v>
      </c>
      <c r="M1168" s="14" t="str">
        <f>IF(TOTALCO!M292="", "",TOTALCO!M292)</f>
        <v/>
      </c>
      <c r="N1168" s="14">
        <f>IF(TOTALCO!N292="", "",TOTALCO!N292)</f>
        <v>1.2796073914173665E-2</v>
      </c>
      <c r="O1168" s="14">
        <f>IF(TOTALCO!O292="", "",TOTALCO!O292)</f>
        <v>1.2796073914173665E-2</v>
      </c>
      <c r="P1168" s="14">
        <f>IF(TOTALCO!P292="", "",TOTALCO!P292)</f>
        <v>0</v>
      </c>
      <c r="Q1168" s="14"/>
    </row>
    <row r="1169" spans="1:17" ht="15" x14ac:dyDescent="0.2">
      <c r="A1169" s="321">
        <f>IF(TOTALCO!A293="", "",TOTALCO!A293)</f>
        <v>14</v>
      </c>
      <c r="B1169" s="4" t="str">
        <f>IF(TOTALCO!B293="", "",TOTALCO!B293)</f>
        <v>DIRECT ASSIGN 362 KY</v>
      </c>
      <c r="C1169" s="4" t="str">
        <f>IF(TOTALCO!C293="", "",TOTALCO!C293)</f>
        <v>DEM362K</v>
      </c>
      <c r="D1169" s="14">
        <f>IF(TOTALCO!D293="", "",TOTALCO!D293)</f>
        <v>1</v>
      </c>
      <c r="E1169" s="14" t="str">
        <f>IF(TOTALCO!E293="", "",TOTALCO!E293)</f>
        <v/>
      </c>
      <c r="F1169" s="14">
        <f>IF(TOTALCO!F293="", "",TOTALCO!F293)</f>
        <v>0.98673170906180263</v>
      </c>
      <c r="G1169" s="14" t="str">
        <f>IF(TOTALCO!G293="", "",TOTALCO!G293)</f>
        <v/>
      </c>
      <c r="H1169" s="14">
        <f>IF(TOTALCO!H293="", "",TOTALCO!H293)</f>
        <v>0</v>
      </c>
      <c r="I1169" s="14">
        <f>IF(TOTALCO!I293="", "",TOTALCO!I293)</f>
        <v>1.3268290938197395E-2</v>
      </c>
      <c r="J1169" s="14" t="str">
        <f>IF(TOTALCO!J293="", "",TOTALCO!J293)</f>
        <v/>
      </c>
      <c r="K1169" s="14" t="str">
        <f>IF(TOTALCO!K293="", "",TOTALCO!K293)</f>
        <v/>
      </c>
      <c r="L1169" s="14">
        <f>IF(TOTALCO!L293="", "",TOTALCO!L293)</f>
        <v>0</v>
      </c>
      <c r="M1169" s="14" t="str">
        <f>IF(TOTALCO!M293="", "",TOTALCO!M293)</f>
        <v/>
      </c>
      <c r="N1169" s="14">
        <f>IF(TOTALCO!N293="", "",TOTALCO!N293)</f>
        <v>1.3268290938197395E-2</v>
      </c>
      <c r="O1169" s="14">
        <f>IF(TOTALCO!O293="", "",TOTALCO!O293)</f>
        <v>1.3268290938197395E-2</v>
      </c>
      <c r="P1169" s="14">
        <f>IF(TOTALCO!P293="", "",TOTALCO!P293)</f>
        <v>0</v>
      </c>
      <c r="Q1169" s="14"/>
    </row>
    <row r="1170" spans="1:17" ht="15" x14ac:dyDescent="0.2">
      <c r="A1170" s="321">
        <f>IF(TOTALCO!A294="", "",TOTALCO!A294)</f>
        <v>15</v>
      </c>
      <c r="B1170" s="4" t="str">
        <f>IF(TOTALCO!B294="", "",TOTALCO!B294)</f>
        <v>DIRECT ASSIGN 364 KY</v>
      </c>
      <c r="C1170" s="4" t="str">
        <f>IF(TOTALCO!C294="", "",TOTALCO!C294)</f>
        <v>DEM364K</v>
      </c>
      <c r="D1170" s="14">
        <f>IF(TOTALCO!D294="", "",TOTALCO!D294)</f>
        <v>1</v>
      </c>
      <c r="E1170" s="14" t="str">
        <f>IF(TOTALCO!E294="", "",TOTALCO!E294)</f>
        <v/>
      </c>
      <c r="F1170" s="14">
        <f>IF(TOTALCO!F294="", "",TOTALCO!F294)</f>
        <v>1</v>
      </c>
      <c r="G1170" s="14" t="str">
        <f>IF(TOTALCO!G294="", "",TOTALCO!G294)</f>
        <v/>
      </c>
      <c r="H1170" s="14">
        <f>IF(TOTALCO!H294="", "",TOTALCO!H294)</f>
        <v>0</v>
      </c>
      <c r="I1170" s="14">
        <f>IF(TOTALCO!I294="", "",TOTALCO!I294)</f>
        <v>0</v>
      </c>
      <c r="J1170" s="14" t="str">
        <f>IF(TOTALCO!J294="", "",TOTALCO!J294)</f>
        <v/>
      </c>
      <c r="K1170" s="14" t="str">
        <f>IF(TOTALCO!K294="", "",TOTALCO!K294)</f>
        <v/>
      </c>
      <c r="L1170" s="14">
        <f>IF(TOTALCO!L294="", "",TOTALCO!L294)</f>
        <v>0</v>
      </c>
      <c r="M1170" s="14" t="str">
        <f>IF(TOTALCO!M294="", "",TOTALCO!M294)</f>
        <v/>
      </c>
      <c r="N1170" s="14">
        <f>IF(TOTALCO!N294="", "",TOTALCO!N294)</f>
        <v>0</v>
      </c>
      <c r="O1170" s="14">
        <f>IF(TOTALCO!O294="", "",TOTALCO!O294)</f>
        <v>0</v>
      </c>
      <c r="P1170" s="14">
        <f>IF(TOTALCO!P294="", "",TOTALCO!P294)</f>
        <v>0</v>
      </c>
      <c r="Q1170" s="14"/>
    </row>
    <row r="1171" spans="1:17" ht="15" x14ac:dyDescent="0.2">
      <c r="A1171" s="321">
        <f>IF(TOTALCO!A295="", "",TOTALCO!A295)</f>
        <v>16</v>
      </c>
      <c r="B1171" s="4" t="str">
        <f>IF(TOTALCO!B295="", "",TOTALCO!B295)</f>
        <v>DIRECT ASSIGN 365 KY</v>
      </c>
      <c r="C1171" s="4" t="str">
        <f>IF(TOTALCO!C295="", "",TOTALCO!C295)</f>
        <v>DEM365K</v>
      </c>
      <c r="D1171" s="14">
        <f>IF(TOTALCO!D295="", "",TOTALCO!D295)</f>
        <v>1</v>
      </c>
      <c r="E1171" s="14" t="str">
        <f>IF(TOTALCO!E295="", "",TOTALCO!E295)</f>
        <v/>
      </c>
      <c r="F1171" s="14">
        <f>IF(TOTALCO!F295="", "",TOTALCO!F295)</f>
        <v>1</v>
      </c>
      <c r="G1171" s="14" t="str">
        <f>IF(TOTALCO!G295="", "",TOTALCO!G295)</f>
        <v/>
      </c>
      <c r="H1171" s="14">
        <f>IF(TOTALCO!H295="", "",TOTALCO!H295)</f>
        <v>0</v>
      </c>
      <c r="I1171" s="14">
        <f>IF(TOTALCO!I295="", "",TOTALCO!I295)</f>
        <v>0</v>
      </c>
      <c r="J1171" s="14" t="str">
        <f>IF(TOTALCO!J295="", "",TOTALCO!J295)</f>
        <v/>
      </c>
      <c r="K1171" s="14" t="str">
        <f>IF(TOTALCO!K295="", "",TOTALCO!K295)</f>
        <v/>
      </c>
      <c r="L1171" s="14">
        <f>IF(TOTALCO!L295="", "",TOTALCO!L295)</f>
        <v>0</v>
      </c>
      <c r="M1171" s="14" t="str">
        <f>IF(TOTALCO!M295="", "",TOTALCO!M295)</f>
        <v/>
      </c>
      <c r="N1171" s="14">
        <f>IF(TOTALCO!N295="", "",TOTALCO!N295)</f>
        <v>0</v>
      </c>
      <c r="O1171" s="14">
        <f>IF(TOTALCO!O295="", "",TOTALCO!O295)</f>
        <v>0</v>
      </c>
      <c r="P1171" s="14">
        <f>IF(TOTALCO!P295="", "",TOTALCO!P295)</f>
        <v>0</v>
      </c>
      <c r="Q1171" s="14"/>
    </row>
    <row r="1172" spans="1:17" ht="15" x14ac:dyDescent="0.2">
      <c r="A1172" s="321">
        <f>IF(TOTALCO!A296="", "",TOTALCO!A296)</f>
        <v>17</v>
      </c>
      <c r="B1172" s="4" t="str">
        <f>IF(TOTALCO!B296="", "",TOTALCO!B296)</f>
        <v>DIRECT ASSIGN 366 KY</v>
      </c>
      <c r="C1172" s="4" t="str">
        <f>IF(TOTALCO!C296="", "",TOTALCO!C296)</f>
        <v>DEM366K</v>
      </c>
      <c r="D1172" s="14">
        <f>IF(TOTALCO!D296="", "",TOTALCO!D296)</f>
        <v>1</v>
      </c>
      <c r="E1172" s="14" t="str">
        <f>IF(TOTALCO!E296="", "",TOTALCO!E296)</f>
        <v/>
      </c>
      <c r="F1172" s="14">
        <f>IF(TOTALCO!F296="", "",TOTALCO!F296)</f>
        <v>1</v>
      </c>
      <c r="G1172" s="14" t="str">
        <f>IF(TOTALCO!G296="", "",TOTALCO!G296)</f>
        <v/>
      </c>
      <c r="H1172" s="14">
        <f>IF(TOTALCO!H296="", "",TOTALCO!H296)</f>
        <v>0</v>
      </c>
      <c r="I1172" s="14">
        <f>IF(TOTALCO!I296="", "",TOTALCO!I296)</f>
        <v>0</v>
      </c>
      <c r="J1172" s="14" t="str">
        <f>IF(TOTALCO!J296="", "",TOTALCO!J296)</f>
        <v/>
      </c>
      <c r="K1172" s="14" t="str">
        <f>IF(TOTALCO!K296="", "",TOTALCO!K296)</f>
        <v/>
      </c>
      <c r="L1172" s="14">
        <f>IF(TOTALCO!L296="", "",TOTALCO!L296)</f>
        <v>0</v>
      </c>
      <c r="M1172" s="14" t="str">
        <f>IF(TOTALCO!M296="", "",TOTALCO!M296)</f>
        <v/>
      </c>
      <c r="N1172" s="14">
        <f>IF(TOTALCO!N296="", "",TOTALCO!N296)</f>
        <v>0</v>
      </c>
      <c r="O1172" s="14">
        <f>IF(TOTALCO!O296="", "",TOTALCO!O296)</f>
        <v>0</v>
      </c>
      <c r="P1172" s="14">
        <f>IF(TOTALCO!P296="", "",TOTALCO!P296)</f>
        <v>0</v>
      </c>
      <c r="Q1172" s="14"/>
    </row>
    <row r="1173" spans="1:17" ht="15" x14ac:dyDescent="0.2">
      <c r="A1173" s="321">
        <f>IF(TOTALCO!A297="", "",TOTALCO!A297)</f>
        <v>18</v>
      </c>
      <c r="B1173" s="4" t="str">
        <f>IF(TOTALCO!B297="", "",TOTALCO!B297)</f>
        <v>DIRECT ASSIGN 367 KY</v>
      </c>
      <c r="C1173" s="4" t="str">
        <f>IF(TOTALCO!C297="", "",TOTALCO!C297)</f>
        <v>DEM367K</v>
      </c>
      <c r="D1173" s="14">
        <f>IF(TOTALCO!D297="", "",TOTALCO!D297)</f>
        <v>1</v>
      </c>
      <c r="E1173" s="14" t="str">
        <f>IF(TOTALCO!E297="", "",TOTALCO!E297)</f>
        <v/>
      </c>
      <c r="F1173" s="14">
        <f>IF(TOTALCO!F297="", "",TOTALCO!F297)</f>
        <v>1</v>
      </c>
      <c r="G1173" s="14" t="str">
        <f>IF(TOTALCO!G297="", "",TOTALCO!G297)</f>
        <v/>
      </c>
      <c r="H1173" s="14">
        <f>IF(TOTALCO!H297="", "",TOTALCO!H297)</f>
        <v>0</v>
      </c>
      <c r="I1173" s="14">
        <f>IF(TOTALCO!I297="", "",TOTALCO!I297)</f>
        <v>0</v>
      </c>
      <c r="J1173" s="14" t="str">
        <f>IF(TOTALCO!J297="", "",TOTALCO!J297)</f>
        <v/>
      </c>
      <c r="K1173" s="14" t="str">
        <f>IF(TOTALCO!K297="", "",TOTALCO!K297)</f>
        <v/>
      </c>
      <c r="L1173" s="14">
        <f>IF(TOTALCO!L297="", "",TOTALCO!L297)</f>
        <v>0</v>
      </c>
      <c r="M1173" s="14" t="str">
        <f>IF(TOTALCO!M297="", "",TOTALCO!M297)</f>
        <v/>
      </c>
      <c r="N1173" s="14">
        <f>IF(TOTALCO!N297="", "",TOTALCO!N297)</f>
        <v>0</v>
      </c>
      <c r="O1173" s="14">
        <f>IF(TOTALCO!O297="", "",TOTALCO!O297)</f>
        <v>0</v>
      </c>
      <c r="P1173" s="14">
        <f>IF(TOTALCO!P297="", "",TOTALCO!P297)</f>
        <v>0</v>
      </c>
      <c r="Q1173" s="14"/>
    </row>
    <row r="1174" spans="1:17" ht="15" x14ac:dyDescent="0.2">
      <c r="A1174" s="321">
        <f>IF(TOTALCO!A298="", "",TOTALCO!A298)</f>
        <v>19</v>
      </c>
      <c r="B1174" s="4" t="str">
        <f>IF(TOTALCO!B298="", "",TOTALCO!B298)</f>
        <v>DIRECT ASSIGN 368 KY</v>
      </c>
      <c r="C1174" s="4" t="str">
        <f>IF(TOTALCO!C298="", "",TOTALCO!C298)</f>
        <v>DEM368K</v>
      </c>
      <c r="D1174" s="14">
        <f>IF(TOTALCO!D298="", "",TOTALCO!D298)</f>
        <v>1</v>
      </c>
      <c r="E1174" s="14" t="str">
        <f>IF(TOTALCO!E298="", "",TOTALCO!E298)</f>
        <v/>
      </c>
      <c r="F1174" s="14">
        <f>IF(TOTALCO!F298="", "",TOTALCO!F298)</f>
        <v>1</v>
      </c>
      <c r="G1174" s="14" t="str">
        <f>IF(TOTALCO!G298="", "",TOTALCO!G298)</f>
        <v/>
      </c>
      <c r="H1174" s="14">
        <f>IF(TOTALCO!H298="", "",TOTALCO!H298)</f>
        <v>0</v>
      </c>
      <c r="I1174" s="14">
        <f>IF(TOTALCO!I298="", "",TOTALCO!I298)</f>
        <v>0</v>
      </c>
      <c r="J1174" s="14" t="str">
        <f>IF(TOTALCO!J298="", "",TOTALCO!J298)</f>
        <v/>
      </c>
      <c r="K1174" s="14" t="str">
        <f>IF(TOTALCO!K298="", "",TOTALCO!K298)</f>
        <v/>
      </c>
      <c r="L1174" s="14">
        <f>IF(TOTALCO!L298="", "",TOTALCO!L298)</f>
        <v>0</v>
      </c>
      <c r="M1174" s="14" t="str">
        <f>IF(TOTALCO!M298="", "",TOTALCO!M298)</f>
        <v/>
      </c>
      <c r="N1174" s="14">
        <f>IF(TOTALCO!N298="", "",TOTALCO!N298)</f>
        <v>0</v>
      </c>
      <c r="O1174" s="14">
        <f>IF(TOTALCO!O298="", "",TOTALCO!O298)</f>
        <v>0</v>
      </c>
      <c r="P1174" s="14">
        <f>IF(TOTALCO!P298="", "",TOTALCO!P298)</f>
        <v>0</v>
      </c>
      <c r="Q1174" s="14"/>
    </row>
    <row r="1175" spans="1:17" ht="15" x14ac:dyDescent="0.2">
      <c r="A1175" s="321">
        <f>IF(TOTALCO!A299="", "",TOTALCO!A299)</f>
        <v>20</v>
      </c>
      <c r="B1175" s="4" t="str">
        <f>IF(TOTALCO!B299="", "",TOTALCO!B299)</f>
        <v>DIRECT ASSIGN 374 KY</v>
      </c>
      <c r="C1175" s="4" t="str">
        <f>IF(TOTALCO!C299="", "",TOTALCO!C299)</f>
        <v>DEM374K</v>
      </c>
      <c r="D1175" s="14">
        <f>IF(TOTALCO!D299="", "",TOTALCO!D299)</f>
        <v>1</v>
      </c>
      <c r="E1175" s="14" t="str">
        <f>IF(TOTALCO!E299="", "",TOTALCO!E299)</f>
        <v/>
      </c>
      <c r="F1175" s="14">
        <f>IF(TOTALCO!F299="", "",TOTALCO!F299)</f>
        <v>1</v>
      </c>
      <c r="G1175" s="14" t="str">
        <f>IF(TOTALCO!G299="", "",TOTALCO!G299)</f>
        <v/>
      </c>
      <c r="H1175" s="14">
        <f>IF(TOTALCO!H299="", "",TOTALCO!H299)</f>
        <v>0</v>
      </c>
      <c r="I1175" s="14">
        <f>IF(TOTALCO!I299="", "",TOTALCO!I299)</f>
        <v>0</v>
      </c>
      <c r="J1175" s="14" t="str">
        <f>IF(TOTALCO!J299="", "",TOTALCO!J299)</f>
        <v/>
      </c>
      <c r="K1175" s="14" t="str">
        <f>IF(TOTALCO!K299="", "",TOTALCO!K299)</f>
        <v/>
      </c>
      <c r="L1175" s="14">
        <f>IF(TOTALCO!L299="", "",TOTALCO!L299)</f>
        <v>0</v>
      </c>
      <c r="M1175" s="14" t="str">
        <f>IF(TOTALCO!M299="", "",TOTALCO!M299)</f>
        <v/>
      </c>
      <c r="N1175" s="14">
        <f>IF(TOTALCO!N299="", "",TOTALCO!N299)</f>
        <v>0</v>
      </c>
      <c r="O1175" s="14">
        <f>IF(TOTALCO!O299="", "",TOTALCO!O299)</f>
        <v>0</v>
      </c>
      <c r="P1175" s="14">
        <f>IF(TOTALCO!P299="", "",TOTALCO!P299)</f>
        <v>0</v>
      </c>
      <c r="Q1175" s="14"/>
    </row>
    <row r="1176" spans="1:17" ht="15" x14ac:dyDescent="0.2">
      <c r="A1176" s="321">
        <f>IF(TOTALCO!A300="", "",TOTALCO!A300)</f>
        <v>21</v>
      </c>
      <c r="B1176" s="4" t="str">
        <f>IF(TOTALCO!B300="", "",TOTALCO!B300)</f>
        <v>DIRECT ASSIGN 360-VA</v>
      </c>
      <c r="C1176" s="4" t="str">
        <f>IF(TOTALCO!C300="", "",TOTALCO!C300)</f>
        <v>DEM360V</v>
      </c>
      <c r="D1176" s="14">
        <f>IF(TOTALCO!D300="", "",TOTALCO!D300)</f>
        <v>1</v>
      </c>
      <c r="E1176" s="14" t="str">
        <f>IF(TOTALCO!E300="", "",TOTALCO!E300)</f>
        <v/>
      </c>
      <c r="F1176" s="14">
        <f>IF(TOTALCO!F300="", "",TOTALCO!F300)</f>
        <v>0</v>
      </c>
      <c r="G1176" s="14" t="str">
        <f>IF(TOTALCO!G300="", "",TOTALCO!G300)</f>
        <v/>
      </c>
      <c r="H1176" s="14">
        <f>IF(TOTALCO!H300="", "",TOTALCO!H300)</f>
        <v>1</v>
      </c>
      <c r="I1176" s="14">
        <f>IF(TOTALCO!I300="", "",TOTALCO!I300)</f>
        <v>0</v>
      </c>
      <c r="J1176" s="14" t="str">
        <f>IF(TOTALCO!J300="", "",TOTALCO!J300)</f>
        <v/>
      </c>
      <c r="K1176" s="14" t="str">
        <f>IF(TOTALCO!K300="", "",TOTALCO!K300)</f>
        <v/>
      </c>
      <c r="L1176" s="14">
        <f>IF(TOTALCO!L300="", "",TOTALCO!L300)</f>
        <v>0</v>
      </c>
      <c r="M1176" s="14" t="str">
        <f>IF(TOTALCO!M300="", "",TOTALCO!M300)</f>
        <v/>
      </c>
      <c r="N1176" s="14">
        <f>IF(TOTALCO!N300="", "",TOTALCO!N300)</f>
        <v>0</v>
      </c>
      <c r="O1176" s="14">
        <f>IF(TOTALCO!O300="", "",TOTALCO!O300)</f>
        <v>0</v>
      </c>
      <c r="P1176" s="14">
        <f>IF(TOTALCO!P300="", "",TOTALCO!P300)</f>
        <v>0</v>
      </c>
      <c r="Q1176" s="14"/>
    </row>
    <row r="1177" spans="1:17" ht="15" x14ac:dyDescent="0.2">
      <c r="A1177" s="321">
        <f>IF(TOTALCO!A301="", "",TOTALCO!A301)</f>
        <v>22</v>
      </c>
      <c r="B1177" s="4" t="str">
        <f>IF(TOTALCO!B301="", "",TOTALCO!B301)</f>
        <v>DIRECT ASSIGN 361-VA</v>
      </c>
      <c r="C1177" s="4" t="str">
        <f>IF(TOTALCO!C301="", "",TOTALCO!C301)</f>
        <v>DEM361V</v>
      </c>
      <c r="D1177" s="14">
        <f>IF(TOTALCO!D301="", "",TOTALCO!D301)</f>
        <v>1</v>
      </c>
      <c r="E1177" s="14" t="str">
        <f>IF(TOTALCO!E301="", "",TOTALCO!E301)</f>
        <v/>
      </c>
      <c r="F1177" s="14">
        <f>IF(TOTALCO!F301="", "",TOTALCO!F301)</f>
        <v>0</v>
      </c>
      <c r="G1177" s="14" t="str">
        <f>IF(TOTALCO!G301="", "",TOTALCO!G301)</f>
        <v/>
      </c>
      <c r="H1177" s="14">
        <f>IF(TOTALCO!H301="", "",TOTALCO!H301)</f>
        <v>1</v>
      </c>
      <c r="I1177" s="14">
        <f>IF(TOTALCO!I301="", "",TOTALCO!I301)</f>
        <v>0</v>
      </c>
      <c r="J1177" s="14" t="str">
        <f>IF(TOTALCO!J301="", "",TOTALCO!J301)</f>
        <v/>
      </c>
      <c r="K1177" s="14" t="str">
        <f>IF(TOTALCO!K301="", "",TOTALCO!K301)</f>
        <v/>
      </c>
      <c r="L1177" s="14">
        <f>IF(TOTALCO!L301="", "",TOTALCO!L301)</f>
        <v>0</v>
      </c>
      <c r="M1177" s="14" t="str">
        <f>IF(TOTALCO!M301="", "",TOTALCO!M301)</f>
        <v/>
      </c>
      <c r="N1177" s="14">
        <f>IF(TOTALCO!N301="", "",TOTALCO!N301)</f>
        <v>0</v>
      </c>
      <c r="O1177" s="14">
        <f>IF(TOTALCO!O301="", "",TOTALCO!O301)</f>
        <v>0</v>
      </c>
      <c r="P1177" s="14">
        <f>IF(TOTALCO!P301="", "",TOTALCO!P301)</f>
        <v>0</v>
      </c>
      <c r="Q1177" s="14"/>
    </row>
    <row r="1178" spans="1:17" ht="15" x14ac:dyDescent="0.2">
      <c r="A1178" s="321">
        <f>IF(TOTALCO!A302="", "",TOTALCO!A302)</f>
        <v>23</v>
      </c>
      <c r="B1178" s="4" t="str">
        <f>IF(TOTALCO!B302="", "",TOTALCO!B302)</f>
        <v>DIRECT ASSIGN 362-VA</v>
      </c>
      <c r="C1178" s="4" t="str">
        <f>IF(TOTALCO!C302="", "",TOTALCO!C302)</f>
        <v>DEM362V</v>
      </c>
      <c r="D1178" s="14">
        <f>IF(TOTALCO!D302="", "",TOTALCO!D302)</f>
        <v>1</v>
      </c>
      <c r="E1178" s="14" t="str">
        <f>IF(TOTALCO!E302="", "",TOTALCO!E302)</f>
        <v/>
      </c>
      <c r="F1178" s="14">
        <f>IF(TOTALCO!F302="", "",TOTALCO!F302)</f>
        <v>0</v>
      </c>
      <c r="G1178" s="14" t="str">
        <f>IF(TOTALCO!G302="", "",TOTALCO!G302)</f>
        <v/>
      </c>
      <c r="H1178" s="14">
        <f>IF(TOTALCO!H302="", "",TOTALCO!H302)</f>
        <v>1</v>
      </c>
      <c r="I1178" s="14">
        <f>IF(TOTALCO!I302="", "",TOTALCO!I302)</f>
        <v>0</v>
      </c>
      <c r="J1178" s="14" t="str">
        <f>IF(TOTALCO!J302="", "",TOTALCO!J302)</f>
        <v/>
      </c>
      <c r="K1178" s="14" t="str">
        <f>IF(TOTALCO!K302="", "",TOTALCO!K302)</f>
        <v/>
      </c>
      <c r="L1178" s="14">
        <f>IF(TOTALCO!L302="", "",TOTALCO!L302)</f>
        <v>0</v>
      </c>
      <c r="M1178" s="14" t="str">
        <f>IF(TOTALCO!M302="", "",TOTALCO!M302)</f>
        <v/>
      </c>
      <c r="N1178" s="14">
        <f>IF(TOTALCO!N302="", "",TOTALCO!N302)</f>
        <v>0</v>
      </c>
      <c r="O1178" s="14">
        <f>IF(TOTALCO!O302="", "",TOTALCO!O302)</f>
        <v>0</v>
      </c>
      <c r="P1178" s="14">
        <f>IF(TOTALCO!P302="", "",TOTALCO!P302)</f>
        <v>0</v>
      </c>
      <c r="Q1178" s="14"/>
    </row>
    <row r="1179" spans="1:17" ht="15" x14ac:dyDescent="0.2">
      <c r="A1179" s="321">
        <f>IF(TOTALCO!A303="", "",TOTALCO!A303)</f>
        <v>24</v>
      </c>
      <c r="B1179" s="4" t="str">
        <f>IF(TOTALCO!B303="", "",TOTALCO!B303)</f>
        <v>DIRECT ASSIGN 360-PHFU</v>
      </c>
      <c r="C1179" s="4" t="str">
        <f>IF(TOTALCO!C303="", "",TOTALCO!C303)</f>
        <v>DIR360FU</v>
      </c>
      <c r="D1179" s="14">
        <f>IF(TOTALCO!D303="", "",TOTALCO!D303)</f>
        <v>1</v>
      </c>
      <c r="E1179" s="14" t="str">
        <f>IF(TOTALCO!E303="", "",TOTALCO!E303)</f>
        <v/>
      </c>
      <c r="F1179" s="14">
        <f>IF(TOTALCO!F303="", "",TOTALCO!F303)</f>
        <v>0.7797452328090192</v>
      </c>
      <c r="G1179" s="14" t="str">
        <f>IF(TOTALCO!G303="", "",TOTALCO!G303)</f>
        <v/>
      </c>
      <c r="H1179" s="14">
        <f>IF(TOTALCO!H303="", "",TOTALCO!H303)</f>
        <v>0.2202547671909808</v>
      </c>
      <c r="I1179" s="14">
        <f>IF(TOTALCO!I303="", "",TOTALCO!I303)</f>
        <v>0</v>
      </c>
      <c r="J1179" s="14" t="str">
        <f>IF(TOTALCO!J303="", "",TOTALCO!J303)</f>
        <v/>
      </c>
      <c r="K1179" s="14" t="str">
        <f>IF(TOTALCO!K303="", "",TOTALCO!K303)</f>
        <v/>
      </c>
      <c r="L1179" s="14">
        <f>IF(TOTALCO!L303="", "",TOTALCO!L303)</f>
        <v>0</v>
      </c>
      <c r="M1179" s="14" t="str">
        <f>IF(TOTALCO!M303="", "",TOTALCO!M303)</f>
        <v/>
      </c>
      <c r="N1179" s="14">
        <f>IF(TOTALCO!N303="", "",TOTALCO!N303)</f>
        <v>0</v>
      </c>
      <c r="O1179" s="14">
        <f>IF(TOTALCO!O303="", "",TOTALCO!O303)</f>
        <v>0</v>
      </c>
      <c r="P1179" s="14">
        <f>IF(TOTALCO!P303="", "",TOTALCO!P303)</f>
        <v>0</v>
      </c>
      <c r="Q1179" s="14"/>
    </row>
    <row r="1180" spans="1:17" ht="15" x14ac:dyDescent="0.2">
      <c r="A1180" s="321">
        <f>IF(TOTALCO!A304="", "",TOTALCO!A304)</f>
        <v>25</v>
      </c>
      <c r="B1180" s="4" t="str">
        <f>IF(TOTALCO!B304="", "",TOTALCO!B304)</f>
        <v>DIRECT ASSIGN 364-VA</v>
      </c>
      <c r="C1180" s="4" t="str">
        <f>IF(TOTALCO!C304="", "",TOTALCO!C304)</f>
        <v>DEM364V</v>
      </c>
      <c r="D1180" s="14">
        <f>IF(TOTALCO!D304="", "",TOTALCO!D304)</f>
        <v>1</v>
      </c>
      <c r="E1180" s="14" t="str">
        <f>IF(TOTALCO!E304="", "",TOTALCO!E304)</f>
        <v/>
      </c>
      <c r="F1180" s="14">
        <f>IF(TOTALCO!F304="", "",TOTALCO!F304)</f>
        <v>0</v>
      </c>
      <c r="G1180" s="14" t="str">
        <f>IF(TOTALCO!G304="", "",TOTALCO!G304)</f>
        <v/>
      </c>
      <c r="H1180" s="14">
        <f>IF(TOTALCO!H304="", "",TOTALCO!H304)</f>
        <v>1</v>
      </c>
      <c r="I1180" s="14">
        <f>IF(TOTALCO!I304="", "",TOTALCO!I304)</f>
        <v>0</v>
      </c>
      <c r="J1180" s="14" t="str">
        <f>IF(TOTALCO!J304="", "",TOTALCO!J304)</f>
        <v/>
      </c>
      <c r="K1180" s="14" t="str">
        <f>IF(TOTALCO!K304="", "",TOTALCO!K304)</f>
        <v/>
      </c>
      <c r="L1180" s="14">
        <f>IF(TOTALCO!L304="", "",TOTALCO!L304)</f>
        <v>0</v>
      </c>
      <c r="M1180" s="14" t="str">
        <f>IF(TOTALCO!M304="", "",TOTALCO!M304)</f>
        <v/>
      </c>
      <c r="N1180" s="14">
        <f>IF(TOTALCO!N304="", "",TOTALCO!N304)</f>
        <v>0</v>
      </c>
      <c r="O1180" s="14">
        <f>IF(TOTALCO!O304="", "",TOTALCO!O304)</f>
        <v>0</v>
      </c>
      <c r="P1180" s="14">
        <f>IF(TOTALCO!P304="", "",TOTALCO!P304)</f>
        <v>0</v>
      </c>
      <c r="Q1180" s="14"/>
    </row>
    <row r="1181" spans="1:17" ht="15" x14ac:dyDescent="0.2">
      <c r="A1181" s="321">
        <f>IF(TOTALCO!A305="", "",TOTALCO!A305)</f>
        <v>26</v>
      </c>
      <c r="B1181" s="4" t="str">
        <f>IF(TOTALCO!B305="", "",TOTALCO!B305)</f>
        <v>DIRECT ASSIGN 365-VA</v>
      </c>
      <c r="C1181" s="4" t="str">
        <f>IF(TOTALCO!C305="", "",TOTALCO!C305)</f>
        <v>DEM365V</v>
      </c>
      <c r="D1181" s="14">
        <f>IF(TOTALCO!D305="", "",TOTALCO!D305)</f>
        <v>1</v>
      </c>
      <c r="E1181" s="14" t="str">
        <f>IF(TOTALCO!E305="", "",TOTALCO!E305)</f>
        <v/>
      </c>
      <c r="F1181" s="14">
        <f>IF(TOTALCO!F305="", "",TOTALCO!F305)</f>
        <v>0</v>
      </c>
      <c r="G1181" s="14" t="str">
        <f>IF(TOTALCO!G305="", "",TOTALCO!G305)</f>
        <v/>
      </c>
      <c r="H1181" s="14">
        <f>IF(TOTALCO!H305="", "",TOTALCO!H305)</f>
        <v>1</v>
      </c>
      <c r="I1181" s="14">
        <f>IF(TOTALCO!I305="", "",TOTALCO!I305)</f>
        <v>0</v>
      </c>
      <c r="J1181" s="14" t="str">
        <f>IF(TOTALCO!J305="", "",TOTALCO!J305)</f>
        <v/>
      </c>
      <c r="K1181" s="14" t="str">
        <f>IF(TOTALCO!K305="", "",TOTALCO!K305)</f>
        <v/>
      </c>
      <c r="L1181" s="14">
        <f>IF(TOTALCO!L305="", "",TOTALCO!L305)</f>
        <v>0</v>
      </c>
      <c r="M1181" s="14" t="str">
        <f>IF(TOTALCO!M305="", "",TOTALCO!M305)</f>
        <v/>
      </c>
      <c r="N1181" s="14">
        <f>IF(TOTALCO!N305="", "",TOTALCO!N305)</f>
        <v>0</v>
      </c>
      <c r="O1181" s="14">
        <f>IF(TOTALCO!O305="", "",TOTALCO!O305)</f>
        <v>0</v>
      </c>
      <c r="P1181" s="14">
        <f>IF(TOTALCO!P305="", "",TOTALCO!P305)</f>
        <v>0</v>
      </c>
      <c r="Q1181" s="14"/>
    </row>
    <row r="1182" spans="1:17" ht="15" x14ac:dyDescent="0.2">
      <c r="A1182" s="321">
        <f>IF(TOTALCO!A306="", "",TOTALCO!A306)</f>
        <v>27</v>
      </c>
      <c r="B1182" s="4" t="str">
        <f>IF(TOTALCO!B306="", "",TOTALCO!B306)</f>
        <v>DIRECT ASSIGN 367-VA</v>
      </c>
      <c r="C1182" s="4" t="str">
        <f>IF(TOTALCO!C306="", "",TOTALCO!C306)</f>
        <v>DEM367V</v>
      </c>
      <c r="D1182" s="14">
        <f>IF(TOTALCO!D306="", "",TOTALCO!D306)</f>
        <v>1</v>
      </c>
      <c r="E1182" s="14" t="str">
        <f>IF(TOTALCO!E306="", "",TOTALCO!E306)</f>
        <v/>
      </c>
      <c r="F1182" s="14">
        <f>IF(TOTALCO!F306="", "",TOTALCO!F306)</f>
        <v>0</v>
      </c>
      <c r="G1182" s="14" t="str">
        <f>IF(TOTALCO!G306="", "",TOTALCO!G306)</f>
        <v/>
      </c>
      <c r="H1182" s="14">
        <f>IF(TOTALCO!H306="", "",TOTALCO!H306)</f>
        <v>1</v>
      </c>
      <c r="I1182" s="14">
        <f>IF(TOTALCO!I306="", "",TOTALCO!I306)</f>
        <v>0</v>
      </c>
      <c r="J1182" s="14" t="str">
        <f>IF(TOTALCO!J306="", "",TOTALCO!J306)</f>
        <v/>
      </c>
      <c r="K1182" s="14" t="str">
        <f>IF(TOTALCO!K306="", "",TOTALCO!K306)</f>
        <v/>
      </c>
      <c r="L1182" s="14">
        <f>IF(TOTALCO!L306="", "",TOTALCO!L306)</f>
        <v>0</v>
      </c>
      <c r="M1182" s="14" t="str">
        <f>IF(TOTALCO!M306="", "",TOTALCO!M306)</f>
        <v/>
      </c>
      <c r="N1182" s="14">
        <f>IF(TOTALCO!N306="", "",TOTALCO!N306)</f>
        <v>0</v>
      </c>
      <c r="O1182" s="14">
        <f>IF(TOTALCO!O306="", "",TOTALCO!O306)</f>
        <v>0</v>
      </c>
      <c r="P1182" s="14">
        <f>IF(TOTALCO!P306="", "",TOTALCO!P306)</f>
        <v>0</v>
      </c>
      <c r="Q1182" s="14"/>
    </row>
    <row r="1183" spans="1:17" ht="15" x14ac:dyDescent="0.2">
      <c r="A1183" s="321">
        <f>IF(TOTALCO!A307="", "",TOTALCO!A307)</f>
        <v>28</v>
      </c>
      <c r="B1183" s="4" t="str">
        <f>IF(TOTALCO!B307="", "",TOTALCO!B307)</f>
        <v>DIRECT ASSIGN 368-VA</v>
      </c>
      <c r="C1183" s="4" t="str">
        <f>IF(TOTALCO!C307="", "",TOTALCO!C307)</f>
        <v>DEM368V</v>
      </c>
      <c r="D1183" s="14">
        <f>IF(TOTALCO!D307="", "",TOTALCO!D307)</f>
        <v>1</v>
      </c>
      <c r="E1183" s="14" t="str">
        <f>IF(TOTALCO!E307="", "",TOTALCO!E307)</f>
        <v/>
      </c>
      <c r="F1183" s="14">
        <f>IF(TOTALCO!F307="", "",TOTALCO!F307)</f>
        <v>0</v>
      </c>
      <c r="G1183" s="14" t="str">
        <f>IF(TOTALCO!G307="", "",TOTALCO!G307)</f>
        <v/>
      </c>
      <c r="H1183" s="14">
        <f>IF(TOTALCO!H307="", "",TOTALCO!H307)</f>
        <v>1</v>
      </c>
      <c r="I1183" s="14">
        <f>IF(TOTALCO!I307="", "",TOTALCO!I307)</f>
        <v>0</v>
      </c>
      <c r="J1183" s="14" t="str">
        <f>IF(TOTALCO!J307="", "",TOTALCO!J307)</f>
        <v/>
      </c>
      <c r="K1183" s="14" t="str">
        <f>IF(TOTALCO!K307="", "",TOTALCO!K307)</f>
        <v/>
      </c>
      <c r="L1183" s="14">
        <f>IF(TOTALCO!L307="", "",TOTALCO!L307)</f>
        <v>0</v>
      </c>
      <c r="M1183" s="14" t="str">
        <f>IF(TOTALCO!M307="", "",TOTALCO!M307)</f>
        <v/>
      </c>
      <c r="N1183" s="14">
        <f>IF(TOTALCO!N307="", "",TOTALCO!N307)</f>
        <v>0</v>
      </c>
      <c r="O1183" s="14">
        <f>IF(TOTALCO!O307="", "",TOTALCO!O307)</f>
        <v>0</v>
      </c>
      <c r="P1183" s="14">
        <f>IF(TOTALCO!P307="", "",TOTALCO!P307)</f>
        <v>0</v>
      </c>
      <c r="Q1183" s="14"/>
    </row>
    <row r="1184" spans="1:17" ht="15" x14ac:dyDescent="0.2">
      <c r="A1184" s="321">
        <f>IF(TOTALCO!A308="", "",TOTALCO!A308)</f>
        <v>29</v>
      </c>
      <c r="B1184" s="4" t="str">
        <f>IF(TOTALCO!B308="", "",TOTALCO!B308)</f>
        <v>DIRECT ASSIGN 360-TN</v>
      </c>
      <c r="C1184" s="4" t="str">
        <f>IF(TOTALCO!C308="", "",TOTALCO!C308)</f>
        <v>DEM360T</v>
      </c>
      <c r="D1184" s="14">
        <f>IF(TOTALCO!D308="", "",TOTALCO!D308)</f>
        <v>1</v>
      </c>
      <c r="E1184" s="14" t="str">
        <f>IF(TOTALCO!E308="", "",TOTALCO!E308)</f>
        <v/>
      </c>
      <c r="F1184" s="14">
        <f>IF(TOTALCO!F308="", "",TOTALCO!F308)</f>
        <v>0</v>
      </c>
      <c r="G1184" s="14" t="str">
        <f>IF(TOTALCO!G308="", "",TOTALCO!G308)</f>
        <v/>
      </c>
      <c r="H1184" s="14">
        <f>IF(TOTALCO!H308="", "",TOTALCO!H308)</f>
        <v>0</v>
      </c>
      <c r="I1184" s="14">
        <f>IF(TOTALCO!I308="", "",TOTALCO!I308)</f>
        <v>1</v>
      </c>
      <c r="J1184" s="14" t="str">
        <f>IF(TOTALCO!J308="", "",TOTALCO!J308)</f>
        <v/>
      </c>
      <c r="K1184" s="14" t="str">
        <f>IF(TOTALCO!K308="", "",TOTALCO!K308)</f>
        <v/>
      </c>
      <c r="L1184" s="14">
        <f>IF(TOTALCO!L308="", "",TOTALCO!L308)</f>
        <v>1</v>
      </c>
      <c r="M1184" s="14" t="str">
        <f>IF(TOTALCO!M308="", "",TOTALCO!M308)</f>
        <v/>
      </c>
      <c r="N1184" s="14">
        <f>IF(TOTALCO!N308="", "",TOTALCO!N308)</f>
        <v>0</v>
      </c>
      <c r="O1184" s="14">
        <f>IF(TOTALCO!O308="", "",TOTALCO!O308)</f>
        <v>0</v>
      </c>
      <c r="P1184" s="14">
        <f>IF(TOTALCO!P308="", "",TOTALCO!P308)</f>
        <v>0</v>
      </c>
      <c r="Q1184" s="14"/>
    </row>
    <row r="1185" spans="1:17" ht="15" x14ac:dyDescent="0.2">
      <c r="A1185" s="321">
        <f>IF(TOTALCO!A309="", "",TOTALCO!A309)</f>
        <v>30</v>
      </c>
      <c r="B1185" s="4" t="str">
        <f>IF(TOTALCO!B309="", "",TOTALCO!B309)</f>
        <v>DIRECT ASSIGN 361-TN</v>
      </c>
      <c r="C1185" s="4" t="str">
        <f>IF(TOTALCO!C309="", "",TOTALCO!C309)</f>
        <v>DEM361T</v>
      </c>
      <c r="D1185" s="14">
        <f>IF(TOTALCO!D309="", "",TOTALCO!D309)</f>
        <v>1</v>
      </c>
      <c r="E1185" s="14" t="str">
        <f>IF(TOTALCO!E309="", "",TOTALCO!E309)</f>
        <v/>
      </c>
      <c r="F1185" s="14">
        <f>IF(TOTALCO!F309="", "",TOTALCO!F309)</f>
        <v>0</v>
      </c>
      <c r="G1185" s="14" t="str">
        <f>IF(TOTALCO!G309="", "",TOTALCO!G309)</f>
        <v/>
      </c>
      <c r="H1185" s="14">
        <f>IF(TOTALCO!H309="", "",TOTALCO!H309)</f>
        <v>0</v>
      </c>
      <c r="I1185" s="14">
        <f>IF(TOTALCO!I309="", "",TOTALCO!I309)</f>
        <v>1</v>
      </c>
      <c r="J1185" s="14" t="str">
        <f>IF(TOTALCO!J309="", "",TOTALCO!J309)</f>
        <v/>
      </c>
      <c r="K1185" s="14" t="str">
        <f>IF(TOTALCO!K309="", "",TOTALCO!K309)</f>
        <v/>
      </c>
      <c r="L1185" s="14">
        <f>IF(TOTALCO!L309="", "",TOTALCO!L309)</f>
        <v>1</v>
      </c>
      <c r="M1185" s="14" t="str">
        <f>IF(TOTALCO!M309="", "",TOTALCO!M309)</f>
        <v/>
      </c>
      <c r="N1185" s="14">
        <f>IF(TOTALCO!N309="", "",TOTALCO!N309)</f>
        <v>0</v>
      </c>
      <c r="O1185" s="14">
        <f>IF(TOTALCO!O309="", "",TOTALCO!O309)</f>
        <v>0</v>
      </c>
      <c r="P1185" s="14">
        <f>IF(TOTALCO!P309="", "",TOTALCO!P309)</f>
        <v>0</v>
      </c>
      <c r="Q1185" s="14"/>
    </row>
    <row r="1186" spans="1:17" ht="15" x14ac:dyDescent="0.2">
      <c r="A1186" s="321">
        <f>IF(TOTALCO!A310="", "",TOTALCO!A310)</f>
        <v>31</v>
      </c>
      <c r="B1186" s="4" t="str">
        <f>IF(TOTALCO!B310="", "",TOTALCO!B310)</f>
        <v>DIRECT ASSIGN 362-TN</v>
      </c>
      <c r="C1186" s="4" t="str">
        <f>IF(TOTALCO!C310="", "",TOTALCO!C310)</f>
        <v>DEM362T</v>
      </c>
      <c r="D1186" s="14">
        <f>IF(TOTALCO!D310="", "",TOTALCO!D310)</f>
        <v>1</v>
      </c>
      <c r="E1186" s="14" t="str">
        <f>IF(TOTALCO!E310="", "",TOTALCO!E310)</f>
        <v/>
      </c>
      <c r="F1186" s="14">
        <f>IF(TOTALCO!F310="", "",TOTALCO!F310)</f>
        <v>0</v>
      </c>
      <c r="G1186" s="14" t="str">
        <f>IF(TOTALCO!G310="", "",TOTALCO!G310)</f>
        <v/>
      </c>
      <c r="H1186" s="14">
        <f>IF(TOTALCO!H310="", "",TOTALCO!H310)</f>
        <v>0</v>
      </c>
      <c r="I1186" s="14">
        <f>IF(TOTALCO!I310="", "",TOTALCO!I310)</f>
        <v>1</v>
      </c>
      <c r="J1186" s="14" t="str">
        <f>IF(TOTALCO!J310="", "",TOTALCO!J310)</f>
        <v/>
      </c>
      <c r="K1186" s="14" t="str">
        <f>IF(TOTALCO!K310="", "",TOTALCO!K310)</f>
        <v/>
      </c>
      <c r="L1186" s="14">
        <f>IF(TOTALCO!L310="", "",TOTALCO!L310)</f>
        <v>1</v>
      </c>
      <c r="M1186" s="14" t="str">
        <f>IF(TOTALCO!M310="", "",TOTALCO!M310)</f>
        <v/>
      </c>
      <c r="N1186" s="14">
        <f>IF(TOTALCO!N310="", "",TOTALCO!N310)</f>
        <v>0</v>
      </c>
      <c r="O1186" s="14">
        <f>IF(TOTALCO!O310="", "",TOTALCO!O310)</f>
        <v>0</v>
      </c>
      <c r="P1186" s="14">
        <f>IF(TOTALCO!P310="", "",TOTALCO!P310)</f>
        <v>0</v>
      </c>
      <c r="Q1186" s="14"/>
    </row>
    <row r="1187" spans="1:17" ht="15" x14ac:dyDescent="0.2">
      <c r="A1187" s="321">
        <f>IF(TOTALCO!A311="", "",TOTALCO!A311)</f>
        <v>32</v>
      </c>
      <c r="B1187" s="4" t="str">
        <f>IF(TOTALCO!B311="", "",TOTALCO!B311)</f>
        <v>DIRECT ASSIGN 364-TN</v>
      </c>
      <c r="C1187" s="4" t="str">
        <f>IF(TOTALCO!C311="", "",TOTALCO!C311)</f>
        <v>DEM364T</v>
      </c>
      <c r="D1187" s="14">
        <f>IF(TOTALCO!D311="", "",TOTALCO!D311)</f>
        <v>1</v>
      </c>
      <c r="E1187" s="14" t="str">
        <f>IF(TOTALCO!E311="", "",TOTALCO!E311)</f>
        <v/>
      </c>
      <c r="F1187" s="14">
        <f>IF(TOTALCO!F311="", "",TOTALCO!F311)</f>
        <v>0</v>
      </c>
      <c r="G1187" s="14" t="str">
        <f>IF(TOTALCO!G311="", "",TOTALCO!G311)</f>
        <v/>
      </c>
      <c r="H1187" s="14">
        <f>IF(TOTALCO!H311="", "",TOTALCO!H311)</f>
        <v>0</v>
      </c>
      <c r="I1187" s="14">
        <f>IF(TOTALCO!I311="", "",TOTALCO!I311)</f>
        <v>1</v>
      </c>
      <c r="J1187" s="14" t="str">
        <f>IF(TOTALCO!J311="", "",TOTALCO!J311)</f>
        <v/>
      </c>
      <c r="K1187" s="14" t="str">
        <f>IF(TOTALCO!K311="", "",TOTALCO!K311)</f>
        <v/>
      </c>
      <c r="L1187" s="14">
        <f>IF(TOTALCO!L311="", "",TOTALCO!L311)</f>
        <v>1</v>
      </c>
      <c r="M1187" s="14" t="str">
        <f>IF(TOTALCO!M311="", "",TOTALCO!M311)</f>
        <v/>
      </c>
      <c r="N1187" s="14">
        <f>IF(TOTALCO!N311="", "",TOTALCO!N311)</f>
        <v>0</v>
      </c>
      <c r="O1187" s="14">
        <f>IF(TOTALCO!O311="", "",TOTALCO!O311)</f>
        <v>0</v>
      </c>
      <c r="P1187" s="14">
        <f>IF(TOTALCO!P311="", "",TOTALCO!P311)</f>
        <v>0</v>
      </c>
      <c r="Q1187" s="14"/>
    </row>
    <row r="1188" spans="1:17" ht="15" x14ac:dyDescent="0.2">
      <c r="A1188" s="321">
        <f>IF(TOTALCO!A312="", "",TOTALCO!A312)</f>
        <v>33</v>
      </c>
      <c r="B1188" s="4" t="str">
        <f>IF(TOTALCO!B312="", "",TOTALCO!B312)</f>
        <v>DIRECT ASSIGN 365-TN</v>
      </c>
      <c r="C1188" s="4" t="str">
        <f>IF(TOTALCO!C312="", "",TOTALCO!C312)</f>
        <v>DEM365T</v>
      </c>
      <c r="D1188" s="14">
        <f>IF(TOTALCO!D312="", "",TOTALCO!D312)</f>
        <v>1</v>
      </c>
      <c r="E1188" s="14" t="str">
        <f>IF(TOTALCO!E312="", "",TOTALCO!E312)</f>
        <v/>
      </c>
      <c r="F1188" s="14">
        <f>IF(TOTALCO!F312="", "",TOTALCO!F312)</f>
        <v>0</v>
      </c>
      <c r="G1188" s="14" t="str">
        <f>IF(TOTALCO!G312="", "",TOTALCO!G312)</f>
        <v/>
      </c>
      <c r="H1188" s="14">
        <f>IF(TOTALCO!H312="", "",TOTALCO!H312)</f>
        <v>0</v>
      </c>
      <c r="I1188" s="14">
        <f>IF(TOTALCO!I312="", "",TOTALCO!I312)</f>
        <v>1</v>
      </c>
      <c r="J1188" s="14" t="str">
        <f>IF(TOTALCO!J312="", "",TOTALCO!J312)</f>
        <v/>
      </c>
      <c r="K1188" s="14" t="str">
        <f>IF(TOTALCO!K312="", "",TOTALCO!K312)</f>
        <v/>
      </c>
      <c r="L1188" s="14">
        <f>IF(TOTALCO!L312="", "",TOTALCO!L312)</f>
        <v>1</v>
      </c>
      <c r="M1188" s="14" t="str">
        <f>IF(TOTALCO!M312="", "",TOTALCO!M312)</f>
        <v/>
      </c>
      <c r="N1188" s="14">
        <f>IF(TOTALCO!N312="", "",TOTALCO!N312)</f>
        <v>0</v>
      </c>
      <c r="O1188" s="14">
        <f>IF(TOTALCO!O312="", "",TOTALCO!O312)</f>
        <v>0</v>
      </c>
      <c r="P1188" s="14">
        <f>IF(TOTALCO!P312="", "",TOTALCO!P312)</f>
        <v>0</v>
      </c>
      <c r="Q1188" s="14"/>
    </row>
    <row r="1189" spans="1:17" ht="15" x14ac:dyDescent="0.2">
      <c r="A1189" s="321">
        <f>IF(TOTALCO!A313="", "",TOTALCO!A313)</f>
        <v>34</v>
      </c>
      <c r="B1189" s="4" t="str">
        <f>IF(TOTALCO!B313="", "",TOTALCO!B313)</f>
        <v>DIRECT ASSIGN 368-TN</v>
      </c>
      <c r="C1189" s="4" t="str">
        <f>IF(TOTALCO!C313="", "",TOTALCO!C313)</f>
        <v>DEM368T</v>
      </c>
      <c r="D1189" s="14">
        <f>IF(TOTALCO!D313="", "",TOTALCO!D313)</f>
        <v>1</v>
      </c>
      <c r="E1189" s="14" t="str">
        <f>IF(TOTALCO!E313="", "",TOTALCO!E313)</f>
        <v/>
      </c>
      <c r="F1189" s="14">
        <f>IF(TOTALCO!F313="", "",TOTALCO!F313)</f>
        <v>0</v>
      </c>
      <c r="G1189" s="14" t="str">
        <f>IF(TOTALCO!G313="", "",TOTALCO!G313)</f>
        <v/>
      </c>
      <c r="H1189" s="14">
        <f>IF(TOTALCO!H313="", "",TOTALCO!H313)</f>
        <v>0</v>
      </c>
      <c r="I1189" s="14">
        <f>IF(TOTALCO!I313="", "",TOTALCO!I313)</f>
        <v>1</v>
      </c>
      <c r="J1189" s="14" t="str">
        <f>IF(TOTALCO!J313="", "",TOTALCO!J313)</f>
        <v/>
      </c>
      <c r="K1189" s="14" t="str">
        <f>IF(TOTALCO!K313="", "",TOTALCO!K313)</f>
        <v/>
      </c>
      <c r="L1189" s="14">
        <f>IF(TOTALCO!L313="", "",TOTALCO!L313)</f>
        <v>1</v>
      </c>
      <c r="M1189" s="14" t="str">
        <f>IF(TOTALCO!M313="", "",TOTALCO!M313)</f>
        <v/>
      </c>
      <c r="N1189" s="14">
        <f>IF(TOTALCO!N313="", "",TOTALCO!N313)</f>
        <v>0</v>
      </c>
      <c r="O1189" s="14">
        <f>IF(TOTALCO!O313="", "",TOTALCO!O313)</f>
        <v>0</v>
      </c>
      <c r="P1189" s="14">
        <f>IF(TOTALCO!P313="", "",TOTALCO!P313)</f>
        <v>0</v>
      </c>
      <c r="Q1189" s="14"/>
    </row>
    <row r="1190" spans="1:17" ht="15" x14ac:dyDescent="0.2">
      <c r="A1190" s="321">
        <f>IF(TOTALCO!A314="", "",TOTALCO!A314)</f>
        <v>35</v>
      </c>
      <c r="B1190" s="4" t="str">
        <f>IF(TOTALCO!B314="", "",TOTALCO!B314)</f>
        <v>DIRECT ASSIGN 369-TN</v>
      </c>
      <c r="C1190" s="4" t="str">
        <f>IF(TOTALCO!C314="", "",TOTALCO!C314)</f>
        <v>CUST369T</v>
      </c>
      <c r="D1190" s="14">
        <f>IF(TOTALCO!D314="", "",TOTALCO!D314)</f>
        <v>1</v>
      </c>
      <c r="E1190" s="14" t="str">
        <f>IF(TOTALCO!E314="", "",TOTALCO!E314)</f>
        <v/>
      </c>
      <c r="F1190" s="14">
        <f>IF(TOTALCO!F314="", "",TOTALCO!F314)</f>
        <v>0</v>
      </c>
      <c r="G1190" s="14" t="str">
        <f>IF(TOTALCO!G314="", "",TOTALCO!G314)</f>
        <v/>
      </c>
      <c r="H1190" s="14">
        <f>IF(TOTALCO!H314="", "",TOTALCO!H314)</f>
        <v>0</v>
      </c>
      <c r="I1190" s="14">
        <f>IF(TOTALCO!I314="", "",TOTALCO!I314)</f>
        <v>1</v>
      </c>
      <c r="J1190" s="14" t="str">
        <f>IF(TOTALCO!J314="", "",TOTALCO!J314)</f>
        <v/>
      </c>
      <c r="K1190" s="14" t="str">
        <f>IF(TOTALCO!K314="", "",TOTALCO!K314)</f>
        <v/>
      </c>
      <c r="L1190" s="14">
        <f>IF(TOTALCO!L314="", "",TOTALCO!L314)</f>
        <v>1</v>
      </c>
      <c r="M1190" s="14" t="str">
        <f>IF(TOTALCO!M314="", "",TOTALCO!M314)</f>
        <v/>
      </c>
      <c r="N1190" s="14">
        <f>IF(TOTALCO!N314="", "",TOTALCO!N314)</f>
        <v>0</v>
      </c>
      <c r="O1190" s="14">
        <f>IF(TOTALCO!O314="", "",TOTALCO!O314)</f>
        <v>0</v>
      </c>
      <c r="P1190" s="14">
        <f>IF(TOTALCO!P314="", "",TOTALCO!P314)</f>
        <v>0</v>
      </c>
      <c r="Q1190" s="14"/>
    </row>
    <row r="1191" spans="1:17" ht="15" x14ac:dyDescent="0.2">
      <c r="A1191" s="321">
        <f>IF(TOTALCO!A315="", "",TOTALCO!A315)</f>
        <v>36</v>
      </c>
      <c r="B1191" s="4" t="str">
        <f>IF(TOTALCO!B315="", "",TOTALCO!B315)</f>
        <v>DIRECT ASSIGN 370-TN</v>
      </c>
      <c r="C1191" s="4" t="str">
        <f>IF(TOTALCO!C315="", "",TOTALCO!C315)</f>
        <v>CUST370T</v>
      </c>
      <c r="D1191" s="14">
        <f>IF(TOTALCO!D315="", "",TOTALCO!D315)</f>
        <v>1</v>
      </c>
      <c r="E1191" s="14" t="str">
        <f>IF(TOTALCO!E315="", "",TOTALCO!E315)</f>
        <v/>
      </c>
      <c r="F1191" s="14">
        <f>IF(TOTALCO!F315="", "",TOTALCO!F315)</f>
        <v>0</v>
      </c>
      <c r="G1191" s="14" t="str">
        <f>IF(TOTALCO!G315="", "",TOTALCO!G315)</f>
        <v/>
      </c>
      <c r="H1191" s="14">
        <f>IF(TOTALCO!H315="", "",TOTALCO!H315)</f>
        <v>0</v>
      </c>
      <c r="I1191" s="14">
        <f>IF(TOTALCO!I315="", "",TOTALCO!I315)</f>
        <v>1</v>
      </c>
      <c r="J1191" s="14" t="str">
        <f>IF(TOTALCO!J315="", "",TOTALCO!J315)</f>
        <v/>
      </c>
      <c r="K1191" s="14" t="str">
        <f>IF(TOTALCO!K315="", "",TOTALCO!K315)</f>
        <v/>
      </c>
      <c r="L1191" s="14">
        <f>IF(TOTALCO!L315="", "",TOTALCO!L315)</f>
        <v>1</v>
      </c>
      <c r="M1191" s="14" t="str">
        <f>IF(TOTALCO!M315="", "",TOTALCO!M315)</f>
        <v/>
      </c>
      <c r="N1191" s="14">
        <f>IF(TOTALCO!N315="", "",TOTALCO!N315)</f>
        <v>0</v>
      </c>
      <c r="O1191" s="14">
        <f>IF(TOTALCO!O315="", "",TOTALCO!O315)</f>
        <v>0</v>
      </c>
      <c r="P1191" s="14">
        <f>IF(TOTALCO!P315="", "",TOTALCO!P315)</f>
        <v>0</v>
      </c>
      <c r="Q1191" s="14"/>
    </row>
    <row r="1192" spans="1:17" ht="15" x14ac:dyDescent="0.2">
      <c r="A1192" s="321">
        <f>IF(TOTALCO!A316="", "",TOTALCO!A316)</f>
        <v>37</v>
      </c>
      <c r="B1192" s="4" t="str">
        <f>IF(TOTALCO!B316="", "",TOTALCO!B316)</f>
        <v>DIRECT ASSIGN 371-TN</v>
      </c>
      <c r="C1192" s="4" t="str">
        <f>IF(TOTALCO!C316="", "",TOTALCO!C316)</f>
        <v>CUST371T</v>
      </c>
      <c r="D1192" s="14">
        <f>IF(TOTALCO!D316="", "",TOTALCO!D316)</f>
        <v>0</v>
      </c>
      <c r="E1192" s="14" t="str">
        <f>IF(TOTALCO!E316="", "",TOTALCO!E316)</f>
        <v/>
      </c>
      <c r="F1192" s="14">
        <f>IF(TOTALCO!F316="", "",TOTALCO!F316)</f>
        <v>0</v>
      </c>
      <c r="G1192" s="14" t="str">
        <f>IF(TOTALCO!G316="", "",TOTALCO!G316)</f>
        <v/>
      </c>
      <c r="H1192" s="14">
        <f>IF(TOTALCO!H316="", "",TOTALCO!H316)</f>
        <v>0</v>
      </c>
      <c r="I1192" s="14">
        <f>IF(TOTALCO!I316="", "",TOTALCO!I316)</f>
        <v>0</v>
      </c>
      <c r="J1192" s="14" t="str">
        <f>IF(TOTALCO!J316="", "",TOTALCO!J316)</f>
        <v/>
      </c>
      <c r="K1192" s="14" t="str">
        <f>IF(TOTALCO!K316="", "",TOTALCO!K316)</f>
        <v/>
      </c>
      <c r="L1192" s="14">
        <f>IF(TOTALCO!L316="", "",TOTALCO!L316)</f>
        <v>0</v>
      </c>
      <c r="M1192" s="14" t="str">
        <f>IF(TOTALCO!M316="", "",TOTALCO!M316)</f>
        <v/>
      </c>
      <c r="N1192" s="14">
        <f>IF(TOTALCO!N316="", "",TOTALCO!N316)</f>
        <v>0</v>
      </c>
      <c r="O1192" s="14">
        <f>IF(TOTALCO!O316="", "",TOTALCO!O316)</f>
        <v>0</v>
      </c>
      <c r="P1192" s="14">
        <f>IF(TOTALCO!P316="", "",TOTALCO!P316)</f>
        <v>0</v>
      </c>
      <c r="Q1192" s="14"/>
    </row>
    <row r="1193" spans="1:17" ht="15" x14ac:dyDescent="0.2">
      <c r="A1193" s="321">
        <f>IF(TOTALCO!A317="", "",TOTALCO!A317)</f>
        <v>38</v>
      </c>
      <c r="B1193" s="4" t="str">
        <f>IF(TOTALCO!B317="", "",TOTALCO!B317)</f>
        <v xml:space="preserve">DIR ASSIGN ACCUM DEPREC.VA &amp; TN </v>
      </c>
      <c r="C1193" s="4" t="str">
        <f>IF(TOTALCO!C317="", "",TOTALCO!C317)</f>
        <v>DIRACDEP</v>
      </c>
      <c r="D1193" s="14">
        <f>IF(TOTALCO!D317="", "",TOTALCO!D317)</f>
        <v>1</v>
      </c>
      <c r="E1193" s="14" t="str">
        <f>IF(TOTALCO!E317="", "",TOTALCO!E317)</f>
        <v/>
      </c>
      <c r="F1193" s="14">
        <f>IF(TOTALCO!F317="", "",TOTALCO!F317)</f>
        <v>0</v>
      </c>
      <c r="G1193" s="14" t="str">
        <f>IF(TOTALCO!G317="", "",TOTALCO!G317)</f>
        <v/>
      </c>
      <c r="H1193" s="14">
        <f>IF(TOTALCO!H317="", "",TOTALCO!H317)</f>
        <v>0.99636091015165618</v>
      </c>
      <c r="I1193" s="14">
        <f>IF(TOTALCO!I317="", "",TOTALCO!I317)</f>
        <v>3.6390898483438018E-3</v>
      </c>
      <c r="J1193" s="14" t="str">
        <f>IF(TOTALCO!J317="", "",TOTALCO!J317)</f>
        <v/>
      </c>
      <c r="K1193" s="14" t="str">
        <f>IF(TOTALCO!K317="", "",TOTALCO!K317)</f>
        <v/>
      </c>
      <c r="L1193" s="14">
        <f>IF(TOTALCO!L317="", "",TOTALCO!L317)</f>
        <v>3.6390898483438018E-3</v>
      </c>
      <c r="M1193" s="14" t="str">
        <f>IF(TOTALCO!M317="", "",TOTALCO!M317)</f>
        <v/>
      </c>
      <c r="N1193" s="14">
        <f>IF(TOTALCO!N317="", "",TOTALCO!N317)</f>
        <v>0</v>
      </c>
      <c r="O1193" s="14">
        <f>IF(TOTALCO!O317="", "",TOTALCO!O317)</f>
        <v>0</v>
      </c>
      <c r="P1193" s="14">
        <f>IF(TOTALCO!P317="", "",TOTALCO!P317)</f>
        <v>0</v>
      </c>
      <c r="Q1193" s="14"/>
    </row>
    <row r="1194" spans="1:17" ht="15" x14ac:dyDescent="0.2">
      <c r="A1194" s="321">
        <f>IF(TOTALCO!A318="", "",TOTALCO!A318)</f>
        <v>39</v>
      </c>
      <c r="B1194" s="4" t="str">
        <f>IF(TOTALCO!B318="", "",TOTALCO!B318)</f>
        <v>DIR ASSIGN CWIP VA &amp; TN</v>
      </c>
      <c r="C1194" s="4" t="str">
        <f>IF(TOTALCO!C318="", "",TOTALCO!C318)</f>
        <v>DIRCWIP</v>
      </c>
      <c r="D1194" s="14">
        <f>IF(TOTALCO!D318="", "",TOTALCO!D318)</f>
        <v>1</v>
      </c>
      <c r="E1194" s="14" t="str">
        <f>IF(TOTALCO!E318="", "",TOTALCO!E318)</f>
        <v/>
      </c>
      <c r="F1194" s="14">
        <f>IF(TOTALCO!F318="", "",TOTALCO!F318)</f>
        <v>0</v>
      </c>
      <c r="G1194" s="14" t="str">
        <f>IF(TOTALCO!G318="", "",TOTALCO!G318)</f>
        <v/>
      </c>
      <c r="H1194" s="14">
        <f>IF(TOTALCO!H318="", "",TOTALCO!H318)</f>
        <v>1</v>
      </c>
      <c r="I1194" s="14">
        <f>IF(TOTALCO!I318="", "",TOTALCO!I318)</f>
        <v>0</v>
      </c>
      <c r="J1194" s="14" t="str">
        <f>IF(TOTALCO!J318="", "",TOTALCO!J318)</f>
        <v/>
      </c>
      <c r="K1194" s="14" t="str">
        <f>IF(TOTALCO!K318="", "",TOTALCO!K318)</f>
        <v/>
      </c>
      <c r="L1194" s="14">
        <f>IF(TOTALCO!L318="", "",TOTALCO!L318)</f>
        <v>0</v>
      </c>
      <c r="M1194" s="14" t="str">
        <f>IF(TOTALCO!M318="", "",TOTALCO!M318)</f>
        <v/>
      </c>
      <c r="N1194" s="14">
        <f>IF(TOTALCO!N318="", "",TOTALCO!N318)</f>
        <v>0</v>
      </c>
      <c r="O1194" s="14">
        <f>IF(TOTALCO!O318="", "",TOTALCO!O318)</f>
        <v>0</v>
      </c>
      <c r="P1194" s="14">
        <f>IF(TOTALCO!P318="", "",TOTALCO!P318)</f>
        <v>0</v>
      </c>
      <c r="Q1194" s="14"/>
    </row>
    <row r="1195" spans="1:17" ht="15" x14ac:dyDescent="0.2">
      <c r="A1195" s="321">
        <f>IF(TOTALCO!A319="", "",TOTALCO!A319)</f>
        <v>40</v>
      </c>
      <c r="B1195" s="4" t="str">
        <f>IF(TOTALCO!B319="", "",TOTALCO!B319)</f>
        <v>DIR ASSIGN ACC DFD TAX VA</v>
      </c>
      <c r="C1195" s="4" t="str">
        <f>IF(TOTALCO!C319="", "",TOTALCO!C319)</f>
        <v>DIRACDFTX</v>
      </c>
      <c r="D1195" s="14">
        <f>IF(TOTALCO!D319="", "",TOTALCO!D319)</f>
        <v>1</v>
      </c>
      <c r="E1195" s="14" t="str">
        <f>IF(TOTALCO!E319="", "",TOTALCO!E319)</f>
        <v/>
      </c>
      <c r="F1195" s="14">
        <f>IF(TOTALCO!F319="", "",TOTALCO!F319)</f>
        <v>0</v>
      </c>
      <c r="G1195" s="14" t="str">
        <f>IF(TOTALCO!G319="", "",TOTALCO!G319)</f>
        <v/>
      </c>
      <c r="H1195" s="14">
        <f>IF(TOTALCO!H319="", "",TOTALCO!H319)</f>
        <v>1</v>
      </c>
      <c r="I1195" s="14">
        <f>IF(TOTALCO!I319="", "",TOTALCO!I319)</f>
        <v>0</v>
      </c>
      <c r="J1195" s="14" t="str">
        <f>IF(TOTALCO!J319="", "",TOTALCO!J319)</f>
        <v/>
      </c>
      <c r="K1195" s="14" t="str">
        <f>IF(TOTALCO!K319="", "",TOTALCO!K319)</f>
        <v/>
      </c>
      <c r="L1195" s="14">
        <f>IF(TOTALCO!L319="", "",TOTALCO!L319)</f>
        <v>0</v>
      </c>
      <c r="M1195" s="14" t="str">
        <f>IF(TOTALCO!M319="", "",TOTALCO!M319)</f>
        <v/>
      </c>
      <c r="N1195" s="14">
        <f>IF(TOTALCO!N319="", "",TOTALCO!N319)</f>
        <v>0</v>
      </c>
      <c r="O1195" s="14">
        <f>IF(TOTALCO!O319="", "",TOTALCO!O319)</f>
        <v>0</v>
      </c>
      <c r="P1195" s="14">
        <f>IF(TOTALCO!P319="", "",TOTALCO!P319)</f>
        <v>0</v>
      </c>
      <c r="Q1195" s="14"/>
    </row>
    <row r="1196" spans="1:17" ht="15" x14ac:dyDescent="0.2">
      <c r="A1196" s="321">
        <f>IF(TOTALCO!A320="", "",TOTALCO!A320)</f>
        <v>41</v>
      </c>
      <c r="B1196" s="4" t="str">
        <f>IF(TOTALCO!B320="", "",TOTALCO!B320)</f>
        <v>DIR ASSIGN ACC ITC VA</v>
      </c>
      <c r="C1196" s="4" t="str">
        <f>IF(TOTALCO!C320="", "",TOTALCO!C320)</f>
        <v>DIRACITC</v>
      </c>
      <c r="D1196" s="14">
        <f>IF(TOTALCO!D320="", "",TOTALCO!D320)</f>
        <v>0</v>
      </c>
      <c r="E1196" s="14" t="str">
        <f>IF(TOTALCO!E320="", "",TOTALCO!E320)</f>
        <v/>
      </c>
      <c r="F1196" s="14">
        <f>IF(TOTALCO!F320="", "",TOTALCO!F320)</f>
        <v>0</v>
      </c>
      <c r="G1196" s="14" t="str">
        <f>IF(TOTALCO!G320="", "",TOTALCO!G320)</f>
        <v/>
      </c>
      <c r="H1196" s="14">
        <f>IF(TOTALCO!H320="", "",TOTALCO!H320)</f>
        <v>0</v>
      </c>
      <c r="I1196" s="14">
        <f>IF(TOTALCO!I320="", "",TOTALCO!I320)</f>
        <v>0</v>
      </c>
      <c r="J1196" s="14" t="str">
        <f>IF(TOTALCO!J320="", "",TOTALCO!J320)</f>
        <v/>
      </c>
      <c r="K1196" s="14" t="str">
        <f>IF(TOTALCO!K320="", "",TOTALCO!K320)</f>
        <v/>
      </c>
      <c r="L1196" s="14">
        <f>IF(TOTALCO!L320="", "",TOTALCO!L320)</f>
        <v>0</v>
      </c>
      <c r="M1196" s="14" t="str">
        <f>IF(TOTALCO!M320="", "",TOTALCO!M320)</f>
        <v/>
      </c>
      <c r="N1196" s="14">
        <f>IF(TOTALCO!N320="", "",TOTALCO!N320)</f>
        <v>0</v>
      </c>
      <c r="O1196" s="14">
        <f>IF(TOTALCO!O320="", "",TOTALCO!O320)</f>
        <v>0</v>
      </c>
      <c r="P1196" s="14">
        <f>IF(TOTALCO!P320="", "",TOTALCO!P320)</f>
        <v>0</v>
      </c>
      <c r="Q1196" s="14"/>
    </row>
    <row r="1197" spans="1:17" ht="15" x14ac:dyDescent="0.2">
      <c r="A1197" s="321">
        <f>IF(TOTALCO!A321="", "",TOTALCO!A321)</f>
        <v>42</v>
      </c>
      <c r="B1197" s="4" t="str">
        <f>IF(TOTALCO!B321="", "",TOTALCO!B321)</f>
        <v>DIR ASSIGN RENT REVENUE</v>
      </c>
      <c r="C1197" s="4" t="str">
        <f>IF(TOTALCO!C321="", "",TOTALCO!C321)</f>
        <v>DIR454REV</v>
      </c>
      <c r="D1197" s="14">
        <f>IF(TOTALCO!D321="", "",TOTALCO!D321)</f>
        <v>1</v>
      </c>
      <c r="E1197" s="14" t="str">
        <f>IF(TOTALCO!E321="", "",TOTALCO!E321)</f>
        <v/>
      </c>
      <c r="F1197" s="14">
        <f>IF(TOTALCO!F321="", "",TOTALCO!F321)</f>
        <v>0.84955497650355349</v>
      </c>
      <c r="G1197" s="14" t="str">
        <f>IF(TOTALCO!G321="", "",TOTALCO!G321)</f>
        <v/>
      </c>
      <c r="H1197" s="14">
        <f>IF(TOTALCO!H321="", "",TOTALCO!H321)</f>
        <v>0.10491286151020887</v>
      </c>
      <c r="I1197" s="14">
        <f>IF(TOTALCO!I321="", "",TOTALCO!I321)</f>
        <v>4.5532161986237683E-2</v>
      </c>
      <c r="J1197" s="14" t="str">
        <f>IF(TOTALCO!J321="", "",TOTALCO!J321)</f>
        <v/>
      </c>
      <c r="K1197" s="14" t="str">
        <f>IF(TOTALCO!K321="", "",TOTALCO!K321)</f>
        <v/>
      </c>
      <c r="L1197" s="14">
        <f>IF(TOTALCO!L321="", "",TOTALCO!L321)</f>
        <v>1.5558284806411686E-5</v>
      </c>
      <c r="M1197" s="14" t="str">
        <f>IF(TOTALCO!M321="", "",TOTALCO!M321)</f>
        <v/>
      </c>
      <c r="N1197" s="14">
        <f>IF(TOTALCO!N321="", "",TOTALCO!N321)</f>
        <v>4.551660370143127E-2</v>
      </c>
      <c r="O1197" s="14">
        <f>IF(TOTALCO!O321="", "",TOTALCO!O321)</f>
        <v>4.551660370143127E-2</v>
      </c>
      <c r="P1197" s="14">
        <f>IF(TOTALCO!P321="", "",TOTALCO!P321)</f>
        <v>0</v>
      </c>
      <c r="Q1197" s="14"/>
    </row>
    <row r="1198" spans="1:17" ht="15" x14ac:dyDescent="0.2">
      <c r="A1198" s="321">
        <f>IF(TOTALCO!A322="", "",TOTALCO!A322)</f>
        <v>43</v>
      </c>
      <c r="B1198" s="4" t="str">
        <f>IF(TOTALCO!B322="", "",TOTALCO!B322)</f>
        <v>DIR ASSIGN EXCESS FACILITIES REV.</v>
      </c>
      <c r="C1198" s="4" t="str">
        <f>IF(TOTALCO!C322="", "",TOTALCO!C322)</f>
        <v>DIR456FAC</v>
      </c>
      <c r="D1198" s="14">
        <f>IF(TOTALCO!D322="", "",TOTALCO!D322)</f>
        <v>1</v>
      </c>
      <c r="E1198" s="14" t="str">
        <f>IF(TOTALCO!E322="", "",TOTALCO!E322)</f>
        <v/>
      </c>
      <c r="F1198" s="14">
        <f>IF(TOTALCO!F322="", "",TOTALCO!F322)</f>
        <v>0.95805160609989548</v>
      </c>
      <c r="G1198" s="14" t="str">
        <f>IF(TOTALCO!G322="", "",TOTALCO!G322)</f>
        <v/>
      </c>
      <c r="H1198" s="14">
        <f>IF(TOTALCO!H322="", "",TOTALCO!H322)</f>
        <v>4.1948393900104561E-2</v>
      </c>
      <c r="I1198" s="14">
        <f>IF(TOTALCO!I322="", "",TOTALCO!I322)</f>
        <v>0</v>
      </c>
      <c r="J1198" s="14" t="str">
        <f>IF(TOTALCO!J322="", "",TOTALCO!J322)</f>
        <v/>
      </c>
      <c r="K1198" s="14" t="str">
        <f>IF(TOTALCO!K322="", "",TOTALCO!K322)</f>
        <v/>
      </c>
      <c r="L1198" s="14">
        <f>IF(TOTALCO!L322="", "",TOTALCO!L322)</f>
        <v>0</v>
      </c>
      <c r="M1198" s="14" t="str">
        <f>IF(TOTALCO!M322="", "",TOTALCO!M322)</f>
        <v/>
      </c>
      <c r="N1198" s="14">
        <f>IF(TOTALCO!N322="", "",TOTALCO!N322)</f>
        <v>0</v>
      </c>
      <c r="O1198" s="14">
        <f>IF(TOTALCO!O322="", "",TOTALCO!O322)</f>
        <v>0</v>
      </c>
      <c r="P1198" s="14">
        <f>IF(TOTALCO!P322="", "",TOTALCO!P322)</f>
        <v>0</v>
      </c>
      <c r="Q1198" s="14"/>
    </row>
    <row r="1199" spans="1:17" ht="15" x14ac:dyDescent="0.2">
      <c r="A1199" s="321">
        <f>IF(TOTALCO!A323="", "",TOTALCO!A323)</f>
        <v>44</v>
      </c>
      <c r="B1199" s="4" t="str">
        <f>IF(TOTALCO!B323="", "",TOTALCO!B323)</f>
        <v>DIR ASSIGN OTHER MISC REV.</v>
      </c>
      <c r="C1199" s="4" t="str">
        <f>IF(TOTALCO!C323="", "",TOTALCO!C323)</f>
        <v>DIR456OTH</v>
      </c>
      <c r="D1199" s="14">
        <f>IF(TOTALCO!D323="", "",TOTALCO!D323)</f>
        <v>1</v>
      </c>
      <c r="E1199" s="14" t="str">
        <f>IF(TOTALCO!E323="", "",TOTALCO!E323)</f>
        <v/>
      </c>
      <c r="F1199" s="14">
        <f>IF(TOTALCO!F323="", "",TOTALCO!F323)</f>
        <v>1</v>
      </c>
      <c r="G1199" s="14" t="str">
        <f>IF(TOTALCO!G323="", "",TOTALCO!G323)</f>
        <v/>
      </c>
      <c r="H1199" s="14">
        <f>IF(TOTALCO!H323="", "",TOTALCO!H323)</f>
        <v>0</v>
      </c>
      <c r="I1199" s="14">
        <f>IF(TOTALCO!I323="", "",TOTALCO!I323)</f>
        <v>0</v>
      </c>
      <c r="J1199" s="14" t="str">
        <f>IF(TOTALCO!J323="", "",TOTALCO!J323)</f>
        <v/>
      </c>
      <c r="K1199" s="14" t="str">
        <f>IF(TOTALCO!K323="", "",TOTALCO!K323)</f>
        <v/>
      </c>
      <c r="L1199" s="14">
        <f>IF(TOTALCO!L323="", "",TOTALCO!L323)</f>
        <v>0</v>
      </c>
      <c r="M1199" s="14" t="str">
        <f>IF(TOTALCO!M323="", "",TOTALCO!M323)</f>
        <v/>
      </c>
      <c r="N1199" s="14">
        <f>IF(TOTALCO!N323="", "",TOTALCO!N323)</f>
        <v>0</v>
      </c>
      <c r="O1199" s="14">
        <f>IF(TOTALCO!O323="", "",TOTALCO!O323)</f>
        <v>0</v>
      </c>
      <c r="P1199" s="14">
        <f>IF(TOTALCO!P323="", "",TOTALCO!P323)</f>
        <v>0</v>
      </c>
      <c r="Q1199" s="14"/>
    </row>
    <row r="1200" spans="1:17" ht="15" x14ac:dyDescent="0.2">
      <c r="A1200" s="321">
        <f>IF(TOTALCO!A324="", "",TOTALCO!A324)</f>
        <v>45</v>
      </c>
      <c r="B1200" s="4" t="str">
        <f>IF(TOTALCO!B324="", "",TOTALCO!B324)</f>
        <v>DIR ASSIGN RECONNECT REV.</v>
      </c>
      <c r="C1200" s="4" t="str">
        <f>IF(TOTALCO!C324="", "",TOTALCO!C324)</f>
        <v>DIR451REC</v>
      </c>
      <c r="D1200" s="14">
        <f>IF(TOTALCO!D324="", "",TOTALCO!D324)</f>
        <v>1</v>
      </c>
      <c r="E1200" s="14" t="str">
        <f>IF(TOTALCO!E324="", "",TOTALCO!E324)</f>
        <v/>
      </c>
      <c r="F1200" s="14">
        <f>IF(TOTALCO!F324="", "",TOTALCO!F324)</f>
        <v>0.93650246697316952</v>
      </c>
      <c r="G1200" s="14" t="str">
        <f>IF(TOTALCO!G324="", "",TOTALCO!G324)</f>
        <v/>
      </c>
      <c r="H1200" s="14">
        <f>IF(TOTALCO!H324="", "",TOTALCO!H324)</f>
        <v>6.3497533026830449E-2</v>
      </c>
      <c r="I1200" s="14">
        <f>IF(TOTALCO!I324="", "",TOTALCO!I324)</f>
        <v>0</v>
      </c>
      <c r="J1200" s="14" t="str">
        <f>IF(TOTALCO!J324="", "",TOTALCO!J324)</f>
        <v/>
      </c>
      <c r="K1200" s="14" t="str">
        <f>IF(TOTALCO!K324="", "",TOTALCO!K324)</f>
        <v/>
      </c>
      <c r="L1200" s="14">
        <f>IF(TOTALCO!L324="", "",TOTALCO!L324)</f>
        <v>0</v>
      </c>
      <c r="M1200" s="14" t="str">
        <f>IF(TOTALCO!M324="", "",TOTALCO!M324)</f>
        <v/>
      </c>
      <c r="N1200" s="14">
        <f>IF(TOTALCO!N324="", "",TOTALCO!N324)</f>
        <v>0</v>
      </c>
      <c r="O1200" s="14">
        <f>IF(TOTALCO!O324="", "",TOTALCO!O324)</f>
        <v>0</v>
      </c>
      <c r="P1200" s="14">
        <f>IF(TOTALCO!P324="", "",TOTALCO!P324)</f>
        <v>0</v>
      </c>
      <c r="Q1200" s="14"/>
    </row>
    <row r="1201" spans="1:17" ht="15" x14ac:dyDescent="0.2">
      <c r="A1201" s="321">
        <f>IF(TOTALCO!A325="", "",TOTALCO!A325)</f>
        <v>46</v>
      </c>
      <c r="B1201" s="4" t="str">
        <f>IF(TOTALCO!B325="", "",TOTALCO!B325)</f>
        <v>DIR ASSIGN OTHER SERVICE REV.</v>
      </c>
      <c r="C1201" s="4" t="str">
        <f>IF(TOTALCO!C325="", "",TOTALCO!C325)</f>
        <v>DIR451OTH</v>
      </c>
      <c r="D1201" s="14">
        <f>IF(TOTALCO!D325="", "",TOTALCO!D325)</f>
        <v>1</v>
      </c>
      <c r="E1201" s="14" t="str">
        <f>IF(TOTALCO!E325="", "",TOTALCO!E325)</f>
        <v/>
      </c>
      <c r="F1201" s="14">
        <f>IF(TOTALCO!F325="", "",TOTALCO!F325)</f>
        <v>0.99239381895271817</v>
      </c>
      <c r="G1201" s="14" t="str">
        <f>IF(TOTALCO!G325="", "",TOTALCO!G325)</f>
        <v/>
      </c>
      <c r="H1201" s="14">
        <f>IF(TOTALCO!H325="", "",TOTALCO!H325)</f>
        <v>7.6061810472818408E-3</v>
      </c>
      <c r="I1201" s="14">
        <f>IF(TOTALCO!I325="", "",TOTALCO!I325)</f>
        <v>0</v>
      </c>
      <c r="J1201" s="14" t="str">
        <f>IF(TOTALCO!J325="", "",TOTALCO!J325)</f>
        <v/>
      </c>
      <c r="K1201" s="14" t="str">
        <f>IF(TOTALCO!K325="", "",TOTALCO!K325)</f>
        <v/>
      </c>
      <c r="L1201" s="14">
        <f>IF(TOTALCO!L325="", "",TOTALCO!L325)</f>
        <v>0</v>
      </c>
      <c r="M1201" s="14" t="str">
        <f>IF(TOTALCO!M325="", "",TOTALCO!M325)</f>
        <v/>
      </c>
      <c r="N1201" s="14">
        <f>IF(TOTALCO!N325="", "",TOTALCO!N325)</f>
        <v>0</v>
      </c>
      <c r="O1201" s="14">
        <f>IF(TOTALCO!O325="", "",TOTALCO!O325)</f>
        <v>0</v>
      </c>
      <c r="P1201" s="14">
        <f>IF(TOTALCO!P325="", "",TOTALCO!P325)</f>
        <v>0</v>
      </c>
      <c r="Q1201" s="14"/>
    </row>
    <row r="1202" spans="1:17" ht="15" x14ac:dyDescent="0.2">
      <c r="A1202" s="321">
        <f>IF(TOTALCO!A326="", "",TOTALCO!A326)</f>
        <v>47</v>
      </c>
      <c r="B1202" s="4" t="str">
        <f>IF(TOTALCO!B326="", "",TOTALCO!B326)</f>
        <v>DIR ASSIGN RETURN CHECK REV.</v>
      </c>
      <c r="C1202" s="4" t="str">
        <f>IF(TOTALCO!C326="", "",TOTALCO!C326)</f>
        <v>DIR456CHK</v>
      </c>
      <c r="D1202" s="14">
        <f>IF(TOTALCO!D326="", "",TOTALCO!D326)</f>
        <v>1</v>
      </c>
      <c r="E1202" s="14" t="str">
        <f>IF(TOTALCO!E326="", "",TOTALCO!E326)</f>
        <v/>
      </c>
      <c r="F1202" s="14">
        <f>IF(TOTALCO!F326="", "",TOTALCO!F326)</f>
        <v>1</v>
      </c>
      <c r="G1202" s="14" t="str">
        <f>IF(TOTALCO!G326="", "",TOTALCO!G326)</f>
        <v/>
      </c>
      <c r="H1202" s="14">
        <f>IF(TOTALCO!H326="", "",TOTALCO!H326)</f>
        <v>0</v>
      </c>
      <c r="I1202" s="14">
        <f>IF(TOTALCO!I326="", "",TOTALCO!I326)</f>
        <v>0</v>
      </c>
      <c r="J1202" s="14" t="str">
        <f>IF(TOTALCO!J326="", "",TOTALCO!J326)</f>
        <v/>
      </c>
      <c r="K1202" s="14" t="str">
        <f>IF(TOTALCO!K326="", "",TOTALCO!K326)</f>
        <v/>
      </c>
      <c r="L1202" s="14">
        <f>IF(TOTALCO!L326="", "",TOTALCO!L326)</f>
        <v>0</v>
      </c>
      <c r="M1202" s="14" t="str">
        <f>IF(TOTALCO!M326="", "",TOTALCO!M326)</f>
        <v/>
      </c>
      <c r="N1202" s="14">
        <f>IF(TOTALCO!N326="", "",TOTALCO!N326)</f>
        <v>0</v>
      </c>
      <c r="O1202" s="14">
        <f>IF(TOTALCO!O326="", "",TOTALCO!O326)</f>
        <v>0</v>
      </c>
      <c r="P1202" s="14">
        <f>IF(TOTALCO!P326="", "",TOTALCO!P326)</f>
        <v>0</v>
      </c>
      <c r="Q1202" s="14"/>
    </row>
    <row r="1203" spans="1:17" ht="15" x14ac:dyDescent="0.2">
      <c r="A1203" s="321">
        <f>IF(TOTALCO!A327="", "",TOTALCO!A327)</f>
        <v>48</v>
      </c>
      <c r="B1203" s="4" t="str">
        <f>IF(TOTALCO!B327="", "",TOTALCO!B327)</f>
        <v>DIR ASSIGN 203(E) EXCESS</v>
      </c>
      <c r="C1203" s="4" t="str">
        <f>IF(TOTALCO!C327="", "",TOTALCO!C327)</f>
        <v>DIR203E</v>
      </c>
      <c r="D1203" s="14">
        <f>IF(TOTALCO!D327="", "",TOTALCO!D327)</f>
        <v>1</v>
      </c>
      <c r="E1203" s="14" t="str">
        <f>IF(TOTALCO!E327="", "",TOTALCO!E327)</f>
        <v/>
      </c>
      <c r="F1203" s="14">
        <f>IF(TOTALCO!F327="", "",TOTALCO!F327)</f>
        <v>0</v>
      </c>
      <c r="G1203" s="14" t="str">
        <f>IF(TOTALCO!G327="", "",TOTALCO!G327)</f>
        <v/>
      </c>
      <c r="H1203" s="14">
        <f>IF(TOTALCO!H327="", "",TOTALCO!H327)</f>
        <v>1</v>
      </c>
      <c r="I1203" s="14">
        <f>IF(TOTALCO!I327="", "",TOTALCO!I327)</f>
        <v>0</v>
      </c>
      <c r="J1203" s="14" t="str">
        <f>IF(TOTALCO!J327="", "",TOTALCO!J327)</f>
        <v/>
      </c>
      <c r="K1203" s="14" t="str">
        <f>IF(TOTALCO!K327="", "",TOTALCO!K327)</f>
        <v/>
      </c>
      <c r="L1203" s="14">
        <f>IF(TOTALCO!L327="", "",TOTALCO!L327)</f>
        <v>0</v>
      </c>
      <c r="M1203" s="14" t="str">
        <f>IF(TOTALCO!M327="", "",TOTALCO!M327)</f>
        <v/>
      </c>
      <c r="N1203" s="14">
        <f>IF(TOTALCO!N327="", "",TOTALCO!N327)</f>
        <v>0</v>
      </c>
      <c r="O1203" s="14">
        <f>IF(TOTALCO!O327="", "",TOTALCO!O327)</f>
        <v>0</v>
      </c>
      <c r="P1203" s="14">
        <f>IF(TOTALCO!P327="", "",TOTALCO!P327)</f>
        <v>0</v>
      </c>
      <c r="Q1203" s="14"/>
    </row>
    <row r="1204" spans="1:17" ht="15" x14ac:dyDescent="0.2">
      <c r="A1204" s="321">
        <f>IF(TOTALCO!A328="", "",TOTALCO!A328)</f>
        <v>49</v>
      </c>
      <c r="B1204" s="4" t="str">
        <f>IF(TOTALCO!B328="", "",TOTALCO!B328)</f>
        <v>DIR ASSIGN ITC ADJ</v>
      </c>
      <c r="C1204" s="4" t="str">
        <f>IF(TOTALCO!C328="", "",TOTALCO!C328)</f>
        <v>DIRITCADJ</v>
      </c>
      <c r="D1204" s="14">
        <f>IF(TOTALCO!D328="", "",TOTALCO!D328)</f>
        <v>0</v>
      </c>
      <c r="E1204" s="14" t="str">
        <f>IF(TOTALCO!E328="", "",TOTALCO!E328)</f>
        <v/>
      </c>
      <c r="F1204" s="14">
        <f>IF(TOTALCO!F328="", "",TOTALCO!F328)</f>
        <v>0</v>
      </c>
      <c r="G1204" s="14" t="str">
        <f>IF(TOTALCO!G328="", "",TOTALCO!G328)</f>
        <v/>
      </c>
      <c r="H1204" s="14">
        <f>IF(TOTALCO!H328="", "",TOTALCO!H328)</f>
        <v>0</v>
      </c>
      <c r="I1204" s="14">
        <f>IF(TOTALCO!I328="", "",TOTALCO!I328)</f>
        <v>0</v>
      </c>
      <c r="J1204" s="14" t="str">
        <f>IF(TOTALCO!J328="", "",TOTALCO!J328)</f>
        <v/>
      </c>
      <c r="K1204" s="14" t="str">
        <f>IF(TOTALCO!K328="", "",TOTALCO!K328)</f>
        <v/>
      </c>
      <c r="L1204" s="14">
        <f>IF(TOTALCO!L328="", "",TOTALCO!L328)</f>
        <v>0</v>
      </c>
      <c r="M1204" s="14" t="str">
        <f>IF(TOTALCO!M328="", "",TOTALCO!M328)</f>
        <v/>
      </c>
      <c r="N1204" s="14">
        <f>IF(TOTALCO!N328="", "",TOTALCO!N328)</f>
        <v>0</v>
      </c>
      <c r="O1204" s="14">
        <f>IF(TOTALCO!O328="", "",TOTALCO!O328)</f>
        <v>0</v>
      </c>
      <c r="P1204" s="14">
        <f>IF(TOTALCO!P328="", "",TOTALCO!P328)</f>
        <v>0</v>
      </c>
      <c r="Q1204" s="14"/>
    </row>
    <row r="1205" spans="1:17" ht="15" x14ac:dyDescent="0.2">
      <c r="A1205" s="321">
        <f>IF(TOTALCO!A329="", "",TOTALCO!A329)</f>
        <v>50</v>
      </c>
      <c r="B1205" s="4" t="str">
        <f>IF(TOTALCO!B329="", "",TOTALCO!B329)</f>
        <v>DIR ASSIGN DEFERRED FUEL-VIRGINIA</v>
      </c>
      <c r="C1205" s="4" t="str">
        <f>IF(TOTALCO!C329="", "",TOTALCO!C329)</f>
        <v>DFUELVA</v>
      </c>
      <c r="D1205" s="14">
        <f>IF(TOTALCO!D329="", "",TOTALCO!D329)</f>
        <v>1</v>
      </c>
      <c r="E1205" s="14" t="str">
        <f>IF(TOTALCO!E329="", "",TOTALCO!E329)</f>
        <v/>
      </c>
      <c r="F1205" s="14">
        <f>IF(TOTALCO!F329="", "",TOTALCO!F329)</f>
        <v>0</v>
      </c>
      <c r="G1205" s="14" t="str">
        <f>IF(TOTALCO!G329="", "",TOTALCO!G329)</f>
        <v/>
      </c>
      <c r="H1205" s="14">
        <f>IF(TOTALCO!H329="", "",TOTALCO!H329)</f>
        <v>1</v>
      </c>
      <c r="I1205" s="14">
        <f>IF(TOTALCO!I329="", "",TOTALCO!I329)</f>
        <v>0</v>
      </c>
      <c r="J1205" s="14" t="str">
        <f>IF(TOTALCO!J329="", "",TOTALCO!J329)</f>
        <v/>
      </c>
      <c r="K1205" s="14" t="str">
        <f>IF(TOTALCO!K329="", "",TOTALCO!K329)</f>
        <v/>
      </c>
      <c r="L1205" s="14">
        <f>IF(TOTALCO!L329="", "",TOTALCO!L329)</f>
        <v>0</v>
      </c>
      <c r="M1205" s="14" t="str">
        <f>IF(TOTALCO!M329="", "",TOTALCO!M329)</f>
        <v/>
      </c>
      <c r="N1205" s="14">
        <f>IF(TOTALCO!N329="", "",TOTALCO!N329)</f>
        <v>0</v>
      </c>
      <c r="O1205" s="14">
        <f>IF(TOTALCO!O329="", "",TOTALCO!O329)</f>
        <v>0</v>
      </c>
      <c r="P1205" s="14">
        <f>IF(TOTALCO!P329="", "",TOTALCO!P329)</f>
        <v>0</v>
      </c>
      <c r="Q1205" s="14"/>
    </row>
    <row r="1206" spans="1:17" ht="15" x14ac:dyDescent="0.2">
      <c r="A1206" s="321" t="str">
        <f>IF(TOTALCO!A330="", "",TOTALCO!A330)</f>
        <v/>
      </c>
      <c r="B1206" s="4" t="str">
        <f>IF(TOTALCO!B330="", "",TOTALCO!B330)</f>
        <v/>
      </c>
      <c r="C1206" s="4" t="str">
        <f>IF(TOTALCO!C330="", "",TOTALCO!C330)</f>
        <v/>
      </c>
      <c r="D1206" s="14" t="str">
        <f>IF(TOTALCO!D330="", "",TOTALCO!D330)</f>
        <v/>
      </c>
      <c r="E1206" s="14" t="str">
        <f>IF(TOTALCO!E330="", "",TOTALCO!E330)</f>
        <v/>
      </c>
      <c r="F1206" s="14" t="str">
        <f>IF(TOTALCO!F330="", "",TOTALCO!F330)</f>
        <v/>
      </c>
      <c r="G1206" s="14" t="str">
        <f>IF(TOTALCO!G330="", "",TOTALCO!G330)</f>
        <v/>
      </c>
      <c r="H1206" s="14" t="str">
        <f>IF(TOTALCO!H330="", "",TOTALCO!H330)</f>
        <v/>
      </c>
      <c r="I1206" s="14" t="str">
        <f>IF(TOTALCO!I330="", "",TOTALCO!I330)</f>
        <v/>
      </c>
      <c r="J1206" s="14" t="str">
        <f>IF(TOTALCO!J330="", "",TOTALCO!J330)</f>
        <v/>
      </c>
      <c r="K1206" s="14" t="str">
        <f>IF(TOTALCO!K330="", "",TOTALCO!K330)</f>
        <v/>
      </c>
      <c r="L1206" s="14" t="str">
        <f>IF(TOTALCO!L330="", "",TOTALCO!L330)</f>
        <v/>
      </c>
      <c r="M1206" s="14" t="str">
        <f>IF(TOTALCO!M330="", "",TOTALCO!M330)</f>
        <v/>
      </c>
      <c r="N1206" s="14" t="str">
        <f>IF(TOTALCO!N330="", "",TOTALCO!N330)</f>
        <v/>
      </c>
      <c r="O1206" s="14" t="str">
        <f>IF(TOTALCO!O330="", "",TOTALCO!O330)</f>
        <v/>
      </c>
      <c r="P1206" s="14" t="str">
        <f>IF(TOTALCO!P330="", "",TOTALCO!P330)</f>
        <v/>
      </c>
      <c r="Q1206" s="14"/>
    </row>
    <row r="1207" spans="1:17" ht="15" x14ac:dyDescent="0.2">
      <c r="A1207" s="321" t="str">
        <f>IF(TOTALCO!A331="", "",TOTALCO!A331)</f>
        <v/>
      </c>
      <c r="B1207" s="4" t="str">
        <f>IF(TOTALCO!B331="", "",TOTALCO!B331)</f>
        <v/>
      </c>
      <c r="C1207" s="4" t="str">
        <f>IF(TOTALCO!C331="", "",TOTALCO!C331)</f>
        <v/>
      </c>
      <c r="D1207" s="14" t="str">
        <f>IF(TOTALCO!D331="", "",TOTALCO!D331)</f>
        <v/>
      </c>
      <c r="E1207" s="14" t="str">
        <f>IF(TOTALCO!E331="", "",TOTALCO!E331)</f>
        <v/>
      </c>
      <c r="F1207" s="14" t="str">
        <f>IF(TOTALCO!F331="", "",TOTALCO!F331)</f>
        <v/>
      </c>
      <c r="G1207" s="14" t="str">
        <f>IF(TOTALCO!G331="", "",TOTALCO!G331)</f>
        <v/>
      </c>
      <c r="H1207" s="14" t="str">
        <f>IF(TOTALCO!H331="", "",TOTALCO!H331)</f>
        <v/>
      </c>
      <c r="I1207" s="14" t="str">
        <f>IF(TOTALCO!I331="", "",TOTALCO!I331)</f>
        <v/>
      </c>
      <c r="J1207" s="14" t="str">
        <f>IF(TOTALCO!J331="", "",TOTALCO!J331)</f>
        <v/>
      </c>
      <c r="K1207" s="14" t="str">
        <f>IF(TOTALCO!K331="", "",TOTALCO!K331)</f>
        <v/>
      </c>
      <c r="L1207" s="14" t="str">
        <f>IF(TOTALCO!L331="", "",TOTALCO!L331)</f>
        <v/>
      </c>
      <c r="M1207" s="14" t="str">
        <f>IF(TOTALCO!M331="", "",TOTALCO!M331)</f>
        <v/>
      </c>
      <c r="N1207" s="14" t="str">
        <f>IF(TOTALCO!N331="", "",TOTALCO!N331)</f>
        <v/>
      </c>
      <c r="O1207" s="14" t="str">
        <f>IF(TOTALCO!O331="", "",TOTALCO!O331)</f>
        <v/>
      </c>
      <c r="P1207" s="14" t="str">
        <f>IF(TOTALCO!P331="", "",TOTALCO!P331)</f>
        <v/>
      </c>
      <c r="Q1207" s="14"/>
    </row>
    <row r="1208" spans="1:17" ht="15" x14ac:dyDescent="0.2">
      <c r="A1208" s="321" t="str">
        <f>IF(TOTALCO!A332="", "",TOTALCO!A332)</f>
        <v/>
      </c>
      <c r="B1208" s="4" t="str">
        <f>IF(TOTALCO!B332="", "",TOTALCO!B332)</f>
        <v>ENERGY</v>
      </c>
      <c r="C1208" s="4" t="str">
        <f>IF(TOTALCO!C332="", "",TOTALCO!C332)</f>
        <v/>
      </c>
      <c r="D1208" s="14" t="str">
        <f>IF(TOTALCO!D332="", "",TOTALCO!D332)</f>
        <v/>
      </c>
      <c r="E1208" s="14" t="str">
        <f>IF(TOTALCO!E332="", "",TOTALCO!E332)</f>
        <v/>
      </c>
      <c r="F1208" s="14" t="str">
        <f>IF(TOTALCO!F332="", "",TOTALCO!F332)</f>
        <v/>
      </c>
      <c r="G1208" s="14" t="str">
        <f>IF(TOTALCO!G332="", "",TOTALCO!G332)</f>
        <v/>
      </c>
      <c r="H1208" s="14" t="str">
        <f>IF(TOTALCO!H332="", "",TOTALCO!H332)</f>
        <v/>
      </c>
      <c r="I1208" s="14" t="str">
        <f>IF(TOTALCO!I332="", "",TOTALCO!I332)</f>
        <v/>
      </c>
      <c r="J1208" s="14" t="str">
        <f>IF(TOTALCO!J332="", "",TOTALCO!J332)</f>
        <v/>
      </c>
      <c r="K1208" s="14" t="str">
        <f>IF(TOTALCO!K332="", "",TOTALCO!K332)</f>
        <v/>
      </c>
      <c r="L1208" s="14" t="str">
        <f>IF(TOTALCO!L332="", "",TOTALCO!L332)</f>
        <v/>
      </c>
      <c r="M1208" s="14" t="str">
        <f>IF(TOTALCO!M332="", "",TOTALCO!M332)</f>
        <v/>
      </c>
      <c r="N1208" s="14" t="str">
        <f>IF(TOTALCO!N332="", "",TOTALCO!N332)</f>
        <v/>
      </c>
      <c r="O1208" s="14" t="str">
        <f>IF(TOTALCO!O332="", "",TOTALCO!O332)</f>
        <v/>
      </c>
      <c r="P1208" s="14" t="str">
        <f>IF(TOTALCO!P332="", "",TOTALCO!P332)</f>
        <v/>
      </c>
      <c r="Q1208" s="14"/>
    </row>
    <row r="1209" spans="1:17" ht="15" x14ac:dyDescent="0.2">
      <c r="A1209" s="321" t="str">
        <f>IF(TOTALCO!A333="", "",TOTALCO!A333)</f>
        <v/>
      </c>
      <c r="B1209" s="4" t="str">
        <f>IF(TOTALCO!B333="", "",TOTALCO!B333)</f>
        <v>-</v>
      </c>
      <c r="C1209" s="4" t="str">
        <f>IF(TOTALCO!C333="", "",TOTALCO!C333)</f>
        <v/>
      </c>
      <c r="D1209" s="14" t="str">
        <f>IF(TOTALCO!D333="", "",TOTALCO!D333)</f>
        <v/>
      </c>
      <c r="E1209" s="14" t="str">
        <f>IF(TOTALCO!E333="", "",TOTALCO!E333)</f>
        <v/>
      </c>
      <c r="F1209" s="14" t="str">
        <f>IF(TOTALCO!F333="", "",TOTALCO!F333)</f>
        <v/>
      </c>
      <c r="G1209" s="14" t="str">
        <f>IF(TOTALCO!G333="", "",TOTALCO!G333)</f>
        <v/>
      </c>
      <c r="H1209" s="14" t="str">
        <f>IF(TOTALCO!H333="", "",TOTALCO!H333)</f>
        <v/>
      </c>
      <c r="I1209" s="14" t="str">
        <f>IF(TOTALCO!I333="", "",TOTALCO!I333)</f>
        <v/>
      </c>
      <c r="J1209" s="14" t="str">
        <f>IF(TOTALCO!J333="", "",TOTALCO!J333)</f>
        <v/>
      </c>
      <c r="K1209" s="14" t="str">
        <f>IF(TOTALCO!K333="", "",TOTALCO!K333)</f>
        <v/>
      </c>
      <c r="L1209" s="14" t="str">
        <f>IF(TOTALCO!L333="", "",TOTALCO!L333)</f>
        <v/>
      </c>
      <c r="M1209" s="14" t="str">
        <f>IF(TOTALCO!M333="", "",TOTALCO!M333)</f>
        <v/>
      </c>
      <c r="N1209" s="14" t="str">
        <f>IF(TOTALCO!N333="", "",TOTALCO!N333)</f>
        <v/>
      </c>
      <c r="O1209" s="14" t="str">
        <f>IF(TOTALCO!O333="", "",TOTALCO!O333)</f>
        <v/>
      </c>
      <c r="P1209" s="14" t="str">
        <f>IF(TOTALCO!P333="", "",TOTALCO!P333)</f>
        <v/>
      </c>
      <c r="Q1209" s="14"/>
    </row>
    <row r="1210" spans="1:17" ht="15" x14ac:dyDescent="0.2">
      <c r="A1210" s="321">
        <f>IF(TOTALCO!A334="", "",TOTALCO!A334)</f>
        <v>1</v>
      </c>
      <c r="B1210" s="4" t="str">
        <f>IF(TOTALCO!B334="", "",TOTALCO!B334)</f>
        <v>ENERGY (MWH AT GEN LEVEL)</v>
      </c>
      <c r="C1210" s="4" t="str">
        <f>IF(TOTALCO!C334="", "",TOTALCO!C334)</f>
        <v>ENERGY</v>
      </c>
      <c r="D1210" s="14">
        <f>IF(TOTALCO!D334="", "",TOTALCO!D334)</f>
        <v>1</v>
      </c>
      <c r="E1210" s="14" t="str">
        <f>IF(TOTALCO!E334="", "",TOTALCO!E334)</f>
        <v/>
      </c>
      <c r="F1210" s="14">
        <f>IF(TOTALCO!F334="", "",TOTALCO!F334)</f>
        <v>0.9410091595713157</v>
      </c>
      <c r="G1210" s="14" t="str">
        <f>IF(TOTALCO!G334="", "",TOTALCO!G334)</f>
        <v/>
      </c>
      <c r="H1210" s="14">
        <f>IF(TOTALCO!H334="", "",TOTALCO!H334)</f>
        <v>3.8388881819017104E-2</v>
      </c>
      <c r="I1210" s="14">
        <f>IF(TOTALCO!I334="", "",TOTALCO!I334)</f>
        <v>2.0601958609667261E-2</v>
      </c>
      <c r="J1210" s="14" t="str">
        <f>IF(TOTALCO!J334="", "",TOTALCO!J334)</f>
        <v/>
      </c>
      <c r="K1210" s="14" t="str">
        <f>IF(TOTALCO!K334="", "",TOTALCO!K334)</f>
        <v/>
      </c>
      <c r="L1210" s="14">
        <f>IF(TOTALCO!L334="", "",TOTALCO!L334)</f>
        <v>4.2114427545893434E-6</v>
      </c>
      <c r="M1210" s="14" t="str">
        <f>IF(TOTALCO!M334="", "",TOTALCO!M334)</f>
        <v/>
      </c>
      <c r="N1210" s="14">
        <f>IF(TOTALCO!N334="", "",TOTALCO!N334)</f>
        <v>2.0597747166912671E-2</v>
      </c>
      <c r="O1210" s="14">
        <f>IF(TOTALCO!O334="", "",TOTALCO!O334)</f>
        <v>1.0430856900639138E-2</v>
      </c>
      <c r="P1210" s="14">
        <f>IF(TOTALCO!P334="", "",TOTALCO!P334)</f>
        <v>1.0166890266273531E-2</v>
      </c>
      <c r="Q1210" s="14"/>
    </row>
    <row r="1211" spans="1:17" ht="15" x14ac:dyDescent="0.2">
      <c r="A1211" s="321">
        <f>IF(TOTALCO!A335="", "",TOTALCO!A335)</f>
        <v>2</v>
      </c>
      <c r="B1211" s="4" t="str">
        <f>IF(TOTALCO!B335="", "",TOTALCO!B335)</f>
        <v>ENERGY (MWH RETAIL @ GEN LEVEL)</v>
      </c>
      <c r="C1211" s="4" t="str">
        <f>IF(TOTALCO!C335="", "",TOTALCO!C335)</f>
        <v>ENERGY1</v>
      </c>
      <c r="D1211" s="14">
        <f>IF(TOTALCO!D335="", "",TOTALCO!D335)</f>
        <v>1.0000000000000002</v>
      </c>
      <c r="E1211" s="14" t="str">
        <f>IF(TOTALCO!E335="", "",TOTALCO!E335)</f>
        <v/>
      </c>
      <c r="F1211" s="14">
        <f>IF(TOTALCO!F335="", "",TOTALCO!F335)</f>
        <v>0.96079946400908001</v>
      </c>
      <c r="G1211" s="14" t="str">
        <f>IF(TOTALCO!G335="", "",TOTALCO!G335)</f>
        <v/>
      </c>
      <c r="H1211" s="14">
        <f>IF(TOTALCO!H335="", "",TOTALCO!H335)</f>
        <v>3.9196235977577897E-2</v>
      </c>
      <c r="I1211" s="14">
        <f>IF(TOTALCO!I335="", "",TOTALCO!I335)</f>
        <v>4.3000133422268835E-6</v>
      </c>
      <c r="J1211" s="14" t="str">
        <f>IF(TOTALCO!J335="", "",TOTALCO!J335)</f>
        <v/>
      </c>
      <c r="K1211" s="14" t="str">
        <f>IF(TOTALCO!K335="", "",TOTALCO!K335)</f>
        <v/>
      </c>
      <c r="L1211" s="14">
        <f>IF(TOTALCO!L335="", "",TOTALCO!L335)</f>
        <v>4.3000133422268835E-6</v>
      </c>
      <c r="M1211" s="14" t="str">
        <f>IF(TOTALCO!M335="", "",TOTALCO!M335)</f>
        <v/>
      </c>
      <c r="N1211" s="14">
        <f>IF(TOTALCO!N335="", "",TOTALCO!N335)</f>
        <v>0</v>
      </c>
      <c r="O1211" s="14">
        <f>IF(TOTALCO!O335="", "",TOTALCO!O335)</f>
        <v>0</v>
      </c>
      <c r="P1211" s="14">
        <f>IF(TOTALCO!P335="", "",TOTALCO!P335)</f>
        <v>0</v>
      </c>
      <c r="Q1211" s="14"/>
    </row>
    <row r="1212" spans="1:17" ht="15" x14ac:dyDescent="0.2">
      <c r="A1212" s="321">
        <f>IF(TOTALCO!A336="", "",TOTALCO!A336)</f>
        <v>3</v>
      </c>
      <c r="B1212" s="4" t="str">
        <f>IF(TOTALCO!B336="", "",TOTALCO!B336)</f>
        <v/>
      </c>
      <c r="C1212" s="4" t="str">
        <f>IF(TOTALCO!C336="", "",TOTALCO!C336)</f>
        <v/>
      </c>
      <c r="D1212" s="14" t="str">
        <f>IF(TOTALCO!D336="", "",TOTALCO!D336)</f>
        <v/>
      </c>
      <c r="E1212" s="14" t="str">
        <f>IF(TOTALCO!E336="", "",TOTALCO!E336)</f>
        <v/>
      </c>
      <c r="F1212" s="14" t="str">
        <f>IF(TOTALCO!F336="", "",TOTALCO!F336)</f>
        <v/>
      </c>
      <c r="G1212" s="14" t="str">
        <f>IF(TOTALCO!G336="", "",TOTALCO!G336)</f>
        <v/>
      </c>
      <c r="H1212" s="14" t="str">
        <f>IF(TOTALCO!H336="", "",TOTALCO!H336)</f>
        <v/>
      </c>
      <c r="I1212" s="14" t="str">
        <f>IF(TOTALCO!I336="", "",TOTALCO!I336)</f>
        <v/>
      </c>
      <c r="J1212" s="14" t="str">
        <f>IF(TOTALCO!J336="", "",TOTALCO!J336)</f>
        <v/>
      </c>
      <c r="K1212" s="14" t="str">
        <f>IF(TOTALCO!K336="", "",TOTALCO!K336)</f>
        <v/>
      </c>
      <c r="L1212" s="14" t="str">
        <f>IF(TOTALCO!L336="", "",TOTALCO!L336)</f>
        <v/>
      </c>
      <c r="M1212" s="14" t="str">
        <f>IF(TOTALCO!M336="", "",TOTALCO!M336)</f>
        <v/>
      </c>
      <c r="N1212" s="14" t="str">
        <f>IF(TOTALCO!N336="", "",TOTALCO!N336)</f>
        <v/>
      </c>
      <c r="O1212" s="14" t="str">
        <f>IF(TOTALCO!O336="", "",TOTALCO!O336)</f>
        <v/>
      </c>
      <c r="P1212" s="14" t="str">
        <f>IF(TOTALCO!P336="", "",TOTALCO!P336)</f>
        <v/>
      </c>
      <c r="Q1212" s="14"/>
    </row>
    <row r="1213" spans="1:17" ht="15" x14ac:dyDescent="0.2">
      <c r="A1213" s="321">
        <f>IF(TOTALCO!A337="", "",TOTALCO!A337)</f>
        <v>4</v>
      </c>
      <c r="B1213" s="4" t="str">
        <f>IF(TOTALCO!B337="", "",TOTALCO!B337)</f>
        <v/>
      </c>
      <c r="C1213" s="4" t="str">
        <f>IF(TOTALCO!C337="", "",TOTALCO!C337)</f>
        <v/>
      </c>
      <c r="D1213" s="14" t="str">
        <f>IF(TOTALCO!D337="", "",TOTALCO!D337)</f>
        <v/>
      </c>
      <c r="E1213" s="14" t="str">
        <f>IF(TOTALCO!E337="", "",TOTALCO!E337)</f>
        <v/>
      </c>
      <c r="F1213" s="14" t="str">
        <f>IF(TOTALCO!F337="", "",TOTALCO!F337)</f>
        <v/>
      </c>
      <c r="G1213" s="14" t="str">
        <f>IF(TOTALCO!G337="", "",TOTALCO!G337)</f>
        <v/>
      </c>
      <c r="H1213" s="14" t="str">
        <f>IF(TOTALCO!H337="", "",TOTALCO!H337)</f>
        <v/>
      </c>
      <c r="I1213" s="14" t="str">
        <f>IF(TOTALCO!I337="", "",TOTALCO!I337)</f>
        <v/>
      </c>
      <c r="J1213" s="14" t="str">
        <f>IF(TOTALCO!J337="", "",TOTALCO!J337)</f>
        <v/>
      </c>
      <c r="K1213" s="14" t="str">
        <f>IF(TOTALCO!K337="", "",TOTALCO!K337)</f>
        <v/>
      </c>
      <c r="L1213" s="14" t="str">
        <f>IF(TOTALCO!L337="", "",TOTALCO!L337)</f>
        <v/>
      </c>
      <c r="M1213" s="14" t="str">
        <f>IF(TOTALCO!M337="", "",TOTALCO!M337)</f>
        <v/>
      </c>
      <c r="N1213" s="14" t="str">
        <f>IF(TOTALCO!N337="", "",TOTALCO!N337)</f>
        <v/>
      </c>
      <c r="O1213" s="14" t="str">
        <f>IF(TOTALCO!O337="", "",TOTALCO!O337)</f>
        <v/>
      </c>
      <c r="P1213" s="14" t="str">
        <f>IF(TOTALCO!P337="", "",TOTALCO!P337)</f>
        <v/>
      </c>
      <c r="Q1213" s="14"/>
    </row>
    <row r="1214" spans="1:17" ht="15" x14ac:dyDescent="0.2">
      <c r="A1214" s="321" t="str">
        <f>IF(TOTALCO!A338="", "",TOTALCO!A338)</f>
        <v/>
      </c>
      <c r="B1214" s="4" t="str">
        <f>IF(TOTALCO!B338="", "",TOTALCO!B338)</f>
        <v/>
      </c>
      <c r="C1214" s="4" t="str">
        <f>IF(TOTALCO!C338="", "",TOTALCO!C338)</f>
        <v/>
      </c>
      <c r="D1214" s="14" t="str">
        <f>IF(TOTALCO!D338="", "",TOTALCO!D338)</f>
        <v/>
      </c>
      <c r="E1214" s="14" t="str">
        <f>IF(TOTALCO!E338="", "",TOTALCO!E338)</f>
        <v/>
      </c>
      <c r="F1214" s="14" t="str">
        <f>IF(TOTALCO!F338="", "",TOTALCO!F338)</f>
        <v/>
      </c>
      <c r="G1214" s="14" t="str">
        <f>IF(TOTALCO!G338="", "",TOTALCO!G338)</f>
        <v/>
      </c>
      <c r="H1214" s="14" t="str">
        <f>IF(TOTALCO!H338="", "",TOTALCO!H338)</f>
        <v/>
      </c>
      <c r="I1214" s="14" t="str">
        <f>IF(TOTALCO!I338="", "",TOTALCO!I338)</f>
        <v/>
      </c>
      <c r="J1214" s="14" t="str">
        <f>IF(TOTALCO!J338="", "",TOTALCO!J338)</f>
        <v/>
      </c>
      <c r="K1214" s="14" t="str">
        <f>IF(TOTALCO!K338="", "",TOTALCO!K338)</f>
        <v/>
      </c>
      <c r="L1214" s="14" t="str">
        <f>IF(TOTALCO!L338="", "",TOTALCO!L338)</f>
        <v/>
      </c>
      <c r="M1214" s="14" t="str">
        <f>IF(TOTALCO!M338="", "",TOTALCO!M338)</f>
        <v/>
      </c>
      <c r="N1214" s="14" t="str">
        <f>IF(TOTALCO!N338="", "",TOTALCO!N338)</f>
        <v/>
      </c>
      <c r="O1214" s="14" t="str">
        <f>IF(TOTALCO!O338="", "",TOTALCO!O338)</f>
        <v/>
      </c>
      <c r="P1214" s="14" t="str">
        <f>IF(TOTALCO!P338="", "",TOTALCO!P338)</f>
        <v/>
      </c>
      <c r="Q1214" s="14"/>
    </row>
    <row r="1215" spans="1:17" ht="15" x14ac:dyDescent="0.2">
      <c r="A1215" s="321" t="str">
        <f>IF(TOTALCO!A339="", "",TOTALCO!A339)</f>
        <v/>
      </c>
      <c r="B1215" s="4" t="str">
        <f>IF(TOTALCO!B339="", "",TOTALCO!B339)</f>
        <v>CUSTOMER</v>
      </c>
      <c r="C1215" s="4" t="str">
        <f>IF(TOTALCO!C339="", "",TOTALCO!C339)</f>
        <v/>
      </c>
      <c r="D1215" s="14" t="str">
        <f>IF(TOTALCO!D339="", "",TOTALCO!D339)</f>
        <v/>
      </c>
      <c r="E1215" s="14" t="str">
        <f>IF(TOTALCO!E339="", "",TOTALCO!E339)</f>
        <v/>
      </c>
      <c r="F1215" s="14" t="str">
        <f>IF(TOTALCO!F339="", "",TOTALCO!F339)</f>
        <v/>
      </c>
      <c r="G1215" s="14" t="str">
        <f>IF(TOTALCO!G339="", "",TOTALCO!G339)</f>
        <v/>
      </c>
      <c r="H1215" s="14" t="str">
        <f>IF(TOTALCO!H339="", "",TOTALCO!H339)</f>
        <v/>
      </c>
      <c r="I1215" s="14" t="str">
        <f>IF(TOTALCO!I339="", "",TOTALCO!I339)</f>
        <v/>
      </c>
      <c r="J1215" s="14" t="str">
        <f>IF(TOTALCO!J339="", "",TOTALCO!J339)</f>
        <v/>
      </c>
      <c r="K1215" s="14" t="str">
        <f>IF(TOTALCO!K339="", "",TOTALCO!K339)</f>
        <v/>
      </c>
      <c r="L1215" s="14" t="str">
        <f>IF(TOTALCO!L339="", "",TOTALCO!L339)</f>
        <v/>
      </c>
      <c r="M1215" s="14" t="str">
        <f>IF(TOTALCO!M339="", "",TOTALCO!M339)</f>
        <v/>
      </c>
      <c r="N1215" s="14" t="str">
        <f>IF(TOTALCO!N339="", "",TOTALCO!N339)</f>
        <v/>
      </c>
      <c r="O1215" s="14" t="str">
        <f>IF(TOTALCO!O339="", "",TOTALCO!O339)</f>
        <v/>
      </c>
      <c r="P1215" s="14" t="str">
        <f>IF(TOTALCO!P339="", "",TOTALCO!P339)</f>
        <v/>
      </c>
      <c r="Q1215" s="14"/>
    </row>
    <row r="1216" spans="1:17" ht="15" x14ac:dyDescent="0.2">
      <c r="A1216" s="321" t="str">
        <f>IF(TOTALCO!A340="", "",TOTALCO!A340)</f>
        <v/>
      </c>
      <c r="B1216" s="4" t="str">
        <f>IF(TOTALCO!B340="", "",TOTALCO!B340)</f>
        <v>-</v>
      </c>
      <c r="C1216" s="4" t="str">
        <f>IF(TOTALCO!C340="", "",TOTALCO!C340)</f>
        <v/>
      </c>
      <c r="D1216" s="14" t="str">
        <f>IF(TOTALCO!D340="", "",TOTALCO!D340)</f>
        <v/>
      </c>
      <c r="E1216" s="14" t="str">
        <f>IF(TOTALCO!E340="", "",TOTALCO!E340)</f>
        <v/>
      </c>
      <c r="F1216" s="14" t="str">
        <f>IF(TOTALCO!F340="", "",TOTALCO!F340)</f>
        <v/>
      </c>
      <c r="G1216" s="14" t="str">
        <f>IF(TOTALCO!G340="", "",TOTALCO!G340)</f>
        <v/>
      </c>
      <c r="H1216" s="14" t="str">
        <f>IF(TOTALCO!H340="", "",TOTALCO!H340)</f>
        <v/>
      </c>
      <c r="I1216" s="14" t="str">
        <f>IF(TOTALCO!I340="", "",TOTALCO!I340)</f>
        <v/>
      </c>
      <c r="J1216" s="14" t="str">
        <f>IF(TOTALCO!J340="", "",TOTALCO!J340)</f>
        <v/>
      </c>
      <c r="K1216" s="14" t="str">
        <f>IF(TOTALCO!K340="", "",TOTALCO!K340)</f>
        <v/>
      </c>
      <c r="L1216" s="14" t="str">
        <f>IF(TOTALCO!L340="", "",TOTALCO!L340)</f>
        <v/>
      </c>
      <c r="M1216" s="14" t="str">
        <f>IF(TOTALCO!M340="", "",TOTALCO!M340)</f>
        <v/>
      </c>
      <c r="N1216" s="14" t="str">
        <f>IF(TOTALCO!N340="", "",TOTALCO!N340)</f>
        <v/>
      </c>
      <c r="O1216" s="14" t="str">
        <f>IF(TOTALCO!O340="", "",TOTALCO!O340)</f>
        <v/>
      </c>
      <c r="P1216" s="14" t="str">
        <f>IF(TOTALCO!P340="", "",TOTALCO!P340)</f>
        <v/>
      </c>
      <c r="Q1216" s="14"/>
    </row>
    <row r="1217" spans="1:17" ht="15" x14ac:dyDescent="0.2">
      <c r="A1217" s="321">
        <f>IF(TOTALCO!A341="", "",TOTALCO!A341)</f>
        <v>1</v>
      </c>
      <c r="B1217" s="4" t="str">
        <f>IF(TOTALCO!B341="", "",TOTALCO!B341)</f>
        <v>DIR ASSIGN ACCT 369-SERV KY</v>
      </c>
      <c r="C1217" s="4" t="str">
        <f>IF(TOTALCO!C341="", "",TOTALCO!C341)</f>
        <v>CUST369K</v>
      </c>
      <c r="D1217" s="14">
        <f>IF(TOTALCO!D341="", "",TOTALCO!D341)</f>
        <v>1</v>
      </c>
      <c r="E1217" s="14" t="str">
        <f>IF(TOTALCO!E341="", "",TOTALCO!E341)</f>
        <v/>
      </c>
      <c r="F1217" s="14">
        <f>IF(TOTALCO!F341="", "",TOTALCO!F341)</f>
        <v>1</v>
      </c>
      <c r="G1217" s="14" t="str">
        <f>IF(TOTALCO!G341="", "",TOTALCO!G341)</f>
        <v/>
      </c>
      <c r="H1217" s="14">
        <f>IF(TOTALCO!H341="", "",TOTALCO!H341)</f>
        <v>0</v>
      </c>
      <c r="I1217" s="14">
        <f>IF(TOTALCO!I341="", "",TOTALCO!I341)</f>
        <v>0</v>
      </c>
      <c r="J1217" s="14" t="str">
        <f>IF(TOTALCO!J341="", "",TOTALCO!J341)</f>
        <v/>
      </c>
      <c r="K1217" s="14" t="str">
        <f>IF(TOTALCO!K341="", "",TOTALCO!K341)</f>
        <v/>
      </c>
      <c r="L1217" s="14">
        <f>IF(TOTALCO!L341="", "",TOTALCO!L341)</f>
        <v>0</v>
      </c>
      <c r="M1217" s="14" t="str">
        <f>IF(TOTALCO!M341="", "",TOTALCO!M341)</f>
        <v/>
      </c>
      <c r="N1217" s="14">
        <f>IF(TOTALCO!N341="", "",TOTALCO!N341)</f>
        <v>0</v>
      </c>
      <c r="O1217" s="14">
        <f>IF(TOTALCO!O341="", "",TOTALCO!O341)</f>
        <v>0</v>
      </c>
      <c r="P1217" s="14">
        <f>IF(TOTALCO!P341="", "",TOTALCO!P341)</f>
        <v>0</v>
      </c>
      <c r="Q1217" s="14"/>
    </row>
    <row r="1218" spans="1:17" ht="15" x14ac:dyDescent="0.2">
      <c r="A1218" s="321">
        <f>IF(TOTALCO!A342="", "",TOTALCO!A342)</f>
        <v>2</v>
      </c>
      <c r="B1218" s="4" t="str">
        <f>IF(TOTALCO!B342="", "",TOTALCO!B342)</f>
        <v>DIR ASSIGN ACCT 370 METERS KY</v>
      </c>
      <c r="C1218" s="4" t="str">
        <f>IF(TOTALCO!C342="", "",TOTALCO!C342)</f>
        <v>CUST370K</v>
      </c>
      <c r="D1218" s="14">
        <f>IF(TOTALCO!D342="", "",TOTALCO!D342)</f>
        <v>1</v>
      </c>
      <c r="E1218" s="14" t="str">
        <f>IF(TOTALCO!E342="", "",TOTALCO!E342)</f>
        <v/>
      </c>
      <c r="F1218" s="14">
        <f>IF(TOTALCO!F342="", "",TOTALCO!F342)</f>
        <v>0.99939957498319587</v>
      </c>
      <c r="G1218" s="14" t="str">
        <f>IF(TOTALCO!G342="", "",TOTALCO!G342)</f>
        <v/>
      </c>
      <c r="H1218" s="14">
        <f>IF(TOTALCO!H342="", "",TOTALCO!H342)</f>
        <v>0</v>
      </c>
      <c r="I1218" s="14">
        <f>IF(TOTALCO!I342="", "",TOTALCO!I342)</f>
        <v>6.0042501680412702E-4</v>
      </c>
      <c r="J1218" s="14" t="str">
        <f>IF(TOTALCO!J342="", "",TOTALCO!J342)</f>
        <v/>
      </c>
      <c r="K1218" s="14" t="str">
        <f>IF(TOTALCO!K342="", "",TOTALCO!K342)</f>
        <v/>
      </c>
      <c r="L1218" s="14">
        <f>IF(TOTALCO!L342="", "",TOTALCO!L342)</f>
        <v>0</v>
      </c>
      <c r="M1218" s="14" t="str">
        <f>IF(TOTALCO!M342="", "",TOTALCO!M342)</f>
        <v/>
      </c>
      <c r="N1218" s="14">
        <f>IF(TOTALCO!N342="", "",TOTALCO!N342)</f>
        <v>6.0042501680412702E-4</v>
      </c>
      <c r="O1218" s="14">
        <f>IF(TOTALCO!O342="", "",TOTALCO!O342)</f>
        <v>2.5962404125613476E-4</v>
      </c>
      <c r="P1218" s="14">
        <f>IF(TOTALCO!P342="", "",TOTALCO!P342)</f>
        <v>3.4080097554799231E-4</v>
      </c>
      <c r="Q1218" s="14"/>
    </row>
    <row r="1219" spans="1:17" ht="15" x14ac:dyDescent="0.2">
      <c r="A1219" s="321">
        <f>IF(TOTALCO!A343="", "",TOTALCO!A343)</f>
        <v>3</v>
      </c>
      <c r="B1219" s="4" t="str">
        <f>IF(TOTALCO!B343="", "",TOTALCO!B343)</f>
        <v>DIR ASN ACCT 371 CUST INST KY</v>
      </c>
      <c r="C1219" s="4" t="str">
        <f>IF(TOTALCO!C343="", "",TOTALCO!C343)</f>
        <v>CUST371K</v>
      </c>
      <c r="D1219" s="14">
        <f>IF(TOTALCO!D343="", "",TOTALCO!D343)</f>
        <v>1</v>
      </c>
      <c r="E1219" s="14" t="str">
        <f>IF(TOTALCO!E343="", "",TOTALCO!E343)</f>
        <v/>
      </c>
      <c r="F1219" s="14">
        <f>IF(TOTALCO!F343="", "",TOTALCO!F343)</f>
        <v>1</v>
      </c>
      <c r="G1219" s="14" t="str">
        <f>IF(TOTALCO!G343="", "",TOTALCO!G343)</f>
        <v/>
      </c>
      <c r="H1219" s="14">
        <f>IF(TOTALCO!H343="", "",TOTALCO!H343)</f>
        <v>0</v>
      </c>
      <c r="I1219" s="14">
        <f>IF(TOTALCO!I343="", "",TOTALCO!I343)</f>
        <v>0</v>
      </c>
      <c r="J1219" s="14" t="str">
        <f>IF(TOTALCO!J343="", "",TOTALCO!J343)</f>
        <v/>
      </c>
      <c r="K1219" s="14" t="str">
        <f>IF(TOTALCO!K343="", "",TOTALCO!K343)</f>
        <v/>
      </c>
      <c r="L1219" s="14">
        <f>IF(TOTALCO!L343="", "",TOTALCO!L343)</f>
        <v>0</v>
      </c>
      <c r="M1219" s="14" t="str">
        <f>IF(TOTALCO!M343="", "",TOTALCO!M343)</f>
        <v/>
      </c>
      <c r="N1219" s="14">
        <f>IF(TOTALCO!N343="", "",TOTALCO!N343)</f>
        <v>0</v>
      </c>
      <c r="O1219" s="14">
        <f>IF(TOTALCO!O343="", "",TOTALCO!O343)</f>
        <v>0</v>
      </c>
      <c r="P1219" s="14">
        <f>IF(TOTALCO!P343="", "",TOTALCO!P343)</f>
        <v>0</v>
      </c>
      <c r="Q1219" s="14"/>
    </row>
    <row r="1220" spans="1:17" ht="15" x14ac:dyDescent="0.2">
      <c r="A1220" s="321">
        <f>IF(TOTALCO!A344="", "",TOTALCO!A344)</f>
        <v>4</v>
      </c>
      <c r="B1220" s="4" t="str">
        <f>IF(TOTALCO!B344="", "",TOTALCO!B344)</f>
        <v>DIR ASGN ACCT 373 ST LIGHT KY</v>
      </c>
      <c r="C1220" s="4" t="str">
        <f>IF(TOTALCO!C344="", "",TOTALCO!C344)</f>
        <v>CUST373K</v>
      </c>
      <c r="D1220" s="14">
        <f>IF(TOTALCO!D344="", "",TOTALCO!D344)</f>
        <v>1</v>
      </c>
      <c r="E1220" s="14" t="str">
        <f>IF(TOTALCO!E344="", "",TOTALCO!E344)</f>
        <v/>
      </c>
      <c r="F1220" s="14">
        <f>IF(TOTALCO!F344="", "",TOTALCO!F344)</f>
        <v>1</v>
      </c>
      <c r="G1220" s="14" t="str">
        <f>IF(TOTALCO!G344="", "",TOTALCO!G344)</f>
        <v/>
      </c>
      <c r="H1220" s="14">
        <f>IF(TOTALCO!H344="", "",TOTALCO!H344)</f>
        <v>0</v>
      </c>
      <c r="I1220" s="14">
        <f>IF(TOTALCO!I344="", "",TOTALCO!I344)</f>
        <v>0</v>
      </c>
      <c r="J1220" s="14" t="str">
        <f>IF(TOTALCO!J344="", "",TOTALCO!J344)</f>
        <v/>
      </c>
      <c r="K1220" s="14" t="str">
        <f>IF(TOTALCO!K344="", "",TOTALCO!K344)</f>
        <v/>
      </c>
      <c r="L1220" s="14">
        <f>IF(TOTALCO!L344="", "",TOTALCO!L344)</f>
        <v>0</v>
      </c>
      <c r="M1220" s="14" t="str">
        <f>IF(TOTALCO!M344="", "",TOTALCO!M344)</f>
        <v/>
      </c>
      <c r="N1220" s="14">
        <f>IF(TOTALCO!N344="", "",TOTALCO!N344)</f>
        <v>0</v>
      </c>
      <c r="O1220" s="14">
        <f>IF(TOTALCO!O344="", "",TOTALCO!O344)</f>
        <v>0</v>
      </c>
      <c r="P1220" s="14">
        <f>IF(TOTALCO!P344="", "",TOTALCO!P344)</f>
        <v>0</v>
      </c>
      <c r="Q1220" s="14"/>
    </row>
    <row r="1221" spans="1:17" ht="15" x14ac:dyDescent="0.2">
      <c r="A1221" s="321">
        <f>IF(TOTALCO!A345="", "",TOTALCO!A345)</f>
        <v>5</v>
      </c>
      <c r="B1221" s="4" t="str">
        <f>IF(TOTALCO!B345="", "",TOTALCO!B345)</f>
        <v>CUSTOMER ADVANCES</v>
      </c>
      <c r="C1221" s="4" t="str">
        <f>IF(TOTALCO!C345="", "",TOTALCO!C345)</f>
        <v>CUSTADV</v>
      </c>
      <c r="D1221" s="14">
        <f>IF(TOTALCO!D345="", "",TOTALCO!D345)</f>
        <v>1</v>
      </c>
      <c r="E1221" s="14" t="str">
        <f>IF(TOTALCO!E345="", "",TOTALCO!E345)</f>
        <v/>
      </c>
      <c r="F1221" s="14">
        <f>IF(TOTALCO!F345="", "",TOTALCO!F345)</f>
        <v>0.97009645926567778</v>
      </c>
      <c r="G1221" s="14" t="str">
        <f>IF(TOTALCO!G345="", "",TOTALCO!G345)</f>
        <v/>
      </c>
      <c r="H1221" s="14">
        <f>IF(TOTALCO!H345="", "",TOTALCO!H345)</f>
        <v>2.9903540734322245E-2</v>
      </c>
      <c r="I1221" s="14">
        <f>IF(TOTALCO!I345="", "",TOTALCO!I345)</f>
        <v>0</v>
      </c>
      <c r="J1221" s="14" t="str">
        <f>IF(TOTALCO!J345="", "",TOTALCO!J345)</f>
        <v/>
      </c>
      <c r="K1221" s="14" t="str">
        <f>IF(TOTALCO!K345="", "",TOTALCO!K345)</f>
        <v/>
      </c>
      <c r="L1221" s="14">
        <f>IF(TOTALCO!L345="", "",TOTALCO!L345)</f>
        <v>0</v>
      </c>
      <c r="M1221" s="14" t="str">
        <f>IF(TOTALCO!M345="", "",TOTALCO!M345)</f>
        <v/>
      </c>
      <c r="N1221" s="14">
        <f>IF(TOTALCO!N345="", "",TOTALCO!N345)</f>
        <v>0</v>
      </c>
      <c r="O1221" s="14">
        <f>IF(TOTALCO!O345="", "",TOTALCO!O345)</f>
        <v>0</v>
      </c>
      <c r="P1221" s="14">
        <f>IF(TOTALCO!P345="", "",TOTALCO!P345)</f>
        <v>0</v>
      </c>
      <c r="Q1221" s="14"/>
    </row>
    <row r="1222" spans="1:17" ht="15" x14ac:dyDescent="0.2">
      <c r="A1222" s="321">
        <f>IF(TOTALCO!A346="", "",TOTALCO!A346)</f>
        <v>6</v>
      </c>
      <c r="B1222" s="4" t="str">
        <f>IF(TOTALCO!B346="", "",TOTALCO!B346)</f>
        <v>CUSTOMER DEPOSITS</v>
      </c>
      <c r="C1222" s="4" t="str">
        <f>IF(TOTALCO!C346="", "",TOTALCO!C346)</f>
        <v>CUSTDEP</v>
      </c>
      <c r="D1222" s="14">
        <f>IF(TOTALCO!D346="", "",TOTALCO!D346)</f>
        <v>0.99999999999999989</v>
      </c>
      <c r="E1222" s="14" t="str">
        <f>IF(TOTALCO!E346="", "",TOTALCO!E346)</f>
        <v/>
      </c>
      <c r="F1222" s="14">
        <f>IF(TOTALCO!F346="", "",TOTALCO!F346)</f>
        <v>0.94463976065702659</v>
      </c>
      <c r="G1222" s="14" t="str">
        <f>IF(TOTALCO!G346="", "",TOTALCO!G346)</f>
        <v/>
      </c>
      <c r="H1222" s="14">
        <f>IF(TOTALCO!H346="", "",TOTALCO!H346)</f>
        <v>5.5360239016010532E-2</v>
      </c>
      <c r="I1222" s="14">
        <f>IF(TOTALCO!I346="", "",TOTALCO!I346)</f>
        <v>3.2696284196157162E-10</v>
      </c>
      <c r="J1222" s="14" t="str">
        <f>IF(TOTALCO!J346="", "",TOTALCO!J346)</f>
        <v/>
      </c>
      <c r="K1222" s="14" t="str">
        <f>IF(TOTALCO!K346="", "",TOTALCO!K346)</f>
        <v/>
      </c>
      <c r="L1222" s="14">
        <f>IF(TOTALCO!L346="", "",TOTALCO!L346)</f>
        <v>0</v>
      </c>
      <c r="M1222" s="14" t="str">
        <f>IF(TOTALCO!M346="", "",TOTALCO!M346)</f>
        <v/>
      </c>
      <c r="N1222" s="14">
        <f>IF(TOTALCO!N346="", "",TOTALCO!N346)</f>
        <v>3.2696284196157162E-10</v>
      </c>
      <c r="O1222" s="14">
        <f>IF(TOTALCO!O346="", "",TOTALCO!O346)</f>
        <v>3.2696284196157162E-10</v>
      </c>
      <c r="P1222" s="14">
        <f>IF(TOTALCO!P346="", "",TOTALCO!P346)</f>
        <v>0</v>
      </c>
      <c r="Q1222" s="14"/>
    </row>
    <row r="1223" spans="1:17" ht="15" x14ac:dyDescent="0.2">
      <c r="A1223" s="321">
        <f>IF(TOTALCO!A347="", "",TOTALCO!A347)</f>
        <v>7</v>
      </c>
      <c r="B1223" s="4" t="str">
        <f>IF(TOTALCO!B347="", "",TOTALCO!B347)</f>
        <v>DIR ASSIGN 902-METER READING</v>
      </c>
      <c r="C1223" s="4" t="str">
        <f>IF(TOTALCO!C347="", "",TOTALCO!C347)</f>
        <v>CUST902</v>
      </c>
      <c r="D1223" s="14">
        <f>IF(TOTALCO!D347="", "",TOTALCO!D347)</f>
        <v>1</v>
      </c>
      <c r="E1223" s="14" t="str">
        <f>IF(TOTALCO!E347="", "",TOTALCO!E347)</f>
        <v/>
      </c>
      <c r="F1223" s="14">
        <f>IF(TOTALCO!F347="", "",TOTALCO!F347)</f>
        <v>0.95003195393362805</v>
      </c>
      <c r="G1223" s="14" t="str">
        <f>IF(TOTALCO!G347="", "",TOTALCO!G347)</f>
        <v/>
      </c>
      <c r="H1223" s="14">
        <f>IF(TOTALCO!H347="", "",TOTALCO!H347)</f>
        <v>4.9682107773700267E-2</v>
      </c>
      <c r="I1223" s="14">
        <f>IF(TOTALCO!I347="", "",TOTALCO!I347)</f>
        <v>2.8593829267167825E-4</v>
      </c>
      <c r="J1223" s="14" t="str">
        <f>IF(TOTALCO!J347="", "",TOTALCO!J347)</f>
        <v/>
      </c>
      <c r="K1223" s="14" t="str">
        <f>IF(TOTALCO!K347="", "",TOTALCO!K347)</f>
        <v/>
      </c>
      <c r="L1223" s="14">
        <f>IF(TOTALCO!L347="", "",TOTALCO!L347)</f>
        <v>6.5884399233105591E-6</v>
      </c>
      <c r="M1223" s="14" t="str">
        <f>IF(TOTALCO!M347="", "",TOTALCO!M347)</f>
        <v/>
      </c>
      <c r="N1223" s="14">
        <f>IF(TOTALCO!N347="", "",TOTALCO!N347)</f>
        <v>2.7934985274836771E-4</v>
      </c>
      <c r="O1223" s="14">
        <f>IF(TOTALCO!O347="", "",TOTALCO!O347)</f>
        <v>1.1200347869627951E-4</v>
      </c>
      <c r="P1223" s="14">
        <f>IF(TOTALCO!P347="", "",TOTALCO!P347)</f>
        <v>1.6734637405208821E-4</v>
      </c>
      <c r="Q1223" s="14"/>
    </row>
    <row r="1224" spans="1:17" ht="15" x14ac:dyDescent="0.2">
      <c r="A1224" s="321">
        <f>IF(TOTALCO!A348="", "",TOTALCO!A348)</f>
        <v>8</v>
      </c>
      <c r="B1224" s="4" t="str">
        <f>IF(TOTALCO!B348="", "",TOTALCO!B348)</f>
        <v>DIR ASSIGN 903-CUSTOMER REC</v>
      </c>
      <c r="C1224" s="4" t="str">
        <f>IF(TOTALCO!C348="", "",TOTALCO!C348)</f>
        <v>CUST903</v>
      </c>
      <c r="D1224" s="14">
        <f>IF(TOTALCO!D348="", "",TOTALCO!D348)</f>
        <v>1</v>
      </c>
      <c r="E1224" s="14" t="str">
        <f>IF(TOTALCO!E348="", "",TOTALCO!E348)</f>
        <v/>
      </c>
      <c r="F1224" s="14">
        <f>IF(TOTALCO!F348="", "",TOTALCO!F348)</f>
        <v>0.95003195393362805</v>
      </c>
      <c r="G1224" s="14" t="str">
        <f>IF(TOTALCO!G348="", "",TOTALCO!G348)</f>
        <v/>
      </c>
      <c r="H1224" s="14">
        <f>IF(TOTALCO!H348="", "",TOTALCO!H348)</f>
        <v>4.9682107773700267E-2</v>
      </c>
      <c r="I1224" s="14">
        <f>IF(TOTALCO!I348="", "",TOTALCO!I348)</f>
        <v>2.8593829267167825E-4</v>
      </c>
      <c r="J1224" s="14" t="str">
        <f>IF(TOTALCO!J348="", "",TOTALCO!J348)</f>
        <v/>
      </c>
      <c r="K1224" s="14" t="str">
        <f>IF(TOTALCO!K348="", "",TOTALCO!K348)</f>
        <v/>
      </c>
      <c r="L1224" s="14">
        <f>IF(TOTALCO!L348="", "",TOTALCO!L348)</f>
        <v>6.5884399233105591E-6</v>
      </c>
      <c r="M1224" s="14" t="str">
        <f>IF(TOTALCO!M348="", "",TOTALCO!M348)</f>
        <v/>
      </c>
      <c r="N1224" s="14">
        <f>IF(TOTALCO!N348="", "",TOTALCO!N348)</f>
        <v>2.7934985274836771E-4</v>
      </c>
      <c r="O1224" s="14">
        <f>IF(TOTALCO!O348="", "",TOTALCO!O348)</f>
        <v>1.1200347869627951E-4</v>
      </c>
      <c r="P1224" s="14">
        <f>IF(TOTALCO!P348="", "",TOTALCO!P348)</f>
        <v>1.6734637405208821E-4</v>
      </c>
      <c r="Q1224" s="14"/>
    </row>
    <row r="1225" spans="1:17" ht="15" x14ac:dyDescent="0.2">
      <c r="A1225" s="321">
        <f>IF(TOTALCO!A349="", "",TOTALCO!A349)</f>
        <v>9</v>
      </c>
      <c r="B1225" s="4" t="str">
        <f>IF(TOTALCO!B349="", "",TOTALCO!B349)</f>
        <v>DIR ASSIGN 904-UNCOLL ACCTS</v>
      </c>
      <c r="C1225" s="4" t="str">
        <f>IF(TOTALCO!C349="", "",TOTALCO!C349)</f>
        <v>CUST904</v>
      </c>
      <c r="D1225" s="14">
        <f>IF(TOTALCO!D349="", "",TOTALCO!D349)</f>
        <v>1</v>
      </c>
      <c r="E1225" s="14" t="str">
        <f>IF(TOTALCO!E349="", "",TOTALCO!E349)</f>
        <v/>
      </c>
      <c r="F1225" s="14">
        <f>IF(TOTALCO!F349="", "",TOTALCO!F349)</f>
        <v>0.95003195393362805</v>
      </c>
      <c r="G1225" s="14" t="str">
        <f>IF(TOTALCO!G349="", "",TOTALCO!G349)</f>
        <v/>
      </c>
      <c r="H1225" s="14">
        <f>IF(TOTALCO!H349="", "",TOTALCO!H349)</f>
        <v>4.9682107773700267E-2</v>
      </c>
      <c r="I1225" s="14">
        <f>IF(TOTALCO!I349="", "",TOTALCO!I349)</f>
        <v>2.8593829267167825E-4</v>
      </c>
      <c r="J1225" s="14" t="str">
        <f>IF(TOTALCO!J349="", "",TOTALCO!J349)</f>
        <v/>
      </c>
      <c r="K1225" s="14" t="str">
        <f>IF(TOTALCO!K349="", "",TOTALCO!K349)</f>
        <v/>
      </c>
      <c r="L1225" s="14">
        <f>IF(TOTALCO!L349="", "",TOTALCO!L349)</f>
        <v>6.5884399233105591E-6</v>
      </c>
      <c r="M1225" s="14" t="str">
        <f>IF(TOTALCO!M349="", "",TOTALCO!M349)</f>
        <v/>
      </c>
      <c r="N1225" s="14">
        <f>IF(TOTALCO!N349="", "",TOTALCO!N349)</f>
        <v>2.7934985274836771E-4</v>
      </c>
      <c r="O1225" s="14">
        <f>IF(TOTALCO!O349="", "",TOTALCO!O349)</f>
        <v>1.1200347869627951E-4</v>
      </c>
      <c r="P1225" s="14">
        <f>IF(TOTALCO!P349="", "",TOTALCO!P349)</f>
        <v>1.6734637405208821E-4</v>
      </c>
      <c r="Q1225" s="14"/>
    </row>
    <row r="1226" spans="1:17" ht="15" x14ac:dyDescent="0.2">
      <c r="A1226" s="321">
        <f>IF(TOTALCO!A350="", "",TOTALCO!A350)</f>
        <v>10</v>
      </c>
      <c r="B1226" s="4" t="str">
        <f>IF(TOTALCO!B350="", "",TOTALCO!B350)</f>
        <v>DIR ASSIGN ACCT 369-SERV VA</v>
      </c>
      <c r="C1226" s="4" t="str">
        <f>IF(TOTALCO!C350="", "",TOTALCO!C350)</f>
        <v>CUST369V</v>
      </c>
      <c r="D1226" s="14">
        <f>IF(TOTALCO!D350="", "",TOTALCO!D350)</f>
        <v>1</v>
      </c>
      <c r="E1226" s="14" t="str">
        <f>IF(TOTALCO!E350="", "",TOTALCO!E350)</f>
        <v/>
      </c>
      <c r="F1226" s="14">
        <f>IF(TOTALCO!F350="", "",TOTALCO!F350)</f>
        <v>0</v>
      </c>
      <c r="G1226" s="14" t="str">
        <f>IF(TOTALCO!G350="", "",TOTALCO!G350)</f>
        <v/>
      </c>
      <c r="H1226" s="14">
        <f>IF(TOTALCO!H350="", "",TOTALCO!H350)</f>
        <v>1</v>
      </c>
      <c r="I1226" s="14">
        <f>IF(TOTALCO!I350="", "",TOTALCO!I350)</f>
        <v>0</v>
      </c>
      <c r="J1226" s="14" t="str">
        <f>IF(TOTALCO!J350="", "",TOTALCO!J350)</f>
        <v/>
      </c>
      <c r="K1226" s="14" t="str">
        <f>IF(TOTALCO!K350="", "",TOTALCO!K350)</f>
        <v/>
      </c>
      <c r="L1226" s="14">
        <f>IF(TOTALCO!L350="", "",TOTALCO!L350)</f>
        <v>0</v>
      </c>
      <c r="M1226" s="14" t="str">
        <f>IF(TOTALCO!M350="", "",TOTALCO!M350)</f>
        <v/>
      </c>
      <c r="N1226" s="14">
        <f>IF(TOTALCO!N350="", "",TOTALCO!N350)</f>
        <v>0</v>
      </c>
      <c r="O1226" s="14">
        <f>IF(TOTALCO!O350="", "",TOTALCO!O350)</f>
        <v>0</v>
      </c>
      <c r="P1226" s="14">
        <f>IF(TOTALCO!P350="", "",TOTALCO!P350)</f>
        <v>0</v>
      </c>
      <c r="Q1226" s="14"/>
    </row>
    <row r="1227" spans="1:17" ht="15" x14ac:dyDescent="0.2">
      <c r="A1227" s="321">
        <f>IF(TOTALCO!A351="", "",TOTALCO!A351)</f>
        <v>11</v>
      </c>
      <c r="B1227" s="4" t="str">
        <f>IF(TOTALCO!B351="", "",TOTALCO!B351)</f>
        <v>DIR ASSIGN ACCT 370 METERS VA</v>
      </c>
      <c r="C1227" s="4" t="str">
        <f>IF(TOTALCO!C351="", "",TOTALCO!C351)</f>
        <v>CUST370V</v>
      </c>
      <c r="D1227" s="14">
        <f>IF(TOTALCO!D351="", "",TOTALCO!D351)</f>
        <v>1</v>
      </c>
      <c r="E1227" s="14" t="str">
        <f>IF(TOTALCO!E351="", "",TOTALCO!E351)</f>
        <v/>
      </c>
      <c r="F1227" s="14">
        <f>IF(TOTALCO!F351="", "",TOTALCO!F351)</f>
        <v>0</v>
      </c>
      <c r="G1227" s="14" t="str">
        <f>IF(TOTALCO!G351="", "",TOTALCO!G351)</f>
        <v/>
      </c>
      <c r="H1227" s="14">
        <f>IF(TOTALCO!H351="", "",TOTALCO!H351)</f>
        <v>1</v>
      </c>
      <c r="I1227" s="14">
        <f>IF(TOTALCO!I351="", "",TOTALCO!I351)</f>
        <v>0</v>
      </c>
      <c r="J1227" s="14" t="str">
        <f>IF(TOTALCO!J351="", "",TOTALCO!J351)</f>
        <v/>
      </c>
      <c r="K1227" s="14" t="str">
        <f>IF(TOTALCO!K351="", "",TOTALCO!K351)</f>
        <v/>
      </c>
      <c r="L1227" s="14">
        <f>IF(TOTALCO!L351="", "",TOTALCO!L351)</f>
        <v>0</v>
      </c>
      <c r="M1227" s="14" t="str">
        <f>IF(TOTALCO!M351="", "",TOTALCO!M351)</f>
        <v/>
      </c>
      <c r="N1227" s="14">
        <f>IF(TOTALCO!N351="", "",TOTALCO!N351)</f>
        <v>0</v>
      </c>
      <c r="O1227" s="14">
        <f>IF(TOTALCO!O351="", "",TOTALCO!O351)</f>
        <v>0</v>
      </c>
      <c r="P1227" s="14">
        <f>IF(TOTALCO!P351="", "",TOTALCO!P351)</f>
        <v>0</v>
      </c>
      <c r="Q1227" s="14"/>
    </row>
    <row r="1228" spans="1:17" ht="15" x14ac:dyDescent="0.2">
      <c r="A1228" s="321">
        <f>IF(TOTALCO!A352="", "",TOTALCO!A352)</f>
        <v>12</v>
      </c>
      <c r="B1228" s="4" t="str">
        <f>IF(TOTALCO!B352="", "",TOTALCO!B352)</f>
        <v>DIR ASN ACCT 371 CUST INST VA</v>
      </c>
      <c r="C1228" s="4" t="str">
        <f>IF(TOTALCO!C352="", "",TOTALCO!C352)</f>
        <v>CUST371V</v>
      </c>
      <c r="D1228" s="14">
        <f>IF(TOTALCO!D352="", "",TOTALCO!D352)</f>
        <v>0</v>
      </c>
      <c r="E1228" s="14" t="str">
        <f>IF(TOTALCO!E352="", "",TOTALCO!E352)</f>
        <v/>
      </c>
      <c r="F1228" s="14">
        <f>IF(TOTALCO!F352="", "",TOTALCO!F352)</f>
        <v>0</v>
      </c>
      <c r="G1228" s="14" t="str">
        <f>IF(TOTALCO!G352="", "",TOTALCO!G352)</f>
        <v/>
      </c>
      <c r="H1228" s="14">
        <f>IF(TOTALCO!H352="", "",TOTALCO!H352)</f>
        <v>0</v>
      </c>
      <c r="I1228" s="14">
        <f>IF(TOTALCO!I352="", "",TOTALCO!I352)</f>
        <v>0</v>
      </c>
      <c r="J1228" s="14" t="str">
        <f>IF(TOTALCO!J352="", "",TOTALCO!J352)</f>
        <v/>
      </c>
      <c r="K1228" s="14" t="str">
        <f>IF(TOTALCO!K352="", "",TOTALCO!K352)</f>
        <v/>
      </c>
      <c r="L1228" s="14">
        <f>IF(TOTALCO!L352="", "",TOTALCO!L352)</f>
        <v>0</v>
      </c>
      <c r="M1228" s="14" t="str">
        <f>IF(TOTALCO!M352="", "",TOTALCO!M352)</f>
        <v/>
      </c>
      <c r="N1228" s="14">
        <f>IF(TOTALCO!N352="", "",TOTALCO!N352)</f>
        <v>0</v>
      </c>
      <c r="O1228" s="14">
        <f>IF(TOTALCO!O352="", "",TOTALCO!O352)</f>
        <v>0</v>
      </c>
      <c r="P1228" s="14">
        <f>IF(TOTALCO!P352="", "",TOTALCO!P352)</f>
        <v>0</v>
      </c>
      <c r="Q1228" s="14"/>
    </row>
    <row r="1229" spans="1:17" ht="15" x14ac:dyDescent="0.2">
      <c r="A1229" s="321">
        <f>IF(TOTALCO!A353="", "",TOTALCO!A353)</f>
        <v>13</v>
      </c>
      <c r="B1229" s="4" t="str">
        <f>IF(TOTALCO!B353="", "",TOTALCO!B353)</f>
        <v>DIR ASGN ACCT 373 ST LIGHT VA</v>
      </c>
      <c r="C1229" s="4" t="str">
        <f>IF(TOTALCO!C353="", "",TOTALCO!C353)</f>
        <v>CUST373V</v>
      </c>
      <c r="D1229" s="14">
        <f>IF(TOTALCO!D353="", "",TOTALCO!D353)</f>
        <v>1</v>
      </c>
      <c r="E1229" s="14" t="str">
        <f>IF(TOTALCO!E353="", "",TOTALCO!E353)</f>
        <v/>
      </c>
      <c r="F1229" s="14">
        <f>IF(TOTALCO!F353="", "",TOTALCO!F353)</f>
        <v>0</v>
      </c>
      <c r="G1229" s="14" t="str">
        <f>IF(TOTALCO!G353="", "",TOTALCO!G353)</f>
        <v/>
      </c>
      <c r="H1229" s="14">
        <f>IF(TOTALCO!H353="", "",TOTALCO!H353)</f>
        <v>1</v>
      </c>
      <c r="I1229" s="14">
        <f>IF(TOTALCO!I353="", "",TOTALCO!I353)</f>
        <v>0</v>
      </c>
      <c r="J1229" s="14" t="str">
        <f>IF(TOTALCO!J353="", "",TOTALCO!J353)</f>
        <v/>
      </c>
      <c r="K1229" s="14" t="str">
        <f>IF(TOTALCO!K353="", "",TOTALCO!K353)</f>
        <v/>
      </c>
      <c r="L1229" s="14">
        <f>IF(TOTALCO!L353="", "",TOTALCO!L353)</f>
        <v>0</v>
      </c>
      <c r="M1229" s="14" t="str">
        <f>IF(TOTALCO!M353="", "",TOTALCO!M353)</f>
        <v/>
      </c>
      <c r="N1229" s="14">
        <f>IF(TOTALCO!N353="", "",TOTALCO!N353)</f>
        <v>0</v>
      </c>
      <c r="O1229" s="14">
        <f>IF(TOTALCO!O353="", "",TOTALCO!O353)</f>
        <v>0</v>
      </c>
      <c r="P1229" s="14">
        <f>IF(TOTALCO!P353="", "",TOTALCO!P353)</f>
        <v>0</v>
      </c>
      <c r="Q1229" s="14"/>
    </row>
    <row r="1230" spans="1:17" ht="15" x14ac:dyDescent="0.2">
      <c r="A1230" s="321">
        <f>IF(TOTALCO!A354="", "",TOTALCO!A354)</f>
        <v>14</v>
      </c>
      <c r="B1230" s="4" t="str">
        <f>IF(TOTALCO!B354="", "",TOTALCO!B354)</f>
        <v>DIR ASSIGN 908-CUST ASSIST</v>
      </c>
      <c r="C1230" s="4" t="str">
        <f>IF(TOTALCO!C354="", "",TOTALCO!C354)</f>
        <v>CUST908</v>
      </c>
      <c r="D1230" s="14">
        <f>IF(TOTALCO!D354="", "",TOTALCO!D354)</f>
        <v>1</v>
      </c>
      <c r="E1230" s="14" t="str">
        <f>IF(TOTALCO!E354="", "",TOTALCO!E354)</f>
        <v/>
      </c>
      <c r="F1230" s="14">
        <f>IF(TOTALCO!F354="", "",TOTALCO!F354)</f>
        <v>1</v>
      </c>
      <c r="G1230" s="14" t="str">
        <f>IF(TOTALCO!G354="", "",TOTALCO!G354)</f>
        <v/>
      </c>
      <c r="H1230" s="14">
        <f>IF(TOTALCO!H354="", "",TOTALCO!H354)</f>
        <v>0</v>
      </c>
      <c r="I1230" s="14">
        <f>IF(TOTALCO!I354="", "",TOTALCO!I354)</f>
        <v>0</v>
      </c>
      <c r="J1230" s="14" t="str">
        <f>IF(TOTALCO!J354="", "",TOTALCO!J354)</f>
        <v/>
      </c>
      <c r="K1230" s="14" t="str">
        <f>IF(TOTALCO!K354="", "",TOTALCO!K354)</f>
        <v/>
      </c>
      <c r="L1230" s="14">
        <f>IF(TOTALCO!L354="", "",TOTALCO!L354)</f>
        <v>0</v>
      </c>
      <c r="M1230" s="14" t="str">
        <f>IF(TOTALCO!M354="", "",TOTALCO!M354)</f>
        <v/>
      </c>
      <c r="N1230" s="14">
        <f>IF(TOTALCO!N354="", "",TOTALCO!N354)</f>
        <v>0</v>
      </c>
      <c r="O1230" s="14">
        <f>IF(TOTALCO!O354="", "",TOTALCO!O354)</f>
        <v>0</v>
      </c>
      <c r="P1230" s="14">
        <f>IF(TOTALCO!P354="", "",TOTALCO!P354)</f>
        <v>0</v>
      </c>
      <c r="Q1230" s="14"/>
    </row>
    <row r="1231" spans="1:17" ht="15" x14ac:dyDescent="0.2">
      <c r="A1231" s="321">
        <f>IF(TOTALCO!A355="", "",TOTALCO!A355)</f>
        <v>15</v>
      </c>
      <c r="B1231" s="4" t="str">
        <f>IF(TOTALCO!B355="", "",TOTALCO!B355)</f>
        <v>DIR ASSIGN 909-INFO &amp; INSTRCT</v>
      </c>
      <c r="C1231" s="4" t="str">
        <f>IF(TOTALCO!C355="", "",TOTALCO!C355)</f>
        <v>CUST909</v>
      </c>
      <c r="D1231" s="14">
        <f>IF(TOTALCO!D355="", "",TOTALCO!D355)</f>
        <v>1</v>
      </c>
      <c r="E1231" s="14" t="str">
        <f>IF(TOTALCO!E355="", "",TOTALCO!E355)</f>
        <v/>
      </c>
      <c r="F1231" s="14">
        <f>IF(TOTALCO!F355="", "",TOTALCO!F355)</f>
        <v>0.94892097697757327</v>
      </c>
      <c r="G1231" s="14" t="str">
        <f>IF(TOTALCO!G355="", "",TOTALCO!G355)</f>
        <v/>
      </c>
      <c r="H1231" s="14">
        <f>IF(TOTALCO!H355="", "",TOTALCO!H355)</f>
        <v>5.1073574787019398E-2</v>
      </c>
      <c r="I1231" s="14">
        <f>IF(TOTALCO!I355="", "",TOTALCO!I355)</f>
        <v>5.4482354073554811E-6</v>
      </c>
      <c r="J1231" s="14" t="str">
        <f>IF(TOTALCO!J355="", "",TOTALCO!J355)</f>
        <v/>
      </c>
      <c r="K1231" s="14" t="str">
        <f>IF(TOTALCO!K355="", "",TOTALCO!K355)</f>
        <v/>
      </c>
      <c r="L1231" s="14">
        <f>IF(TOTALCO!L355="", "",TOTALCO!L355)</f>
        <v>5.4482354073554811E-6</v>
      </c>
      <c r="M1231" s="14" t="str">
        <f>IF(TOTALCO!M355="", "",TOTALCO!M355)</f>
        <v/>
      </c>
      <c r="N1231" s="14">
        <f>IF(TOTALCO!N355="", "",TOTALCO!N355)</f>
        <v>0</v>
      </c>
      <c r="O1231" s="14">
        <f>IF(TOTALCO!O355="", "",TOTALCO!O355)</f>
        <v>0</v>
      </c>
      <c r="P1231" s="14">
        <f>IF(TOTALCO!P355="", "",TOTALCO!P355)</f>
        <v>0</v>
      </c>
      <c r="Q1231" s="14"/>
    </row>
    <row r="1232" spans="1:17" ht="15" x14ac:dyDescent="0.2">
      <c r="A1232" s="321">
        <f>IF(TOTALCO!A356="", "",TOTALCO!A356)</f>
        <v>16</v>
      </c>
      <c r="B1232" s="4" t="str">
        <f>IF(TOTALCO!B356="", "",TOTALCO!B356)</f>
        <v>DIR ASSIGN 912-DEM &amp; SELLING</v>
      </c>
      <c r="C1232" s="4" t="str">
        <f>IF(TOTALCO!C356="", "",TOTALCO!C356)</f>
        <v>CUST912</v>
      </c>
      <c r="D1232" s="14">
        <f>IF(TOTALCO!D356="", "",TOTALCO!D356)</f>
        <v>1</v>
      </c>
      <c r="E1232" s="14" t="str">
        <f>IF(TOTALCO!E356="", "",TOTALCO!E356)</f>
        <v/>
      </c>
      <c r="F1232" s="14">
        <f>IF(TOTALCO!F356="", "",TOTALCO!F356)</f>
        <v>0.94892097697757327</v>
      </c>
      <c r="G1232" s="14" t="str">
        <f>IF(TOTALCO!G356="", "",TOTALCO!G356)</f>
        <v/>
      </c>
      <c r="H1232" s="14">
        <f>IF(TOTALCO!H356="", "",TOTALCO!H356)</f>
        <v>5.1073574787019398E-2</v>
      </c>
      <c r="I1232" s="14">
        <f>IF(TOTALCO!I356="", "",TOTALCO!I356)</f>
        <v>5.4482354073554811E-6</v>
      </c>
      <c r="J1232" s="14" t="str">
        <f>IF(TOTALCO!J356="", "",TOTALCO!J356)</f>
        <v/>
      </c>
      <c r="K1232" s="14" t="str">
        <f>IF(TOTALCO!K356="", "",TOTALCO!K356)</f>
        <v/>
      </c>
      <c r="L1232" s="14">
        <f>IF(TOTALCO!L356="", "",TOTALCO!L356)</f>
        <v>5.4482354073554811E-6</v>
      </c>
      <c r="M1232" s="14" t="str">
        <f>IF(TOTALCO!M356="", "",TOTALCO!M356)</f>
        <v/>
      </c>
      <c r="N1232" s="14">
        <f>IF(TOTALCO!N356="", "",TOTALCO!N356)</f>
        <v>0</v>
      </c>
      <c r="O1232" s="14">
        <f>IF(TOTALCO!O356="", "",TOTALCO!O356)</f>
        <v>0</v>
      </c>
      <c r="P1232" s="14">
        <f>IF(TOTALCO!P356="", "",TOTALCO!P356)</f>
        <v>0</v>
      </c>
      <c r="Q1232" s="14"/>
    </row>
    <row r="1233" spans="1:17" ht="15" x14ac:dyDescent="0.2">
      <c r="A1233" s="321">
        <f>IF(TOTALCO!A357="", "",TOTALCO!A357)</f>
        <v>17</v>
      </c>
      <c r="B1233" s="4" t="str">
        <f>IF(TOTALCO!B357="", "",TOTALCO!B357)</f>
        <v>DIR ASSIGN 913-ADVERTISING</v>
      </c>
      <c r="C1233" s="4" t="str">
        <f>IF(TOTALCO!C357="", "",TOTALCO!C357)</f>
        <v>CUST913</v>
      </c>
      <c r="D1233" s="14">
        <f>IF(TOTALCO!D357="", "",TOTALCO!D357)</f>
        <v>1</v>
      </c>
      <c r="E1233" s="14" t="str">
        <f>IF(TOTALCO!E357="", "",TOTALCO!E357)</f>
        <v/>
      </c>
      <c r="F1233" s="14">
        <f>IF(TOTALCO!F357="", "",TOTALCO!F357)</f>
        <v>0.94892097697757327</v>
      </c>
      <c r="G1233" s="14" t="str">
        <f>IF(TOTALCO!G357="", "",TOTALCO!G357)</f>
        <v/>
      </c>
      <c r="H1233" s="14">
        <f>IF(TOTALCO!H357="", "",TOTALCO!H357)</f>
        <v>5.1073574787019398E-2</v>
      </c>
      <c r="I1233" s="14">
        <f>IF(TOTALCO!I357="", "",TOTALCO!I357)</f>
        <v>5.4482354073554811E-6</v>
      </c>
      <c r="J1233" s="14" t="str">
        <f>IF(TOTALCO!J357="", "",TOTALCO!J357)</f>
        <v/>
      </c>
      <c r="K1233" s="14" t="str">
        <f>IF(TOTALCO!K357="", "",TOTALCO!K357)</f>
        <v/>
      </c>
      <c r="L1233" s="14">
        <f>IF(TOTALCO!L357="", "",TOTALCO!L357)</f>
        <v>5.4482354073554811E-6</v>
      </c>
      <c r="M1233" s="14" t="str">
        <f>IF(TOTALCO!M357="", "",TOTALCO!M357)</f>
        <v/>
      </c>
      <c r="N1233" s="14">
        <f>IF(TOTALCO!N357="", "",TOTALCO!N357)</f>
        <v>0</v>
      </c>
      <c r="O1233" s="14">
        <f>IF(TOTALCO!O357="", "",TOTALCO!O357)</f>
        <v>0</v>
      </c>
      <c r="P1233" s="14">
        <f>IF(TOTALCO!P357="", "",TOTALCO!P357)</f>
        <v>0</v>
      </c>
      <c r="Q1233" s="14"/>
    </row>
    <row r="1234" spans="1:17" ht="15" x14ac:dyDescent="0.2">
      <c r="A1234" s="321">
        <f>IF(TOTALCO!A358="", "",TOTALCO!A358)</f>
        <v>18</v>
      </c>
      <c r="B1234" s="4" t="str">
        <f>IF(TOTALCO!B358="", "",TOTALCO!B358)</f>
        <v>CUSTOMER ANNUALIZATION</v>
      </c>
      <c r="C1234" s="4" t="str">
        <f>IF(TOTALCO!C358="", "",TOTALCO!C358)</f>
        <v>CUSTANN</v>
      </c>
      <c r="D1234" s="14">
        <f>IF(TOTALCO!D358="", "",TOTALCO!D358)</f>
        <v>0</v>
      </c>
      <c r="E1234" s="14" t="str">
        <f>IF(TOTALCO!E358="", "",TOTALCO!E358)</f>
        <v/>
      </c>
      <c r="F1234" s="14">
        <f>IF(TOTALCO!F358="", "",TOTALCO!F358)</f>
        <v>0</v>
      </c>
      <c r="G1234" s="14" t="str">
        <f>IF(TOTALCO!G358="", "",TOTALCO!G358)</f>
        <v/>
      </c>
      <c r="H1234" s="14">
        <f>IF(TOTALCO!H358="", "",TOTALCO!H358)</f>
        <v>0</v>
      </c>
      <c r="I1234" s="14">
        <f>IF(TOTALCO!I358="", "",TOTALCO!I358)</f>
        <v>0</v>
      </c>
      <c r="J1234" s="14" t="str">
        <f>IF(TOTALCO!J358="", "",TOTALCO!J358)</f>
        <v/>
      </c>
      <c r="K1234" s="14" t="str">
        <f>IF(TOTALCO!K358="", "",TOTALCO!K358)</f>
        <v/>
      </c>
      <c r="L1234" s="14">
        <f>IF(TOTALCO!L358="", "",TOTALCO!L358)</f>
        <v>0</v>
      </c>
      <c r="M1234" s="14" t="str">
        <f>IF(TOTALCO!M358="", "",TOTALCO!M358)</f>
        <v/>
      </c>
      <c r="N1234" s="14">
        <f>IF(TOTALCO!N358="", "",TOTALCO!N358)</f>
        <v>0</v>
      </c>
      <c r="O1234" s="14">
        <f>IF(TOTALCO!O358="", "",TOTALCO!O358)</f>
        <v>0</v>
      </c>
      <c r="P1234" s="14">
        <f>IF(TOTALCO!P358="", "",TOTALCO!P358)</f>
        <v>0</v>
      </c>
      <c r="Q1234" s="14"/>
    </row>
    <row r="1235" spans="1:17" ht="15" x14ac:dyDescent="0.2">
      <c r="A1235" s="321">
        <f>IF(TOTALCO!A359="", "",TOTALCO!A359)</f>
        <v>19</v>
      </c>
      <c r="B1235" s="4" t="str">
        <f>IF(TOTALCO!B359="", "",TOTALCO!B359)</f>
        <v>CUSTOMER DEPOSITS INTEREST</v>
      </c>
      <c r="C1235" s="4" t="str">
        <f>IF(TOTALCO!C359="", "",TOTALCO!C359)</f>
        <v>CUSTDEPI</v>
      </c>
      <c r="D1235" s="14">
        <f>IF(TOTALCO!D359="", "",TOTALCO!D359)</f>
        <v>0.99999999999999989</v>
      </c>
      <c r="E1235" s="14" t="str">
        <f>IF(TOTALCO!E359="", "",TOTALCO!E359)</f>
        <v/>
      </c>
      <c r="F1235" s="14">
        <f>IF(TOTALCO!F359="", "",TOTALCO!F359)</f>
        <v>0.94970899810523679</v>
      </c>
      <c r="G1235" s="14" t="str">
        <f>IF(TOTALCO!G359="", "",TOTALCO!G359)</f>
        <v/>
      </c>
      <c r="H1235" s="14">
        <f>IF(TOTALCO!H359="", "",TOTALCO!H359)</f>
        <v>5.0291001894763092E-2</v>
      </c>
      <c r="I1235" s="14">
        <f>IF(TOTALCO!I359="", "",TOTALCO!I359)</f>
        <v>0</v>
      </c>
      <c r="J1235" s="14" t="str">
        <f>IF(TOTALCO!J359="", "",TOTALCO!J359)</f>
        <v/>
      </c>
      <c r="K1235" s="14" t="str">
        <f>IF(TOTALCO!K359="", "",TOTALCO!K359)</f>
        <v/>
      </c>
      <c r="L1235" s="14">
        <f>IF(TOTALCO!L359="", "",TOTALCO!L359)</f>
        <v>0</v>
      </c>
      <c r="M1235" s="14" t="str">
        <f>IF(TOTALCO!M359="", "",TOTALCO!M359)</f>
        <v/>
      </c>
      <c r="N1235" s="14">
        <f>IF(TOTALCO!N359="", "",TOTALCO!N359)</f>
        <v>0</v>
      </c>
      <c r="O1235" s="14">
        <f>IF(TOTALCO!O359="", "",TOTALCO!O359)</f>
        <v>0</v>
      </c>
      <c r="P1235" s="14">
        <f>IF(TOTALCO!P359="", "",TOTALCO!P359)</f>
        <v>0</v>
      </c>
      <c r="Q1235" s="14"/>
    </row>
    <row r="1236" spans="1:17" ht="15" x14ac:dyDescent="0.2">
      <c r="A1236" s="321">
        <f>IF(TOTALCO!A360="", "",TOTALCO!A360)</f>
        <v>20</v>
      </c>
      <c r="B1236" s="4" t="str">
        <f>IF(TOTALCO!B360="", "",TOTALCO!B360)</f>
        <v>LATE PAYMENT REVENUES</v>
      </c>
      <c r="C1236" s="4" t="str">
        <f>IF(TOTALCO!C360="", "",TOTALCO!C360)</f>
        <v>DIR450REV</v>
      </c>
      <c r="D1236" s="14">
        <f>IF(TOTALCO!D360="", "",TOTALCO!D360)</f>
        <v>0.99999999999999978</v>
      </c>
      <c r="E1236" s="14" t="str">
        <f>IF(TOTALCO!E360="", "",TOTALCO!E360)</f>
        <v/>
      </c>
      <c r="F1236" s="14">
        <f>IF(TOTALCO!F360="", "",TOTALCO!F360)</f>
        <v>0.95987638026960376</v>
      </c>
      <c r="G1236" s="14" t="str">
        <f>IF(TOTALCO!G360="", "",TOTALCO!G360)</f>
        <v/>
      </c>
      <c r="H1236" s="14">
        <f>IF(TOTALCO!H360="", "",TOTALCO!H360)</f>
        <v>4.0100296926837746E-2</v>
      </c>
      <c r="I1236" s="14">
        <f>IF(TOTALCO!I360="", "",TOTALCO!I360)</f>
        <v>2.3322803558340756E-5</v>
      </c>
      <c r="J1236" s="14" t="str">
        <f>IF(TOTALCO!J360="", "",TOTALCO!J360)</f>
        <v/>
      </c>
      <c r="K1236" s="14" t="str">
        <f>IF(TOTALCO!K360="", "",TOTALCO!K360)</f>
        <v/>
      </c>
      <c r="L1236" s="14">
        <f>IF(TOTALCO!L360="", "",TOTALCO!L360)</f>
        <v>0</v>
      </c>
      <c r="M1236" s="14" t="str">
        <f>IF(TOTALCO!M360="", "",TOTALCO!M360)</f>
        <v/>
      </c>
      <c r="N1236" s="14">
        <f>IF(TOTALCO!N360="", "",TOTALCO!N360)</f>
        <v>2.3322803558340756E-5</v>
      </c>
      <c r="O1236" s="14">
        <f>IF(TOTALCO!O360="", "",TOTALCO!O360)</f>
        <v>1.4544651268114408E-6</v>
      </c>
      <c r="P1236" s="14">
        <f>IF(TOTALCO!P360="", "",TOTALCO!P360)</f>
        <v>2.1868338431529316E-5</v>
      </c>
      <c r="Q1236" s="14"/>
    </row>
    <row r="1237" spans="1:17" ht="15" x14ac:dyDescent="0.2">
      <c r="A1237" s="321">
        <f>IF(TOTALCO!A361="", "",TOTALCO!A361)</f>
        <v>21</v>
      </c>
      <c r="B1237" s="4" t="str">
        <f>IF(TOTALCO!B361="", "",TOTALCO!B361)</f>
        <v/>
      </c>
      <c r="C1237" s="4" t="str">
        <f>IF(TOTALCO!C361="", "",TOTALCO!C361)</f>
        <v/>
      </c>
      <c r="D1237" s="14" t="str">
        <f>IF(TOTALCO!D361="", "",TOTALCO!D361)</f>
        <v/>
      </c>
      <c r="E1237" s="14" t="str">
        <f>IF(TOTALCO!E361="", "",TOTALCO!E361)</f>
        <v/>
      </c>
      <c r="F1237" s="14" t="str">
        <f>IF(TOTALCO!F361="", "",TOTALCO!F361)</f>
        <v/>
      </c>
      <c r="G1237" s="14" t="str">
        <f>IF(TOTALCO!G361="", "",TOTALCO!G361)</f>
        <v/>
      </c>
      <c r="H1237" s="14" t="str">
        <f>IF(TOTALCO!H361="", "",TOTALCO!H361)</f>
        <v/>
      </c>
      <c r="I1237" s="14" t="str">
        <f>IF(TOTALCO!I361="", "",TOTALCO!I361)</f>
        <v/>
      </c>
      <c r="J1237" s="14" t="str">
        <f>IF(TOTALCO!J361="", "",TOTALCO!J361)</f>
        <v/>
      </c>
      <c r="K1237" s="14" t="str">
        <f>IF(TOTALCO!K361="", "",TOTALCO!K361)</f>
        <v/>
      </c>
      <c r="L1237" s="14" t="str">
        <f>IF(TOTALCO!L361="", "",TOTALCO!L361)</f>
        <v/>
      </c>
      <c r="M1237" s="14" t="str">
        <f>IF(TOTALCO!M361="", "",TOTALCO!M361)</f>
        <v/>
      </c>
      <c r="N1237" s="14" t="str">
        <f>IF(TOTALCO!N361="", "",TOTALCO!N361)</f>
        <v/>
      </c>
      <c r="O1237" s="14" t="str">
        <f>IF(TOTALCO!O361="", "",TOTALCO!O361)</f>
        <v/>
      </c>
      <c r="P1237" s="14" t="str">
        <f>IF(TOTALCO!P361="", "",TOTALCO!P361)</f>
        <v/>
      </c>
      <c r="Q1237" s="14"/>
    </row>
    <row r="1238" spans="1:17" ht="15" x14ac:dyDescent="0.2">
      <c r="A1238" s="321">
        <f>IF(TOTALCO!A362="", "",TOTALCO!A362)</f>
        <v>22</v>
      </c>
      <c r="B1238" s="4" t="str">
        <f>IF(TOTALCO!B362="", "",TOTALCO!B362)</f>
        <v/>
      </c>
      <c r="C1238" s="4" t="str">
        <f>IF(TOTALCO!C362="", "",TOTALCO!C362)</f>
        <v/>
      </c>
      <c r="D1238" s="14" t="str">
        <f>IF(TOTALCO!D362="", "",TOTALCO!D362)</f>
        <v/>
      </c>
      <c r="E1238" s="14" t="str">
        <f>IF(TOTALCO!E362="", "",TOTALCO!E362)</f>
        <v/>
      </c>
      <c r="F1238" s="14" t="str">
        <f>IF(TOTALCO!F362="", "",TOTALCO!F362)</f>
        <v/>
      </c>
      <c r="G1238" s="14" t="str">
        <f>IF(TOTALCO!G362="", "",TOTALCO!G362)</f>
        <v/>
      </c>
      <c r="H1238" s="14" t="str">
        <f>IF(TOTALCO!H362="", "",TOTALCO!H362)</f>
        <v/>
      </c>
      <c r="I1238" s="14" t="str">
        <f>IF(TOTALCO!I362="", "",TOTALCO!I362)</f>
        <v/>
      </c>
      <c r="J1238" s="14" t="str">
        <f>IF(TOTALCO!J362="", "",TOTALCO!J362)</f>
        <v/>
      </c>
      <c r="K1238" s="14" t="str">
        <f>IF(TOTALCO!K362="", "",TOTALCO!K362)</f>
        <v/>
      </c>
      <c r="L1238" s="14" t="str">
        <f>IF(TOTALCO!L362="", "",TOTALCO!L362)</f>
        <v/>
      </c>
      <c r="M1238" s="14" t="str">
        <f>IF(TOTALCO!M362="", "",TOTALCO!M362)</f>
        <v/>
      </c>
      <c r="N1238" s="14" t="str">
        <f>IF(TOTALCO!N362="", "",TOTALCO!N362)</f>
        <v/>
      </c>
      <c r="O1238" s="14" t="str">
        <f>IF(TOTALCO!O362="", "",TOTALCO!O362)</f>
        <v/>
      </c>
      <c r="P1238" s="14" t="str">
        <f>IF(TOTALCO!P362="", "",TOTALCO!P362)</f>
        <v/>
      </c>
      <c r="Q1238" s="14"/>
    </row>
    <row r="1239" spans="1:17" ht="15" x14ac:dyDescent="0.2">
      <c r="A1239" s="321">
        <f>IF(TOTALCO!A363="", "",TOTALCO!A363)</f>
        <v>23</v>
      </c>
      <c r="B1239" s="4" t="str">
        <f>IF(TOTALCO!B363="", "",TOTALCO!B363)</f>
        <v/>
      </c>
      <c r="C1239" s="4" t="str">
        <f>IF(TOTALCO!C363="", "",TOTALCO!C363)</f>
        <v/>
      </c>
      <c r="D1239" s="14" t="str">
        <f>IF(TOTALCO!D363="", "",TOTALCO!D363)</f>
        <v/>
      </c>
      <c r="E1239" s="14" t="str">
        <f>IF(TOTALCO!E363="", "",TOTALCO!E363)</f>
        <v/>
      </c>
      <c r="F1239" s="14" t="str">
        <f>IF(TOTALCO!F363="", "",TOTALCO!F363)</f>
        <v/>
      </c>
      <c r="G1239" s="14" t="str">
        <f>IF(TOTALCO!G363="", "",TOTALCO!G363)</f>
        <v/>
      </c>
      <c r="H1239" s="14" t="str">
        <f>IF(TOTALCO!H363="", "",TOTALCO!H363)</f>
        <v/>
      </c>
      <c r="I1239" s="14" t="str">
        <f>IF(TOTALCO!I363="", "",TOTALCO!I363)</f>
        <v/>
      </c>
      <c r="J1239" s="14" t="str">
        <f>IF(TOTALCO!J363="", "",TOTALCO!J363)</f>
        <v/>
      </c>
      <c r="K1239" s="14" t="str">
        <f>IF(TOTALCO!K363="", "",TOTALCO!K363)</f>
        <v/>
      </c>
      <c r="L1239" s="14" t="str">
        <f>IF(TOTALCO!L363="", "",TOTALCO!L363)</f>
        <v/>
      </c>
      <c r="M1239" s="14" t="str">
        <f>IF(TOTALCO!M363="", "",TOTALCO!M363)</f>
        <v/>
      </c>
      <c r="N1239" s="14" t="str">
        <f>IF(TOTALCO!N363="", "",TOTALCO!N363)</f>
        <v/>
      </c>
      <c r="O1239" s="14" t="str">
        <f>IF(TOTALCO!O363="", "",TOTALCO!O363)</f>
        <v/>
      </c>
      <c r="P1239" s="14" t="str">
        <f>IF(TOTALCO!P363="", "",TOTALCO!P363)</f>
        <v/>
      </c>
      <c r="Q1239" s="14"/>
    </row>
    <row r="1240" spans="1:17" ht="15" x14ac:dyDescent="0.2">
      <c r="A1240" s="321">
        <f>IF(TOTALCO!A364="", "",TOTALCO!A364)</f>
        <v>24</v>
      </c>
      <c r="B1240" s="4" t="str">
        <f>IF(TOTALCO!B364="", "",TOTALCO!B364)</f>
        <v/>
      </c>
      <c r="C1240" s="4" t="str">
        <f>IF(TOTALCO!C364="", "",TOTALCO!C364)</f>
        <v/>
      </c>
      <c r="D1240" s="14" t="str">
        <f>IF(TOTALCO!D364="", "",TOTALCO!D364)</f>
        <v/>
      </c>
      <c r="E1240" s="14" t="str">
        <f>IF(TOTALCO!E364="", "",TOTALCO!E364)</f>
        <v/>
      </c>
      <c r="F1240" s="14" t="str">
        <f>IF(TOTALCO!F364="", "",TOTALCO!F364)</f>
        <v/>
      </c>
      <c r="G1240" s="14" t="str">
        <f>IF(TOTALCO!G364="", "",TOTALCO!G364)</f>
        <v/>
      </c>
      <c r="H1240" s="14" t="str">
        <f>IF(TOTALCO!H364="", "",TOTALCO!H364)</f>
        <v/>
      </c>
      <c r="I1240" s="14" t="str">
        <f>IF(TOTALCO!I364="", "",TOTALCO!I364)</f>
        <v/>
      </c>
      <c r="J1240" s="14" t="str">
        <f>IF(TOTALCO!J364="", "",TOTALCO!J364)</f>
        <v/>
      </c>
      <c r="K1240" s="14" t="str">
        <f>IF(TOTALCO!K364="", "",TOTALCO!K364)</f>
        <v/>
      </c>
      <c r="L1240" s="14" t="str">
        <f>IF(TOTALCO!L364="", "",TOTALCO!L364)</f>
        <v/>
      </c>
      <c r="M1240" s="14" t="str">
        <f>IF(TOTALCO!M364="", "",TOTALCO!M364)</f>
        <v/>
      </c>
      <c r="N1240" s="14" t="str">
        <f>IF(TOTALCO!N364="", "",TOTALCO!N364)</f>
        <v/>
      </c>
      <c r="O1240" s="14" t="str">
        <f>IF(TOTALCO!O364="", "",TOTALCO!O364)</f>
        <v/>
      </c>
      <c r="P1240" s="14" t="str">
        <f>IF(TOTALCO!P364="", "",TOTALCO!P364)</f>
        <v/>
      </c>
      <c r="Q1240" s="14"/>
    </row>
    <row r="1241" spans="1:17" ht="15" x14ac:dyDescent="0.2">
      <c r="A1241" s="321">
        <f>IF(TOTALCO!A365="", "",TOTALCO!A365)</f>
        <v>25</v>
      </c>
      <c r="B1241" s="4" t="str">
        <f>IF(TOTALCO!B365="", "",TOTALCO!B365)</f>
        <v/>
      </c>
      <c r="C1241" s="4" t="str">
        <f>IF(TOTALCO!C365="", "",TOTALCO!C365)</f>
        <v/>
      </c>
      <c r="D1241" s="14" t="str">
        <f>IF(TOTALCO!D365="", "",TOTALCO!D365)</f>
        <v/>
      </c>
      <c r="E1241" s="14" t="str">
        <f>IF(TOTALCO!E365="", "",TOTALCO!E365)</f>
        <v/>
      </c>
      <c r="F1241" s="14" t="str">
        <f>IF(TOTALCO!F365="", "",TOTALCO!F365)</f>
        <v/>
      </c>
      <c r="G1241" s="14" t="str">
        <f>IF(TOTALCO!G365="", "",TOTALCO!G365)</f>
        <v/>
      </c>
      <c r="H1241" s="14" t="str">
        <f>IF(TOTALCO!H365="", "",TOTALCO!H365)</f>
        <v/>
      </c>
      <c r="I1241" s="14" t="str">
        <f>IF(TOTALCO!I365="", "",TOTALCO!I365)</f>
        <v/>
      </c>
      <c r="J1241" s="14" t="str">
        <f>IF(TOTALCO!J365="", "",TOTALCO!J365)</f>
        <v/>
      </c>
      <c r="K1241" s="14" t="str">
        <f>IF(TOTALCO!K365="", "",TOTALCO!K365)</f>
        <v/>
      </c>
      <c r="L1241" s="14" t="str">
        <f>IF(TOTALCO!L365="", "",TOTALCO!L365)</f>
        <v/>
      </c>
      <c r="M1241" s="14" t="str">
        <f>IF(TOTALCO!M365="", "",TOTALCO!M365)</f>
        <v/>
      </c>
      <c r="N1241" s="14" t="str">
        <f>IF(TOTALCO!N365="", "",TOTALCO!N365)</f>
        <v/>
      </c>
      <c r="O1241" s="14" t="str">
        <f>IF(TOTALCO!O365="", "",TOTALCO!O365)</f>
        <v/>
      </c>
      <c r="P1241" s="14" t="str">
        <f>IF(TOTALCO!P365="", "",TOTALCO!P365)</f>
        <v/>
      </c>
      <c r="Q1241" s="14"/>
    </row>
    <row r="1242" spans="1:17" ht="15" x14ac:dyDescent="0.2">
      <c r="A1242" s="321" t="str">
        <f>IF(TOTALCO!A366="", "",TOTALCO!A366)</f>
        <v/>
      </c>
      <c r="B1242" s="4" t="str">
        <f>IF(TOTALCO!B366="", "",TOTALCO!B366)</f>
        <v/>
      </c>
      <c r="C1242" s="4" t="str">
        <f>IF(TOTALCO!C366="", "",TOTALCO!C366)</f>
        <v/>
      </c>
      <c r="D1242" s="14" t="str">
        <f>IF(TOTALCO!D366="", "",TOTALCO!D366)</f>
        <v/>
      </c>
      <c r="E1242" s="14" t="str">
        <f>IF(TOTALCO!E366="", "",TOTALCO!E366)</f>
        <v/>
      </c>
      <c r="F1242" s="14" t="str">
        <f>IF(TOTALCO!F366="", "",TOTALCO!F366)</f>
        <v/>
      </c>
      <c r="G1242" s="14" t="str">
        <f>IF(TOTALCO!G366="", "",TOTALCO!G366)</f>
        <v/>
      </c>
      <c r="H1242" s="14" t="str">
        <f>IF(TOTALCO!H366="", "",TOTALCO!H366)</f>
        <v/>
      </c>
      <c r="I1242" s="14" t="str">
        <f>IF(TOTALCO!I366="", "",TOTALCO!I366)</f>
        <v/>
      </c>
      <c r="J1242" s="14" t="str">
        <f>IF(TOTALCO!J366="", "",TOTALCO!J366)</f>
        <v/>
      </c>
      <c r="K1242" s="14" t="str">
        <f>IF(TOTALCO!K366="", "",TOTALCO!K366)</f>
        <v/>
      </c>
      <c r="L1242" s="14" t="str">
        <f>IF(TOTALCO!L366="", "",TOTALCO!L366)</f>
        <v/>
      </c>
      <c r="M1242" s="14" t="str">
        <f>IF(TOTALCO!M366="", "",TOTALCO!M366)</f>
        <v/>
      </c>
      <c r="N1242" s="14" t="str">
        <f>IF(TOTALCO!N366="", "",TOTALCO!N366)</f>
        <v/>
      </c>
      <c r="O1242" s="14" t="str">
        <f>IF(TOTALCO!O366="", "",TOTALCO!O366)</f>
        <v/>
      </c>
      <c r="P1242" s="14" t="str">
        <f>IF(TOTALCO!P366="", "",TOTALCO!P366)</f>
        <v/>
      </c>
      <c r="Q1242" s="14"/>
    </row>
    <row r="1243" spans="1:17" ht="15" x14ac:dyDescent="0.2">
      <c r="A1243" s="321" t="str">
        <f>IF(TOTALCO!A367="", "",TOTALCO!A367)</f>
        <v/>
      </c>
      <c r="B1243" s="4" t="str">
        <f>IF(TOTALCO!B367="", "",TOTALCO!B367)</f>
        <v>INTERNALLY DEVELOPED</v>
      </c>
      <c r="C1243" s="4" t="str">
        <f>IF(TOTALCO!C367="", "",TOTALCO!C367)</f>
        <v/>
      </c>
      <c r="D1243" s="14" t="str">
        <f>IF(TOTALCO!D367="", "",TOTALCO!D367)</f>
        <v/>
      </c>
      <c r="E1243" s="14" t="str">
        <f>IF(TOTALCO!E367="", "",TOTALCO!E367)</f>
        <v/>
      </c>
      <c r="F1243" s="14" t="str">
        <f>IF(TOTALCO!F367="", "",TOTALCO!F367)</f>
        <v/>
      </c>
      <c r="G1243" s="14" t="str">
        <f>IF(TOTALCO!G367="", "",TOTALCO!G367)</f>
        <v/>
      </c>
      <c r="H1243" s="14" t="str">
        <f>IF(TOTALCO!H367="", "",TOTALCO!H367)</f>
        <v/>
      </c>
      <c r="I1243" s="14" t="str">
        <f>IF(TOTALCO!I367="", "",TOTALCO!I367)</f>
        <v/>
      </c>
      <c r="J1243" s="14" t="str">
        <f>IF(TOTALCO!J367="", "",TOTALCO!J367)</f>
        <v/>
      </c>
      <c r="K1243" s="14" t="str">
        <f>IF(TOTALCO!K367="", "",TOTALCO!K367)</f>
        <v/>
      </c>
      <c r="L1243" s="14" t="str">
        <f>IF(TOTALCO!L367="", "",TOTALCO!L367)</f>
        <v/>
      </c>
      <c r="M1243" s="14" t="str">
        <f>IF(TOTALCO!M367="", "",TOTALCO!M367)</f>
        <v/>
      </c>
      <c r="N1243" s="14" t="str">
        <f>IF(TOTALCO!N367="", "",TOTALCO!N367)</f>
        <v/>
      </c>
      <c r="O1243" s="14" t="str">
        <f>IF(TOTALCO!O367="", "",TOTALCO!O367)</f>
        <v/>
      </c>
      <c r="P1243" s="14" t="str">
        <f>IF(TOTALCO!P367="", "",TOTALCO!P367)</f>
        <v/>
      </c>
      <c r="Q1243" s="14"/>
    </row>
    <row r="1244" spans="1:17" ht="15" x14ac:dyDescent="0.2">
      <c r="A1244" s="321" t="str">
        <f>IF(TOTALCO!A368="", "",TOTALCO!A368)</f>
        <v/>
      </c>
      <c r="B1244" s="4" t="str">
        <f>IF(TOTALCO!B368="", "",TOTALCO!B368)</f>
        <v>-</v>
      </c>
      <c r="C1244" s="4" t="str">
        <f>IF(TOTALCO!C368="", "",TOTALCO!C368)</f>
        <v/>
      </c>
      <c r="D1244" s="14" t="str">
        <f>IF(TOTALCO!D368="", "",TOTALCO!D368)</f>
        <v/>
      </c>
      <c r="E1244" s="14" t="str">
        <f>IF(TOTALCO!E368="", "",TOTALCO!E368)</f>
        <v/>
      </c>
      <c r="F1244" s="14" t="str">
        <f>IF(TOTALCO!F368="", "",TOTALCO!F368)</f>
        <v/>
      </c>
      <c r="G1244" s="14" t="str">
        <f>IF(TOTALCO!G368="", "",TOTALCO!G368)</f>
        <v/>
      </c>
      <c r="H1244" s="14" t="str">
        <f>IF(TOTALCO!H368="", "",TOTALCO!H368)</f>
        <v/>
      </c>
      <c r="I1244" s="14" t="str">
        <f>IF(TOTALCO!I368="", "",TOTALCO!I368)</f>
        <v/>
      </c>
      <c r="J1244" s="14" t="str">
        <f>IF(TOTALCO!J368="", "",TOTALCO!J368)</f>
        <v/>
      </c>
      <c r="K1244" s="14" t="str">
        <f>IF(TOTALCO!K368="", "",TOTALCO!K368)</f>
        <v/>
      </c>
      <c r="L1244" s="14" t="str">
        <f>IF(TOTALCO!L368="", "",TOTALCO!L368)</f>
        <v/>
      </c>
      <c r="M1244" s="14" t="str">
        <f>IF(TOTALCO!M368="", "",TOTALCO!M368)</f>
        <v/>
      </c>
      <c r="N1244" s="14" t="str">
        <f>IF(TOTALCO!N368="", "",TOTALCO!N368)</f>
        <v/>
      </c>
      <c r="O1244" s="14" t="str">
        <f>IF(TOTALCO!O368="", "",TOTALCO!O368)</f>
        <v/>
      </c>
      <c r="P1244" s="14" t="str">
        <f>IF(TOTALCO!P368="", "",TOTALCO!P368)</f>
        <v/>
      </c>
      <c r="Q1244" s="14"/>
    </row>
    <row r="1245" spans="1:17" ht="15" x14ac:dyDescent="0.2">
      <c r="A1245" s="321">
        <f>IF(TOTALCO!A369="", "",TOTALCO!A369)</f>
        <v>1</v>
      </c>
      <c r="B1245" s="4" t="str">
        <f>IF(TOTALCO!B369="", "",TOTALCO!B369)</f>
        <v>PROD-TRANSM-DISTR-GENL PLT</v>
      </c>
      <c r="C1245" s="4" t="str">
        <f>IF(TOTALCO!C369="", "",TOTALCO!C369)</f>
        <v>PTDGPLT</v>
      </c>
      <c r="D1245" s="14">
        <f ca="1">IF(TOTALCO!D369="", "",TOTALCO!D369)</f>
        <v>1</v>
      </c>
      <c r="E1245" s="14" t="str">
        <f>IF(TOTALCO!E369="", "",TOTALCO!E369)</f>
        <v/>
      </c>
      <c r="F1245" s="14">
        <f ca="1">IF(TOTALCO!F369="", "",TOTALCO!F369)</f>
        <v>0.93497392644834365</v>
      </c>
      <c r="G1245" s="14" t="str">
        <f>IF(TOTALCO!G369="", "",TOTALCO!G369)</f>
        <v/>
      </c>
      <c r="H1245" s="14">
        <f ca="1">IF(TOTALCO!H369="", "",TOTALCO!H369)</f>
        <v>5.0476160754164702E-2</v>
      </c>
      <c r="I1245" s="14">
        <f ca="1">IF(TOTALCO!I369="", "",TOTALCO!I369)</f>
        <v>1.4549912797491588E-2</v>
      </c>
      <c r="J1245" s="14" t="str">
        <f>IF(TOTALCO!J369="", "",TOTALCO!J369)</f>
        <v/>
      </c>
      <c r="K1245" s="14" t="str">
        <f>IF(TOTALCO!K369="", "",TOTALCO!K369)</f>
        <v/>
      </c>
      <c r="L1245" s="14">
        <f ca="1">IF(TOTALCO!L369="", "",TOTALCO!L369)</f>
        <v>6.8723384602869679E-5</v>
      </c>
      <c r="M1245" s="14" t="str">
        <f>IF(TOTALCO!M369="", "",TOTALCO!M369)</f>
        <v/>
      </c>
      <c r="N1245" s="14">
        <f ca="1">IF(TOTALCO!N369="", "",TOTALCO!N369)</f>
        <v>1.4481189412888718E-2</v>
      </c>
      <c r="O1245" s="14">
        <f ca="1">IF(TOTALCO!O369="", "",TOTALCO!O369)</f>
        <v>7.5267125300415303E-3</v>
      </c>
      <c r="P1245" s="14">
        <f ca="1">IF(TOTALCO!P369="", "",TOTALCO!P369)</f>
        <v>6.9544768828471888E-3</v>
      </c>
      <c r="Q1245" s="14"/>
    </row>
    <row r="1246" spans="1:17" ht="15" x14ac:dyDescent="0.2">
      <c r="A1246" s="321">
        <f>IF(TOTALCO!A370="", "",TOTALCO!A370)</f>
        <v>2</v>
      </c>
      <c r="B1246" s="4" t="str">
        <f>IF(TOTALCO!B370="", "",TOTALCO!B370)</f>
        <v>PROD-TRANSM-DISTR-GENL PLT KY</v>
      </c>
      <c r="C1246" s="4" t="str">
        <f>IF(TOTALCO!C370="", "",TOTALCO!C370)</f>
        <v>KURETPLT</v>
      </c>
      <c r="D1246" s="14">
        <f ca="1">IF(TOTALCO!D370="", "",TOTALCO!D370)</f>
        <v>1</v>
      </c>
      <c r="E1246" s="14" t="str">
        <f>IF(TOTALCO!E370="", "",TOTALCO!E370)</f>
        <v/>
      </c>
      <c r="F1246" s="14">
        <f ca="1">IF(TOTALCO!F370="", "",TOTALCO!F370)</f>
        <v>1</v>
      </c>
      <c r="G1246" s="14" t="str">
        <f>IF(TOTALCO!G370="", "",TOTALCO!G370)</f>
        <v/>
      </c>
      <c r="H1246" s="14">
        <f>IF(TOTALCO!H370="", "",TOTALCO!H370)</f>
        <v>0</v>
      </c>
      <c r="I1246" s="14">
        <f>IF(TOTALCO!I370="", "",TOTALCO!I370)</f>
        <v>0</v>
      </c>
      <c r="J1246" s="14" t="str">
        <f>IF(TOTALCO!J370="", "",TOTALCO!J370)</f>
        <v/>
      </c>
      <c r="K1246" s="14" t="str">
        <f>IF(TOTALCO!K370="", "",TOTALCO!K370)</f>
        <v/>
      </c>
      <c r="L1246" s="14">
        <f>IF(TOTALCO!L370="", "",TOTALCO!L370)</f>
        <v>0</v>
      </c>
      <c r="M1246" s="14" t="str">
        <f>IF(TOTALCO!M370="", "",TOTALCO!M370)</f>
        <v/>
      </c>
      <c r="N1246" s="14">
        <f>IF(TOTALCO!N370="", "",TOTALCO!N370)</f>
        <v>0</v>
      </c>
      <c r="O1246" s="14">
        <f>IF(TOTALCO!O370="", "",TOTALCO!O370)</f>
        <v>0</v>
      </c>
      <c r="P1246" s="14">
        <f>IF(TOTALCO!P370="", "",TOTALCO!P370)</f>
        <v>0</v>
      </c>
      <c r="Q1246" s="14"/>
    </row>
    <row r="1247" spans="1:17" ht="15" x14ac:dyDescent="0.2">
      <c r="A1247" s="321">
        <f>IF(TOTALCO!A371="", "",TOTALCO!A371)</f>
        <v>3</v>
      </c>
      <c r="B1247" s="4" t="str">
        <f>IF(TOTALCO!B371="", "",TOTALCO!B371)</f>
        <v>ALLOCATED O&amp;M LABOR EXPENSE</v>
      </c>
      <c r="C1247" s="4" t="str">
        <f>IF(TOTALCO!C371="", "",TOTALCO!C371)</f>
        <v>LABOR</v>
      </c>
      <c r="D1247" s="14">
        <f ca="1">IF(TOTALCO!D371="", "",TOTALCO!D371)</f>
        <v>1</v>
      </c>
      <c r="E1247" s="14" t="str">
        <f>IF(TOTALCO!E371="", "",TOTALCO!E371)</f>
        <v/>
      </c>
      <c r="F1247" s="14">
        <f ca="1">IF(TOTALCO!F371="", "",TOTALCO!F371)</f>
        <v>0.94067565257416896</v>
      </c>
      <c r="G1247" s="14" t="str">
        <f>IF(TOTALCO!G371="", "",TOTALCO!G371)</f>
        <v/>
      </c>
      <c r="H1247" s="14">
        <f ca="1">IF(TOTALCO!H371="", "",TOTALCO!H371)</f>
        <v>4.7347795471836499E-2</v>
      </c>
      <c r="I1247" s="14">
        <f ca="1">IF(TOTALCO!I371="", "",TOTALCO!I371)</f>
        <v>1.1976551953994448E-2</v>
      </c>
      <c r="J1247" s="14" t="str">
        <f>IF(TOTALCO!J371="", "",TOTALCO!J371)</f>
        <v/>
      </c>
      <c r="K1247" s="14" t="str">
        <f>IF(TOTALCO!K371="", "",TOTALCO!K371)</f>
        <v/>
      </c>
      <c r="L1247" s="14">
        <f ca="1">IF(TOTALCO!L371="", "",TOTALCO!L371)</f>
        <v>6.738185189510643E-5</v>
      </c>
      <c r="M1247" s="14" t="str">
        <f>IF(TOTALCO!M371="", "",TOTALCO!M371)</f>
        <v/>
      </c>
      <c r="N1247" s="14">
        <f ca="1">IF(TOTALCO!N371="", "",TOTALCO!N371)</f>
        <v>1.1909170102099341E-2</v>
      </c>
      <c r="O1247" s="14">
        <f ca="1">IF(TOTALCO!O371="", "",TOTALCO!O371)</f>
        <v>6.2080087591133738E-3</v>
      </c>
      <c r="P1247" s="14">
        <f ca="1">IF(TOTALCO!P371="", "",TOTALCO!P371)</f>
        <v>5.7011613429859675E-3</v>
      </c>
      <c r="Q1247" s="14"/>
    </row>
    <row r="1248" spans="1:17" ht="15" x14ac:dyDescent="0.2">
      <c r="A1248" s="321">
        <f>IF(TOTALCO!A372="", "",TOTALCO!A372)</f>
        <v>4</v>
      </c>
      <c r="B1248" s="4" t="str">
        <f>IF(TOTALCO!B372="", "",TOTALCO!B372)</f>
        <v>ALLOCATED O&amp;M LABOR EXPENSE</v>
      </c>
      <c r="C1248" s="4" t="str">
        <f>IF(TOTALCO!C372="", "",TOTALCO!C372)</f>
        <v>PTDCUSTLABOR</v>
      </c>
      <c r="D1248" s="14">
        <f ca="1">IF(TOTALCO!D372="", "",TOTALCO!D372)</f>
        <v>1</v>
      </c>
      <c r="E1248" s="14" t="str">
        <f>IF(TOTALCO!E372="", "",TOTALCO!E372)</f>
        <v/>
      </c>
      <c r="F1248" s="14">
        <f ca="1">IF(TOTALCO!F372="", "",TOTALCO!F372)</f>
        <v>0.94067565257416907</v>
      </c>
      <c r="G1248" s="14" t="str">
        <f>IF(TOTALCO!G372="", "",TOTALCO!G372)</f>
        <v/>
      </c>
      <c r="H1248" s="14">
        <f ca="1">IF(TOTALCO!H372="", "",TOTALCO!H372)</f>
        <v>4.7347795471836499E-2</v>
      </c>
      <c r="I1248" s="14">
        <f ca="1">IF(TOTALCO!I372="", "",TOTALCO!I372)</f>
        <v>1.197655195399445E-2</v>
      </c>
      <c r="J1248" s="14" t="str">
        <f>IF(TOTALCO!J372="", "",TOTALCO!J372)</f>
        <v/>
      </c>
      <c r="K1248" s="14" t="str">
        <f>IF(TOTALCO!K372="", "",TOTALCO!K372)</f>
        <v/>
      </c>
      <c r="L1248" s="14">
        <f ca="1">IF(TOTALCO!L372="", "",TOTALCO!L372)</f>
        <v>6.738185189510643E-5</v>
      </c>
      <c r="M1248" s="14" t="str">
        <f>IF(TOTALCO!M372="", "",TOTALCO!M372)</f>
        <v/>
      </c>
      <c r="N1248" s="14">
        <f ca="1">IF(TOTALCO!N372="", "",TOTALCO!N372)</f>
        <v>1.1909170102099343E-2</v>
      </c>
      <c r="O1248" s="14">
        <f ca="1">IF(TOTALCO!O372="", "",TOTALCO!O372)</f>
        <v>6.2080087591133738E-3</v>
      </c>
      <c r="P1248" s="14">
        <f ca="1">IF(TOTALCO!P372="", "",TOTALCO!P372)</f>
        <v>5.7011613429859683E-3</v>
      </c>
      <c r="Q1248" s="14"/>
    </row>
    <row r="1249" spans="1:17" ht="15" x14ac:dyDescent="0.2">
      <c r="A1249" s="321">
        <f>IF(TOTALCO!A373="", "",TOTALCO!A373)</f>
        <v>5</v>
      </c>
      <c r="B1249" s="4" t="str">
        <f>IF(TOTALCO!B373="", "",TOTALCO!B373)</f>
        <v>TOTAL STEAM PROD PLANT-SYSTEM</v>
      </c>
      <c r="C1249" s="4" t="str">
        <f>IF(TOTALCO!C373="", "",TOTALCO!C373)</f>
        <v>STMSYS</v>
      </c>
      <c r="D1249" s="14">
        <f ca="1">IF(TOTALCO!D373="", "",TOTALCO!D373)</f>
        <v>1.0000000000000002</v>
      </c>
      <c r="E1249" s="14" t="str">
        <f>IF(TOTALCO!E373="", "",TOTALCO!E373)</f>
        <v/>
      </c>
      <c r="F1249" s="14">
        <f ca="1">IF(TOTALCO!F373="", "",TOTALCO!F373)</f>
        <v>0.93741603079505254</v>
      </c>
      <c r="G1249" s="14" t="str">
        <f>IF(TOTALCO!G373="", "",TOTALCO!G373)</f>
        <v/>
      </c>
      <c r="H1249" s="14">
        <f ca="1">IF(TOTALCO!H373="", "",TOTALCO!H373)</f>
        <v>4.2925433691070346E-2</v>
      </c>
      <c r="I1249" s="14">
        <f ca="1">IF(TOTALCO!I373="", "",TOTALCO!I373)</f>
        <v>1.9658535513877241E-2</v>
      </c>
      <c r="J1249" s="14" t="str">
        <f>IF(TOTALCO!J373="", "",TOTALCO!J373)</f>
        <v/>
      </c>
      <c r="K1249" s="14" t="str">
        <f>IF(TOTALCO!K373="", "",TOTALCO!K373)</f>
        <v/>
      </c>
      <c r="L1249" s="14">
        <f ca="1">IF(TOTALCO!L373="", "",TOTALCO!L373)</f>
        <v>3.008974869342788E-6</v>
      </c>
      <c r="M1249" s="14" t="str">
        <f>IF(TOTALCO!M373="", "",TOTALCO!M373)</f>
        <v/>
      </c>
      <c r="N1249" s="14">
        <f ca="1">IF(TOTALCO!N373="", "",TOTALCO!N373)</f>
        <v>1.9655526539007897E-2</v>
      </c>
      <c r="O1249" s="14">
        <f ca="1">IF(TOTALCO!O373="", "",TOTALCO!O373)</f>
        <v>9.9687337421326596E-3</v>
      </c>
      <c r="P1249" s="14">
        <f ca="1">IF(TOTALCO!P373="", "",TOTALCO!P373)</f>
        <v>9.6867927968752373E-3</v>
      </c>
      <c r="Q1249" s="14"/>
    </row>
    <row r="1250" spans="1:17" ht="15" x14ac:dyDescent="0.2">
      <c r="A1250" s="321">
        <f>IF(TOTALCO!A374="", "",TOTALCO!A374)</f>
        <v>6</v>
      </c>
      <c r="B1250" s="4" t="str">
        <f>IF(TOTALCO!B374="", "",TOTALCO!B374)</f>
        <v>TOT HYDRAULIC PROD PLANT-SYS</v>
      </c>
      <c r="C1250" s="4" t="str">
        <f>IF(TOTALCO!C374="", "",TOTALCO!C374)</f>
        <v>HYDSYS</v>
      </c>
      <c r="D1250" s="14">
        <f ca="1">IF(TOTALCO!D374="", "",TOTALCO!D374)</f>
        <v>0.99999999999999989</v>
      </c>
      <c r="E1250" s="14" t="str">
        <f>IF(TOTALCO!E374="", "",TOTALCO!E374)</f>
        <v/>
      </c>
      <c r="F1250" s="14">
        <f ca="1">IF(TOTALCO!F374="", "",TOTALCO!F374)</f>
        <v>0.93741603079505231</v>
      </c>
      <c r="G1250" s="14" t="str">
        <f>IF(TOTALCO!G374="", "",TOTALCO!G374)</f>
        <v/>
      </c>
      <c r="H1250" s="14">
        <f ca="1">IF(TOTALCO!H374="", "",TOTALCO!H374)</f>
        <v>4.2925433691070346E-2</v>
      </c>
      <c r="I1250" s="14">
        <f ca="1">IF(TOTALCO!I374="", "",TOTALCO!I374)</f>
        <v>1.9658535513877241E-2</v>
      </c>
      <c r="J1250" s="14" t="str">
        <f>IF(TOTALCO!J374="", "",TOTALCO!J374)</f>
        <v/>
      </c>
      <c r="K1250" s="14" t="str">
        <f>IF(TOTALCO!K374="", "",TOTALCO!K374)</f>
        <v/>
      </c>
      <c r="L1250" s="14">
        <f ca="1">IF(TOTALCO!L374="", "",TOTALCO!L374)</f>
        <v>3.0089748693427888E-6</v>
      </c>
      <c r="M1250" s="14" t="str">
        <f>IF(TOTALCO!M374="", "",TOTALCO!M374)</f>
        <v/>
      </c>
      <c r="N1250" s="14">
        <f ca="1">IF(TOTALCO!N374="", "",TOTALCO!N374)</f>
        <v>1.9655526539007897E-2</v>
      </c>
      <c r="O1250" s="14">
        <f ca="1">IF(TOTALCO!O374="", "",TOTALCO!O374)</f>
        <v>9.9687337421326579E-3</v>
      </c>
      <c r="P1250" s="14">
        <f ca="1">IF(TOTALCO!P374="", "",TOTALCO!P374)</f>
        <v>9.686792796875239E-3</v>
      </c>
      <c r="Q1250" s="14"/>
    </row>
    <row r="1251" spans="1:17" ht="15" x14ac:dyDescent="0.2">
      <c r="A1251" s="321">
        <f>IF(TOTALCO!A375="", "",TOTALCO!A375)</f>
        <v>7</v>
      </c>
      <c r="B1251" s="4" t="str">
        <f>IF(TOTALCO!B375="", "",TOTALCO!B375)</f>
        <v>TOTAL OTHER PROD PLANT-SYS</v>
      </c>
      <c r="C1251" s="4" t="str">
        <f>IF(TOTALCO!C375="", "",TOTALCO!C375)</f>
        <v>OTHSYS</v>
      </c>
      <c r="D1251" s="14">
        <f ca="1">IF(TOTALCO!D375="", "",TOTALCO!D375)</f>
        <v>1</v>
      </c>
      <c r="E1251" s="14" t="str">
        <f>IF(TOTALCO!E375="", "",TOTALCO!E375)</f>
        <v/>
      </c>
      <c r="F1251" s="14">
        <f ca="1">IF(TOTALCO!F375="", "",TOTALCO!F375)</f>
        <v>0.93741603079505242</v>
      </c>
      <c r="G1251" s="14" t="str">
        <f>IF(TOTALCO!G375="", "",TOTALCO!G375)</f>
        <v/>
      </c>
      <c r="H1251" s="14">
        <f ca="1">IF(TOTALCO!H375="", "",TOTALCO!H375)</f>
        <v>4.2925433691070353E-2</v>
      </c>
      <c r="I1251" s="14">
        <f ca="1">IF(TOTALCO!I375="", "",TOTALCO!I375)</f>
        <v>1.9658535513877244E-2</v>
      </c>
      <c r="J1251" s="14" t="str">
        <f>IF(TOTALCO!J375="", "",TOTALCO!J375)</f>
        <v/>
      </c>
      <c r="K1251" s="14" t="str">
        <f>IF(TOTALCO!K375="", "",TOTALCO!K375)</f>
        <v/>
      </c>
      <c r="L1251" s="14">
        <f ca="1">IF(TOTALCO!L375="", "",TOTALCO!L375)</f>
        <v>3.0089748693427888E-6</v>
      </c>
      <c r="M1251" s="14" t="str">
        <f>IF(TOTALCO!M375="", "",TOTALCO!M375)</f>
        <v/>
      </c>
      <c r="N1251" s="14">
        <f ca="1">IF(TOTALCO!N375="", "",TOTALCO!N375)</f>
        <v>1.96555265390079E-2</v>
      </c>
      <c r="O1251" s="14">
        <f ca="1">IF(TOTALCO!O375="", "",TOTALCO!O375)</f>
        <v>9.9687337421326596E-3</v>
      </c>
      <c r="P1251" s="14">
        <f ca="1">IF(TOTALCO!P375="", "",TOTALCO!P375)</f>
        <v>9.6867927968752408E-3</v>
      </c>
      <c r="Q1251" s="14"/>
    </row>
    <row r="1252" spans="1:17" ht="15" x14ac:dyDescent="0.2">
      <c r="A1252" s="321">
        <f>IF(TOTALCO!A376="", "",TOTALCO!A376)</f>
        <v>8</v>
      </c>
      <c r="B1252" s="4" t="str">
        <f>IF(TOTALCO!B376="", "",TOTALCO!B376)</f>
        <v>TRANSM KENTUCKY SYSTEM PROP</v>
      </c>
      <c r="C1252" s="4" t="str">
        <f>IF(TOTALCO!C376="", "",TOTALCO!C376)</f>
        <v>KYTRPLT</v>
      </c>
      <c r="D1252" s="14">
        <f ca="1">IF(TOTALCO!D376="", "",TOTALCO!D376)</f>
        <v>1</v>
      </c>
      <c r="E1252" s="14" t="str">
        <f>IF(TOTALCO!E376="", "",TOTALCO!E376)</f>
        <v/>
      </c>
      <c r="F1252" s="14">
        <f ca="1">IF(TOTALCO!F376="", "",TOTALCO!F376)</f>
        <v>0.95484303469784559</v>
      </c>
      <c r="G1252" s="14" t="str">
        <f>IF(TOTALCO!G376="", "",TOTALCO!G376)</f>
        <v/>
      </c>
      <c r="H1252" s="14">
        <f ca="1">IF(TOTALCO!H376="", "",TOTALCO!H376)</f>
        <v>4.4468545476359984E-2</v>
      </c>
      <c r="I1252" s="14">
        <f ca="1">IF(TOTALCO!I376="", "",TOTALCO!I376)</f>
        <v>6.8841982579438362E-4</v>
      </c>
      <c r="J1252" s="14" t="str">
        <f>IF(TOTALCO!J376="", "",TOTALCO!J376)</f>
        <v/>
      </c>
      <c r="K1252" s="14" t="str">
        <f>IF(TOTALCO!K376="", "",TOTALCO!K376)</f>
        <v/>
      </c>
      <c r="L1252" s="14">
        <f ca="1">IF(TOTALCO!L376="", "",TOTALCO!L376)</f>
        <v>3.0571666475631604E-6</v>
      </c>
      <c r="M1252" s="14" t="str">
        <f>IF(TOTALCO!M376="", "",TOTALCO!M376)</f>
        <v/>
      </c>
      <c r="N1252" s="14">
        <f ca="1">IF(TOTALCO!N376="", "",TOTALCO!N376)</f>
        <v>6.8536265914682047E-4</v>
      </c>
      <c r="O1252" s="14">
        <f ca="1">IF(TOTALCO!O376="", "",TOTALCO!O376)</f>
        <v>3.4759678669892935E-4</v>
      </c>
      <c r="P1252" s="14">
        <f ca="1">IF(TOTALCO!P376="", "",TOTALCO!P376)</f>
        <v>3.3776587244789113E-4</v>
      </c>
      <c r="Q1252" s="14"/>
    </row>
    <row r="1253" spans="1:17" ht="15" x14ac:dyDescent="0.2">
      <c r="A1253" s="321">
        <f>IF(TOTALCO!A377="", "",TOTALCO!A377)</f>
        <v>9</v>
      </c>
      <c r="B1253" s="4" t="str">
        <f>IF(TOTALCO!B377="", "",TOTALCO!B377)</f>
        <v>TRANSM VIRGINIA PROPERTY</v>
      </c>
      <c r="C1253" s="4" t="str">
        <f>IF(TOTALCO!C377="", "",TOTALCO!C377)</f>
        <v>VATRPLT</v>
      </c>
      <c r="D1253" s="14">
        <f ca="1">IF(TOTALCO!D377="", "",TOTALCO!D377)</f>
        <v>1</v>
      </c>
      <c r="E1253" s="14" t="str">
        <f>IF(TOTALCO!E377="", "",TOTALCO!E377)</f>
        <v/>
      </c>
      <c r="F1253" s="14">
        <f ca="1">IF(TOTALCO!F377="", "",TOTALCO!F377)</f>
        <v>0</v>
      </c>
      <c r="G1253" s="14" t="str">
        <f>IF(TOTALCO!G377="", "",TOTALCO!G377)</f>
        <v/>
      </c>
      <c r="H1253" s="14">
        <f ca="1">IF(TOTALCO!H377="", "",TOTALCO!H377)</f>
        <v>1</v>
      </c>
      <c r="I1253" s="14">
        <f ca="1">IF(TOTALCO!I377="", "",TOTALCO!I377)</f>
        <v>0</v>
      </c>
      <c r="J1253" s="14" t="str">
        <f>IF(TOTALCO!J377="", "",TOTALCO!J377)</f>
        <v/>
      </c>
      <c r="K1253" s="14" t="str">
        <f>IF(TOTALCO!K377="", "",TOTALCO!K377)</f>
        <v/>
      </c>
      <c r="L1253" s="14">
        <f ca="1">IF(TOTALCO!L377="", "",TOTALCO!L377)</f>
        <v>0</v>
      </c>
      <c r="M1253" s="14" t="str">
        <f>IF(TOTALCO!M377="", "",TOTALCO!M377)</f>
        <v/>
      </c>
      <c r="N1253" s="14">
        <f ca="1">IF(TOTALCO!N377="", "",TOTALCO!N377)</f>
        <v>0</v>
      </c>
      <c r="O1253" s="14">
        <f ca="1">IF(TOTALCO!O377="", "",TOTALCO!O377)</f>
        <v>0</v>
      </c>
      <c r="P1253" s="14">
        <f ca="1">IF(TOTALCO!P377="", "",TOTALCO!P377)</f>
        <v>0</v>
      </c>
      <c r="Q1253" s="14"/>
    </row>
    <row r="1254" spans="1:17" ht="15" x14ac:dyDescent="0.2">
      <c r="A1254" s="321">
        <f>IF(TOTALCO!A378="", "",TOTALCO!A378)</f>
        <v>10</v>
      </c>
      <c r="B1254" s="4" t="str">
        <f>IF(TOTALCO!B378="", "",TOTALCO!B378)</f>
        <v>TRANSM VIRGINIA PROP TOTAL</v>
      </c>
      <c r="C1254" s="4" t="str">
        <f>IF(TOTALCO!C378="", "",TOTALCO!C378)</f>
        <v>VATRPLTT</v>
      </c>
      <c r="D1254" s="14">
        <f ca="1">IF(TOTALCO!D378="", "",TOTALCO!D378)</f>
        <v>1</v>
      </c>
      <c r="E1254" s="14" t="str">
        <f>IF(TOTALCO!E378="", "",TOTALCO!E378)</f>
        <v/>
      </c>
      <c r="F1254" s="14">
        <f ca="1">IF(TOTALCO!F378="", "",TOTALCO!F378)</f>
        <v>0.12118051550371241</v>
      </c>
      <c r="G1254" s="14" t="str">
        <f>IF(TOTALCO!G378="", "",TOTALCO!G378)</f>
        <v/>
      </c>
      <c r="H1254" s="14">
        <f ca="1">IF(TOTALCO!H378="", "",TOTALCO!H378)</f>
        <v>0.87881909552371418</v>
      </c>
      <c r="I1254" s="14">
        <f ca="1">IF(TOTALCO!I378="", "",TOTALCO!I378)</f>
        <v>3.8897257335723317E-7</v>
      </c>
      <c r="J1254" s="14" t="str">
        <f>IF(TOTALCO!J378="", "",TOTALCO!J378)</f>
        <v/>
      </c>
      <c r="K1254" s="14" t="str">
        <f>IF(TOTALCO!K378="", "",TOTALCO!K378)</f>
        <v/>
      </c>
      <c r="L1254" s="14">
        <f ca="1">IF(TOTALCO!L378="", "",TOTALCO!L378)</f>
        <v>3.8897257335723317E-7</v>
      </c>
      <c r="M1254" s="14" t="str">
        <f>IF(TOTALCO!M378="", "",TOTALCO!M378)</f>
        <v/>
      </c>
      <c r="N1254" s="14">
        <f ca="1">IF(TOTALCO!N378="", "",TOTALCO!N378)</f>
        <v>0</v>
      </c>
      <c r="O1254" s="14">
        <f ca="1">IF(TOTALCO!O378="", "",TOTALCO!O378)</f>
        <v>0</v>
      </c>
      <c r="P1254" s="14">
        <f ca="1">IF(TOTALCO!P378="", "",TOTALCO!P378)</f>
        <v>0</v>
      </c>
      <c r="Q1254" s="14"/>
    </row>
    <row r="1255" spans="1:17" ht="15" x14ac:dyDescent="0.2">
      <c r="A1255" s="321">
        <f>IF(TOTALCO!A379="", "",TOTALCO!A379)</f>
        <v>11</v>
      </c>
      <c r="B1255" s="4" t="str">
        <f>IF(TOTALCO!B379="", "",TOTALCO!B379)</f>
        <v>TOTAL DISTRIBUTION PLANT</v>
      </c>
      <c r="C1255" s="4" t="str">
        <f>IF(TOTALCO!C379="", "",TOTALCO!C379)</f>
        <v>DISTPLT</v>
      </c>
      <c r="D1255" s="14">
        <f ca="1">IF(TOTALCO!D379="", "",TOTALCO!D379)</f>
        <v>1</v>
      </c>
      <c r="E1255" s="14" t="str">
        <f>IF(TOTALCO!E379="", "",TOTALCO!E379)</f>
        <v/>
      </c>
      <c r="F1255" s="14">
        <f ca="1">IF(TOTALCO!F379="", "",TOTALCO!F379)</f>
        <v>0.9488056371457757</v>
      </c>
      <c r="G1255" s="14" t="str">
        <f>IF(TOTALCO!G379="", "",TOTALCO!G379)</f>
        <v/>
      </c>
      <c r="H1255" s="14">
        <f ca="1">IF(TOTALCO!H379="", "",TOTALCO!H379)</f>
        <v>4.9068095003297028E-2</v>
      </c>
      <c r="I1255" s="14">
        <f ca="1">IF(TOTALCO!I379="", "",TOTALCO!I379)</f>
        <v>2.1262678509272391E-3</v>
      </c>
      <c r="J1255" s="14" t="str">
        <f>IF(TOTALCO!J379="", "",TOTALCO!J379)</f>
        <v/>
      </c>
      <c r="K1255" s="14" t="str">
        <f>IF(TOTALCO!K379="", "",TOTALCO!K379)</f>
        <v/>
      </c>
      <c r="L1255" s="14">
        <f ca="1">IF(TOTALCO!L379="", "",TOTALCO!L379)</f>
        <v>3.19091506271402E-4</v>
      </c>
      <c r="M1255" s="14" t="str">
        <f>IF(TOTALCO!M379="", "",TOTALCO!M379)</f>
        <v/>
      </c>
      <c r="N1255" s="14">
        <f ca="1">IF(TOTALCO!N379="", "",TOTALCO!N379)</f>
        <v>1.8071763446558373E-3</v>
      </c>
      <c r="O1255" s="14">
        <f ca="1">IF(TOTALCO!O379="", "",TOTALCO!O379)</f>
        <v>1.7939357365164036E-3</v>
      </c>
      <c r="P1255" s="14">
        <f ca="1">IF(TOTALCO!P379="", "",TOTALCO!P379)</f>
        <v>1.3240608139433594E-5</v>
      </c>
      <c r="Q1255" s="14"/>
    </row>
    <row r="1256" spans="1:17" ht="15" x14ac:dyDescent="0.2">
      <c r="A1256" s="321">
        <f>IF(TOTALCO!A380="", "",TOTALCO!A380)</f>
        <v>12</v>
      </c>
      <c r="B1256" s="4" t="str">
        <f>IF(TOTALCO!B380="", "",TOTALCO!B380)</f>
        <v>TOTAL DIST PLANT KY &amp; FERC</v>
      </c>
      <c r="C1256" s="4" t="str">
        <f>IF(TOTALCO!C380="", "",TOTALCO!C380)</f>
        <v>DISTPLTKF</v>
      </c>
      <c r="D1256" s="14">
        <f ca="1">IF(TOTALCO!D380="", "",TOTALCO!D380)</f>
        <v>1</v>
      </c>
      <c r="E1256" s="14" t="str">
        <f>IF(TOTALCO!E380="", "",TOTALCO!E380)</f>
        <v/>
      </c>
      <c r="F1256" s="14">
        <f ca="1">IF(TOTALCO!F380="", "",TOTALCO!F380)</f>
        <v>0.99809893542459172</v>
      </c>
      <c r="G1256" s="14" t="str">
        <f>IF(TOTALCO!G380="", "",TOTALCO!G380)</f>
        <v/>
      </c>
      <c r="H1256" s="14">
        <f ca="1">IF(TOTALCO!H380="", "",TOTALCO!H380)</f>
        <v>0</v>
      </c>
      <c r="I1256" s="14">
        <f ca="1">IF(TOTALCO!I380="", "",TOTALCO!I380)</f>
        <v>1.9010645754082586E-3</v>
      </c>
      <c r="J1256" s="14" t="str">
        <f>IF(TOTALCO!J380="", "",TOTALCO!J380)</f>
        <v/>
      </c>
      <c r="K1256" s="14" t="str">
        <f>IF(TOTALCO!K380="", "",TOTALCO!K380)</f>
        <v/>
      </c>
      <c r="L1256" s="14">
        <f ca="1">IF(TOTALCO!L380="", "",TOTALCO!L380)</f>
        <v>0</v>
      </c>
      <c r="M1256" s="14" t="str">
        <f>IF(TOTALCO!M380="", "",TOTALCO!M380)</f>
        <v/>
      </c>
      <c r="N1256" s="14">
        <f ca="1">IF(TOTALCO!N380="", "",TOTALCO!N380)</f>
        <v>1.9010645754082586E-3</v>
      </c>
      <c r="O1256" s="14">
        <f ca="1">IF(TOTALCO!O380="", "",TOTALCO!O380)</f>
        <v>1.887136077967942E-3</v>
      </c>
      <c r="P1256" s="14">
        <f ca="1">IF(TOTALCO!P380="", "",TOTALCO!P380)</f>
        <v>1.3928497440316555E-5</v>
      </c>
      <c r="Q1256" s="14"/>
    </row>
    <row r="1257" spans="1:17" ht="15" x14ac:dyDescent="0.2">
      <c r="A1257" s="321">
        <f>IF(TOTALCO!A381="", "",TOTALCO!A381)</f>
        <v>13</v>
      </c>
      <c r="B1257" s="4" t="str">
        <f>IF(TOTALCO!B381="", "",TOTALCO!B381)</f>
        <v>TOTAL GENERAL PLANT</v>
      </c>
      <c r="C1257" s="4" t="str">
        <f>IF(TOTALCO!C381="", "",TOTALCO!C381)</f>
        <v>GENPLT</v>
      </c>
      <c r="D1257" s="14">
        <f ca="1">IF(TOTALCO!D381="", "",TOTALCO!D381)</f>
        <v>1.0000000000000002</v>
      </c>
      <c r="E1257" s="14" t="str">
        <f>IF(TOTALCO!E381="", "",TOTALCO!E381)</f>
        <v/>
      </c>
      <c r="F1257" s="14">
        <f ca="1">IF(TOTALCO!F381="", "",TOTALCO!F381)</f>
        <v>0.94275660490408908</v>
      </c>
      <c r="G1257" s="14" t="str">
        <f>IF(TOTALCO!G381="", "",TOTALCO!G381)</f>
        <v/>
      </c>
      <c r="H1257" s="14">
        <f ca="1">IF(TOTALCO!H381="", "",TOTALCO!H381)</f>
        <v>4.5686951154469593E-2</v>
      </c>
      <c r="I1257" s="14">
        <f ca="1">IF(TOTALCO!I381="", "",TOTALCO!I381)</f>
        <v>1.1556443941441405E-2</v>
      </c>
      <c r="J1257" s="14" t="str">
        <f>IF(TOTALCO!J381="", "",TOTALCO!J381)</f>
        <v/>
      </c>
      <c r="K1257" s="14" t="str">
        <f>IF(TOTALCO!K381="", "",TOTALCO!K381)</f>
        <v/>
      </c>
      <c r="L1257" s="14">
        <f ca="1">IF(TOTALCO!L381="", "",TOTALCO!L381)</f>
        <v>6.5018262108118067E-5</v>
      </c>
      <c r="M1257" s="14" t="str">
        <f>IF(TOTALCO!M381="", "",TOTALCO!M381)</f>
        <v/>
      </c>
      <c r="N1257" s="14">
        <f ca="1">IF(TOTALCO!N381="", "",TOTALCO!N381)</f>
        <v>1.1491425679333287E-2</v>
      </c>
      <c r="O1257" s="14">
        <f ca="1">IF(TOTALCO!O381="", "",TOTALCO!O381)</f>
        <v>5.9902470667898026E-3</v>
      </c>
      <c r="P1257" s="14">
        <f ca="1">IF(TOTALCO!P381="", "",TOTALCO!P381)</f>
        <v>5.5011786125434836E-3</v>
      </c>
      <c r="Q1257" s="14"/>
    </row>
    <row r="1258" spans="1:17" ht="15" x14ac:dyDescent="0.2">
      <c r="A1258" s="321">
        <f>IF(TOTALCO!A382="", "",TOTALCO!A382)</f>
        <v>14</v>
      </c>
      <c r="B1258" s="4" t="str">
        <f>IF(TOTALCO!B382="", "",TOTALCO!B382)</f>
        <v>ACCT 302-FRANCHISE</v>
      </c>
      <c r="C1258" s="4" t="str">
        <f>IF(TOTALCO!C382="", "",TOTALCO!C382)</f>
        <v>PLT302TOT</v>
      </c>
      <c r="D1258" s="14">
        <f ca="1">IF(TOTALCO!D382="", "",TOTALCO!D382)</f>
        <v>1</v>
      </c>
      <c r="E1258" s="14" t="str">
        <f>IF(TOTALCO!E382="", "",TOTALCO!E382)</f>
        <v/>
      </c>
      <c r="F1258" s="14">
        <f ca="1">IF(TOTALCO!F382="", "",TOTALCO!F382)</f>
        <v>1</v>
      </c>
      <c r="G1258" s="14" t="str">
        <f>IF(TOTALCO!G382="", "",TOTALCO!G382)</f>
        <v/>
      </c>
      <c r="H1258" s="14">
        <f ca="1">IF(TOTALCO!H382="", "",TOTALCO!H382)</f>
        <v>0</v>
      </c>
      <c r="I1258" s="14">
        <f ca="1">IF(TOTALCO!I382="", "",TOTALCO!I382)</f>
        <v>0</v>
      </c>
      <c r="J1258" s="14" t="str">
        <f>IF(TOTALCO!J382="", "",TOTALCO!J382)</f>
        <v/>
      </c>
      <c r="K1258" s="14" t="str">
        <f>IF(TOTALCO!K382="", "",TOTALCO!K382)</f>
        <v/>
      </c>
      <c r="L1258" s="14">
        <f ca="1">IF(TOTALCO!L382="", "",TOTALCO!L382)</f>
        <v>0</v>
      </c>
      <c r="M1258" s="14" t="str">
        <f>IF(TOTALCO!M382="", "",TOTALCO!M382)</f>
        <v/>
      </c>
      <c r="N1258" s="14">
        <f ca="1">IF(TOTALCO!N382="", "",TOTALCO!N382)</f>
        <v>0</v>
      </c>
      <c r="O1258" s="14">
        <f ca="1">IF(TOTALCO!O382="", "",TOTALCO!O382)</f>
        <v>0</v>
      </c>
      <c r="P1258" s="14">
        <f ca="1">IF(TOTALCO!P382="", "",TOTALCO!P382)</f>
        <v>0</v>
      </c>
      <c r="Q1258" s="14"/>
    </row>
    <row r="1259" spans="1:17" ht="15" x14ac:dyDescent="0.2">
      <c r="A1259" s="321">
        <f>IF(TOTALCO!A383="", "",TOTALCO!A383)</f>
        <v>15</v>
      </c>
      <c r="B1259" s="4" t="str">
        <f>IF(TOTALCO!B383="", "",TOTALCO!B383)</f>
        <v>ACCT 303-SOFTWARE</v>
      </c>
      <c r="C1259" s="4" t="str">
        <f>IF(TOTALCO!C383="", "",TOTALCO!C383)</f>
        <v>PLT303TOT</v>
      </c>
      <c r="D1259" s="14">
        <f ca="1">IF(TOTALCO!D383="", "",TOTALCO!D383)</f>
        <v>1.0000000000000002</v>
      </c>
      <c r="E1259" s="14" t="str">
        <f>IF(TOTALCO!E383="", "",TOTALCO!E383)</f>
        <v/>
      </c>
      <c r="F1259" s="14">
        <f ca="1">IF(TOTALCO!F383="", "",TOTALCO!F383)</f>
        <v>0.93497392644834387</v>
      </c>
      <c r="G1259" s="14" t="str">
        <f>IF(TOTALCO!G383="", "",TOTALCO!G383)</f>
        <v/>
      </c>
      <c r="H1259" s="14">
        <f ca="1">IF(TOTALCO!H383="", "",TOTALCO!H383)</f>
        <v>5.0476160754164709E-2</v>
      </c>
      <c r="I1259" s="14">
        <f ca="1">IF(TOTALCO!I383="", "",TOTALCO!I383)</f>
        <v>1.4549912797491592E-2</v>
      </c>
      <c r="J1259" s="14" t="str">
        <f>IF(TOTALCO!J383="", "",TOTALCO!J383)</f>
        <v/>
      </c>
      <c r="K1259" s="14" t="str">
        <f>IF(TOTALCO!K383="", "",TOTALCO!K383)</f>
        <v/>
      </c>
      <c r="L1259" s="14">
        <f ca="1">IF(TOTALCO!L383="", "",TOTALCO!L383)</f>
        <v>6.8723384602869693E-5</v>
      </c>
      <c r="M1259" s="14" t="str">
        <f>IF(TOTALCO!M383="", "",TOTALCO!M383)</f>
        <v/>
      </c>
      <c r="N1259" s="14">
        <f ca="1">IF(TOTALCO!N383="", "",TOTALCO!N383)</f>
        <v>1.4481189412888722E-2</v>
      </c>
      <c r="O1259" s="14">
        <f ca="1">IF(TOTALCO!O383="", "",TOTALCO!O383)</f>
        <v>7.5267125300415311E-3</v>
      </c>
      <c r="P1259" s="14">
        <f ca="1">IF(TOTALCO!P383="", "",TOTALCO!P383)</f>
        <v>6.9544768828471897E-3</v>
      </c>
      <c r="Q1259" s="14"/>
    </row>
    <row r="1260" spans="1:17" ht="15" x14ac:dyDescent="0.2">
      <c r="A1260" s="321">
        <f>IF(TOTALCO!A384="", "",TOTALCO!A384)</f>
        <v>16</v>
      </c>
      <c r="B1260" s="4" t="str">
        <f>IF(TOTALCO!B384="", "",TOTALCO!B384)</f>
        <v>TOTAL PRODUCTION PLANT SYSTEM</v>
      </c>
      <c r="C1260" s="4" t="str">
        <f>IF(TOTALCO!C384="", "",TOTALCO!C384)</f>
        <v>PRODSYS</v>
      </c>
      <c r="D1260" s="14">
        <f ca="1">IF(TOTALCO!D384="", "",TOTALCO!D384)</f>
        <v>1</v>
      </c>
      <c r="E1260" s="14" t="str">
        <f>IF(TOTALCO!E384="", "",TOTALCO!E384)</f>
        <v/>
      </c>
      <c r="F1260" s="14">
        <f ca="1">IF(TOTALCO!F384="", "",TOTALCO!F384)</f>
        <v>0.93741603079505242</v>
      </c>
      <c r="G1260" s="14" t="str">
        <f>IF(TOTALCO!G384="", "",TOTALCO!G384)</f>
        <v/>
      </c>
      <c r="H1260" s="14">
        <f ca="1">IF(TOTALCO!H384="", "",TOTALCO!H384)</f>
        <v>4.2925433691070346E-2</v>
      </c>
      <c r="I1260" s="14">
        <f ca="1">IF(TOTALCO!I384="", "",TOTALCO!I384)</f>
        <v>1.9658535513877241E-2</v>
      </c>
      <c r="J1260" s="14" t="str">
        <f>IF(TOTALCO!J384="", "",TOTALCO!J384)</f>
        <v/>
      </c>
      <c r="K1260" s="14" t="str">
        <f>IF(TOTALCO!K384="", "",TOTALCO!K384)</f>
        <v/>
      </c>
      <c r="L1260" s="14">
        <f ca="1">IF(TOTALCO!L384="", "",TOTALCO!L384)</f>
        <v>3.0089748693427872E-6</v>
      </c>
      <c r="M1260" s="14" t="str">
        <f>IF(TOTALCO!M384="", "",TOTALCO!M384)</f>
        <v/>
      </c>
      <c r="N1260" s="14">
        <f ca="1">IF(TOTALCO!N384="", "",TOTALCO!N384)</f>
        <v>1.9655526539007897E-2</v>
      </c>
      <c r="O1260" s="14">
        <f ca="1">IF(TOTALCO!O384="", "",TOTALCO!O384)</f>
        <v>9.9687337421326579E-3</v>
      </c>
      <c r="P1260" s="14">
        <f ca="1">IF(TOTALCO!P384="", "",TOTALCO!P384)</f>
        <v>9.686792796875239E-3</v>
      </c>
      <c r="Q1260" s="14"/>
    </row>
    <row r="1261" spans="1:17" ht="15" x14ac:dyDescent="0.2">
      <c r="A1261" s="321">
        <f>IF(TOTALCO!A385="", "",TOTALCO!A385)</f>
        <v>17</v>
      </c>
      <c r="B1261" s="4" t="str">
        <f>IF(TOTALCO!B385="", "",TOTALCO!B385)</f>
        <v>TOTAL PRODUCTION PLANT</v>
      </c>
      <c r="C1261" s="4" t="str">
        <f>IF(TOTALCO!C385="", "",TOTALCO!C385)</f>
        <v>PRODPLT</v>
      </c>
      <c r="D1261" s="14">
        <f ca="1">IF(TOTALCO!D385="", "",TOTALCO!D385)</f>
        <v>1.0000000000000002</v>
      </c>
      <c r="E1261" s="14" t="str">
        <f>IF(TOTALCO!E385="", "",TOTALCO!E385)</f>
        <v/>
      </c>
      <c r="F1261" s="14">
        <f ca="1">IF(TOTALCO!F385="", "",TOTALCO!F385)</f>
        <v>0.93564668452361899</v>
      </c>
      <c r="G1261" s="14" t="str">
        <f>IF(TOTALCO!G385="", "",TOTALCO!G385)</f>
        <v/>
      </c>
      <c r="H1261" s="14">
        <f ca="1">IF(TOTALCO!H385="", "",TOTALCO!H385)</f>
        <v>4.3454032953393437E-2</v>
      </c>
      <c r="I1261" s="14">
        <f ca="1">IF(TOTALCO!I385="", "",TOTALCO!I385)</f>
        <v>2.08992825229877E-2</v>
      </c>
      <c r="J1261" s="14" t="str">
        <f>IF(TOTALCO!J385="", "",TOTALCO!J385)</f>
        <v/>
      </c>
      <c r="K1261" s="14" t="str">
        <f>IF(TOTALCO!K385="", "",TOTALCO!K385)</f>
        <v/>
      </c>
      <c r="L1261" s="14">
        <f ca="1">IF(TOTALCO!L385="", "",TOTALCO!L385)</f>
        <v>2.9877006981830392E-6</v>
      </c>
      <c r="M1261" s="14" t="str">
        <f>IF(TOTALCO!M385="", "",TOTALCO!M385)</f>
        <v/>
      </c>
      <c r="N1261" s="14">
        <f ca="1">IF(TOTALCO!N385="", "",TOTALCO!N385)</f>
        <v>2.0896294822289517E-2</v>
      </c>
      <c r="O1261" s="14">
        <f ca="1">IF(TOTALCO!O385="", "",TOTALCO!O385)</f>
        <v>1.0598016739317725E-2</v>
      </c>
      <c r="P1261" s="14">
        <f ca="1">IF(TOTALCO!P385="", "",TOTALCO!P385)</f>
        <v>1.029827808297179E-2</v>
      </c>
      <c r="Q1261" s="14"/>
    </row>
    <row r="1262" spans="1:17" ht="15" x14ac:dyDescent="0.2">
      <c r="A1262" s="321">
        <f>IF(TOTALCO!A386="", "",TOTALCO!A386)</f>
        <v>18</v>
      </c>
      <c r="B1262" s="4" t="str">
        <f>IF(TOTALCO!B386="", "",TOTALCO!B386)</f>
        <v>TOTAL TRANSMISSION PLANT</v>
      </c>
      <c r="C1262" s="4" t="str">
        <f>IF(TOTALCO!C386="", "",TOTALCO!C386)</f>
        <v>TRANPLT</v>
      </c>
      <c r="D1262" s="14">
        <f ca="1">IF(TOTALCO!D386="", "",TOTALCO!D386)</f>
        <v>1</v>
      </c>
      <c r="E1262" s="14" t="str">
        <f>IF(TOTALCO!E386="", "",TOTALCO!E386)</f>
        <v/>
      </c>
      <c r="F1262" s="14">
        <f ca="1">IF(TOTALCO!F386="", "",TOTALCO!F386)</f>
        <v>0.90508402652846476</v>
      </c>
      <c r="G1262" s="14" t="str">
        <f>IF(TOTALCO!G386="", "",TOTALCO!G386)</f>
        <v/>
      </c>
      <c r="H1262" s="14">
        <f ca="1">IF(TOTALCO!H386="", "",TOTALCO!H386)</f>
        <v>9.4268620302880815E-2</v>
      </c>
      <c r="I1262" s="14">
        <f ca="1">IF(TOTALCO!I386="", "",TOTALCO!I386)</f>
        <v>6.4735316865438715E-4</v>
      </c>
      <c r="J1262" s="14" t="str">
        <f>IF(TOTALCO!J386="", "",TOTALCO!J386)</f>
        <v/>
      </c>
      <c r="K1262" s="14" t="str">
        <f>IF(TOTALCO!K386="", "",TOTALCO!K386)</f>
        <v/>
      </c>
      <c r="L1262" s="14">
        <f ca="1">IF(TOTALCO!L386="", "",TOTALCO!L386)</f>
        <v>2.8979095289101035E-6</v>
      </c>
      <c r="M1262" s="14" t="str">
        <f>IF(TOTALCO!M386="", "",TOTALCO!M386)</f>
        <v/>
      </c>
      <c r="N1262" s="14">
        <f ca="1">IF(TOTALCO!N386="", "",TOTALCO!N386)</f>
        <v>6.4445525912547709E-4</v>
      </c>
      <c r="O1262" s="14">
        <f ca="1">IF(TOTALCO!O386="", "",TOTALCO!O386)</f>
        <v>3.2684969665855912E-4</v>
      </c>
      <c r="P1262" s="14">
        <f ca="1">IF(TOTALCO!P386="", "",TOTALCO!P386)</f>
        <v>3.1760556246691803E-4</v>
      </c>
      <c r="Q1262" s="14"/>
    </row>
    <row r="1263" spans="1:17" ht="15" x14ac:dyDescent="0.2">
      <c r="A1263" s="321">
        <f>IF(TOTALCO!A387="", "",TOTALCO!A387)</f>
        <v>19</v>
      </c>
      <c r="B1263" s="4" t="str">
        <f>IF(TOTALCO!B387="", "",TOTALCO!B387)</f>
        <v>TOTAL TRANSMISSION PLANT EXCL FERC</v>
      </c>
      <c r="C1263" s="4" t="str">
        <f>IF(TOTALCO!C387="", "",TOTALCO!C387)</f>
        <v>TRANPLTXF</v>
      </c>
      <c r="D1263" s="14">
        <f ca="1">IF(TOTALCO!D387="", "",TOTALCO!D387)</f>
        <v>1</v>
      </c>
      <c r="E1263" s="14" t="str">
        <f>IF(TOTALCO!E387="", "",TOTALCO!E387)</f>
        <v/>
      </c>
      <c r="F1263" s="14">
        <f ca="1">IF(TOTALCO!F387="", "",TOTALCO!F387)</f>
        <v>0.90566768883355364</v>
      </c>
      <c r="G1263" s="14" t="str">
        <f>IF(TOTALCO!G387="", "",TOTALCO!G387)</f>
        <v/>
      </c>
      <c r="H1263" s="14">
        <f ca="1">IF(TOTALCO!H387="", "",TOTALCO!H387)</f>
        <v>9.4329411388140119E-2</v>
      </c>
      <c r="I1263" s="14">
        <f ca="1">IF(TOTALCO!I387="", "",TOTALCO!I387)</f>
        <v>2.8997783062898903E-6</v>
      </c>
      <c r="J1263" s="14" t="str">
        <f>IF(TOTALCO!J387="", "",TOTALCO!J387)</f>
        <v/>
      </c>
      <c r="K1263" s="14" t="str">
        <f>IF(TOTALCO!K387="", "",TOTALCO!K387)</f>
        <v/>
      </c>
      <c r="L1263" s="14">
        <f ca="1">IF(TOTALCO!L387="", "",TOTALCO!L387)</f>
        <v>2.8997783062898903E-6</v>
      </c>
      <c r="M1263" s="14" t="str">
        <f>IF(TOTALCO!M387="", "",TOTALCO!M387)</f>
        <v/>
      </c>
      <c r="N1263" s="14">
        <f>IF(TOTALCO!N387="", "",TOTALCO!N387)</f>
        <v>0</v>
      </c>
      <c r="O1263" s="14">
        <f>IF(TOTALCO!O387="", "",TOTALCO!O387)</f>
        <v>0</v>
      </c>
      <c r="P1263" s="14">
        <f>IF(TOTALCO!P387="", "",TOTALCO!P387)</f>
        <v>0</v>
      </c>
      <c r="Q1263" s="14"/>
    </row>
    <row r="1264" spans="1:17" ht="15" x14ac:dyDescent="0.2">
      <c r="A1264" s="321">
        <f>IF(TOTALCO!A388="", "",TOTALCO!A388)</f>
        <v>20</v>
      </c>
      <c r="B1264" s="4" t="str">
        <f>IF(TOTALCO!B388="", "",TOTALCO!B388)</f>
        <v>MAT &amp; SUPPLIES DISTRIBUTED</v>
      </c>
      <c r="C1264" s="4" t="str">
        <f>IF(TOTALCO!C388="", "",TOTALCO!C388)</f>
        <v>M_S</v>
      </c>
      <c r="D1264" s="14">
        <f ca="1">IF(TOTALCO!D388="", "",TOTALCO!D388)</f>
        <v>1</v>
      </c>
      <c r="E1264" s="14" t="str">
        <f>IF(TOTALCO!E388="", "",TOTALCO!E388)</f>
        <v/>
      </c>
      <c r="F1264" s="14">
        <f ca="1">IF(TOTALCO!F388="", "",TOTALCO!F388)</f>
        <v>0.93152869719514819</v>
      </c>
      <c r="G1264" s="14" t="str">
        <f>IF(TOTALCO!G388="", "",TOTALCO!G388)</f>
        <v/>
      </c>
      <c r="H1264" s="14">
        <f ca="1">IF(TOTALCO!H388="", "",TOTALCO!H388)</f>
        <v>5.4509829594749676E-2</v>
      </c>
      <c r="I1264" s="14">
        <f ca="1">IF(TOTALCO!I388="", "",TOTALCO!I388)</f>
        <v>1.3961473210102165E-2</v>
      </c>
      <c r="J1264" s="14" t="str">
        <f>IF(TOTALCO!J388="", "",TOTALCO!J388)</f>
        <v/>
      </c>
      <c r="K1264" s="14" t="str">
        <f>IF(TOTALCO!K388="", "",TOTALCO!K388)</f>
        <v/>
      </c>
      <c r="L1264" s="14">
        <f ca="1">IF(TOTALCO!L388="", "",TOTALCO!L388)</f>
        <v>4.8978915217996561E-5</v>
      </c>
      <c r="M1264" s="14" t="str">
        <f>IF(TOTALCO!M388="", "",TOTALCO!M388)</f>
        <v/>
      </c>
      <c r="N1264" s="14">
        <f ca="1">IF(TOTALCO!N388="", "",TOTALCO!N388)</f>
        <v>1.3912494294884168E-2</v>
      </c>
      <c r="O1264" s="14">
        <f ca="1">IF(TOTALCO!O388="", "",TOTALCO!O388)</f>
        <v>7.1837318805723005E-3</v>
      </c>
      <c r="P1264" s="14">
        <f ca="1">IF(TOTALCO!P388="", "",TOTALCO!P388)</f>
        <v>6.7287624143118679E-3</v>
      </c>
      <c r="Q1264" s="14"/>
    </row>
    <row r="1265" spans="1:17" ht="15" x14ac:dyDescent="0.2">
      <c r="A1265" s="321">
        <f>IF(TOTALCO!A389="", "",TOTALCO!A389)</f>
        <v>21</v>
      </c>
      <c r="B1265" s="4" t="str">
        <f>IF(TOTALCO!B389="", "",TOTALCO!B389)</f>
        <v>ACCT 924 &amp; 925 INSURANCE</v>
      </c>
      <c r="C1265" s="4" t="str">
        <f>IF(TOTALCO!C389="", "",TOTALCO!C389)</f>
        <v>EXP9245TOT</v>
      </c>
      <c r="D1265" s="14">
        <f ca="1">IF(TOTALCO!D389="", "",TOTALCO!D389)</f>
        <v>1</v>
      </c>
      <c r="E1265" s="14" t="str">
        <f>IF(TOTALCO!E389="", "",TOTALCO!E389)</f>
        <v/>
      </c>
      <c r="F1265" s="14">
        <f ca="1">IF(TOTALCO!F389="", "",TOTALCO!F389)</f>
        <v>0.93752244199129864</v>
      </c>
      <c r="G1265" s="14" t="str">
        <f>IF(TOTALCO!G389="", "",TOTALCO!G389)</f>
        <v/>
      </c>
      <c r="H1265" s="14">
        <f ca="1">IF(TOTALCO!H389="", "",TOTALCO!H389)</f>
        <v>4.9077821602451527E-2</v>
      </c>
      <c r="I1265" s="14">
        <f ca="1">IF(TOTALCO!I389="", "",TOTALCO!I389)</f>
        <v>1.3399736406249882E-2</v>
      </c>
      <c r="J1265" s="14" t="str">
        <f>IF(TOTALCO!J389="", "",TOTALCO!J389)</f>
        <v/>
      </c>
      <c r="K1265" s="14" t="str">
        <f>IF(TOTALCO!K389="", "",TOTALCO!K389)</f>
        <v/>
      </c>
      <c r="L1265" s="14">
        <f ca="1">IF(TOTALCO!L389="", "",TOTALCO!L389)</f>
        <v>6.8123591998458933E-5</v>
      </c>
      <c r="M1265" s="14" t="str">
        <f>IF(TOTALCO!M389="", "",TOTALCO!M389)</f>
        <v/>
      </c>
      <c r="N1265" s="14">
        <f ca="1">IF(TOTALCO!N389="", "",TOTALCO!N389)</f>
        <v>1.3331612814251423E-2</v>
      </c>
      <c r="O1265" s="14">
        <f ca="1">IF(TOTALCO!O389="", "",TOTALCO!O389)</f>
        <v>6.9373111224109787E-3</v>
      </c>
      <c r="P1265" s="14">
        <f ca="1">IF(TOTALCO!P389="", "",TOTALCO!P389)</f>
        <v>6.3943016918404432E-3</v>
      </c>
      <c r="Q1265" s="14"/>
    </row>
    <row r="1266" spans="1:17" ht="15" x14ac:dyDescent="0.2">
      <c r="A1266" s="321">
        <f>IF(TOTALCO!A390="", "",TOTALCO!A390)</f>
        <v>22</v>
      </c>
      <c r="B1266" s="4" t="str">
        <f>IF(TOTALCO!B390="", "",TOTALCO!B390)</f>
        <v>REVENUE SALE OF ELECT-KY</v>
      </c>
      <c r="C1266" s="4" t="str">
        <f>IF(TOTALCO!C390="", "",TOTALCO!C390)</f>
        <v>REVKY</v>
      </c>
      <c r="D1266" s="14">
        <f ca="1">IF(TOTALCO!D390="", "",TOTALCO!D390)</f>
        <v>1</v>
      </c>
      <c r="E1266" s="14" t="str">
        <f>IF(TOTALCO!E390="", "",TOTALCO!E390)</f>
        <v/>
      </c>
      <c r="F1266" s="14">
        <f ca="1">IF(TOTALCO!F390="", "",TOTALCO!F390)</f>
        <v>1</v>
      </c>
      <c r="G1266" s="14" t="str">
        <f>IF(TOTALCO!G390="", "",TOTALCO!G390)</f>
        <v/>
      </c>
      <c r="H1266" s="14">
        <f>IF(TOTALCO!H390="", "",TOTALCO!H390)</f>
        <v>0</v>
      </c>
      <c r="I1266" s="14">
        <f>IF(TOTALCO!I390="", "",TOTALCO!I390)</f>
        <v>0</v>
      </c>
      <c r="J1266" s="14" t="str">
        <f>IF(TOTALCO!J390="", "",TOTALCO!J390)</f>
        <v/>
      </c>
      <c r="K1266" s="14" t="str">
        <f>IF(TOTALCO!K390="", "",TOTALCO!K390)</f>
        <v/>
      </c>
      <c r="L1266" s="14">
        <f>IF(TOTALCO!L390="", "",TOTALCO!L390)</f>
        <v>0</v>
      </c>
      <c r="M1266" s="14" t="str">
        <f>IF(TOTALCO!M390="", "",TOTALCO!M390)</f>
        <v/>
      </c>
      <c r="N1266" s="14">
        <f>IF(TOTALCO!N390="", "",TOTALCO!N390)</f>
        <v>0</v>
      </c>
      <c r="O1266" s="14">
        <f>IF(TOTALCO!O390="", "",TOTALCO!O390)</f>
        <v>0</v>
      </c>
      <c r="P1266" s="14">
        <f>IF(TOTALCO!P390="", "",TOTALCO!P390)</f>
        <v>0</v>
      </c>
      <c r="Q1266" s="14"/>
    </row>
    <row r="1267" spans="1:17" ht="15" x14ac:dyDescent="0.2">
      <c r="A1267" s="321">
        <f>IF(TOTALCO!A391="", "",TOTALCO!A391)</f>
        <v>23</v>
      </c>
      <c r="B1267" s="4" t="str">
        <f>IF(TOTALCO!B391="", "",TOTALCO!B391)</f>
        <v>CWIP PROD FERC-POST ALLOC</v>
      </c>
      <c r="C1267" s="4" t="str">
        <f>IF(TOTALCO!C391="", "",TOTALCO!C391)</f>
        <v>AFUDC_FERC</v>
      </c>
      <c r="D1267" s="14">
        <f ca="1">IF(TOTALCO!D391="", "",TOTALCO!D391)</f>
        <v>1</v>
      </c>
      <c r="E1267" s="14" t="str">
        <f>IF(TOTALCO!E391="", "",TOTALCO!E391)</f>
        <v/>
      </c>
      <c r="F1267" s="14">
        <f>IF(TOTALCO!F391="", "",TOTALCO!F391)</f>
        <v>0</v>
      </c>
      <c r="G1267" s="14" t="str">
        <f>IF(TOTALCO!G391="", "",TOTALCO!G391)</f>
        <v/>
      </c>
      <c r="H1267" s="14">
        <f>IF(TOTALCO!H391="", "",TOTALCO!H391)</f>
        <v>0</v>
      </c>
      <c r="I1267" s="14">
        <f ca="1">IF(TOTALCO!I391="", "",TOTALCO!I391)</f>
        <v>1</v>
      </c>
      <c r="J1267" s="14" t="str">
        <f>IF(TOTALCO!J391="", "",TOTALCO!J391)</f>
        <v/>
      </c>
      <c r="K1267" s="14" t="str">
        <f>IF(TOTALCO!K391="", "",TOTALCO!K391)</f>
        <v/>
      </c>
      <c r="L1267" s="14">
        <f>IF(TOTALCO!L391="", "",TOTALCO!L391)</f>
        <v>0</v>
      </c>
      <c r="M1267" s="14" t="str">
        <f>IF(TOTALCO!M391="", "",TOTALCO!M391)</f>
        <v/>
      </c>
      <c r="N1267" s="14">
        <f ca="1">IF(TOTALCO!N391="", "",TOTALCO!N391)</f>
        <v>1</v>
      </c>
      <c r="O1267" s="14">
        <f ca="1">IF(TOTALCO!O391="", "",TOTALCO!O391)</f>
        <v>0.50717205272262444</v>
      </c>
      <c r="P1267" s="14">
        <f ca="1">IF(TOTALCO!P391="", "",TOTALCO!P391)</f>
        <v>0.4928279472773755</v>
      </c>
      <c r="Q1267" s="14"/>
    </row>
    <row r="1268" spans="1:17" ht="15" x14ac:dyDescent="0.2">
      <c r="A1268" s="321">
        <f>IF(TOTALCO!A392="", "",TOTALCO!A392)</f>
        <v>24</v>
      </c>
      <c r="B1268" s="4" t="str">
        <f>IF(TOTALCO!B392="", "",TOTALCO!B392)</f>
        <v>CWIP TRAN FERC-POST ALLOC</v>
      </c>
      <c r="C1268" s="4" t="str">
        <f>IF(TOTALCO!C392="", "",TOTALCO!C392)</f>
        <v>CWIPTP</v>
      </c>
      <c r="D1268" s="14">
        <f ca="1">IF(TOTALCO!D392="", "",TOTALCO!D392)</f>
        <v>0</v>
      </c>
      <c r="E1268" s="14" t="str">
        <f>IF(TOTALCO!E392="", "",TOTALCO!E392)</f>
        <v/>
      </c>
      <c r="F1268" s="14">
        <f>IF(TOTALCO!F392="", "",TOTALCO!F392)</f>
        <v>0</v>
      </c>
      <c r="G1268" s="14" t="str">
        <f>IF(TOTALCO!G392="", "",TOTALCO!G392)</f>
        <v/>
      </c>
      <c r="H1268" s="14">
        <f>IF(TOTALCO!H392="", "",TOTALCO!H392)</f>
        <v>0</v>
      </c>
      <c r="I1268" s="14">
        <f ca="1">IF(TOTALCO!I392="", "",TOTALCO!I392)</f>
        <v>0</v>
      </c>
      <c r="J1268" s="14" t="str">
        <f>IF(TOTALCO!J392="", "",TOTALCO!J392)</f>
        <v/>
      </c>
      <c r="K1268" s="14" t="str">
        <f>IF(TOTALCO!K392="", "",TOTALCO!K392)</f>
        <v/>
      </c>
      <c r="L1268" s="14">
        <f>IF(TOTALCO!L392="", "",TOTALCO!L392)</f>
        <v>0</v>
      </c>
      <c r="M1268" s="14" t="str">
        <f>IF(TOTALCO!M392="", "",TOTALCO!M392)</f>
        <v/>
      </c>
      <c r="N1268" s="14">
        <f ca="1">IF(TOTALCO!N392="", "",TOTALCO!N392)</f>
        <v>0</v>
      </c>
      <c r="O1268" s="14">
        <f ca="1">IF(TOTALCO!O392="", "",TOTALCO!O392)</f>
        <v>0</v>
      </c>
      <c r="P1268" s="14">
        <f ca="1">IF(TOTALCO!P392="", "",TOTALCO!P392)</f>
        <v>0</v>
      </c>
      <c r="Q1268" s="14"/>
    </row>
    <row r="1269" spans="1:17" ht="15" x14ac:dyDescent="0.2">
      <c r="A1269" s="321">
        <f>IF(TOTALCO!A393="", "",TOTALCO!A393)</f>
        <v>25</v>
      </c>
      <c r="B1269" s="4" t="str">
        <f>IF(TOTALCO!B393="", "",TOTALCO!B393)</f>
        <v>ACC DEF INC TX PROD FERC-POST</v>
      </c>
      <c r="C1269" s="4" t="str">
        <f>IF(TOTALCO!C393="", "",TOTALCO!C393)</f>
        <v>ADITPP</v>
      </c>
      <c r="D1269" s="14">
        <f ca="1">IF(TOTALCO!D393="", "",TOTALCO!D393)</f>
        <v>1</v>
      </c>
      <c r="E1269" s="14" t="str">
        <f>IF(TOTALCO!E393="", "",TOTALCO!E393)</f>
        <v/>
      </c>
      <c r="F1269" s="14">
        <f>IF(TOTALCO!F393="", "",TOTALCO!F393)</f>
        <v>0</v>
      </c>
      <c r="G1269" s="14" t="str">
        <f>IF(TOTALCO!G393="", "",TOTALCO!G393)</f>
        <v/>
      </c>
      <c r="H1269" s="14">
        <f>IF(TOTALCO!H393="", "",TOTALCO!H393)</f>
        <v>0</v>
      </c>
      <c r="I1269" s="14">
        <f ca="1">IF(TOTALCO!I393="", "",TOTALCO!I393)</f>
        <v>1</v>
      </c>
      <c r="J1269" s="14" t="str">
        <f>IF(TOTALCO!J393="", "",TOTALCO!J393)</f>
        <v/>
      </c>
      <c r="K1269" s="14" t="str">
        <f>IF(TOTALCO!K393="", "",TOTALCO!K393)</f>
        <v/>
      </c>
      <c r="L1269" s="14">
        <f>IF(TOTALCO!L393="", "",TOTALCO!L393)</f>
        <v>0</v>
      </c>
      <c r="M1269" s="14" t="str">
        <f>IF(TOTALCO!M393="", "",TOTALCO!M393)</f>
        <v/>
      </c>
      <c r="N1269" s="14">
        <f ca="1">IF(TOTALCO!N393="", "",TOTALCO!N393)</f>
        <v>1</v>
      </c>
      <c r="O1269" s="14">
        <f ca="1">IF(TOTALCO!O393="", "",TOTALCO!O393)</f>
        <v>0.50717205272262444</v>
      </c>
      <c r="P1269" s="14">
        <f ca="1">IF(TOTALCO!P393="", "",TOTALCO!P393)</f>
        <v>0.49282794727737556</v>
      </c>
      <c r="Q1269" s="14"/>
    </row>
    <row r="1270" spans="1:17" ht="15" x14ac:dyDescent="0.2">
      <c r="A1270" s="321">
        <f>IF(TOTALCO!A394="", "",TOTALCO!A394)</f>
        <v>26</v>
      </c>
      <c r="B1270" s="4" t="str">
        <f>IF(TOTALCO!B394="", "",TOTALCO!B394)</f>
        <v>ACC DEF INC TX TRAN FERC-POST</v>
      </c>
      <c r="C1270" s="4" t="str">
        <f>IF(TOTALCO!C394="", "",TOTALCO!C394)</f>
        <v>ADITTP</v>
      </c>
      <c r="D1270" s="14">
        <f ca="1">IF(TOTALCO!D394="", "",TOTALCO!D394)</f>
        <v>1</v>
      </c>
      <c r="E1270" s="14" t="str">
        <f>IF(TOTALCO!E394="", "",TOTALCO!E394)</f>
        <v/>
      </c>
      <c r="F1270" s="14">
        <f>IF(TOTALCO!F394="", "",TOTALCO!F394)</f>
        <v>0</v>
      </c>
      <c r="G1270" s="14" t="str">
        <f>IF(TOTALCO!G394="", "",TOTALCO!G394)</f>
        <v/>
      </c>
      <c r="H1270" s="14">
        <f>IF(TOTALCO!H394="", "",TOTALCO!H394)</f>
        <v>0</v>
      </c>
      <c r="I1270" s="14">
        <f ca="1">IF(TOTALCO!I394="", "",TOTALCO!I394)</f>
        <v>1</v>
      </c>
      <c r="J1270" s="14" t="str">
        <f>IF(TOTALCO!J394="", "",TOTALCO!J394)</f>
        <v/>
      </c>
      <c r="K1270" s="14" t="str">
        <f>IF(TOTALCO!K394="", "",TOTALCO!K394)</f>
        <v/>
      </c>
      <c r="L1270" s="14">
        <f>IF(TOTALCO!L394="", "",TOTALCO!L394)</f>
        <v>0</v>
      </c>
      <c r="M1270" s="14" t="str">
        <f>IF(TOTALCO!M394="", "",TOTALCO!M394)</f>
        <v/>
      </c>
      <c r="N1270" s="14">
        <f ca="1">IF(TOTALCO!N394="", "",TOTALCO!N394)</f>
        <v>1</v>
      </c>
      <c r="O1270" s="14">
        <f ca="1">IF(TOTALCO!O394="", "",TOTALCO!O394)</f>
        <v>0.50717205272262444</v>
      </c>
      <c r="P1270" s="14">
        <f ca="1">IF(TOTALCO!P394="", "",TOTALCO!P394)</f>
        <v>0.4928279472773755</v>
      </c>
      <c r="Q1270" s="14"/>
    </row>
    <row r="1271" spans="1:17" ht="15" x14ac:dyDescent="0.2">
      <c r="A1271" s="321">
        <f>IF(TOTALCO!A395="", "",TOTALCO!A395)</f>
        <v>27</v>
      </c>
      <c r="B1271" s="4" t="str">
        <f>IF(TOTALCO!B395="", "",TOTALCO!B395)</f>
        <v>TRANSMISSION PLANT EXCL VA</v>
      </c>
      <c r="C1271" s="4" t="str">
        <f>IF(TOTALCO!C395="", "",TOTALCO!C395)</f>
        <v>TRANPLTX</v>
      </c>
      <c r="D1271" s="14">
        <f ca="1">IF(TOTALCO!D395="", "",TOTALCO!D395)</f>
        <v>1</v>
      </c>
      <c r="E1271" s="14" t="str">
        <f>IF(TOTALCO!E395="", "",TOTALCO!E395)</f>
        <v/>
      </c>
      <c r="F1271" s="14">
        <f ca="1">IF(TOTALCO!F395="", "",TOTALCO!F395)</f>
        <v>0.95484303469784559</v>
      </c>
      <c r="G1271" s="14" t="str">
        <f>IF(TOTALCO!G395="", "",TOTALCO!G395)</f>
        <v/>
      </c>
      <c r="H1271" s="14">
        <f ca="1">IF(TOTALCO!H395="", "",TOTALCO!H395)</f>
        <v>4.4468545476359984E-2</v>
      </c>
      <c r="I1271" s="14">
        <f ca="1">IF(TOTALCO!I395="", "",TOTALCO!I395)</f>
        <v>6.8841982579438362E-4</v>
      </c>
      <c r="J1271" s="14" t="str">
        <f>IF(TOTALCO!J395="", "",TOTALCO!J395)</f>
        <v/>
      </c>
      <c r="K1271" s="14" t="str">
        <f>IF(TOTALCO!K395="", "",TOTALCO!K395)</f>
        <v/>
      </c>
      <c r="L1271" s="14">
        <f ca="1">IF(TOTALCO!L395="", "",TOTALCO!L395)</f>
        <v>3.0571666475631604E-6</v>
      </c>
      <c r="M1271" s="14" t="str">
        <f>IF(TOTALCO!M395="", "",TOTALCO!M395)</f>
        <v/>
      </c>
      <c r="N1271" s="14">
        <f ca="1">IF(TOTALCO!N395="", "",TOTALCO!N395)</f>
        <v>6.8536265914682047E-4</v>
      </c>
      <c r="O1271" s="14">
        <f ca="1">IF(TOTALCO!O395="", "",TOTALCO!O395)</f>
        <v>3.4759678669892935E-4</v>
      </c>
      <c r="P1271" s="14">
        <f ca="1">IF(TOTALCO!P395="", "",TOTALCO!P395)</f>
        <v>3.3776587244789113E-4</v>
      </c>
      <c r="Q1271" s="14"/>
    </row>
    <row r="1272" spans="1:17" ht="15" x14ac:dyDescent="0.2">
      <c r="A1272" s="321">
        <f>IF(TOTALCO!A396="", "",TOTALCO!A396)</f>
        <v>28</v>
      </c>
      <c r="B1272" s="4" t="str">
        <f>IF(TOTALCO!B396="", "",TOTALCO!B396)</f>
        <v>TRANSM PLANT VA &amp; 500 KV</v>
      </c>
      <c r="C1272" s="4" t="str">
        <f>IF(TOTALCO!C396="", "",TOTALCO!C396)</f>
        <v>TRPLTVA</v>
      </c>
      <c r="D1272" s="14">
        <f ca="1">IF(TOTALCO!D396="", "",TOTALCO!D396)</f>
        <v>1</v>
      </c>
      <c r="E1272" s="14" t="str">
        <f>IF(TOTALCO!E396="", "",TOTALCO!E396)</f>
        <v/>
      </c>
      <c r="F1272" s="14">
        <f ca="1">IF(TOTALCO!F396="", "",TOTALCO!F396)</f>
        <v>0.12118051550371241</v>
      </c>
      <c r="G1272" s="14" t="str">
        <f>IF(TOTALCO!G396="", "",TOTALCO!G396)</f>
        <v/>
      </c>
      <c r="H1272" s="14">
        <f ca="1">IF(TOTALCO!H396="", "",TOTALCO!H396)</f>
        <v>0.87881909552371418</v>
      </c>
      <c r="I1272" s="14">
        <f ca="1">IF(TOTALCO!I396="", "",TOTALCO!I396)</f>
        <v>3.8897257335723317E-7</v>
      </c>
      <c r="J1272" s="14" t="str">
        <f>IF(TOTALCO!J396="", "",TOTALCO!J396)</f>
        <v/>
      </c>
      <c r="K1272" s="14" t="str">
        <f>IF(TOTALCO!K396="", "",TOTALCO!K396)</f>
        <v/>
      </c>
      <c r="L1272" s="14">
        <f ca="1">IF(TOTALCO!L396="", "",TOTALCO!L396)</f>
        <v>3.8897257335723317E-7</v>
      </c>
      <c r="M1272" s="14" t="str">
        <f>IF(TOTALCO!M396="", "",TOTALCO!M396)</f>
        <v/>
      </c>
      <c r="N1272" s="14">
        <f ca="1">IF(TOTALCO!N396="", "",TOTALCO!N396)</f>
        <v>0</v>
      </c>
      <c r="O1272" s="14">
        <f ca="1">IF(TOTALCO!O396="", "",TOTALCO!O396)</f>
        <v>0</v>
      </c>
      <c r="P1272" s="14">
        <f ca="1">IF(TOTALCO!P396="", "",TOTALCO!P396)</f>
        <v>0</v>
      </c>
      <c r="Q1272" s="14"/>
    </row>
    <row r="1273" spans="1:17" ht="15" x14ac:dyDescent="0.2">
      <c r="A1273" s="321">
        <f>IF(TOTALCO!A397="", "",TOTALCO!A397)</f>
        <v>29</v>
      </c>
      <c r="B1273" s="4" t="str">
        <f>IF(TOTALCO!B397="", "",TOTALCO!B397)</f>
        <v>TOT ACCT 364 &amp; 365-OVHD LINE</v>
      </c>
      <c r="C1273" s="4" t="str">
        <f>IF(TOTALCO!C397="", "",TOTALCO!C397)</f>
        <v>PLT3645TOT</v>
      </c>
      <c r="D1273" s="14">
        <f ca="1">IF(TOTALCO!D397="", "",TOTALCO!D397)</f>
        <v>1</v>
      </c>
      <c r="E1273" s="14" t="str">
        <f>IF(TOTALCO!E397="", "",TOTALCO!E397)</f>
        <v/>
      </c>
      <c r="F1273" s="14">
        <f ca="1">IF(TOTALCO!F397="", "",TOTALCO!F397)</f>
        <v>0.92982694811048539</v>
      </c>
      <c r="G1273" s="14" t="str">
        <f>IF(TOTALCO!G397="", "",TOTALCO!G397)</f>
        <v/>
      </c>
      <c r="H1273" s="14">
        <f ca="1">IF(TOTALCO!H397="", "",TOTALCO!H397)</f>
        <v>7.0062632156146748E-2</v>
      </c>
      <c r="I1273" s="14">
        <f ca="1">IF(TOTALCO!I397="", "",TOTALCO!I397)</f>
        <v>1.1041973336786173E-4</v>
      </c>
      <c r="J1273" s="14" t="str">
        <f>IF(TOTALCO!J397="", "",TOTALCO!J397)</f>
        <v/>
      </c>
      <c r="K1273" s="14" t="str">
        <f>IF(TOTALCO!K397="", "",TOTALCO!K397)</f>
        <v/>
      </c>
      <c r="L1273" s="14">
        <f ca="1">IF(TOTALCO!L397="", "",TOTALCO!L397)</f>
        <v>1.1041973336786173E-4</v>
      </c>
      <c r="M1273" s="14" t="str">
        <f>IF(TOTALCO!M397="", "",TOTALCO!M397)</f>
        <v/>
      </c>
      <c r="N1273" s="14">
        <f ca="1">IF(TOTALCO!N397="", "",TOTALCO!N397)</f>
        <v>0</v>
      </c>
      <c r="O1273" s="14">
        <f ca="1">IF(TOTALCO!O397="", "",TOTALCO!O397)</f>
        <v>0</v>
      </c>
      <c r="P1273" s="14">
        <f ca="1">IF(TOTALCO!P397="", "",TOTALCO!P397)</f>
        <v>0</v>
      </c>
      <c r="Q1273" s="14"/>
    </row>
    <row r="1274" spans="1:17" ht="15" x14ac:dyDescent="0.2">
      <c r="A1274" s="321">
        <f>IF(TOTALCO!A398="", "",TOTALCO!A398)</f>
        <v>30</v>
      </c>
      <c r="B1274" s="4" t="str">
        <f>IF(TOTALCO!B398="", "",TOTALCO!B398)</f>
        <v>TOTAL ELECTRIC PLANT</v>
      </c>
      <c r="C1274" s="4" t="str">
        <f>IF(TOTALCO!C398="", "",TOTALCO!C398)</f>
        <v>PLANT</v>
      </c>
      <c r="D1274" s="14">
        <f ca="1">IF(TOTALCO!D398="", "",TOTALCO!D398)</f>
        <v>1</v>
      </c>
      <c r="E1274" s="14" t="str">
        <f>IF(TOTALCO!E398="", "",TOTALCO!E398)</f>
        <v/>
      </c>
      <c r="F1274" s="14">
        <f ca="1">IF(TOTALCO!F398="", "",TOTALCO!F398)</f>
        <v>0.93497428781182257</v>
      </c>
      <c r="G1274" s="14" t="str">
        <f>IF(TOTALCO!G398="", "",TOTALCO!G398)</f>
        <v/>
      </c>
      <c r="H1274" s="14">
        <f ca="1">IF(TOTALCO!H398="", "",TOTALCO!H398)</f>
        <v>5.0475880247591642E-2</v>
      </c>
      <c r="I1274" s="14">
        <f ca="1">IF(TOTALCO!I398="", "",TOTALCO!I398)</f>
        <v>1.4549831940585749E-2</v>
      </c>
      <c r="J1274" s="14" t="str">
        <f>IF(TOTALCO!J398="", "",TOTALCO!J398)</f>
        <v/>
      </c>
      <c r="K1274" s="14" t="str">
        <f>IF(TOTALCO!K398="", "",TOTALCO!K398)</f>
        <v/>
      </c>
      <c r="L1274" s="14">
        <f ca="1">IF(TOTALCO!L398="", "",TOTALCO!L398)</f>
        <v>6.8723002692660655E-5</v>
      </c>
      <c r="M1274" s="14" t="str">
        <f>IF(TOTALCO!M398="", "",TOTALCO!M398)</f>
        <v/>
      </c>
      <c r="N1274" s="14">
        <f ca="1">IF(TOTALCO!N398="", "",TOTALCO!N398)</f>
        <v>1.4481108937893089E-2</v>
      </c>
      <c r="O1274" s="14">
        <f ca="1">IF(TOTALCO!O398="", "",TOTALCO!O398)</f>
        <v>7.5266707025271815E-3</v>
      </c>
      <c r="P1274" s="14">
        <f ca="1">IF(TOTALCO!P398="", "",TOTALCO!P398)</f>
        <v>6.9544382353659085E-3</v>
      </c>
      <c r="Q1274" s="14"/>
    </row>
    <row r="1275" spans="1:17" ht="15" x14ac:dyDescent="0.2">
      <c r="A1275" s="321">
        <f>IF(TOTALCO!A399="", "",TOTALCO!A399)</f>
        <v>31</v>
      </c>
      <c r="B1275" s="4" t="str">
        <f>IF(TOTALCO!B399="", "",TOTALCO!B399)</f>
        <v>TOTAL ELECTRIC PLANT KY</v>
      </c>
      <c r="C1275" s="4" t="str">
        <f>IF(TOTALCO!C399="", "",TOTALCO!C399)</f>
        <v>PLANTKY</v>
      </c>
      <c r="D1275" s="14">
        <f ca="1">IF(TOTALCO!D399="", "",TOTALCO!D399)</f>
        <v>1</v>
      </c>
      <c r="E1275" s="14" t="str">
        <f>IF(TOTALCO!E399="", "",TOTALCO!E399)</f>
        <v/>
      </c>
      <c r="F1275" s="14">
        <f ca="1">IF(TOTALCO!F399="", "",TOTALCO!F399)</f>
        <v>1</v>
      </c>
      <c r="G1275" s="14" t="str">
        <f>IF(TOTALCO!G399="", "",TOTALCO!G399)</f>
        <v/>
      </c>
      <c r="H1275" s="14">
        <f>IF(TOTALCO!H399="", "",TOTALCO!H399)</f>
        <v>0</v>
      </c>
      <c r="I1275" s="14">
        <f>IF(TOTALCO!I399="", "",TOTALCO!I399)</f>
        <v>0</v>
      </c>
      <c r="J1275" s="14" t="str">
        <f>IF(TOTALCO!J399="", "",TOTALCO!J399)</f>
        <v/>
      </c>
      <c r="K1275" s="14" t="str">
        <f>IF(TOTALCO!K399="", "",TOTALCO!K399)</f>
        <v/>
      </c>
      <c r="L1275" s="14">
        <f>IF(TOTALCO!L399="", "",TOTALCO!L399)</f>
        <v>0</v>
      </c>
      <c r="M1275" s="14" t="str">
        <f>IF(TOTALCO!M399="", "",TOTALCO!M399)</f>
        <v/>
      </c>
      <c r="N1275" s="14">
        <f>IF(TOTALCO!N399="", "",TOTALCO!N399)</f>
        <v>0</v>
      </c>
      <c r="O1275" s="14">
        <f>IF(TOTALCO!O399="", "",TOTALCO!O399)</f>
        <v>0</v>
      </c>
      <c r="P1275" s="14">
        <f>IF(TOTALCO!P399="", "",TOTALCO!P399)</f>
        <v>0</v>
      </c>
      <c r="Q1275" s="14"/>
    </row>
    <row r="1276" spans="1:17" ht="15" x14ac:dyDescent="0.2">
      <c r="A1276" s="321">
        <f>IF(TOTALCO!A400="", "",TOTALCO!A400)</f>
        <v>32</v>
      </c>
      <c r="B1276" s="4" t="str">
        <f>IF(TOTALCO!B400="", "",TOTALCO!B400)</f>
        <v>TOTAL ELECTRIC PLANT KY &amp; FERC</v>
      </c>
      <c r="C1276" s="4" t="str">
        <f>IF(TOTALCO!C400="", "",TOTALCO!C400)</f>
        <v>PLANTKF</v>
      </c>
      <c r="D1276" s="14">
        <f ca="1">IF(TOTALCO!D400="", "",TOTALCO!D400)</f>
        <v>0.99999999999999989</v>
      </c>
      <c r="E1276" s="14" t="str">
        <f>IF(TOTALCO!E400="", "",TOTALCO!E400)</f>
        <v/>
      </c>
      <c r="F1276" s="14">
        <f ca="1">IF(TOTALCO!F400="", "",TOTALCO!F400)</f>
        <v>0.98467671158855896</v>
      </c>
      <c r="G1276" s="14" t="str">
        <f>IF(TOTALCO!G400="", "",TOTALCO!G400)</f>
        <v/>
      </c>
      <c r="H1276" s="14">
        <f>IF(TOTALCO!H400="", "",TOTALCO!H400)</f>
        <v>0</v>
      </c>
      <c r="I1276" s="14">
        <f ca="1">IF(TOTALCO!I400="", "",TOTALCO!I400)</f>
        <v>1.532328841144095E-2</v>
      </c>
      <c r="J1276" s="14" t="str">
        <f>IF(TOTALCO!J400="", "",TOTALCO!J400)</f>
        <v/>
      </c>
      <c r="K1276" s="14" t="str">
        <f>IF(TOTALCO!K400="", "",TOTALCO!K400)</f>
        <v/>
      </c>
      <c r="L1276" s="14">
        <f ca="1">IF(TOTALCO!L400="", "",TOTALCO!L400)</f>
        <v>7.2376258025525885E-5</v>
      </c>
      <c r="M1276" s="14" t="str">
        <f>IF(TOTALCO!M400="", "",TOTALCO!M400)</f>
        <v/>
      </c>
      <c r="N1276" s="14">
        <f ca="1">IF(TOTALCO!N400="", "",TOTALCO!N400)</f>
        <v>1.5250912153415425E-2</v>
      </c>
      <c r="O1276" s="14">
        <f ca="1">IF(TOTALCO!O400="", "",TOTALCO!O400)</f>
        <v>7.9267820015881067E-3</v>
      </c>
      <c r="P1276" s="14">
        <f ca="1">IF(TOTALCO!P400="", "",TOTALCO!P400)</f>
        <v>7.3241301518273188E-3</v>
      </c>
      <c r="Q1276" s="14"/>
    </row>
    <row r="1277" spans="1:17" ht="15" x14ac:dyDescent="0.2">
      <c r="A1277" s="321">
        <f>IF(TOTALCO!A401="", "",TOTALCO!A401)</f>
        <v>33</v>
      </c>
      <c r="B1277" s="4" t="str">
        <f>IF(TOTALCO!B401="", "",TOTALCO!B401)</f>
        <v>TOTAL ELECTRIC PLANT VA</v>
      </c>
      <c r="C1277" s="4" t="str">
        <f>IF(TOTALCO!C401="", "",TOTALCO!C401)</f>
        <v>PLANTVA</v>
      </c>
      <c r="D1277" s="14">
        <f ca="1">IF(TOTALCO!D401="", "",TOTALCO!D401)</f>
        <v>1</v>
      </c>
      <c r="E1277" s="14" t="str">
        <f>IF(TOTALCO!E401="", "",TOTALCO!E401)</f>
        <v/>
      </c>
      <c r="F1277" s="14">
        <f>IF(TOTALCO!F401="", "",TOTALCO!F401)</f>
        <v>0</v>
      </c>
      <c r="G1277" s="14" t="str">
        <f>IF(TOTALCO!G401="", "",TOTALCO!G401)</f>
        <v/>
      </c>
      <c r="H1277" s="14">
        <f ca="1">IF(TOTALCO!H401="", "",TOTALCO!H401)</f>
        <v>1</v>
      </c>
      <c r="I1277" s="14">
        <f>IF(TOTALCO!I401="", "",TOTALCO!I401)</f>
        <v>0</v>
      </c>
      <c r="J1277" s="14" t="str">
        <f>IF(TOTALCO!J401="", "",TOTALCO!J401)</f>
        <v/>
      </c>
      <c r="K1277" s="14" t="str">
        <f>IF(TOTALCO!K401="", "",TOTALCO!K401)</f>
        <v/>
      </c>
      <c r="L1277" s="14">
        <f>IF(TOTALCO!L401="", "",TOTALCO!L401)</f>
        <v>0</v>
      </c>
      <c r="M1277" s="14" t="str">
        <f>IF(TOTALCO!M401="", "",TOTALCO!M401)</f>
        <v/>
      </c>
      <c r="N1277" s="14">
        <f>IF(TOTALCO!N401="", "",TOTALCO!N401)</f>
        <v>0</v>
      </c>
      <c r="O1277" s="14">
        <f>IF(TOTALCO!O401="", "",TOTALCO!O401)</f>
        <v>0</v>
      </c>
      <c r="P1277" s="14">
        <f>IF(TOTALCO!P401="", "",TOTALCO!P401)</f>
        <v>0</v>
      </c>
      <c r="Q1277" s="14"/>
    </row>
    <row r="1278" spans="1:17" ht="15" x14ac:dyDescent="0.2">
      <c r="A1278" s="321">
        <f>IF(TOTALCO!A402="", "",TOTALCO!A402)</f>
        <v>34</v>
      </c>
      <c r="B1278" s="4" t="str">
        <f>IF(TOTALCO!B402="", "",TOTALCO!B402)</f>
        <v>TOTAL STEAM PROD PLANT</v>
      </c>
      <c r="C1278" s="4" t="str">
        <f>IF(TOTALCO!C402="", "",TOTALCO!C402)</f>
        <v>STMPLT</v>
      </c>
      <c r="D1278" s="14">
        <f ca="1">IF(TOTALCO!D402="", "",TOTALCO!D402)</f>
        <v>0.99999999999999989</v>
      </c>
      <c r="E1278" s="14" t="str">
        <f>IF(TOTALCO!E402="", "",TOTALCO!E402)</f>
        <v/>
      </c>
      <c r="F1278" s="14">
        <f ca="1">IF(TOTALCO!F402="", "",TOTALCO!F402)</f>
        <v>0.93543431741125871</v>
      </c>
      <c r="G1278" s="14" t="str">
        <f>IF(TOTALCO!G402="", "",TOTALCO!G402)</f>
        <v/>
      </c>
      <c r="H1278" s="14">
        <f ca="1">IF(TOTALCO!H402="", "",TOTALCO!H402)</f>
        <v>4.3601568614245065E-2</v>
      </c>
      <c r="I1278" s="14">
        <f ca="1">IF(TOTALCO!I402="", "",TOTALCO!I402)</f>
        <v>2.0964113974496153E-2</v>
      </c>
      <c r="J1278" s="14" t="str">
        <f>IF(TOTALCO!J402="", "",TOTALCO!J402)</f>
        <v/>
      </c>
      <c r="K1278" s="14" t="str">
        <f>IF(TOTALCO!K402="", "",TOTALCO!K402)</f>
        <v/>
      </c>
      <c r="L1278" s="14">
        <f ca="1">IF(TOTALCO!L402="", "",TOTALCO!L402)</f>
        <v>2.9861734800373112E-6</v>
      </c>
      <c r="M1278" s="14" t="str">
        <f>IF(TOTALCO!M402="", "",TOTALCO!M402)</f>
        <v/>
      </c>
      <c r="N1278" s="14">
        <f ca="1">IF(TOTALCO!N402="", "",TOTALCO!N402)</f>
        <v>2.0961127801016118E-2</v>
      </c>
      <c r="O1278" s="14">
        <f ca="1">IF(TOTALCO!O402="", "",TOTALCO!O402)</f>
        <v>1.0630898214222617E-2</v>
      </c>
      <c r="P1278" s="14">
        <f ca="1">IF(TOTALCO!P402="", "",TOTALCO!P402)</f>
        <v>1.0330229586793499E-2</v>
      </c>
      <c r="Q1278" s="14"/>
    </row>
    <row r="1279" spans="1:17" ht="15" x14ac:dyDescent="0.2">
      <c r="A1279" s="321">
        <f>IF(TOTALCO!A403="", "",TOTALCO!A403)</f>
        <v>35</v>
      </c>
      <c r="B1279" s="4" t="str">
        <f>IF(TOTALCO!B403="", "",TOTALCO!B403)</f>
        <v>TOTAL HYDRAULIC PROD PLANT</v>
      </c>
      <c r="C1279" s="4" t="str">
        <f>IF(TOTALCO!C403="", "",TOTALCO!C403)</f>
        <v>HYDPLT</v>
      </c>
      <c r="D1279" s="14">
        <f ca="1">IF(TOTALCO!D403="", "",TOTALCO!D403)</f>
        <v>1</v>
      </c>
      <c r="E1279" s="14" t="str">
        <f>IF(TOTALCO!E403="", "",TOTALCO!E403)</f>
        <v/>
      </c>
      <c r="F1279" s="14">
        <f ca="1">IF(TOTALCO!F403="", "",TOTALCO!F403)</f>
        <v>0.93702736377155482</v>
      </c>
      <c r="G1279" s="14" t="str">
        <f>IF(TOTALCO!G403="", "",TOTALCO!G403)</f>
        <v/>
      </c>
      <c r="H1279" s="14">
        <f ca="1">IF(TOTALCO!H403="", "",TOTALCO!H403)</f>
        <v>4.2827610095801778E-2</v>
      </c>
      <c r="I1279" s="14">
        <f ca="1">IF(TOTALCO!I403="", "",TOTALCO!I403)</f>
        <v>2.0145026132643348E-2</v>
      </c>
      <c r="J1279" s="14" t="str">
        <f>IF(TOTALCO!J403="", "",TOTALCO!J403)</f>
        <v/>
      </c>
      <c r="K1279" s="14" t="str">
        <f>IF(TOTALCO!K403="", "",TOTALCO!K403)</f>
        <v/>
      </c>
      <c r="L1279" s="14">
        <f ca="1">IF(TOTALCO!L403="", "",TOTALCO!L403)</f>
        <v>3.0016907337616793E-6</v>
      </c>
      <c r="M1279" s="14" t="str">
        <f>IF(TOTALCO!M403="", "",TOTALCO!M403)</f>
        <v/>
      </c>
      <c r="N1279" s="14">
        <f ca="1">IF(TOTALCO!N403="", "",TOTALCO!N403)</f>
        <v>2.0142024441909587E-2</v>
      </c>
      <c r="O1279" s="14">
        <f ca="1">IF(TOTALCO!O403="", "",TOTALCO!O403)</f>
        <v>1.0215471882192559E-2</v>
      </c>
      <c r="P1279" s="14">
        <f ca="1">IF(TOTALCO!P403="", "",TOTALCO!P403)</f>
        <v>9.9265525597170261E-3</v>
      </c>
      <c r="Q1279" s="14"/>
    </row>
    <row r="1280" spans="1:17" ht="15" x14ac:dyDescent="0.2">
      <c r="A1280" s="321">
        <f>IF(TOTALCO!A404="", "",TOTALCO!A404)</f>
        <v>36</v>
      </c>
      <c r="B1280" s="4" t="str">
        <f>IF(TOTALCO!B404="", "",TOTALCO!B404)</f>
        <v>TOTAL OTHER PROD PLANT</v>
      </c>
      <c r="C1280" s="4" t="str">
        <f>IF(TOTALCO!C404="", "",TOTALCO!C404)</f>
        <v>OTHPLT</v>
      </c>
      <c r="D1280" s="14">
        <f ca="1">IF(TOTALCO!D404="", "",TOTALCO!D404)</f>
        <v>1</v>
      </c>
      <c r="E1280" s="14" t="str">
        <f>IF(TOTALCO!E404="", "",TOTALCO!E404)</f>
        <v/>
      </c>
      <c r="F1280" s="14">
        <f ca="1">IF(TOTALCO!F404="", "",TOTALCO!F404)</f>
        <v>0.93667519959811796</v>
      </c>
      <c r="G1280" s="14" t="str">
        <f>IF(TOTALCO!G404="", "",TOTALCO!G404)</f>
        <v/>
      </c>
      <c r="H1280" s="14">
        <f ca="1">IF(TOTALCO!H404="", "",TOTALCO!H404)</f>
        <v>4.2725632379494331E-2</v>
      </c>
      <c r="I1280" s="14">
        <f ca="1">IF(TOTALCO!I404="", "",TOTALCO!I404)</f>
        <v>2.0599168022387756E-2</v>
      </c>
      <c r="J1280" s="14" t="str">
        <f>IF(TOTALCO!J404="", "",TOTALCO!J404)</f>
        <v/>
      </c>
      <c r="K1280" s="14" t="str">
        <f>IF(TOTALCO!K404="", "",TOTALCO!K404)</f>
        <v/>
      </c>
      <c r="L1280" s="14">
        <f ca="1">IF(TOTALCO!L404="", "",TOTALCO!L404)</f>
        <v>2.9949278909977375E-6</v>
      </c>
      <c r="M1280" s="14" t="str">
        <f>IF(TOTALCO!M404="", "",TOTALCO!M404)</f>
        <v/>
      </c>
      <c r="N1280" s="14">
        <f ca="1">IF(TOTALCO!N404="", "",TOTALCO!N404)</f>
        <v>2.0596173094496757E-2</v>
      </c>
      <c r="O1280" s="14">
        <f ca="1">IF(TOTALCO!O404="", "",TOTALCO!O404)</f>
        <v>1.0445803386566409E-2</v>
      </c>
      <c r="P1280" s="14">
        <f ca="1">IF(TOTALCO!P404="", "",TOTALCO!P404)</f>
        <v>1.0150369707930347E-2</v>
      </c>
      <c r="Q1280" s="14"/>
    </row>
    <row r="1281" spans="1:17" ht="15" x14ac:dyDescent="0.2">
      <c r="A1281" s="321">
        <f>IF(TOTALCO!A405="", "",TOTALCO!A405)</f>
        <v>37</v>
      </c>
      <c r="B1281" s="4" t="str">
        <f>IF(TOTALCO!B405="", "",TOTALCO!B405)</f>
        <v>TOT ACCT 360-362 SUBSTATIONS</v>
      </c>
      <c r="C1281" s="4" t="str">
        <f>IF(TOTALCO!C405="", "",TOTALCO!C405)</f>
        <v>PLT3602TOT</v>
      </c>
      <c r="D1281" s="14">
        <f ca="1">IF(TOTALCO!D405="", "",TOTALCO!D405)</f>
        <v>1</v>
      </c>
      <c r="E1281" s="14" t="str">
        <f>IF(TOTALCO!E405="", "",TOTALCO!E405)</f>
        <v/>
      </c>
      <c r="F1281" s="14">
        <f ca="1">IF(TOTALCO!F405="", "",TOTALCO!F405)</f>
        <v>0.95294034518035065</v>
      </c>
      <c r="G1281" s="14" t="str">
        <f>IF(TOTALCO!G405="", "",TOTALCO!G405)</f>
        <v/>
      </c>
      <c r="H1281" s="14">
        <f ca="1">IF(TOTALCO!H405="", "",TOTALCO!H405)</f>
        <v>3.2819901861418921E-2</v>
      </c>
      <c r="I1281" s="14">
        <f ca="1">IF(TOTALCO!I405="", "",TOTALCO!I405)</f>
        <v>1.4239752958230491E-2</v>
      </c>
      <c r="J1281" s="14" t="str">
        <f>IF(TOTALCO!J405="", "",TOTALCO!J405)</f>
        <v/>
      </c>
      <c r="K1281" s="14" t="str">
        <f>IF(TOTALCO!K405="", "",TOTALCO!K405)</f>
        <v/>
      </c>
      <c r="L1281" s="14">
        <f ca="1">IF(TOTALCO!L405="", "",TOTALCO!L405)</f>
        <v>1.8643495204744692E-3</v>
      </c>
      <c r="M1281" s="14" t="str">
        <f>IF(TOTALCO!M405="", "",TOTALCO!M405)</f>
        <v/>
      </c>
      <c r="N1281" s="14">
        <f ca="1">IF(TOTALCO!N405="", "",TOTALCO!N405)</f>
        <v>1.2375403437756023E-2</v>
      </c>
      <c r="O1281" s="14">
        <f ca="1">IF(TOTALCO!O405="", "",TOTALCO!O405)</f>
        <v>1.2375403437756023E-2</v>
      </c>
      <c r="P1281" s="14">
        <f ca="1">IF(TOTALCO!P405="", "",TOTALCO!P405)</f>
        <v>0</v>
      </c>
      <c r="Q1281" s="14"/>
    </row>
    <row r="1282" spans="1:17" ht="15" x14ac:dyDescent="0.2">
      <c r="A1282" s="321">
        <f>IF(TOTALCO!A406="", "",TOTALCO!A406)</f>
        <v>38</v>
      </c>
      <c r="B1282" s="4" t="str">
        <f>IF(TOTALCO!B406="", "",TOTALCO!B406)</f>
        <v>TOT ACCT 366 &amp; 367-UG LINES</v>
      </c>
      <c r="C1282" s="4" t="str">
        <f>IF(TOTALCO!C406="", "",TOTALCO!C406)</f>
        <v>PLT3667TOT</v>
      </c>
      <c r="D1282" s="14">
        <f ca="1">IF(TOTALCO!D406="", "",TOTALCO!D406)</f>
        <v>0.99999999999999989</v>
      </c>
      <c r="E1282" s="14" t="str">
        <f>IF(TOTALCO!E406="", "",TOTALCO!E406)</f>
        <v/>
      </c>
      <c r="F1282" s="14">
        <f ca="1">IF(TOTALCO!F406="", "",TOTALCO!F406)</f>
        <v>0.97714257291880124</v>
      </c>
      <c r="G1282" s="14" t="str">
        <f>IF(TOTALCO!G406="", "",TOTALCO!G406)</f>
        <v/>
      </c>
      <c r="H1282" s="14">
        <f ca="1">IF(TOTALCO!H406="", "",TOTALCO!H406)</f>
        <v>2.2857427081198672E-2</v>
      </c>
      <c r="I1282" s="14">
        <f ca="1">IF(TOTALCO!I406="", "",TOTALCO!I406)</f>
        <v>0</v>
      </c>
      <c r="J1282" s="14" t="str">
        <f>IF(TOTALCO!J406="", "",TOTALCO!J406)</f>
        <v/>
      </c>
      <c r="K1282" s="14" t="str">
        <f>IF(TOTALCO!K406="", "",TOTALCO!K406)</f>
        <v/>
      </c>
      <c r="L1282" s="14">
        <f ca="1">IF(TOTALCO!L406="", "",TOTALCO!L406)</f>
        <v>0</v>
      </c>
      <c r="M1282" s="14" t="str">
        <f>IF(TOTALCO!M406="", "",TOTALCO!M406)</f>
        <v/>
      </c>
      <c r="N1282" s="14">
        <f ca="1">IF(TOTALCO!N406="", "",TOTALCO!N406)</f>
        <v>0</v>
      </c>
      <c r="O1282" s="14">
        <f ca="1">IF(TOTALCO!O406="", "",TOTALCO!O406)</f>
        <v>0</v>
      </c>
      <c r="P1282" s="14">
        <f ca="1">IF(TOTALCO!P406="", "",TOTALCO!P406)</f>
        <v>0</v>
      </c>
      <c r="Q1282" s="14"/>
    </row>
    <row r="1283" spans="1:17" ht="15" x14ac:dyDescent="0.2">
      <c r="A1283" s="321">
        <f>IF(TOTALCO!A407="", "",TOTALCO!A407)</f>
        <v>39</v>
      </c>
      <c r="B1283" s="4" t="str">
        <f>IF(TOTALCO!B407="", "",TOTALCO!B407)</f>
        <v>TOT ACCT 373-STREET LIGHTING</v>
      </c>
      <c r="C1283" s="4" t="str">
        <f>IF(TOTALCO!C407="", "",TOTALCO!C407)</f>
        <v>PLT373TOT</v>
      </c>
      <c r="D1283" s="14">
        <f ca="1">IF(TOTALCO!D407="", "",TOTALCO!D407)</f>
        <v>0.99999999999999989</v>
      </c>
      <c r="E1283" s="14" t="str">
        <f>IF(TOTALCO!E407="", "",TOTALCO!E407)</f>
        <v/>
      </c>
      <c r="F1283" s="14">
        <f ca="1">IF(TOTALCO!F407="", "",TOTALCO!F407)</f>
        <v>0.96949270004694565</v>
      </c>
      <c r="G1283" s="14" t="str">
        <f>IF(TOTALCO!G407="", "",TOTALCO!G407)</f>
        <v/>
      </c>
      <c r="H1283" s="14">
        <f ca="1">IF(TOTALCO!H407="", "",TOTALCO!H407)</f>
        <v>3.0507299953054269E-2</v>
      </c>
      <c r="I1283" s="14">
        <f ca="1">IF(TOTALCO!I407="", "",TOTALCO!I407)</f>
        <v>0</v>
      </c>
      <c r="J1283" s="14" t="str">
        <f>IF(TOTALCO!J407="", "",TOTALCO!J407)</f>
        <v/>
      </c>
      <c r="K1283" s="14" t="str">
        <f>IF(TOTALCO!K407="", "",TOTALCO!K407)</f>
        <v/>
      </c>
      <c r="L1283" s="14">
        <f ca="1">IF(TOTALCO!L407="", "",TOTALCO!L407)</f>
        <v>0</v>
      </c>
      <c r="M1283" s="14" t="str">
        <f>IF(TOTALCO!M407="", "",TOTALCO!M407)</f>
        <v/>
      </c>
      <c r="N1283" s="14">
        <f ca="1">IF(TOTALCO!N407="", "",TOTALCO!N407)</f>
        <v>0</v>
      </c>
      <c r="O1283" s="14">
        <f ca="1">IF(TOTALCO!O407="", "",TOTALCO!O407)</f>
        <v>0</v>
      </c>
      <c r="P1283" s="14">
        <f ca="1">IF(TOTALCO!P407="", "",TOTALCO!P407)</f>
        <v>0</v>
      </c>
      <c r="Q1283" s="14"/>
    </row>
    <row r="1284" spans="1:17" ht="15" x14ac:dyDescent="0.2">
      <c r="A1284" s="321">
        <f>IF(TOTALCO!A408="", "",TOTALCO!A408)</f>
        <v>40</v>
      </c>
      <c r="B1284" s="4" t="str">
        <f>IF(TOTALCO!B408="", "",TOTALCO!B408)</f>
        <v>TOTAL ACCT 370-METERS</v>
      </c>
      <c r="C1284" s="4" t="str">
        <f>IF(TOTALCO!C408="", "",TOTALCO!C408)</f>
        <v>PLT370TOT</v>
      </c>
      <c r="D1284" s="14">
        <f ca="1">IF(TOTALCO!D408="", "",TOTALCO!D408)</f>
        <v>1.0000000000000002</v>
      </c>
      <c r="E1284" s="14" t="str">
        <f>IF(TOTALCO!E408="", "",TOTALCO!E408)</f>
        <v/>
      </c>
      <c r="F1284" s="14">
        <f ca="1">IF(TOTALCO!F408="", "",TOTALCO!F408)</f>
        <v>0.95355876133488604</v>
      </c>
      <c r="G1284" s="14" t="str">
        <f>IF(TOTALCO!G408="", "",TOTALCO!G408)</f>
        <v/>
      </c>
      <c r="H1284" s="14">
        <f ca="1">IF(TOTALCO!H408="", "",TOTALCO!H408)</f>
        <v>4.5817503086860473E-2</v>
      </c>
      <c r="I1284" s="14">
        <f ca="1">IF(TOTALCO!I408="", "",TOTALCO!I408)</f>
        <v>6.2373557825358362E-4</v>
      </c>
      <c r="J1284" s="14" t="str">
        <f>IF(TOTALCO!J408="", "",TOTALCO!J408)</f>
        <v/>
      </c>
      <c r="K1284" s="14" t="str">
        <f>IF(TOTALCO!K408="", "",TOTALCO!K408)</f>
        <v/>
      </c>
      <c r="L1284" s="14">
        <f ca="1">IF(TOTALCO!L408="", "",TOTALCO!L408)</f>
        <v>5.0851068764125075E-5</v>
      </c>
      <c r="M1284" s="14" t="str">
        <f>IF(TOTALCO!M408="", "",TOTALCO!M408)</f>
        <v/>
      </c>
      <c r="N1284" s="14">
        <f ca="1">IF(TOTALCO!N408="", "",TOTALCO!N408)</f>
        <v>5.728845094894585E-4</v>
      </c>
      <c r="O1284" s="14">
        <f ca="1">IF(TOTALCO!O408="", "",TOTALCO!O408)</f>
        <v>2.4771551378448389E-4</v>
      </c>
      <c r="P1284" s="14">
        <f ca="1">IF(TOTALCO!P408="", "",TOTALCO!P408)</f>
        <v>3.2516899570497466E-4</v>
      </c>
      <c r="Q1284" s="14"/>
    </row>
    <row r="1285" spans="1:17" ht="15" x14ac:dyDescent="0.2">
      <c r="A1285" s="321">
        <f>IF(TOTALCO!A409="", "",TOTALCO!A409)</f>
        <v>41</v>
      </c>
      <c r="B1285" s="4" t="str">
        <f>IF(TOTALCO!B409="", "",TOTALCO!B409)</f>
        <v>TOT ACCT 371-CUSTOMER INSTALL</v>
      </c>
      <c r="C1285" s="4" t="str">
        <f>IF(TOTALCO!C409="", "",TOTALCO!C409)</f>
        <v>PLT371TOT</v>
      </c>
      <c r="D1285" s="14">
        <f ca="1">IF(TOTALCO!D409="", "",TOTALCO!D409)</f>
        <v>1</v>
      </c>
      <c r="E1285" s="14" t="str">
        <f>IF(TOTALCO!E409="", "",TOTALCO!E409)</f>
        <v/>
      </c>
      <c r="F1285" s="14">
        <f ca="1">IF(TOTALCO!F409="", "",TOTALCO!F409)</f>
        <v>1</v>
      </c>
      <c r="G1285" s="14" t="str">
        <f>IF(TOTALCO!G409="", "",TOTALCO!G409)</f>
        <v/>
      </c>
      <c r="H1285" s="14">
        <f ca="1">IF(TOTALCO!H409="", "",TOTALCO!H409)</f>
        <v>0</v>
      </c>
      <c r="I1285" s="14">
        <f ca="1">IF(TOTALCO!I409="", "",TOTALCO!I409)</f>
        <v>0</v>
      </c>
      <c r="J1285" s="14" t="str">
        <f>IF(TOTALCO!J409="", "",TOTALCO!J409)</f>
        <v/>
      </c>
      <c r="K1285" s="14" t="str">
        <f>IF(TOTALCO!K409="", "",TOTALCO!K409)</f>
        <v/>
      </c>
      <c r="L1285" s="14">
        <f ca="1">IF(TOTALCO!L409="", "",TOTALCO!L409)</f>
        <v>0</v>
      </c>
      <c r="M1285" s="14" t="str">
        <f>IF(TOTALCO!M409="", "",TOTALCO!M409)</f>
        <v/>
      </c>
      <c r="N1285" s="14">
        <f ca="1">IF(TOTALCO!N409="", "",TOTALCO!N409)</f>
        <v>0</v>
      </c>
      <c r="O1285" s="14">
        <f ca="1">IF(TOTALCO!O409="", "",TOTALCO!O409)</f>
        <v>0</v>
      </c>
      <c r="P1285" s="14">
        <f ca="1">IF(TOTALCO!P409="", "",TOTALCO!P409)</f>
        <v>0</v>
      </c>
      <c r="Q1285" s="14"/>
    </row>
    <row r="1286" spans="1:17" ht="15" x14ac:dyDescent="0.2">
      <c r="A1286" s="321">
        <f>IF(TOTALCO!A410="", "",TOTALCO!A410)</f>
        <v>42</v>
      </c>
      <c r="B1286" s="4" t="str">
        <f>IF(TOTALCO!B410="", "",TOTALCO!B410)</f>
        <v>TOT ACCT 368-LINE TRANSFORMER</v>
      </c>
      <c r="C1286" s="4" t="str">
        <f>IF(TOTALCO!C410="", "",TOTALCO!C410)</f>
        <v>PLT368TOT</v>
      </c>
      <c r="D1286" s="14">
        <f ca="1">IF(TOTALCO!D410="", "",TOTALCO!D410)</f>
        <v>1.0000000000000002</v>
      </c>
      <c r="E1286" s="14" t="str">
        <f>IF(TOTALCO!E410="", "",TOTALCO!E410)</f>
        <v/>
      </c>
      <c r="F1286" s="14">
        <f ca="1">IF(TOTALCO!F410="", "",TOTALCO!F410)</f>
        <v>0.9657772923107425</v>
      </c>
      <c r="G1286" s="14" t="str">
        <f>IF(TOTALCO!G410="", "",TOTALCO!G410)</f>
        <v/>
      </c>
      <c r="H1286" s="14">
        <f ca="1">IF(TOTALCO!H410="", "",TOTALCO!H410)</f>
        <v>3.4213160417848679E-2</v>
      </c>
      <c r="I1286" s="14">
        <f ca="1">IF(TOTALCO!I410="", "",TOTALCO!I410)</f>
        <v>9.5472714088960174E-6</v>
      </c>
      <c r="J1286" s="14" t="str">
        <f>IF(TOTALCO!J410="", "",TOTALCO!J410)</f>
        <v/>
      </c>
      <c r="K1286" s="14" t="str">
        <f>IF(TOTALCO!K410="", "",TOTALCO!K410)</f>
        <v/>
      </c>
      <c r="L1286" s="14">
        <f ca="1">IF(TOTALCO!L410="", "",TOTALCO!L410)</f>
        <v>9.5472714088960174E-6</v>
      </c>
      <c r="M1286" s="14" t="str">
        <f>IF(TOTALCO!M410="", "",TOTALCO!M410)</f>
        <v/>
      </c>
      <c r="N1286" s="14">
        <f ca="1">IF(TOTALCO!N410="", "",TOTALCO!N410)</f>
        <v>0</v>
      </c>
      <c r="O1286" s="14">
        <f ca="1">IF(TOTALCO!O410="", "",TOTALCO!O410)</f>
        <v>0</v>
      </c>
      <c r="P1286" s="14">
        <f ca="1">IF(TOTALCO!P410="", "",TOTALCO!P410)</f>
        <v>0</v>
      </c>
      <c r="Q1286" s="14"/>
    </row>
    <row r="1287" spans="1:17" ht="15" x14ac:dyDescent="0.2">
      <c r="A1287" s="321">
        <f>IF(TOTALCO!A411="", "",TOTALCO!A411)</f>
        <v>43</v>
      </c>
      <c r="B1287" s="4" t="str">
        <f>IF(TOTALCO!B411="", "",TOTALCO!B411)</f>
        <v>TOT ACCT 902-904 CUST ACCTS</v>
      </c>
      <c r="C1287" s="4" t="str">
        <f>IF(TOTALCO!C411="", "",TOTALCO!C411)</f>
        <v>EXP9024CA</v>
      </c>
      <c r="D1287" s="14">
        <f ca="1">IF(TOTALCO!D411="", "",TOTALCO!D411)</f>
        <v>1.0000000000000002</v>
      </c>
      <c r="E1287" s="14" t="str">
        <f>IF(TOTALCO!E411="", "",TOTALCO!E411)</f>
        <v/>
      </c>
      <c r="F1287" s="14">
        <f ca="1">IF(TOTALCO!F411="", "",TOTALCO!F411)</f>
        <v>0.95003195393362816</v>
      </c>
      <c r="G1287" s="14" t="str">
        <f>IF(TOTALCO!G411="", "",TOTALCO!G411)</f>
        <v/>
      </c>
      <c r="H1287" s="14">
        <f ca="1">IF(TOTALCO!H411="", "",TOTALCO!H411)</f>
        <v>4.9682107773700274E-2</v>
      </c>
      <c r="I1287" s="14">
        <f ca="1">IF(TOTALCO!I411="", "",TOTALCO!I411)</f>
        <v>2.859382926716783E-4</v>
      </c>
      <c r="J1287" s="14" t="str">
        <f>IF(TOTALCO!J411="", "",TOTALCO!J411)</f>
        <v/>
      </c>
      <c r="K1287" s="14" t="str">
        <f>IF(TOTALCO!K411="", "",TOTALCO!K411)</f>
        <v/>
      </c>
      <c r="L1287" s="14">
        <f ca="1">IF(TOTALCO!L411="", "",TOTALCO!L411)</f>
        <v>6.5884399233105599E-6</v>
      </c>
      <c r="M1287" s="14" t="str">
        <f>IF(TOTALCO!M411="", "",TOTALCO!M411)</f>
        <v/>
      </c>
      <c r="N1287" s="14">
        <f ca="1">IF(TOTALCO!N411="", "",TOTALCO!N411)</f>
        <v>2.7934985274836777E-4</v>
      </c>
      <c r="O1287" s="14">
        <f ca="1">IF(TOTALCO!O411="", "",TOTALCO!O411)</f>
        <v>1.1200347869627952E-4</v>
      </c>
      <c r="P1287" s="14">
        <f ca="1">IF(TOTALCO!P411="", "",TOTALCO!P411)</f>
        <v>1.6734637405208823E-4</v>
      </c>
      <c r="Q1287" s="14"/>
    </row>
    <row r="1288" spans="1:17" ht="15" x14ac:dyDescent="0.2">
      <c r="A1288" s="321">
        <f>IF(TOTALCO!A412="", "",TOTALCO!A412)</f>
        <v>44</v>
      </c>
      <c r="B1288" s="4" t="str">
        <f>IF(TOTALCO!B412="", "",TOTALCO!B412)</f>
        <v>TOT ACCT 908-909 CUST SERV</v>
      </c>
      <c r="C1288" s="4" t="str">
        <f>IF(TOTALCO!C412="", "",TOTALCO!C412)</f>
        <v>EXP9089CS</v>
      </c>
      <c r="D1288" s="14">
        <f ca="1">IF(TOTALCO!D412="", "",TOTALCO!D412)</f>
        <v>1</v>
      </c>
      <c r="E1288" s="14" t="str">
        <f>IF(TOTALCO!E412="", "",TOTALCO!E412)</f>
        <v/>
      </c>
      <c r="F1288" s="14">
        <f ca="1">IF(TOTALCO!F412="", "",TOTALCO!F412)</f>
        <v>0.99069472996649699</v>
      </c>
      <c r="G1288" s="14" t="str">
        <f>IF(TOTALCO!G412="", "",TOTALCO!G412)</f>
        <v/>
      </c>
      <c r="H1288" s="14">
        <f ca="1">IF(TOTALCO!H412="", "",TOTALCO!H412)</f>
        <v>9.3042775066559807E-3</v>
      </c>
      <c r="I1288" s="14">
        <f ca="1">IF(TOTALCO!I412="", "",TOTALCO!I412)</f>
        <v>9.9252684706354029E-7</v>
      </c>
      <c r="J1288" s="14" t="str">
        <f>IF(TOTALCO!J412="", "",TOTALCO!J412)</f>
        <v/>
      </c>
      <c r="K1288" s="14" t="str">
        <f>IF(TOTALCO!K412="", "",TOTALCO!K412)</f>
        <v/>
      </c>
      <c r="L1288" s="14">
        <f ca="1">IF(TOTALCO!L412="", "",TOTALCO!L412)</f>
        <v>9.9252684706354029E-7</v>
      </c>
      <c r="M1288" s="14" t="str">
        <f>IF(TOTALCO!M412="", "",TOTALCO!M412)</f>
        <v/>
      </c>
      <c r="N1288" s="14">
        <f ca="1">IF(TOTALCO!N412="", "",TOTALCO!N412)</f>
        <v>0</v>
      </c>
      <c r="O1288" s="14">
        <f ca="1">IF(TOTALCO!O412="", "",TOTALCO!O412)</f>
        <v>0</v>
      </c>
      <c r="P1288" s="14">
        <f ca="1">IF(TOTALCO!P412="", "",TOTALCO!P412)</f>
        <v>0</v>
      </c>
      <c r="Q1288" s="14"/>
    </row>
    <row r="1289" spans="1:17" ht="15" x14ac:dyDescent="0.2">
      <c r="A1289" s="321">
        <f>IF(TOTALCO!A413="", "",TOTALCO!A413)</f>
        <v>45</v>
      </c>
      <c r="B1289" s="4" t="str">
        <f>IF(TOTALCO!B413="", "",TOTALCO!B413)</f>
        <v>TOTAL TRANS &amp; DISTRIB PLANT</v>
      </c>
      <c r="C1289" s="4" t="str">
        <f>IF(TOTALCO!C413="", "",TOTALCO!C413)</f>
        <v>TRDSPLT</v>
      </c>
      <c r="D1289" s="14">
        <f ca="1">IF(TOTALCO!D413="", "",TOTALCO!D413)</f>
        <v>1</v>
      </c>
      <c r="E1289" s="14" t="str">
        <f>IF(TOTALCO!E413="", "",TOTALCO!E413)</f>
        <v/>
      </c>
      <c r="F1289" s="14">
        <f ca="1">IF(TOTALCO!F413="", "",TOTALCO!F413)</f>
        <v>0.93309100040101733</v>
      </c>
      <c r="G1289" s="14" t="str">
        <f>IF(TOTALCO!G413="", "",TOTALCO!G413)</f>
        <v/>
      </c>
      <c r="H1289" s="14">
        <f ca="1">IF(TOTALCO!H413="", "",TOTALCO!H413)</f>
        <v>6.5314290551134038E-2</v>
      </c>
      <c r="I1289" s="14">
        <f ca="1">IF(TOTALCO!I413="", "",TOTALCO!I413)</f>
        <v>1.5947090478486117E-3</v>
      </c>
      <c r="J1289" s="14" t="str">
        <f>IF(TOTALCO!J413="", "",TOTALCO!J413)</f>
        <v/>
      </c>
      <c r="K1289" s="14" t="str">
        <f>IF(TOTALCO!K413="", "",TOTALCO!K413)</f>
        <v/>
      </c>
      <c r="L1289" s="14">
        <f ca="1">IF(TOTALCO!L413="", "",TOTALCO!L413)</f>
        <v>2.0544364555285095E-4</v>
      </c>
      <c r="M1289" s="14" t="str">
        <f>IF(TOTALCO!M413="", "",TOTALCO!M413)</f>
        <v/>
      </c>
      <c r="N1289" s="14">
        <f ca="1">IF(TOTALCO!N413="", "",TOTALCO!N413)</f>
        <v>1.3892654022957607E-3</v>
      </c>
      <c r="O1289" s="14">
        <f ca="1">IF(TOTALCO!O413="", "",TOTALCO!O413)</f>
        <v>1.2666284423852045E-3</v>
      </c>
      <c r="P1289" s="14">
        <f ca="1">IF(TOTALCO!P413="", "",TOTALCO!P413)</f>
        <v>1.2263695991055612E-4</v>
      </c>
      <c r="Q1289" s="14"/>
    </row>
    <row r="1290" spans="1:17" ht="15" x14ac:dyDescent="0.2">
      <c r="A1290" s="321" t="str">
        <f>IF(TOTALCO!A415="", "",TOTALCO!A415)</f>
        <v/>
      </c>
      <c r="B1290" s="4" t="str">
        <f>IF(TOTALCO!B415="", "",TOTALCO!B415)</f>
        <v>INTERNALLY DEVELOPED-CON'T</v>
      </c>
      <c r="C1290" s="4" t="str">
        <f>IF(TOTALCO!C415="", "",TOTALCO!C415)</f>
        <v/>
      </c>
      <c r="D1290" s="14" t="str">
        <f>IF(TOTALCO!D415="", "",TOTALCO!D415)</f>
        <v/>
      </c>
      <c r="E1290" s="14" t="str">
        <f>IF(TOTALCO!E415="", "",TOTALCO!E415)</f>
        <v/>
      </c>
      <c r="F1290" s="14" t="str">
        <f>IF(TOTALCO!F415="", "",TOTALCO!F415)</f>
        <v/>
      </c>
      <c r="G1290" s="14" t="str">
        <f>IF(TOTALCO!G415="", "",TOTALCO!G415)</f>
        <v/>
      </c>
      <c r="H1290" s="14" t="str">
        <f>IF(TOTALCO!H415="", "",TOTALCO!H415)</f>
        <v/>
      </c>
      <c r="I1290" s="14" t="str">
        <f>IF(TOTALCO!I415="", "",TOTALCO!I415)</f>
        <v/>
      </c>
      <c r="J1290" s="14" t="str">
        <f>IF(TOTALCO!J415="", "",TOTALCO!J415)</f>
        <v/>
      </c>
      <c r="K1290" s="14" t="str">
        <f>IF(TOTALCO!K415="", "",TOTALCO!K415)</f>
        <v/>
      </c>
      <c r="L1290" s="14" t="str">
        <f>IF(TOTALCO!L415="", "",TOTALCO!L415)</f>
        <v/>
      </c>
      <c r="M1290" s="14" t="str">
        <f>IF(TOTALCO!M415="", "",TOTALCO!M415)</f>
        <v/>
      </c>
      <c r="N1290" s="14" t="str">
        <f>IF(TOTALCO!N415="", "",TOTALCO!N415)</f>
        <v/>
      </c>
      <c r="O1290" s="14" t="str">
        <f>IF(TOTALCO!O415="", "",TOTALCO!O415)</f>
        <v/>
      </c>
      <c r="P1290" s="14" t="str">
        <f>IF(TOTALCO!P415="", "",TOTALCO!P415)</f>
        <v/>
      </c>
      <c r="Q1290" s="14"/>
    </row>
    <row r="1291" spans="1:17" ht="15" x14ac:dyDescent="0.2">
      <c r="A1291" s="321" t="str">
        <f>IF(TOTALCO!A416="", "",TOTALCO!A416)</f>
        <v/>
      </c>
      <c r="B1291" s="4" t="str">
        <f>IF(TOTALCO!B416="", "",TOTALCO!B416)</f>
        <v>-</v>
      </c>
      <c r="C1291" s="4" t="str">
        <f>IF(TOTALCO!C416="", "",TOTALCO!C416)</f>
        <v/>
      </c>
      <c r="D1291" s="14" t="str">
        <f>IF(TOTALCO!D416="", "",TOTALCO!D416)</f>
        <v/>
      </c>
      <c r="E1291" s="14" t="str">
        <f>IF(TOTALCO!E416="", "",TOTALCO!E416)</f>
        <v/>
      </c>
      <c r="F1291" s="14" t="str">
        <f>IF(TOTALCO!F416="", "",TOTALCO!F416)</f>
        <v/>
      </c>
      <c r="G1291" s="14" t="str">
        <f>IF(TOTALCO!G416="", "",TOTALCO!G416)</f>
        <v/>
      </c>
      <c r="H1291" s="14" t="str">
        <f>IF(TOTALCO!H416="", "",TOTALCO!H416)</f>
        <v/>
      </c>
      <c r="I1291" s="14" t="str">
        <f>IF(TOTALCO!I416="", "",TOTALCO!I416)</f>
        <v/>
      </c>
      <c r="J1291" s="14" t="str">
        <f>IF(TOTALCO!J416="", "",TOTALCO!J416)</f>
        <v/>
      </c>
      <c r="K1291" s="14" t="str">
        <f>IF(TOTALCO!K416="", "",TOTALCO!K416)</f>
        <v/>
      </c>
      <c r="L1291" s="14" t="str">
        <f>IF(TOTALCO!L416="", "",TOTALCO!L416)</f>
        <v/>
      </c>
      <c r="M1291" s="14" t="str">
        <f>IF(TOTALCO!M416="", "",TOTALCO!M416)</f>
        <v/>
      </c>
      <c r="N1291" s="14" t="str">
        <f>IF(TOTALCO!N416="", "",TOTALCO!N416)</f>
        <v/>
      </c>
      <c r="O1291" s="14" t="str">
        <f>IF(TOTALCO!O416="", "",TOTALCO!O416)</f>
        <v/>
      </c>
      <c r="P1291" s="14" t="str">
        <f>IF(TOTALCO!P416="", "",TOTALCO!P416)</f>
        <v/>
      </c>
      <c r="Q1291" s="14"/>
    </row>
    <row r="1292" spans="1:17" ht="15" x14ac:dyDescent="0.2">
      <c r="A1292" s="321">
        <f>IF(TOTALCO!A417="", "",TOTALCO!A417)</f>
        <v>1</v>
      </c>
      <c r="B1292" s="4" t="str">
        <f>IF(TOTALCO!B417="", "",TOTALCO!B417)</f>
        <v>TOT ACCT 912-913 SALES EXP</v>
      </c>
      <c r="C1292" s="4" t="str">
        <f>IF(TOTALCO!C417="", "",TOTALCO!C417)</f>
        <v>EXP9123SA</v>
      </c>
      <c r="D1292" s="14">
        <f ca="1">IF(TOTALCO!D417="", "",TOTALCO!D417)</f>
        <v>1</v>
      </c>
      <c r="E1292" s="14" t="str">
        <f>IF(TOTALCO!E417="", "",TOTALCO!E417)</f>
        <v/>
      </c>
      <c r="F1292" s="14">
        <f ca="1">IF(TOTALCO!F417="", "",TOTALCO!F417)</f>
        <v>0.94892097697757327</v>
      </c>
      <c r="G1292" s="14" t="str">
        <f>IF(TOTALCO!G417="", "",TOTALCO!G417)</f>
        <v/>
      </c>
      <c r="H1292" s="14">
        <f ca="1">IF(TOTALCO!H417="", "",TOTALCO!H417)</f>
        <v>5.1073574787019391E-2</v>
      </c>
      <c r="I1292" s="14">
        <f ca="1">IF(TOTALCO!I417="", "",TOTALCO!I417)</f>
        <v>5.4482354073554802E-6</v>
      </c>
      <c r="J1292" s="14" t="str">
        <f>IF(TOTALCO!J417="", "",TOTALCO!J417)</f>
        <v/>
      </c>
      <c r="K1292" s="14" t="str">
        <f>IF(TOTALCO!K417="", "",TOTALCO!K417)</f>
        <v/>
      </c>
      <c r="L1292" s="14">
        <f ca="1">IF(TOTALCO!L417="", "",TOTALCO!L417)</f>
        <v>5.4482354073554802E-6</v>
      </c>
      <c r="M1292" s="14" t="str">
        <f>IF(TOTALCO!M417="", "",TOTALCO!M417)</f>
        <v/>
      </c>
      <c r="N1292" s="14">
        <f ca="1">IF(TOTALCO!N417="", "",TOTALCO!N417)</f>
        <v>0</v>
      </c>
      <c r="O1292" s="14">
        <f ca="1">IF(TOTALCO!O417="", "",TOTALCO!O417)</f>
        <v>0</v>
      </c>
      <c r="P1292" s="14">
        <f ca="1">IF(TOTALCO!P417="", "",TOTALCO!P417)</f>
        <v>0</v>
      </c>
      <c r="Q1292" s="14"/>
    </row>
    <row r="1293" spans="1:17" ht="15" x14ac:dyDescent="0.2">
      <c r="A1293" s="321">
        <f>IF(TOTALCO!A418="", "",TOTALCO!A418)</f>
        <v>2</v>
      </c>
      <c r="B1293" s="4" t="str">
        <f>IF(TOTALCO!B418="", "",TOTALCO!B418)</f>
        <v>REVENUE SALE OF ELECT-FERC</v>
      </c>
      <c r="C1293" s="4" t="str">
        <f>IF(TOTALCO!C418="", "",TOTALCO!C418)</f>
        <v>REVFERC</v>
      </c>
      <c r="D1293" s="14">
        <f ca="1">IF(TOTALCO!D418="", "",TOTALCO!D418)</f>
        <v>1</v>
      </c>
      <c r="E1293" s="14" t="str">
        <f>IF(TOTALCO!E418="", "",TOTALCO!E418)</f>
        <v/>
      </c>
      <c r="F1293" s="14">
        <f>IF(TOTALCO!F418="", "",TOTALCO!F418)</f>
        <v>0</v>
      </c>
      <c r="G1293" s="14" t="str">
        <f>IF(TOTALCO!G418="", "",TOTALCO!G418)</f>
        <v/>
      </c>
      <c r="H1293" s="14">
        <f>IF(TOTALCO!H418="", "",TOTALCO!H418)</f>
        <v>0</v>
      </c>
      <c r="I1293" s="14">
        <f ca="1">IF(TOTALCO!I418="", "",TOTALCO!I418)</f>
        <v>1</v>
      </c>
      <c r="J1293" s="14" t="str">
        <f>IF(TOTALCO!J418="", "",TOTALCO!J418)</f>
        <v/>
      </c>
      <c r="K1293" s="14" t="str">
        <f>IF(TOTALCO!K418="", "",TOTALCO!K418)</f>
        <v/>
      </c>
      <c r="L1293" s="14">
        <f>IF(TOTALCO!L418="", "",TOTALCO!L418)</f>
        <v>0</v>
      </c>
      <c r="M1293" s="14" t="str">
        <f>IF(TOTALCO!M418="", "",TOTALCO!M418)</f>
        <v/>
      </c>
      <c r="N1293" s="14">
        <f ca="1">IF(TOTALCO!N418="", "",TOTALCO!N418)</f>
        <v>1</v>
      </c>
      <c r="O1293" s="14">
        <f ca="1">IF(TOTALCO!O418="", "",TOTALCO!O418)</f>
        <v>0.50632304693712848</v>
      </c>
      <c r="P1293" s="14">
        <f ca="1">IF(TOTALCO!P418="", "",TOTALCO!P418)</f>
        <v>0.49367695306287152</v>
      </c>
      <c r="Q1293" s="14"/>
    </row>
    <row r="1294" spans="1:17" ht="15" x14ac:dyDescent="0.2">
      <c r="A1294" s="321">
        <f>IF(TOTALCO!A419="", "",TOTALCO!A419)</f>
        <v>3</v>
      </c>
      <c r="B1294" s="4" t="str">
        <f>IF(TOTALCO!B419="", "",TOTALCO!B419)</f>
        <v>REVENUE SALE OF ELECT-VA</v>
      </c>
      <c r="C1294" s="4" t="str">
        <f>IF(TOTALCO!C419="", "",TOTALCO!C419)</f>
        <v>REVVA</v>
      </c>
      <c r="D1294" s="14">
        <f ca="1">IF(TOTALCO!D419="", "",TOTALCO!D419)</f>
        <v>1</v>
      </c>
      <c r="E1294" s="14" t="str">
        <f>IF(TOTALCO!E419="", "",TOTALCO!E419)</f>
        <v/>
      </c>
      <c r="F1294" s="14">
        <f>IF(TOTALCO!F419="", "",TOTALCO!F419)</f>
        <v>0</v>
      </c>
      <c r="G1294" s="14" t="str">
        <f>IF(TOTALCO!G419="", "",TOTALCO!G419)</f>
        <v/>
      </c>
      <c r="H1294" s="14">
        <f ca="1">IF(TOTALCO!H419="", "",TOTALCO!H419)</f>
        <v>1</v>
      </c>
      <c r="I1294" s="14">
        <f>IF(TOTALCO!I419="", "",TOTALCO!I419)</f>
        <v>0</v>
      </c>
      <c r="J1294" s="14" t="str">
        <f>IF(TOTALCO!J419="", "",TOTALCO!J419)</f>
        <v/>
      </c>
      <c r="K1294" s="14" t="str">
        <f>IF(TOTALCO!K419="", "",TOTALCO!K419)</f>
        <v/>
      </c>
      <c r="L1294" s="14">
        <f>IF(TOTALCO!L419="", "",TOTALCO!L419)</f>
        <v>0</v>
      </c>
      <c r="M1294" s="14" t="str">
        <f>IF(TOTALCO!M419="", "",TOTALCO!M419)</f>
        <v/>
      </c>
      <c r="N1294" s="14">
        <f>IF(TOTALCO!N419="", "",TOTALCO!N419)</f>
        <v>0</v>
      </c>
      <c r="O1294" s="14">
        <f>IF(TOTALCO!O419="", "",TOTALCO!O419)</f>
        <v>0</v>
      </c>
      <c r="P1294" s="14">
        <f>IF(TOTALCO!P419="", "",TOTALCO!P419)</f>
        <v>0</v>
      </c>
      <c r="Q1294" s="14"/>
    </row>
    <row r="1295" spans="1:17" ht="15" x14ac:dyDescent="0.2">
      <c r="A1295" s="321">
        <f>IF(TOTALCO!A420="", "",TOTALCO!A420)</f>
        <v>4</v>
      </c>
      <c r="B1295" s="4" t="str">
        <f>IF(TOTALCO!B420="", "",TOTALCO!B420)</f>
        <v>REVENUE SALE OF ELECT</v>
      </c>
      <c r="C1295" s="4" t="str">
        <f>IF(TOTALCO!C420="", "",TOTALCO!C420)</f>
        <v>REVENUE</v>
      </c>
      <c r="D1295" s="14">
        <f ca="1">IF(TOTALCO!D420="", "",TOTALCO!D420)</f>
        <v>1</v>
      </c>
      <c r="E1295" s="14" t="str">
        <f>IF(TOTALCO!E420="", "",TOTALCO!E420)</f>
        <v/>
      </c>
      <c r="F1295" s="14">
        <f ca="1">IF(TOTALCO!F420="", "",TOTALCO!F420)</f>
        <v>0.94298867274905385</v>
      </c>
      <c r="G1295" s="14" t="str">
        <f>IF(TOTALCO!G420="", "",TOTALCO!G420)</f>
        <v/>
      </c>
      <c r="H1295" s="14">
        <f ca="1">IF(TOTALCO!H420="", "",TOTALCO!H420)</f>
        <v>4.2221744922281014E-2</v>
      </c>
      <c r="I1295" s="14">
        <f ca="1">IF(TOTALCO!I420="", "",TOTALCO!I420)</f>
        <v>1.4789582328665129E-2</v>
      </c>
      <c r="J1295" s="14" t="str">
        <f>IF(TOTALCO!J420="", "",TOTALCO!J420)</f>
        <v/>
      </c>
      <c r="K1295" s="14" t="str">
        <f>IF(TOTALCO!K420="", "",TOTALCO!K420)</f>
        <v/>
      </c>
      <c r="L1295" s="14">
        <f ca="1">IF(TOTALCO!L420="", "",TOTALCO!L420)</f>
        <v>2.5186363185354011E-8</v>
      </c>
      <c r="M1295" s="14" t="str">
        <f>IF(TOTALCO!M420="", "",TOTALCO!M420)</f>
        <v/>
      </c>
      <c r="N1295" s="14">
        <f ca="1">IF(TOTALCO!N420="", "",TOTALCO!N420)</f>
        <v>1.4789557142301943E-2</v>
      </c>
      <c r="O1295" s="14">
        <f ca="1">IF(TOTALCO!O420="", "",TOTALCO!O420)</f>
        <v>7.4882936351410908E-3</v>
      </c>
      <c r="P1295" s="14">
        <f ca="1">IF(TOTALCO!P420="", "",TOTALCO!P420)</f>
        <v>7.3012635071608529E-3</v>
      </c>
      <c r="Q1295" s="14"/>
    </row>
    <row r="1296" spans="1:17" ht="15" x14ac:dyDescent="0.2">
      <c r="A1296" s="321">
        <f>IF(TOTALCO!A421="", "",TOTALCO!A421)</f>
        <v>5</v>
      </c>
      <c r="B1296" s="4" t="str">
        <f>IF(TOTALCO!B421="", "",TOTALCO!B421)</f>
        <v>REV SALE OF ELECT-VA NON JUR</v>
      </c>
      <c r="C1296" s="4" t="str">
        <f>IF(TOTALCO!C421="", "",TOTALCO!C421)</f>
        <v>REVNJVA</v>
      </c>
      <c r="D1296" s="14">
        <f>IF(TOTALCO!D421="", "",TOTALCO!D421)</f>
        <v>1</v>
      </c>
      <c r="E1296" s="14" t="str">
        <f>IF(TOTALCO!E421="", "",TOTALCO!E421)</f>
        <v/>
      </c>
      <c r="F1296" s="14">
        <f>IF(TOTALCO!F421="", "",TOTALCO!F421)</f>
        <v>0</v>
      </c>
      <c r="G1296" s="14" t="str">
        <f>IF(TOTALCO!G421="", "",TOTALCO!G421)</f>
        <v/>
      </c>
      <c r="H1296" s="14">
        <f>IF(TOTALCO!H421="", "",TOTALCO!H421)</f>
        <v>1</v>
      </c>
      <c r="I1296" s="14">
        <f>IF(TOTALCO!I421="", "",TOTALCO!I421)</f>
        <v>0</v>
      </c>
      <c r="J1296" s="14" t="str">
        <f>IF(TOTALCO!J421="", "",TOTALCO!J421)</f>
        <v/>
      </c>
      <c r="K1296" s="14" t="str">
        <f>IF(TOTALCO!K421="", "",TOTALCO!K421)</f>
        <v/>
      </c>
      <c r="L1296" s="14">
        <f>IF(TOTALCO!L421="", "",TOTALCO!L421)</f>
        <v>0</v>
      </c>
      <c r="M1296" s="14" t="str">
        <f>IF(TOTALCO!M421="", "",TOTALCO!M421)</f>
        <v/>
      </c>
      <c r="N1296" s="14">
        <f>IF(TOTALCO!N421="", "",TOTALCO!N421)</f>
        <v>0</v>
      </c>
      <c r="O1296" s="14">
        <f>IF(TOTALCO!O421="", "",TOTALCO!O421)</f>
        <v>0</v>
      </c>
      <c r="P1296" s="14">
        <f>IF(TOTALCO!P421="", "",TOTALCO!P421)</f>
        <v>0</v>
      </c>
      <c r="Q1296" s="14"/>
    </row>
    <row r="1297" spans="1:17" ht="15" x14ac:dyDescent="0.2">
      <c r="A1297" s="321">
        <f>IF(TOTALCO!A422="", "",TOTALCO!A422)</f>
        <v>6</v>
      </c>
      <c r="B1297" s="4" t="str">
        <f>IF(TOTALCO!B422="", "",TOTALCO!B422)</f>
        <v>REV SALE OF ELECT-EXCL FERC</v>
      </c>
      <c r="C1297" s="4" t="str">
        <f>IF(TOTALCO!C422="", "",TOTALCO!C422)</f>
        <v>REVENUEX</v>
      </c>
      <c r="D1297" s="14">
        <f ca="1">IF(TOTALCO!D422="", "",TOTALCO!D422)</f>
        <v>1</v>
      </c>
      <c r="E1297" s="14" t="str">
        <f>IF(TOTALCO!E422="", "",TOTALCO!E422)</f>
        <v/>
      </c>
      <c r="F1297" s="14">
        <f ca="1">IF(TOTALCO!F422="", "",TOTALCO!F422)</f>
        <v>0.95714441476465084</v>
      </c>
      <c r="G1297" s="14" t="str">
        <f>IF(TOTALCO!G422="", "",TOTALCO!G422)</f>
        <v/>
      </c>
      <c r="H1297" s="14">
        <f ca="1">IF(TOTALCO!H422="", "",TOTALCO!H422)</f>
        <v>4.2855559670899109E-2</v>
      </c>
      <c r="I1297" s="14">
        <f ca="1">IF(TOTALCO!I422="", "",TOTALCO!I422)</f>
        <v>2.5564450080633058E-8</v>
      </c>
      <c r="J1297" s="14" t="str">
        <f>IF(TOTALCO!J422="", "",TOTALCO!J422)</f>
        <v/>
      </c>
      <c r="K1297" s="14" t="str">
        <f>IF(TOTALCO!K422="", "",TOTALCO!K422)</f>
        <v/>
      </c>
      <c r="L1297" s="14">
        <f ca="1">IF(TOTALCO!L422="", "",TOTALCO!L422)</f>
        <v>2.5564450080633058E-8</v>
      </c>
      <c r="M1297" s="14" t="str">
        <f>IF(TOTALCO!M422="", "",TOTALCO!M422)</f>
        <v/>
      </c>
      <c r="N1297" s="14">
        <f>IF(TOTALCO!N422="", "",TOTALCO!N422)</f>
        <v>0</v>
      </c>
      <c r="O1297" s="14">
        <f>IF(TOTALCO!O422="", "",TOTALCO!O422)</f>
        <v>0</v>
      </c>
      <c r="P1297" s="14">
        <f>IF(TOTALCO!P422="", "",TOTALCO!P422)</f>
        <v>0</v>
      </c>
      <c r="Q1297" s="14"/>
    </row>
    <row r="1298" spans="1:17" ht="15" x14ac:dyDescent="0.2">
      <c r="A1298" s="321">
        <f>IF(TOTALCO!A423="", "",TOTALCO!A423)</f>
        <v>7</v>
      </c>
      <c r="B1298" s="4" t="str">
        <f>IF(TOTALCO!B423="", "",TOTALCO!B423)</f>
        <v>KENTUCKY DISTRIBUTION PLANT</v>
      </c>
      <c r="C1298" s="4" t="str">
        <f>IF(TOTALCO!C423="", "",TOTALCO!C423)</f>
        <v>KYDIST</v>
      </c>
      <c r="D1298" s="14">
        <f ca="1">IF(TOTALCO!D423="", "",TOTALCO!D423)</f>
        <v>1</v>
      </c>
      <c r="E1298" s="14" t="str">
        <f>IF(TOTALCO!E423="", "",TOTALCO!E423)</f>
        <v/>
      </c>
      <c r="F1298" s="14">
        <f ca="1">IF(TOTALCO!F423="", "",TOTALCO!F423)</f>
        <v>0.99809893542459172</v>
      </c>
      <c r="G1298" s="14" t="str">
        <f>IF(TOTALCO!G423="", "",TOTALCO!G423)</f>
        <v/>
      </c>
      <c r="H1298" s="14">
        <f ca="1">IF(TOTALCO!H423="", "",TOTALCO!H423)</f>
        <v>0</v>
      </c>
      <c r="I1298" s="14">
        <f ca="1">IF(TOTALCO!I423="", "",TOTALCO!I423)</f>
        <v>1.9010645754082586E-3</v>
      </c>
      <c r="J1298" s="14" t="str">
        <f>IF(TOTALCO!J423="", "",TOTALCO!J423)</f>
        <v/>
      </c>
      <c r="K1298" s="14" t="str">
        <f>IF(TOTALCO!K423="", "",TOTALCO!K423)</f>
        <v/>
      </c>
      <c r="L1298" s="14">
        <f ca="1">IF(TOTALCO!L423="", "",TOTALCO!L423)</f>
        <v>0</v>
      </c>
      <c r="M1298" s="14" t="str">
        <f>IF(TOTALCO!M423="", "",TOTALCO!M423)</f>
        <v/>
      </c>
      <c r="N1298" s="14">
        <f ca="1">IF(TOTALCO!N423="", "",TOTALCO!N423)</f>
        <v>1.9010645754082586E-3</v>
      </c>
      <c r="O1298" s="14">
        <f ca="1">IF(TOTALCO!O423="", "",TOTALCO!O423)</f>
        <v>1.887136077967942E-3</v>
      </c>
      <c r="P1298" s="14">
        <f ca="1">IF(TOTALCO!P423="", "",TOTALCO!P423)</f>
        <v>1.3928497440316555E-5</v>
      </c>
      <c r="Q1298" s="14"/>
    </row>
    <row r="1299" spans="1:17" ht="15" x14ac:dyDescent="0.2">
      <c r="A1299" s="321">
        <f>IF(TOTALCO!A424="", "",TOTALCO!A424)</f>
        <v>8</v>
      </c>
      <c r="B1299" s="4" t="str">
        <f>IF(TOTALCO!B424="", "",TOTALCO!B424)</f>
        <v>VIRGINIA DISTRIBUTION PLANT</v>
      </c>
      <c r="C1299" s="4" t="str">
        <f>IF(TOTALCO!C424="", "",TOTALCO!C424)</f>
        <v>VADIST</v>
      </c>
      <c r="D1299" s="14">
        <f ca="1">IF(TOTALCO!D424="", "",TOTALCO!D424)</f>
        <v>1</v>
      </c>
      <c r="E1299" s="14" t="str">
        <f>IF(TOTALCO!E424="", "",TOTALCO!E424)</f>
        <v/>
      </c>
      <c r="F1299" s="14">
        <f ca="1">IF(TOTALCO!F424="", "",TOTALCO!F424)</f>
        <v>0</v>
      </c>
      <c r="G1299" s="14" t="str">
        <f>IF(TOTALCO!G424="", "",TOTALCO!G424)</f>
        <v/>
      </c>
      <c r="H1299" s="14">
        <f ca="1">IF(TOTALCO!H424="", "",TOTALCO!H424)</f>
        <v>1</v>
      </c>
      <c r="I1299" s="14">
        <f ca="1">IF(TOTALCO!I424="", "",TOTALCO!I424)</f>
        <v>0</v>
      </c>
      <c r="J1299" s="14" t="str">
        <f>IF(TOTALCO!J424="", "",TOTALCO!J424)</f>
        <v/>
      </c>
      <c r="K1299" s="14" t="str">
        <f>IF(TOTALCO!K424="", "",TOTALCO!K424)</f>
        <v/>
      </c>
      <c r="L1299" s="14">
        <f ca="1">IF(TOTALCO!L424="", "",TOTALCO!L424)</f>
        <v>0</v>
      </c>
      <c r="M1299" s="14" t="str">
        <f>IF(TOTALCO!M424="", "",TOTALCO!M424)</f>
        <v/>
      </c>
      <c r="N1299" s="14">
        <f ca="1">IF(TOTALCO!N424="", "",TOTALCO!N424)</f>
        <v>0</v>
      </c>
      <c r="O1299" s="14">
        <f ca="1">IF(TOTALCO!O424="", "",TOTALCO!O424)</f>
        <v>0</v>
      </c>
      <c r="P1299" s="14">
        <f ca="1">IF(TOTALCO!P424="", "",TOTALCO!P424)</f>
        <v>0</v>
      </c>
      <c r="Q1299" s="14"/>
    </row>
    <row r="1300" spans="1:17" ht="15" x14ac:dyDescent="0.2">
      <c r="A1300" s="321">
        <f>IF(TOTALCO!A425="", "",TOTALCO!A425)</f>
        <v>9</v>
      </c>
      <c r="B1300" s="4" t="str">
        <f>IF(TOTALCO!B425="", "",TOTALCO!B425)</f>
        <v>TENNESSEE DISTRIBUTION PLT</v>
      </c>
      <c r="C1300" s="4" t="str">
        <f>IF(TOTALCO!C425="", "",TOTALCO!C425)</f>
        <v>TNDIST</v>
      </c>
      <c r="D1300" s="14">
        <f ca="1">IF(TOTALCO!D425="", "",TOTALCO!D425)</f>
        <v>1</v>
      </c>
      <c r="E1300" s="14" t="str">
        <f>IF(TOTALCO!E425="", "",TOTALCO!E425)</f>
        <v/>
      </c>
      <c r="F1300" s="14">
        <f ca="1">IF(TOTALCO!F425="", "",TOTALCO!F425)</f>
        <v>0</v>
      </c>
      <c r="G1300" s="14" t="str">
        <f>IF(TOTALCO!G425="", "",TOTALCO!G425)</f>
        <v/>
      </c>
      <c r="H1300" s="14">
        <f ca="1">IF(TOTALCO!H425="", "",TOTALCO!H425)</f>
        <v>0</v>
      </c>
      <c r="I1300" s="14">
        <f ca="1">IF(TOTALCO!I425="", "",TOTALCO!I425)</f>
        <v>1</v>
      </c>
      <c r="J1300" s="14" t="str">
        <f>IF(TOTALCO!J425="", "",TOTALCO!J425)</f>
        <v/>
      </c>
      <c r="K1300" s="14" t="str">
        <f>IF(TOTALCO!K425="", "",TOTALCO!K425)</f>
        <v/>
      </c>
      <c r="L1300" s="14">
        <f ca="1">IF(TOTALCO!L425="", "",TOTALCO!L425)</f>
        <v>1</v>
      </c>
      <c r="M1300" s="14" t="str">
        <f>IF(TOTALCO!M425="", "",TOTALCO!M425)</f>
        <v/>
      </c>
      <c r="N1300" s="14">
        <f ca="1">IF(TOTALCO!N425="", "",TOTALCO!N425)</f>
        <v>0</v>
      </c>
      <c r="O1300" s="14">
        <f ca="1">IF(TOTALCO!O425="", "",TOTALCO!O425)</f>
        <v>0</v>
      </c>
      <c r="P1300" s="14">
        <f ca="1">IF(TOTALCO!P425="", "",TOTALCO!P425)</f>
        <v>0</v>
      </c>
      <c r="Q1300" s="14"/>
    </row>
    <row r="1301" spans="1:17" ht="15" x14ac:dyDescent="0.2">
      <c r="A1301" s="321">
        <f>IF(TOTALCO!A426="", "",TOTALCO!A426)</f>
        <v>10</v>
      </c>
      <c r="B1301" s="4" t="str">
        <f>IF(TOTALCO!B426="", "",TOTALCO!B426)</f>
        <v>NET ELECTRIC PLANT IN SERVICE</v>
      </c>
      <c r="C1301" s="4" t="str">
        <f>IF(TOTALCO!C426="", "",TOTALCO!C426)</f>
        <v>NETPLANT</v>
      </c>
      <c r="D1301" s="14">
        <f ca="1">IF(TOTALCO!D426="", "",TOTALCO!D426)</f>
        <v>1</v>
      </c>
      <c r="E1301" s="14" t="str">
        <f>IF(TOTALCO!E426="", "",TOTALCO!E426)</f>
        <v/>
      </c>
      <c r="F1301" s="14">
        <f ca="1">IF(TOTALCO!F426="", "",TOTALCO!F426)</f>
        <v>0.93808116450513346</v>
      </c>
      <c r="G1301" s="14" t="str">
        <f>IF(TOTALCO!G426="", "",TOTALCO!G426)</f>
        <v/>
      </c>
      <c r="H1301" s="14">
        <f ca="1">IF(TOTALCO!H426="", "",TOTALCO!H426)</f>
        <v>4.7639436762871155E-2</v>
      </c>
      <c r="I1301" s="14">
        <f ca="1">IF(TOTALCO!I426="", "",TOTALCO!I426)</f>
        <v>1.427939873199531E-2</v>
      </c>
      <c r="J1301" s="14" t="str">
        <f>IF(TOTALCO!J426="", "",TOTALCO!J426)</f>
        <v/>
      </c>
      <c r="K1301" s="14" t="str">
        <f>IF(TOTALCO!K426="", "",TOTALCO!K426)</f>
        <v/>
      </c>
      <c r="L1301" s="14">
        <f ca="1">IF(TOTALCO!L426="", "",TOTALCO!L426)</f>
        <v>7.9426623762229959E-5</v>
      </c>
      <c r="M1301" s="14" t="str">
        <f>IF(TOTALCO!M426="", "",TOTALCO!M426)</f>
        <v/>
      </c>
      <c r="N1301" s="14">
        <f ca="1">IF(TOTALCO!N426="", "",TOTALCO!N426)</f>
        <v>1.419997210823308E-2</v>
      </c>
      <c r="O1301" s="14">
        <f ca="1">IF(TOTALCO!O426="", "",TOTALCO!O426)</f>
        <v>7.3824671246514526E-3</v>
      </c>
      <c r="P1301" s="14">
        <f ca="1">IF(TOTALCO!P426="", "",TOTALCO!P426)</f>
        <v>6.8175049835816279E-3</v>
      </c>
      <c r="Q1301" s="14"/>
    </row>
    <row r="1302" spans="1:17" ht="15" x14ac:dyDescent="0.2">
      <c r="A1302" s="321">
        <f>IF(TOTALCO!A427="", "",TOTALCO!A427)</f>
        <v>11</v>
      </c>
      <c r="B1302" s="4" t="str">
        <f>IF(TOTALCO!B427="", "",TOTALCO!B427)</f>
        <v>RATE BASE</v>
      </c>
      <c r="C1302" s="4" t="str">
        <f>IF(TOTALCO!C427="", "",TOTALCO!C427)</f>
        <v>RATEBASE</v>
      </c>
      <c r="D1302" s="14">
        <f ca="1">IF(TOTALCO!D427="", "",TOTALCO!D427)</f>
        <v>1</v>
      </c>
      <c r="E1302" s="14" t="str">
        <f>IF(TOTALCO!E427="", "",TOTALCO!E427)</f>
        <v/>
      </c>
      <c r="F1302" s="14">
        <f ca="1">IF(TOTALCO!F427="", "",TOTALCO!F427)</f>
        <v>0.93817333644181977</v>
      </c>
      <c r="G1302" s="14" t="str">
        <f>IF(TOTALCO!G427="", "",TOTALCO!G427)</f>
        <v/>
      </c>
      <c r="H1302" s="14">
        <f ca="1">IF(TOTALCO!H427="", "",TOTALCO!H427)</f>
        <v>4.7359598812925993E-2</v>
      </c>
      <c r="I1302" s="14">
        <f ca="1">IF(TOTALCO!I427="", "",TOTALCO!I427)</f>
        <v>1.4467064745254356E-2</v>
      </c>
      <c r="J1302" s="14" t="str">
        <f>IF(TOTALCO!J427="", "",TOTALCO!J427)</f>
        <v/>
      </c>
      <c r="K1302" s="14" t="str">
        <f>IF(TOTALCO!K427="", "",TOTALCO!K427)</f>
        <v/>
      </c>
      <c r="L1302" s="14">
        <f ca="1">IF(TOTALCO!L427="", "",TOTALCO!L427)</f>
        <v>7.6729142906014581E-5</v>
      </c>
      <c r="M1302" s="14" t="str">
        <f>IF(TOTALCO!M427="", "",TOTALCO!M427)</f>
        <v/>
      </c>
      <c r="N1302" s="14">
        <f ca="1">IF(TOTALCO!N427="", "",TOTALCO!N427)</f>
        <v>1.4390335602348342E-2</v>
      </c>
      <c r="O1302" s="14">
        <f ca="1">IF(TOTALCO!O427="", "",TOTALCO!O427)</f>
        <v>7.4653086797208052E-3</v>
      </c>
      <c r="P1302" s="14">
        <f ca="1">IF(TOTALCO!P427="", "",TOTALCO!P427)</f>
        <v>6.9250269226275359E-3</v>
      </c>
      <c r="Q1302" s="14"/>
    </row>
    <row r="1303" spans="1:17" ht="15" x14ac:dyDescent="0.2">
      <c r="A1303" s="321">
        <f>IF(TOTALCO!A428="", "",TOTALCO!A428)</f>
        <v>12</v>
      </c>
      <c r="B1303" s="4" t="str">
        <f>IF(TOTALCO!B428="", "",TOTALCO!B428)</f>
        <v>TOTAL CWIP FERC-AFUDC POST</v>
      </c>
      <c r="C1303" s="4" t="str">
        <f>IF(TOTALCO!C428="", "",TOTALCO!C428)</f>
        <v>AFUDC</v>
      </c>
      <c r="D1303" s="14">
        <f ca="1">IF(TOTALCO!D428="", "",TOTALCO!D428)</f>
        <v>1</v>
      </c>
      <c r="E1303" s="14" t="str">
        <f>IF(TOTALCO!E428="", "",TOTALCO!E428)</f>
        <v/>
      </c>
      <c r="F1303" s="14">
        <f ca="1">IF(TOTALCO!F428="", "",TOTALCO!F428)</f>
        <v>0.7788225176236363</v>
      </c>
      <c r="G1303" s="14" t="str">
        <f>IF(TOTALCO!G428="", "",TOTALCO!G428)</f>
        <v/>
      </c>
      <c r="H1303" s="14">
        <f ca="1">IF(TOTALCO!H428="", "",TOTALCO!H428)</f>
        <v>0</v>
      </c>
      <c r="I1303" s="14">
        <f ca="1">IF(TOTALCO!I428="", "",TOTALCO!I428)</f>
        <v>0.2211774823763637</v>
      </c>
      <c r="J1303" s="14" t="str">
        <f>IF(TOTALCO!J428="", "",TOTALCO!J428)</f>
        <v/>
      </c>
      <c r="K1303" s="14" t="str">
        <f>IF(TOTALCO!K428="", "",TOTALCO!K428)</f>
        <v/>
      </c>
      <c r="L1303" s="14">
        <f ca="1">IF(TOTALCO!L428="", "",TOTALCO!L428)</f>
        <v>0</v>
      </c>
      <c r="M1303" s="14" t="str">
        <f>IF(TOTALCO!M428="", "",TOTALCO!M428)</f>
        <v/>
      </c>
      <c r="N1303" s="14">
        <f ca="1">IF(TOTALCO!N428="", "",TOTALCO!N428)</f>
        <v>0.2211774823763637</v>
      </c>
      <c r="O1303" s="14">
        <f ca="1">IF(TOTALCO!O428="", "",TOTALCO!O428)</f>
        <v>0.11217503775284247</v>
      </c>
      <c r="P1303" s="14">
        <f ca="1">IF(TOTALCO!P428="", "",TOTALCO!P428)</f>
        <v>0.10900244462352121</v>
      </c>
      <c r="Q1303" s="14"/>
    </row>
    <row r="1304" spans="1:17" ht="15" x14ac:dyDescent="0.2">
      <c r="A1304" s="321">
        <f>IF(TOTALCO!A429="", "",TOTALCO!A429)</f>
        <v>13</v>
      </c>
      <c r="B1304" s="4" t="str">
        <f>IF(TOTALCO!B429="", "",TOTALCO!B429)</f>
        <v>TOTAL 201(E) EXCESS</v>
      </c>
      <c r="C1304" s="4" t="str">
        <f>IF(TOTALCO!C429="", "",TOTALCO!C429)</f>
        <v>TAX203E</v>
      </c>
      <c r="D1304" s="14">
        <f ca="1">IF(TOTALCO!D429="", "",TOTALCO!D429)</f>
        <v>1</v>
      </c>
      <c r="E1304" s="14" t="str">
        <f>IF(TOTALCO!E429="", "",TOTALCO!E429)</f>
        <v/>
      </c>
      <c r="F1304" s="14">
        <f ca="1">IF(TOTALCO!F429="", "",TOTALCO!F429)</f>
        <v>0.93942747534431381</v>
      </c>
      <c r="G1304" s="14" t="str">
        <f>IF(TOTALCO!G429="", "",TOTALCO!G429)</f>
        <v/>
      </c>
      <c r="H1304" s="14">
        <f ca="1">IF(TOTALCO!H429="", "",TOTALCO!H429)</f>
        <v>4.5953389180308779E-2</v>
      </c>
      <c r="I1304" s="14">
        <f ca="1">IF(TOTALCO!I429="", "",TOTALCO!I429)</f>
        <v>1.4619135475377455E-2</v>
      </c>
      <c r="J1304" s="14" t="str">
        <f>IF(TOTALCO!J429="", "",TOTALCO!J429)</f>
        <v/>
      </c>
      <c r="K1304" s="14" t="str">
        <f>IF(TOTALCO!K429="", "",TOTALCO!K429)</f>
        <v/>
      </c>
      <c r="L1304" s="14">
        <f ca="1">IF(TOTALCO!L429="", "",TOTALCO!L429)</f>
        <v>6.9022035357719103E-5</v>
      </c>
      <c r="M1304" s="14" t="str">
        <f>IF(TOTALCO!M429="", "",TOTALCO!M429)</f>
        <v/>
      </c>
      <c r="N1304" s="14">
        <f ca="1">IF(TOTALCO!N429="", "",TOTALCO!N429)</f>
        <v>1.4550113440019736E-2</v>
      </c>
      <c r="O1304" s="14">
        <f ca="1">IF(TOTALCO!O429="", "",TOTALCO!O429)</f>
        <v>7.5625512924740778E-3</v>
      </c>
      <c r="P1304" s="14">
        <f ca="1">IF(TOTALCO!P429="", "",TOTALCO!P429)</f>
        <v>6.9875621475456572E-3</v>
      </c>
      <c r="Q1304" s="14"/>
    </row>
    <row r="1305" spans="1:17" ht="15" x14ac:dyDescent="0.2">
      <c r="A1305" s="321">
        <f>IF(TOTALCO!A430="", "",TOTALCO!A430)</f>
        <v>14</v>
      </c>
      <c r="B1305" s="4" t="str">
        <f>IF(TOTALCO!B430="", "",TOTALCO!B430)</f>
        <v>STEAM OPERATING EXP 501-507</v>
      </c>
      <c r="C1305" s="4" t="str">
        <f>IF(TOTALCO!C430="", "",TOTALCO!C430)</f>
        <v>EXP5017STM</v>
      </c>
      <c r="D1305" s="14">
        <f ca="1">IF(TOTALCO!D430="", "",TOTALCO!D430)</f>
        <v>1</v>
      </c>
      <c r="E1305" s="14" t="str">
        <f>IF(TOTALCO!E430="", "",TOTALCO!E430)</f>
        <v/>
      </c>
      <c r="F1305" s="14">
        <f ca="1">IF(TOTALCO!F430="", "",TOTALCO!F430)</f>
        <v>0.94019074050377327</v>
      </c>
      <c r="G1305" s="14" t="str">
        <f>IF(TOTALCO!G430="", "",TOTALCO!G430)</f>
        <v/>
      </c>
      <c r="H1305" s="14">
        <f ca="1">IF(TOTALCO!H430="", "",TOTALCO!H430)</f>
        <v>3.9135877971720544E-2</v>
      </c>
      <c r="I1305" s="14">
        <f ca="1">IF(TOTALCO!I430="", "",TOTALCO!I430)</f>
        <v>2.0673381524506255E-2</v>
      </c>
      <c r="J1305" s="14" t="str">
        <f>IF(TOTALCO!J430="", "",TOTALCO!J430)</f>
        <v/>
      </c>
      <c r="K1305" s="14" t="str">
        <f>IF(TOTALCO!K430="", "",TOTALCO!K430)</f>
        <v/>
      </c>
      <c r="L1305" s="14">
        <f ca="1">IF(TOTALCO!L430="", "",TOTALCO!L430)</f>
        <v>4.0512849447282087E-6</v>
      </c>
      <c r="M1305" s="14" t="str">
        <f>IF(TOTALCO!M430="", "",TOTALCO!M430)</f>
        <v/>
      </c>
      <c r="N1305" s="14">
        <f ca="1">IF(TOTALCO!N430="", "",TOTALCO!N430)</f>
        <v>2.0669330239561527E-2</v>
      </c>
      <c r="O1305" s="14">
        <f ca="1">IF(TOTALCO!O430="", "",TOTALCO!O430)</f>
        <v>1.0469699014595508E-2</v>
      </c>
      <c r="P1305" s="14">
        <f ca="1">IF(TOTALCO!P430="", "",TOTALCO!P430)</f>
        <v>1.0199631224966019E-2</v>
      </c>
      <c r="Q1305" s="14"/>
    </row>
    <row r="1306" spans="1:17" ht="15" x14ac:dyDescent="0.2">
      <c r="A1306" s="321">
        <f>IF(TOTALCO!A431="", "",TOTALCO!A431)</f>
        <v>15</v>
      </c>
      <c r="B1306" s="4" t="str">
        <f>IF(TOTALCO!B431="", "",TOTALCO!B431)</f>
        <v>STEAM MAINTENANCE EXP 511-514</v>
      </c>
      <c r="C1306" s="4" t="str">
        <f>IF(TOTALCO!C431="", "",TOTALCO!C431)</f>
        <v>EXP5114STM</v>
      </c>
      <c r="D1306" s="14">
        <f ca="1">IF(TOTALCO!D431="", "",TOTALCO!D431)</f>
        <v>1</v>
      </c>
      <c r="E1306" s="14" t="str">
        <f>IF(TOTALCO!E431="", "",TOTALCO!E431)</f>
        <v/>
      </c>
      <c r="F1306" s="14">
        <f ca="1">IF(TOTALCO!F431="", "",TOTALCO!F431)</f>
        <v>0.92729533424628152</v>
      </c>
      <c r="G1306" s="14" t="str">
        <f>IF(TOTALCO!G431="", "",TOTALCO!G431)</f>
        <v/>
      </c>
      <c r="H1306" s="14">
        <f ca="1">IF(TOTALCO!H431="", "",TOTALCO!H431)</f>
        <v>4.7520794933136927E-2</v>
      </c>
      <c r="I1306" s="14">
        <f ca="1">IF(TOTALCO!I431="", "",TOTALCO!I431)</f>
        <v>2.5183870820581638E-2</v>
      </c>
      <c r="J1306" s="14" t="str">
        <f>IF(TOTALCO!J431="", "",TOTALCO!J431)</f>
        <v/>
      </c>
      <c r="K1306" s="14" t="str">
        <f>IF(TOTALCO!K431="", "",TOTALCO!K431)</f>
        <v/>
      </c>
      <c r="L1306" s="14">
        <f ca="1">IF(TOTALCO!L431="", "",TOTALCO!L431)</f>
        <v>2.7222517897015335E-6</v>
      </c>
      <c r="M1306" s="14" t="str">
        <f>IF(TOTALCO!M431="", "",TOTALCO!M431)</f>
        <v/>
      </c>
      <c r="N1306" s="14">
        <f ca="1">IF(TOTALCO!N431="", "",TOTALCO!N431)</f>
        <v>2.5181148568791938E-2</v>
      </c>
      <c r="O1306" s="14">
        <f ca="1">IF(TOTALCO!O431="", "",TOTALCO!O431)</f>
        <v>1.2754009508618212E-2</v>
      </c>
      <c r="P1306" s="14">
        <f ca="1">IF(TOTALCO!P431="", "",TOTALCO!P431)</f>
        <v>1.2427139060173727E-2</v>
      </c>
      <c r="Q1306" s="14"/>
    </row>
    <row r="1307" spans="1:17" ht="15" x14ac:dyDescent="0.2">
      <c r="A1307" s="321">
        <f>IF(TOTALCO!A432="", "",TOTALCO!A432)</f>
        <v>16</v>
      </c>
      <c r="B1307" s="4" t="str">
        <f>IF(TOTALCO!B432="", "",TOTALCO!B432)</f>
        <v>HYDRO OPERATING EXP 536-540</v>
      </c>
      <c r="C1307" s="4" t="str">
        <f>IF(TOTALCO!C432="", "",TOTALCO!C432)</f>
        <v>EXP5360HYD</v>
      </c>
      <c r="D1307" s="14">
        <f ca="1">IF(TOTALCO!D432="", "",TOTALCO!D432)</f>
        <v>1</v>
      </c>
      <c r="E1307" s="14" t="str">
        <f>IF(TOTALCO!E432="", "",TOTALCO!E432)</f>
        <v/>
      </c>
      <c r="F1307" s="14">
        <f ca="1">IF(TOTALCO!F432="", "",TOTALCO!F432)</f>
        <v>0.93702736377155493</v>
      </c>
      <c r="G1307" s="14" t="str">
        <f>IF(TOTALCO!G432="", "",TOTALCO!G432)</f>
        <v/>
      </c>
      <c r="H1307" s="14">
        <f ca="1">IF(TOTALCO!H432="", "",TOTALCO!H432)</f>
        <v>4.2827610095801778E-2</v>
      </c>
      <c r="I1307" s="14">
        <f ca="1">IF(TOTALCO!I432="", "",TOTALCO!I432)</f>
        <v>2.0145026132643348E-2</v>
      </c>
      <c r="J1307" s="14" t="str">
        <f>IF(TOTALCO!J432="", "",TOTALCO!J432)</f>
        <v/>
      </c>
      <c r="K1307" s="14" t="str">
        <f>IF(TOTALCO!K432="", "",TOTALCO!K432)</f>
        <v/>
      </c>
      <c r="L1307" s="14">
        <f ca="1">IF(TOTALCO!L432="", "",TOTALCO!L432)</f>
        <v>3.0016907337616793E-6</v>
      </c>
      <c r="M1307" s="14" t="str">
        <f>IF(TOTALCO!M432="", "",TOTALCO!M432)</f>
        <v/>
      </c>
      <c r="N1307" s="14">
        <f ca="1">IF(TOTALCO!N432="", "",TOTALCO!N432)</f>
        <v>2.0142024441909587E-2</v>
      </c>
      <c r="O1307" s="14">
        <f ca="1">IF(TOTALCO!O432="", "",TOTALCO!O432)</f>
        <v>1.0215471882192559E-2</v>
      </c>
      <c r="P1307" s="14">
        <f ca="1">IF(TOTALCO!P432="", "",TOTALCO!P432)</f>
        <v>9.9265525597170261E-3</v>
      </c>
      <c r="Q1307" s="14"/>
    </row>
    <row r="1308" spans="1:17" ht="15" x14ac:dyDescent="0.2">
      <c r="A1308" s="321">
        <f>IF(TOTALCO!A433="", "",TOTALCO!A433)</f>
        <v>17</v>
      </c>
      <c r="B1308" s="4" t="str">
        <f>IF(TOTALCO!B433="", "",TOTALCO!B433)</f>
        <v>HYDRO MAINTENANCE EXP 542-545</v>
      </c>
      <c r="C1308" s="4" t="str">
        <f>IF(TOTALCO!C433="", "",TOTALCO!C433)</f>
        <v>EXP5425HYD</v>
      </c>
      <c r="D1308" s="14">
        <f ca="1">IF(TOTALCO!D433="", "",TOTALCO!D433)</f>
        <v>1</v>
      </c>
      <c r="E1308" s="14" t="str">
        <f>IF(TOTALCO!E433="", "",TOTALCO!E433)</f>
        <v/>
      </c>
      <c r="F1308" s="14">
        <f ca="1">IF(TOTALCO!F433="", "",TOTALCO!F433)</f>
        <v>0.93758624163681636</v>
      </c>
      <c r="G1308" s="14" t="str">
        <f>IF(TOTALCO!G433="", "",TOTALCO!G433)</f>
        <v/>
      </c>
      <c r="H1308" s="14">
        <f ca="1">IF(TOTALCO!H433="", "",TOTALCO!H433)</f>
        <v>4.2204597990571753E-2</v>
      </c>
      <c r="I1308" s="14">
        <f ca="1">IF(TOTALCO!I433="", "",TOTALCO!I433)</f>
        <v>2.0209160372611931E-2</v>
      </c>
      <c r="J1308" s="14" t="str">
        <f>IF(TOTALCO!J433="", "",TOTALCO!J433)</f>
        <v/>
      </c>
      <c r="K1308" s="14" t="str">
        <f>IF(TOTALCO!K433="", "",TOTALCO!K433)</f>
        <v/>
      </c>
      <c r="L1308" s="14">
        <f ca="1">IF(TOTALCO!L433="", "",TOTALCO!L433)</f>
        <v>3.1714894027282056E-6</v>
      </c>
      <c r="M1308" s="14" t="str">
        <f>IF(TOTALCO!M433="", "",TOTALCO!M433)</f>
        <v/>
      </c>
      <c r="N1308" s="14">
        <f ca="1">IF(TOTALCO!N433="", "",TOTALCO!N433)</f>
        <v>2.0205988883209201E-2</v>
      </c>
      <c r="O1308" s="14">
        <f ca="1">IF(TOTALCO!O433="", "",TOTALCO!O433)</f>
        <v>1.0245702945102906E-2</v>
      </c>
      <c r="P1308" s="14">
        <f ca="1">IF(TOTALCO!P433="", "",TOTALCO!P433)</f>
        <v>9.960285938106295E-3</v>
      </c>
      <c r="Q1308" s="14"/>
    </row>
    <row r="1309" spans="1:17" ht="15" x14ac:dyDescent="0.2">
      <c r="A1309" s="321">
        <f>IF(TOTALCO!A434="", "",TOTALCO!A434)</f>
        <v>18</v>
      </c>
      <c r="B1309" s="4" t="str">
        <f>IF(TOTALCO!B434="", "",TOTALCO!B434)</f>
        <v>OTHER PROD OPER EXP 547-549</v>
      </c>
      <c r="C1309" s="4" t="str">
        <f>IF(TOTALCO!C434="", "",TOTALCO!C434)</f>
        <v>EXP5479OTH</v>
      </c>
      <c r="D1309" s="14">
        <f ca="1">IF(TOTALCO!D434="", "",TOTALCO!D434)</f>
        <v>1</v>
      </c>
      <c r="E1309" s="14" t="str">
        <f>IF(TOTALCO!E434="", "",TOTALCO!E434)</f>
        <v/>
      </c>
      <c r="F1309" s="14">
        <f ca="1">IF(TOTALCO!F434="", "",TOTALCO!F434)</f>
        <v>0.94098748144928557</v>
      </c>
      <c r="G1309" s="14" t="str">
        <f>IF(TOTALCO!G434="", "",TOTALCO!G434)</f>
        <v/>
      </c>
      <c r="H1309" s="14">
        <f ca="1">IF(TOTALCO!H434="", "",TOTALCO!H434)</f>
        <v>3.8410573899342083E-2</v>
      </c>
      <c r="I1309" s="14">
        <f ca="1">IF(TOTALCO!I434="", "",TOTALCO!I434)</f>
        <v>2.0601944651372311E-2</v>
      </c>
      <c r="J1309" s="14" t="str">
        <f>IF(TOTALCO!J434="", "",TOTALCO!J434)</f>
        <v/>
      </c>
      <c r="K1309" s="14" t="str">
        <f>IF(TOTALCO!K434="", "",TOTALCO!K434)</f>
        <v/>
      </c>
      <c r="L1309" s="14">
        <f ca="1">IF(TOTALCO!L434="", "",TOTALCO!L434)</f>
        <v>4.205357844293128E-6</v>
      </c>
      <c r="M1309" s="14" t="str">
        <f>IF(TOTALCO!M434="", "",TOTALCO!M434)</f>
        <v/>
      </c>
      <c r="N1309" s="14">
        <f ca="1">IF(TOTALCO!N434="", "",TOTALCO!N434)</f>
        <v>2.0597739293528018E-2</v>
      </c>
      <c r="O1309" s="14">
        <f ca="1">IF(TOTALCO!O434="", "",TOTALCO!O434)</f>
        <v>1.043093166176934E-2</v>
      </c>
      <c r="P1309" s="14">
        <f ca="1">IF(TOTALCO!P434="", "",TOTALCO!P434)</f>
        <v>1.0166807631758678E-2</v>
      </c>
      <c r="Q1309" s="14"/>
    </row>
    <row r="1310" spans="1:17" ht="15" x14ac:dyDescent="0.2">
      <c r="A1310" s="321">
        <f>IF(TOTALCO!A435="", "",TOTALCO!A435)</f>
        <v>19</v>
      </c>
      <c r="B1310" s="4" t="str">
        <f>IF(TOTALCO!B435="", "",TOTALCO!B435)</f>
        <v>OTHER PROD MAINT EXP 552-554</v>
      </c>
      <c r="C1310" s="4" t="str">
        <f>IF(TOTALCO!C435="", "",TOTALCO!C435)</f>
        <v>EXP5524OTH</v>
      </c>
      <c r="D1310" s="14">
        <f ca="1">IF(TOTALCO!D435="", "",TOTALCO!D435)</f>
        <v>1</v>
      </c>
      <c r="E1310" s="14" t="str">
        <f>IF(TOTALCO!E435="", "",TOTALCO!E435)</f>
        <v/>
      </c>
      <c r="F1310" s="14">
        <f ca="1">IF(TOTALCO!F435="", "",TOTALCO!F435)</f>
        <v>0.91165020258691409</v>
      </c>
      <c r="G1310" s="14" t="str">
        <f>IF(TOTALCO!G435="", "",TOTALCO!G435)</f>
        <v/>
      </c>
      <c r="H1310" s="14">
        <f ca="1">IF(TOTALCO!H435="", "",TOTALCO!H435)</f>
        <v>5.9593728586075208E-2</v>
      </c>
      <c r="I1310" s="14">
        <f ca="1">IF(TOTALCO!I435="", "",TOTALCO!I435)</f>
        <v>2.8756068827010747E-2</v>
      </c>
      <c r="J1310" s="14" t="str">
        <f>IF(TOTALCO!J435="", "",TOTALCO!J435)</f>
        <v/>
      </c>
      <c r="K1310" s="14" t="str">
        <f>IF(TOTALCO!K435="", "",TOTALCO!K435)</f>
        <v/>
      </c>
      <c r="L1310" s="14">
        <f ca="1">IF(TOTALCO!L435="", "",TOTALCO!L435)</f>
        <v>2.2656777246004674E-6</v>
      </c>
      <c r="M1310" s="14" t="str">
        <f>IF(TOTALCO!M435="", "",TOTALCO!M435)</f>
        <v/>
      </c>
      <c r="N1310" s="14">
        <f ca="1">IF(TOTALCO!N435="", "",TOTALCO!N435)</f>
        <v>2.8753803149286147E-2</v>
      </c>
      <c r="O1310" s="14">
        <f ca="1">IF(TOTALCO!O435="", "",TOTALCO!O435)</f>
        <v>1.4583125366805718E-2</v>
      </c>
      <c r="P1310" s="14">
        <f ca="1">IF(TOTALCO!P435="", "",TOTALCO!P435)</f>
        <v>1.4170677782480427E-2</v>
      </c>
      <c r="Q1310" s="14"/>
    </row>
    <row r="1311" spans="1:17" ht="15" x14ac:dyDescent="0.2">
      <c r="A1311" s="321">
        <f>IF(TOTALCO!A436="", "",TOTALCO!A436)</f>
        <v>20</v>
      </c>
      <c r="B1311" s="4" t="str">
        <f>IF(TOTALCO!B436="", "",TOTALCO!B436)</f>
        <v>TOTAL STEAM OPERATIONS LABOR</v>
      </c>
      <c r="C1311" s="4" t="str">
        <f>IF(TOTALCO!C436="", "",TOTALCO!C436)</f>
        <v>LABSTMOP</v>
      </c>
      <c r="D1311" s="14">
        <f ca="1">IF(TOTALCO!D436="", "",TOTALCO!D436)</f>
        <v>0</v>
      </c>
      <c r="E1311" s="14" t="str">
        <f>IF(TOTALCO!E436="", "",TOTALCO!E436)</f>
        <v/>
      </c>
      <c r="F1311" s="14">
        <f ca="1">IF(TOTALCO!F436="", "",TOTALCO!F436)</f>
        <v>0</v>
      </c>
      <c r="G1311" s="14" t="str">
        <f>IF(TOTALCO!G436="", "",TOTALCO!G436)</f>
        <v/>
      </c>
      <c r="H1311" s="14">
        <f ca="1">IF(TOTALCO!H436="", "",TOTALCO!H436)</f>
        <v>0</v>
      </c>
      <c r="I1311" s="14">
        <f ca="1">IF(TOTALCO!I436="", "",TOTALCO!I436)</f>
        <v>0</v>
      </c>
      <c r="J1311" s="14" t="str">
        <f>IF(TOTALCO!J436="", "",TOTALCO!J436)</f>
        <v/>
      </c>
      <c r="K1311" s="14" t="str">
        <f>IF(TOTALCO!K436="", "",TOTALCO!K436)</f>
        <v/>
      </c>
      <c r="L1311" s="14">
        <f ca="1">IF(TOTALCO!L436="", "",TOTALCO!L436)</f>
        <v>0</v>
      </c>
      <c r="M1311" s="14" t="str">
        <f>IF(TOTALCO!M436="", "",TOTALCO!M436)</f>
        <v/>
      </c>
      <c r="N1311" s="14">
        <f ca="1">IF(TOTALCO!N436="", "",TOTALCO!N436)</f>
        <v>0</v>
      </c>
      <c r="O1311" s="14">
        <f ca="1">IF(TOTALCO!O436="", "",TOTALCO!O436)</f>
        <v>0</v>
      </c>
      <c r="P1311" s="14">
        <f ca="1">IF(TOTALCO!P436="", "",TOTALCO!P436)</f>
        <v>0</v>
      </c>
      <c r="Q1311" s="14"/>
    </row>
    <row r="1312" spans="1:17" ht="15" x14ac:dyDescent="0.2">
      <c r="A1312" s="321">
        <f>IF(TOTALCO!A437="", "",TOTALCO!A437)</f>
        <v>21</v>
      </c>
      <c r="B1312" s="4" t="str">
        <f>IF(TOTALCO!B437="", "",TOTALCO!B437)</f>
        <v>TOTAL STEAM MAINTENANCE LABOR</v>
      </c>
      <c r="C1312" s="4" t="str">
        <f>IF(TOTALCO!C437="", "",TOTALCO!C437)</f>
        <v>LABSTMMN</v>
      </c>
      <c r="D1312" s="14">
        <f ca="1">IF(TOTALCO!D437="", "",TOTALCO!D437)</f>
        <v>0</v>
      </c>
      <c r="E1312" s="14" t="str">
        <f>IF(TOTALCO!E437="", "",TOTALCO!E437)</f>
        <v/>
      </c>
      <c r="F1312" s="14">
        <f ca="1">IF(TOTALCO!F437="", "",TOTALCO!F437)</f>
        <v>0</v>
      </c>
      <c r="G1312" s="14" t="str">
        <f>IF(TOTALCO!G437="", "",TOTALCO!G437)</f>
        <v/>
      </c>
      <c r="H1312" s="14">
        <f ca="1">IF(TOTALCO!H437="", "",TOTALCO!H437)</f>
        <v>0</v>
      </c>
      <c r="I1312" s="14">
        <f ca="1">IF(TOTALCO!I437="", "",TOTALCO!I437)</f>
        <v>0</v>
      </c>
      <c r="J1312" s="14" t="str">
        <f>IF(TOTALCO!J437="", "",TOTALCO!J437)</f>
        <v/>
      </c>
      <c r="K1312" s="14" t="str">
        <f>IF(TOTALCO!K437="", "",TOTALCO!K437)</f>
        <v/>
      </c>
      <c r="L1312" s="14">
        <f ca="1">IF(TOTALCO!L437="", "",TOTALCO!L437)</f>
        <v>0</v>
      </c>
      <c r="M1312" s="14" t="str">
        <f>IF(TOTALCO!M437="", "",TOTALCO!M437)</f>
        <v/>
      </c>
      <c r="N1312" s="14">
        <f ca="1">IF(TOTALCO!N437="", "",TOTALCO!N437)</f>
        <v>0</v>
      </c>
      <c r="O1312" s="14">
        <f ca="1">IF(TOTALCO!O437="", "",TOTALCO!O437)</f>
        <v>0</v>
      </c>
      <c r="P1312" s="14">
        <f ca="1">IF(TOTALCO!P437="", "",TOTALCO!P437)</f>
        <v>0</v>
      </c>
      <c r="Q1312" s="14"/>
    </row>
    <row r="1313" spans="1:17" ht="15" x14ac:dyDescent="0.2">
      <c r="A1313" s="321">
        <f>IF(TOTALCO!A438="", "",TOTALCO!A438)</f>
        <v>22</v>
      </c>
      <c r="B1313" s="4" t="str">
        <f>IF(TOTALCO!B438="", "",TOTALCO!B438)</f>
        <v>TOTAL HYDRO OPERATIONS LABOR</v>
      </c>
      <c r="C1313" s="4" t="str">
        <f>IF(TOTALCO!C438="", "",TOTALCO!C438)</f>
        <v>LABHYDOP</v>
      </c>
      <c r="D1313" s="14">
        <f ca="1">IF(TOTALCO!D438="", "",TOTALCO!D438)</f>
        <v>0</v>
      </c>
      <c r="E1313" s="14" t="str">
        <f>IF(TOTALCO!E438="", "",TOTALCO!E438)</f>
        <v/>
      </c>
      <c r="F1313" s="14">
        <f ca="1">IF(TOTALCO!F438="", "",TOTALCO!F438)</f>
        <v>0</v>
      </c>
      <c r="G1313" s="14" t="str">
        <f>IF(TOTALCO!G438="", "",TOTALCO!G438)</f>
        <v/>
      </c>
      <c r="H1313" s="14">
        <f ca="1">IF(TOTALCO!H438="", "",TOTALCO!H438)</f>
        <v>0</v>
      </c>
      <c r="I1313" s="14">
        <f ca="1">IF(TOTALCO!I438="", "",TOTALCO!I438)</f>
        <v>0</v>
      </c>
      <c r="J1313" s="14" t="str">
        <f>IF(TOTALCO!J438="", "",TOTALCO!J438)</f>
        <v/>
      </c>
      <c r="K1313" s="14" t="str">
        <f>IF(TOTALCO!K438="", "",TOTALCO!K438)</f>
        <v/>
      </c>
      <c r="L1313" s="14">
        <f ca="1">IF(TOTALCO!L438="", "",TOTALCO!L438)</f>
        <v>0</v>
      </c>
      <c r="M1313" s="14" t="str">
        <f>IF(TOTALCO!M438="", "",TOTALCO!M438)</f>
        <v/>
      </c>
      <c r="N1313" s="14">
        <f ca="1">IF(TOTALCO!N438="", "",TOTALCO!N438)</f>
        <v>0</v>
      </c>
      <c r="O1313" s="14">
        <f ca="1">IF(TOTALCO!O438="", "",TOTALCO!O438)</f>
        <v>0</v>
      </c>
      <c r="P1313" s="14">
        <f ca="1">IF(TOTALCO!P438="", "",TOTALCO!P438)</f>
        <v>0</v>
      </c>
      <c r="Q1313" s="14"/>
    </row>
    <row r="1314" spans="1:17" ht="15" x14ac:dyDescent="0.2">
      <c r="A1314" s="321">
        <f>IF(TOTALCO!A439="", "",TOTALCO!A439)</f>
        <v>23</v>
      </c>
      <c r="B1314" s="4" t="str">
        <f>IF(TOTALCO!B439="", "",TOTALCO!B439)</f>
        <v>TOTAL HYDRO MAINTENANCE LABOR</v>
      </c>
      <c r="C1314" s="4" t="str">
        <f>IF(TOTALCO!C439="", "",TOTALCO!C439)</f>
        <v>LABHYDMN</v>
      </c>
      <c r="D1314" s="14">
        <f ca="1">IF(TOTALCO!D439="", "",TOTALCO!D439)</f>
        <v>0</v>
      </c>
      <c r="E1314" s="14" t="str">
        <f>IF(TOTALCO!E439="", "",TOTALCO!E439)</f>
        <v/>
      </c>
      <c r="F1314" s="14">
        <f ca="1">IF(TOTALCO!F439="", "",TOTALCO!F439)</f>
        <v>0</v>
      </c>
      <c r="G1314" s="14" t="str">
        <f>IF(TOTALCO!G439="", "",TOTALCO!G439)</f>
        <v/>
      </c>
      <c r="H1314" s="14">
        <f ca="1">IF(TOTALCO!H439="", "",TOTALCO!H439)</f>
        <v>0</v>
      </c>
      <c r="I1314" s="14">
        <f ca="1">IF(TOTALCO!I439="", "",TOTALCO!I439)</f>
        <v>0</v>
      </c>
      <c r="J1314" s="14" t="str">
        <f>IF(TOTALCO!J439="", "",TOTALCO!J439)</f>
        <v/>
      </c>
      <c r="K1314" s="14" t="str">
        <f>IF(TOTALCO!K439="", "",TOTALCO!K439)</f>
        <v/>
      </c>
      <c r="L1314" s="14">
        <f ca="1">IF(TOTALCO!L439="", "",TOTALCO!L439)</f>
        <v>0</v>
      </c>
      <c r="M1314" s="14" t="str">
        <f>IF(TOTALCO!M439="", "",TOTALCO!M439)</f>
        <v/>
      </c>
      <c r="N1314" s="14">
        <f ca="1">IF(TOTALCO!N439="", "",TOTALCO!N439)</f>
        <v>0</v>
      </c>
      <c r="O1314" s="14">
        <f ca="1">IF(TOTALCO!O439="", "",TOTALCO!O439)</f>
        <v>0</v>
      </c>
      <c r="P1314" s="14">
        <f ca="1">IF(TOTALCO!P439="", "",TOTALCO!P439)</f>
        <v>0</v>
      </c>
      <c r="Q1314" s="14"/>
    </row>
    <row r="1315" spans="1:17" ht="15" x14ac:dyDescent="0.2">
      <c r="A1315" s="321">
        <f>IF(TOTALCO!A440="", "",TOTALCO!A440)</f>
        <v>24</v>
      </c>
      <c r="B1315" s="4" t="str">
        <f>IF(TOTALCO!B440="", "",TOTALCO!B440)</f>
        <v>TOTAL OTHER OPERATIONS LABOR</v>
      </c>
      <c r="C1315" s="4" t="str">
        <f>IF(TOTALCO!C440="", "",TOTALCO!C440)</f>
        <v>LABOTHOP</v>
      </c>
      <c r="D1315" s="14">
        <f ca="1">IF(TOTALCO!D440="", "",TOTALCO!D440)</f>
        <v>0</v>
      </c>
      <c r="E1315" s="14" t="str">
        <f>IF(TOTALCO!E440="", "",TOTALCO!E440)</f>
        <v/>
      </c>
      <c r="F1315" s="14">
        <f ca="1">IF(TOTALCO!F440="", "",TOTALCO!F440)</f>
        <v>0</v>
      </c>
      <c r="G1315" s="14" t="str">
        <f>IF(TOTALCO!G440="", "",TOTALCO!G440)</f>
        <v/>
      </c>
      <c r="H1315" s="14">
        <f ca="1">IF(TOTALCO!H440="", "",TOTALCO!H440)</f>
        <v>0</v>
      </c>
      <c r="I1315" s="14">
        <f ca="1">IF(TOTALCO!I440="", "",TOTALCO!I440)</f>
        <v>0</v>
      </c>
      <c r="J1315" s="14" t="str">
        <f>IF(TOTALCO!J440="", "",TOTALCO!J440)</f>
        <v/>
      </c>
      <c r="K1315" s="14" t="str">
        <f>IF(TOTALCO!K440="", "",TOTALCO!K440)</f>
        <v/>
      </c>
      <c r="L1315" s="14">
        <f ca="1">IF(TOTALCO!L440="", "",TOTALCO!L440)</f>
        <v>0</v>
      </c>
      <c r="M1315" s="14" t="str">
        <f>IF(TOTALCO!M440="", "",TOTALCO!M440)</f>
        <v/>
      </c>
      <c r="N1315" s="14">
        <f ca="1">IF(TOTALCO!N440="", "",TOTALCO!N440)</f>
        <v>0</v>
      </c>
      <c r="O1315" s="14">
        <f ca="1">IF(TOTALCO!O440="", "",TOTALCO!O440)</f>
        <v>0</v>
      </c>
      <c r="P1315" s="14">
        <f ca="1">IF(TOTALCO!P440="", "",TOTALCO!P440)</f>
        <v>0</v>
      </c>
      <c r="Q1315" s="14"/>
    </row>
    <row r="1316" spans="1:17" ht="15" x14ac:dyDescent="0.2">
      <c r="A1316" s="321">
        <f>IF(TOTALCO!A441="", "",TOTALCO!A441)</f>
        <v>25</v>
      </c>
      <c r="B1316" s="4" t="str">
        <f>IF(TOTALCO!B441="", "",TOTALCO!B441)</f>
        <v>TOTAL OTHER MAINTENANCE LABOR</v>
      </c>
      <c r="C1316" s="4" t="str">
        <f>IF(TOTALCO!C441="", "",TOTALCO!C441)</f>
        <v>LABOTHMN</v>
      </c>
      <c r="D1316" s="14">
        <f ca="1">IF(TOTALCO!D441="", "",TOTALCO!D441)</f>
        <v>0</v>
      </c>
      <c r="E1316" s="14" t="str">
        <f>IF(TOTALCO!E441="", "",TOTALCO!E441)</f>
        <v/>
      </c>
      <c r="F1316" s="14">
        <f ca="1">IF(TOTALCO!F441="", "",TOTALCO!F441)</f>
        <v>0</v>
      </c>
      <c r="G1316" s="14" t="str">
        <f>IF(TOTALCO!G441="", "",TOTALCO!G441)</f>
        <v/>
      </c>
      <c r="H1316" s="14">
        <f ca="1">IF(TOTALCO!H441="", "",TOTALCO!H441)</f>
        <v>0</v>
      </c>
      <c r="I1316" s="14">
        <f ca="1">IF(TOTALCO!I441="", "",TOTALCO!I441)</f>
        <v>0</v>
      </c>
      <c r="J1316" s="14" t="str">
        <f>IF(TOTALCO!J441="", "",TOTALCO!J441)</f>
        <v/>
      </c>
      <c r="K1316" s="14" t="str">
        <f>IF(TOTALCO!K441="", "",TOTALCO!K441)</f>
        <v/>
      </c>
      <c r="L1316" s="14">
        <f ca="1">IF(TOTALCO!L441="", "",TOTALCO!L441)</f>
        <v>0</v>
      </c>
      <c r="M1316" s="14" t="str">
        <f>IF(TOTALCO!M441="", "",TOTALCO!M441)</f>
        <v/>
      </c>
      <c r="N1316" s="14">
        <f ca="1">IF(TOTALCO!N441="", "",TOTALCO!N441)</f>
        <v>0</v>
      </c>
      <c r="O1316" s="14">
        <f ca="1">IF(TOTALCO!O441="", "",TOTALCO!O441)</f>
        <v>0</v>
      </c>
      <c r="P1316" s="14">
        <f ca="1">IF(TOTALCO!P441="", "",TOTALCO!P441)</f>
        <v>0</v>
      </c>
      <c r="Q1316" s="14"/>
    </row>
    <row r="1317" spans="1:17" ht="15" x14ac:dyDescent="0.2">
      <c r="A1317" s="321">
        <f>IF(TOTALCO!A442="", "",TOTALCO!A442)</f>
        <v>26</v>
      </c>
      <c r="B1317" s="4" t="str">
        <f>IF(TOTALCO!B442="", "",TOTALCO!B442)</f>
        <v>TRANSM OPER EXP 562-567</v>
      </c>
      <c r="C1317" s="4" t="str">
        <f>IF(TOTALCO!C442="", "",TOTALCO!C442)</f>
        <v>EXP5627TX</v>
      </c>
      <c r="D1317" s="14">
        <f ca="1">IF(TOTALCO!D442="", "",TOTALCO!D442)</f>
        <v>1</v>
      </c>
      <c r="E1317" s="14" t="str">
        <f>IF(TOTALCO!E442="", "",TOTALCO!E442)</f>
        <v/>
      </c>
      <c r="F1317" s="14">
        <f ca="1">IF(TOTALCO!F442="", "",TOTALCO!F442)</f>
        <v>0.90566768883355364</v>
      </c>
      <c r="G1317" s="14" t="str">
        <f>IF(TOTALCO!G442="", "",TOTALCO!G442)</f>
        <v/>
      </c>
      <c r="H1317" s="14">
        <f ca="1">IF(TOTALCO!H442="", "",TOTALCO!H442)</f>
        <v>9.4329411388140105E-2</v>
      </c>
      <c r="I1317" s="14">
        <f ca="1">IF(TOTALCO!I442="", "",TOTALCO!I442)</f>
        <v>2.8997783062898899E-6</v>
      </c>
      <c r="J1317" s="14" t="str">
        <f>IF(TOTALCO!J442="", "",TOTALCO!J442)</f>
        <v/>
      </c>
      <c r="K1317" s="14" t="str">
        <f>IF(TOTALCO!K442="", "",TOTALCO!K442)</f>
        <v/>
      </c>
      <c r="L1317" s="14">
        <f ca="1">IF(TOTALCO!L442="", "",TOTALCO!L442)</f>
        <v>2.8997783062898899E-6</v>
      </c>
      <c r="M1317" s="14" t="str">
        <f>IF(TOTALCO!M442="", "",TOTALCO!M442)</f>
        <v/>
      </c>
      <c r="N1317" s="14">
        <f ca="1">IF(TOTALCO!N442="", "",TOTALCO!N442)</f>
        <v>0</v>
      </c>
      <c r="O1317" s="14">
        <f ca="1">IF(TOTALCO!O442="", "",TOTALCO!O442)</f>
        <v>0</v>
      </c>
      <c r="P1317" s="14">
        <f ca="1">IF(TOTALCO!P442="", "",TOTALCO!P442)</f>
        <v>0</v>
      </c>
      <c r="Q1317" s="14"/>
    </row>
    <row r="1318" spans="1:17" ht="15" x14ac:dyDescent="0.2">
      <c r="A1318" s="321">
        <f>IF(TOTALCO!A443="", "",TOTALCO!A443)</f>
        <v>27</v>
      </c>
      <c r="B1318" s="4" t="str">
        <f>IF(TOTALCO!B443="", "",TOTALCO!B443)</f>
        <v>TRANSM MAINT EXP 569-573</v>
      </c>
      <c r="C1318" s="4" t="str">
        <f>IF(TOTALCO!C443="", "",TOTALCO!C443)</f>
        <v>EXP5693TX</v>
      </c>
      <c r="D1318" s="14">
        <f ca="1">IF(TOTALCO!D443="", "",TOTALCO!D443)</f>
        <v>1</v>
      </c>
      <c r="E1318" s="14" t="str">
        <f>IF(TOTALCO!E443="", "",TOTALCO!E443)</f>
        <v/>
      </c>
      <c r="F1318" s="14">
        <f ca="1">IF(TOTALCO!F443="", "",TOTALCO!F443)</f>
        <v>0.90597866137293892</v>
      </c>
      <c r="G1318" s="14" t="str">
        <f>IF(TOTALCO!G443="", "",TOTALCO!G443)</f>
        <v/>
      </c>
      <c r="H1318" s="14">
        <f ca="1">IF(TOTALCO!H443="", "",TOTALCO!H443)</f>
        <v>9.4018448408060701E-2</v>
      </c>
      <c r="I1318" s="14">
        <f ca="1">IF(TOTALCO!I443="", "",TOTALCO!I443)</f>
        <v>2.8902190003382903E-6</v>
      </c>
      <c r="J1318" s="14" t="str">
        <f>IF(TOTALCO!J443="", "",TOTALCO!J443)</f>
        <v/>
      </c>
      <c r="K1318" s="14" t="str">
        <f>IF(TOTALCO!K443="", "",TOTALCO!K443)</f>
        <v/>
      </c>
      <c r="L1318" s="14">
        <f ca="1">IF(TOTALCO!L443="", "",TOTALCO!L443)</f>
        <v>2.8902190003382903E-6</v>
      </c>
      <c r="M1318" s="14" t="str">
        <f>IF(TOTALCO!M443="", "",TOTALCO!M443)</f>
        <v/>
      </c>
      <c r="N1318" s="14">
        <f ca="1">IF(TOTALCO!N443="", "",TOTALCO!N443)</f>
        <v>0</v>
      </c>
      <c r="O1318" s="14">
        <f ca="1">IF(TOTALCO!O443="", "",TOTALCO!O443)</f>
        <v>0</v>
      </c>
      <c r="P1318" s="14">
        <f ca="1">IF(TOTALCO!P443="", "",TOTALCO!P443)</f>
        <v>0</v>
      </c>
      <c r="Q1318" s="14"/>
    </row>
    <row r="1319" spans="1:17" ht="15" x14ac:dyDescent="0.2">
      <c r="A1319" s="321">
        <f>IF(TOTALCO!A444="", "",TOTALCO!A444)</f>
        <v>28</v>
      </c>
      <c r="B1319" s="4" t="str">
        <f>IF(TOTALCO!B444="", "",TOTALCO!B444)</f>
        <v>TOT TRANSM OPERATIONS LABOR</v>
      </c>
      <c r="C1319" s="4" t="str">
        <f>IF(TOTALCO!C444="", "",TOTALCO!C444)</f>
        <v>LABTROP</v>
      </c>
      <c r="D1319" s="14">
        <f ca="1">IF(TOTALCO!D444="", "",TOTALCO!D444)</f>
        <v>0.99999999999999989</v>
      </c>
      <c r="E1319" s="14" t="str">
        <f>IF(TOTALCO!E444="", "",TOTALCO!E444)</f>
        <v/>
      </c>
      <c r="F1319" s="14">
        <f ca="1">IF(TOTALCO!F444="", "",TOTALCO!F444)</f>
        <v>0.90566768883355353</v>
      </c>
      <c r="G1319" s="14" t="str">
        <f>IF(TOTALCO!G444="", "",TOTALCO!G444)</f>
        <v/>
      </c>
      <c r="H1319" s="14">
        <f ca="1">IF(TOTALCO!H444="", "",TOTALCO!H444)</f>
        <v>9.4329411388140105E-2</v>
      </c>
      <c r="I1319" s="14">
        <f ca="1">IF(TOTALCO!I444="", "",TOTALCO!I444)</f>
        <v>2.8997783062898894E-6</v>
      </c>
      <c r="J1319" s="14" t="str">
        <f>IF(TOTALCO!J444="", "",TOTALCO!J444)</f>
        <v/>
      </c>
      <c r="K1319" s="14" t="str">
        <f>IF(TOTALCO!K444="", "",TOTALCO!K444)</f>
        <v/>
      </c>
      <c r="L1319" s="14">
        <f ca="1">IF(TOTALCO!L444="", "",TOTALCO!L444)</f>
        <v>2.8997783062898894E-6</v>
      </c>
      <c r="M1319" s="14" t="str">
        <f>IF(TOTALCO!M444="", "",TOTALCO!M444)</f>
        <v/>
      </c>
      <c r="N1319" s="14">
        <f ca="1">IF(TOTALCO!N444="", "",TOTALCO!N444)</f>
        <v>0</v>
      </c>
      <c r="O1319" s="14">
        <f ca="1">IF(TOTALCO!O444="", "",TOTALCO!O444)</f>
        <v>0</v>
      </c>
      <c r="P1319" s="14">
        <f ca="1">IF(TOTALCO!P444="", "",TOTALCO!P444)</f>
        <v>0</v>
      </c>
      <c r="Q1319" s="14"/>
    </row>
    <row r="1320" spans="1:17" ht="15" x14ac:dyDescent="0.2">
      <c r="A1320" s="321">
        <f>IF(TOTALCO!A445="", "",TOTALCO!A445)</f>
        <v>29</v>
      </c>
      <c r="B1320" s="4" t="str">
        <f>IF(TOTALCO!B445="", "",TOTALCO!B445)</f>
        <v>TOT TRANSM MAINTENANCE LABOR</v>
      </c>
      <c r="C1320" s="4" t="str">
        <f>IF(TOTALCO!C445="", "",TOTALCO!C445)</f>
        <v>LABTRMN</v>
      </c>
      <c r="D1320" s="14">
        <f>IF(TOTALCO!D445="", "",TOTALCO!D445)</f>
        <v>0</v>
      </c>
      <c r="E1320" s="14" t="str">
        <f>IF(TOTALCO!E445="", "",TOTALCO!E445)</f>
        <v/>
      </c>
      <c r="F1320" s="14">
        <f>IF(TOTALCO!F445="", "",TOTALCO!F445)</f>
        <v>0</v>
      </c>
      <c r="G1320" s="14" t="str">
        <f>IF(TOTALCO!G445="", "",TOTALCO!G445)</f>
        <v/>
      </c>
      <c r="H1320" s="14">
        <f>IF(TOTALCO!H445="", "",TOTALCO!H445)</f>
        <v>0</v>
      </c>
      <c r="I1320" s="14">
        <f>IF(TOTALCO!I445="", "",TOTALCO!I445)</f>
        <v>0</v>
      </c>
      <c r="J1320" s="14" t="str">
        <f>IF(TOTALCO!J445="", "",TOTALCO!J445)</f>
        <v/>
      </c>
      <c r="K1320" s="14" t="str">
        <f>IF(TOTALCO!K445="", "",TOTALCO!K445)</f>
        <v/>
      </c>
      <c r="L1320" s="14">
        <f>IF(TOTALCO!L445="", "",TOTALCO!L445)</f>
        <v>0</v>
      </c>
      <c r="M1320" s="14" t="str">
        <f>IF(TOTALCO!M445="", "",TOTALCO!M445)</f>
        <v/>
      </c>
      <c r="N1320" s="14">
        <f>IF(TOTALCO!N445="", "",TOTALCO!N445)</f>
        <v>0</v>
      </c>
      <c r="O1320" s="14">
        <f>IF(TOTALCO!O445="", "",TOTALCO!O445)</f>
        <v>0</v>
      </c>
      <c r="P1320" s="14">
        <f>IF(TOTALCO!P445="", "",TOTALCO!P445)</f>
        <v>0</v>
      </c>
      <c r="Q1320" s="14"/>
    </row>
    <row r="1321" spans="1:17" ht="15" x14ac:dyDescent="0.2">
      <c r="A1321" s="321">
        <f>IF(TOTALCO!A446="", "",TOTALCO!A446)</f>
        <v>30</v>
      </c>
      <c r="B1321" s="4" t="str">
        <f>IF(TOTALCO!B446="", "",TOTALCO!B446)</f>
        <v>DISTR OPER EXP 582-589</v>
      </c>
      <c r="C1321" s="4" t="str">
        <f>IF(TOTALCO!C446="", "",TOTALCO!C446)</f>
        <v>EXP5829DIS</v>
      </c>
      <c r="D1321" s="14">
        <f ca="1">IF(TOTALCO!D446="", "",TOTALCO!D446)</f>
        <v>1</v>
      </c>
      <c r="E1321" s="14" t="str">
        <f>IF(TOTALCO!E446="", "",TOTALCO!E446)</f>
        <v/>
      </c>
      <c r="F1321" s="14">
        <f ca="1">IF(TOTALCO!F446="", "",TOTALCO!F446)</f>
        <v>0.94638490969259359</v>
      </c>
      <c r="G1321" s="14" t="str">
        <f>IF(TOTALCO!G446="", "",TOTALCO!G446)</f>
        <v/>
      </c>
      <c r="H1321" s="14">
        <f ca="1">IF(TOTALCO!H446="", "",TOTALCO!H446)</f>
        <v>5.1464591540963306E-2</v>
      </c>
      <c r="I1321" s="14">
        <f ca="1">IF(TOTALCO!I446="", "",TOTALCO!I446)</f>
        <v>2.1504987664431145E-3</v>
      </c>
      <c r="J1321" s="14" t="str">
        <f>IF(TOTALCO!J446="", "",TOTALCO!J446)</f>
        <v/>
      </c>
      <c r="K1321" s="14" t="str">
        <f>IF(TOTALCO!K446="", "",TOTALCO!K446)</f>
        <v/>
      </c>
      <c r="L1321" s="14">
        <f ca="1">IF(TOTALCO!L446="", "",TOTALCO!L446)</f>
        <v>3.0608502037779217E-4</v>
      </c>
      <c r="M1321" s="14" t="str">
        <f>IF(TOTALCO!M446="", "",TOTALCO!M446)</f>
        <v/>
      </c>
      <c r="N1321" s="14">
        <f ca="1">IF(TOTALCO!N446="", "",TOTALCO!N446)</f>
        <v>1.8444137460653224E-3</v>
      </c>
      <c r="O1321" s="14">
        <f ca="1">IF(TOTALCO!O446="", "",TOTALCO!O446)</f>
        <v>1.723169754669964E-3</v>
      </c>
      <c r="P1321" s="14">
        <f ca="1">IF(TOTALCO!P446="", "",TOTALCO!P446)</f>
        <v>1.2124399139535842E-4</v>
      </c>
      <c r="Q1321" s="14"/>
    </row>
    <row r="1322" spans="1:17" ht="15" x14ac:dyDescent="0.2">
      <c r="A1322" s="321">
        <f>IF(TOTALCO!A447="", "",TOTALCO!A447)</f>
        <v>31</v>
      </c>
      <c r="B1322" s="4" t="str">
        <f>IF(TOTALCO!B447="", "",TOTALCO!B447)</f>
        <v>DISTR MAINT EXP 591-598</v>
      </c>
      <c r="C1322" s="4" t="str">
        <f>IF(TOTALCO!C447="", "",TOTALCO!C447)</f>
        <v>EXP5918DIS</v>
      </c>
      <c r="D1322" s="14">
        <f ca="1">IF(TOTALCO!D447="", "",TOTALCO!D447)</f>
        <v>0.99999999999999989</v>
      </c>
      <c r="E1322" s="14" t="str">
        <f>IF(TOTALCO!E447="", "",TOTALCO!E447)</f>
        <v/>
      </c>
      <c r="F1322" s="14">
        <f ca="1">IF(TOTALCO!F447="", "",TOTALCO!F447)</f>
        <v>0.94057590207023234</v>
      </c>
      <c r="G1322" s="14" t="str">
        <f>IF(TOTALCO!G447="", "",TOTALCO!G447)</f>
        <v/>
      </c>
      <c r="H1322" s="14">
        <f ca="1">IF(TOTALCO!H447="", "",TOTALCO!H447)</f>
        <v>5.8798591139389289E-2</v>
      </c>
      <c r="I1322" s="14">
        <f ca="1">IF(TOTALCO!I447="", "",TOTALCO!I447)</f>
        <v>6.2550679037834292E-4</v>
      </c>
      <c r="J1322" s="14" t="str">
        <f>IF(TOTALCO!J447="", "",TOTALCO!J447)</f>
        <v/>
      </c>
      <c r="K1322" s="14" t="str">
        <f>IF(TOTALCO!K447="", "",TOTALCO!K447)</f>
        <v/>
      </c>
      <c r="L1322" s="14">
        <f ca="1">IF(TOTALCO!L447="", "",TOTALCO!L447)</f>
        <v>1.5980499624538265E-4</v>
      </c>
      <c r="M1322" s="14" t="str">
        <f>IF(TOTALCO!M447="", "",TOTALCO!M447)</f>
        <v/>
      </c>
      <c r="N1322" s="14">
        <f ca="1">IF(TOTALCO!N447="", "",TOTALCO!N447)</f>
        <v>4.657017941329603E-4</v>
      </c>
      <c r="O1322" s="14">
        <f ca="1">IF(TOTALCO!O447="", "",TOTALCO!O447)</f>
        <v>4.6556802726059073E-4</v>
      </c>
      <c r="P1322" s="14">
        <f ca="1">IF(TOTALCO!P447="", "",TOTALCO!P447)</f>
        <v>1.337668723695714E-7</v>
      </c>
      <c r="Q1322" s="14"/>
    </row>
    <row r="1323" spans="1:17" ht="15" x14ac:dyDescent="0.2">
      <c r="A1323" s="321">
        <f>IF(TOTALCO!A448="", "",TOTALCO!A448)</f>
        <v>32</v>
      </c>
      <c r="B1323" s="4" t="str">
        <f>IF(TOTALCO!B448="", "",TOTALCO!B448)</f>
        <v>TOT DISTR OPERATIONS LABOR</v>
      </c>
      <c r="C1323" s="4" t="str">
        <f>IF(TOTALCO!C448="", "",TOTALCO!C448)</f>
        <v>LABDISOP</v>
      </c>
      <c r="D1323" s="14">
        <f ca="1">IF(TOTALCO!D448="", "",TOTALCO!D448)</f>
        <v>1</v>
      </c>
      <c r="E1323" s="14" t="str">
        <f>IF(TOTALCO!E448="", "",TOTALCO!E448)</f>
        <v/>
      </c>
      <c r="F1323" s="14">
        <f ca="1">IF(TOTALCO!F448="", "",TOTALCO!F448)</f>
        <v>0.9488056371457757</v>
      </c>
      <c r="G1323" s="14" t="str">
        <f>IF(TOTALCO!G448="", "",TOTALCO!G448)</f>
        <v/>
      </c>
      <c r="H1323" s="14">
        <f ca="1">IF(TOTALCO!H448="", "",TOTALCO!H448)</f>
        <v>4.9068095003297035E-2</v>
      </c>
      <c r="I1323" s="14">
        <f ca="1">IF(TOTALCO!I448="", "",TOTALCO!I448)</f>
        <v>2.1262678509272382E-3</v>
      </c>
      <c r="J1323" s="14" t="str">
        <f>IF(TOTALCO!J448="", "",TOTALCO!J448)</f>
        <v/>
      </c>
      <c r="K1323" s="14" t="str">
        <f>IF(TOTALCO!K448="", "",TOTALCO!K448)</f>
        <v/>
      </c>
      <c r="L1323" s="14">
        <f ca="1">IF(TOTALCO!L448="", "",TOTALCO!L448)</f>
        <v>3.1909150627140194E-4</v>
      </c>
      <c r="M1323" s="14" t="str">
        <f>IF(TOTALCO!M448="", "",TOTALCO!M448)</f>
        <v/>
      </c>
      <c r="N1323" s="14">
        <f ca="1">IF(TOTALCO!N448="", "",TOTALCO!N448)</f>
        <v>1.8071763446558364E-3</v>
      </c>
      <c r="O1323" s="14">
        <f ca="1">IF(TOTALCO!O448="", "",TOTALCO!O448)</f>
        <v>1.7939357365164027E-3</v>
      </c>
      <c r="P1323" s="14">
        <f ca="1">IF(TOTALCO!P448="", "",TOTALCO!P448)</f>
        <v>1.3240608139433594E-5</v>
      </c>
      <c r="Q1323" s="14"/>
    </row>
    <row r="1324" spans="1:17" ht="15" x14ac:dyDescent="0.2">
      <c r="A1324" s="321">
        <f>IF(TOTALCO!A449="", "",TOTALCO!A449)</f>
        <v>33</v>
      </c>
      <c r="B1324" s="4" t="str">
        <f>IF(TOTALCO!B449="", "",TOTALCO!B449)</f>
        <v>TOT DISTR MAINTENANCE LABOR</v>
      </c>
      <c r="C1324" s="4" t="str">
        <f>IF(TOTALCO!C449="", "",TOTALCO!C449)</f>
        <v>LABDISMN</v>
      </c>
      <c r="D1324" s="14">
        <f>IF(TOTALCO!D449="", "",TOTALCO!D449)</f>
        <v>0</v>
      </c>
      <c r="E1324" s="14" t="str">
        <f>IF(TOTALCO!E449="", "",TOTALCO!E449)</f>
        <v/>
      </c>
      <c r="F1324" s="14">
        <f>IF(TOTALCO!F449="", "",TOTALCO!F449)</f>
        <v>0</v>
      </c>
      <c r="G1324" s="14" t="str">
        <f>IF(TOTALCO!G449="", "",TOTALCO!G449)</f>
        <v/>
      </c>
      <c r="H1324" s="14">
        <f>IF(TOTALCO!H449="", "",TOTALCO!H449)</f>
        <v>0</v>
      </c>
      <c r="I1324" s="14">
        <f>IF(TOTALCO!I449="", "",TOTALCO!I449)</f>
        <v>0</v>
      </c>
      <c r="J1324" s="14" t="str">
        <f>IF(TOTALCO!J449="", "",TOTALCO!J449)</f>
        <v/>
      </c>
      <c r="K1324" s="14" t="str">
        <f>IF(TOTALCO!K449="", "",TOTALCO!K449)</f>
        <v/>
      </c>
      <c r="L1324" s="14">
        <f>IF(TOTALCO!L449="", "",TOTALCO!L449)</f>
        <v>0</v>
      </c>
      <c r="M1324" s="14" t="str">
        <f>IF(TOTALCO!M449="", "",TOTALCO!M449)</f>
        <v/>
      </c>
      <c r="N1324" s="14">
        <f>IF(TOTALCO!N449="", "",TOTALCO!N449)</f>
        <v>0</v>
      </c>
      <c r="O1324" s="14">
        <f>IF(TOTALCO!O449="", "",TOTALCO!O449)</f>
        <v>0</v>
      </c>
      <c r="P1324" s="14">
        <f>IF(TOTALCO!P449="", "",TOTALCO!P449)</f>
        <v>0</v>
      </c>
      <c r="Q1324" s="14"/>
    </row>
    <row r="1325" spans="1:17" ht="15" x14ac:dyDescent="0.2">
      <c r="A1325" s="321">
        <f>IF(TOTALCO!A450="", "",TOTALCO!A450)</f>
        <v>34</v>
      </c>
      <c r="B1325" s="4" t="str">
        <f>IF(TOTALCO!B450="", "",TOTALCO!B450)</f>
        <v>CUST ACCT EXP 902, 903 &amp; 905</v>
      </c>
      <c r="C1325" s="4" t="str">
        <f>IF(TOTALCO!C450="", "",TOTALCO!C450)</f>
        <v>EXP9025CA</v>
      </c>
      <c r="D1325" s="14">
        <f ca="1">IF(TOTALCO!D450="", "",TOTALCO!D450)</f>
        <v>1</v>
      </c>
      <c r="E1325" s="14" t="str">
        <f>IF(TOTALCO!E450="", "",TOTALCO!E450)</f>
        <v/>
      </c>
      <c r="F1325" s="14">
        <f ca="1">IF(TOTALCO!F450="", "",TOTALCO!F450)</f>
        <v>0.95003195393362805</v>
      </c>
      <c r="G1325" s="14" t="str">
        <f>IF(TOTALCO!G450="", "",TOTALCO!G450)</f>
        <v/>
      </c>
      <c r="H1325" s="14">
        <f ca="1">IF(TOTALCO!H450="", "",TOTALCO!H450)</f>
        <v>4.9682107773700267E-2</v>
      </c>
      <c r="I1325" s="14">
        <f ca="1">IF(TOTALCO!I450="", "",TOTALCO!I450)</f>
        <v>2.8593829267167825E-4</v>
      </c>
      <c r="J1325" s="14" t="str">
        <f>IF(TOTALCO!J450="", "",TOTALCO!J450)</f>
        <v/>
      </c>
      <c r="K1325" s="14" t="str">
        <f>IF(TOTALCO!K450="", "",TOTALCO!K450)</f>
        <v/>
      </c>
      <c r="L1325" s="14">
        <f ca="1">IF(TOTALCO!L450="", "",TOTALCO!L450)</f>
        <v>6.5884399233105591E-6</v>
      </c>
      <c r="M1325" s="14" t="str">
        <f>IF(TOTALCO!M450="", "",TOTALCO!M450)</f>
        <v/>
      </c>
      <c r="N1325" s="14">
        <f ca="1">IF(TOTALCO!N450="", "",TOTALCO!N450)</f>
        <v>2.7934985274836771E-4</v>
      </c>
      <c r="O1325" s="14">
        <f ca="1">IF(TOTALCO!O450="", "",TOTALCO!O450)</f>
        <v>1.1200347869627951E-4</v>
      </c>
      <c r="P1325" s="14">
        <f ca="1">IF(TOTALCO!P450="", "",TOTALCO!P450)</f>
        <v>1.6734637405208821E-4</v>
      </c>
      <c r="Q1325" s="14"/>
    </row>
    <row r="1326" spans="1:17" ht="15" x14ac:dyDescent="0.2">
      <c r="A1326" s="321">
        <f>IF(TOTALCO!A451="", "",TOTALCO!A451)</f>
        <v>35</v>
      </c>
      <c r="B1326" s="4" t="str">
        <f>IF(TOTALCO!B451="", "",TOTALCO!B451)</f>
        <v>TOTAL CUST ACCOUNTS LABOR</v>
      </c>
      <c r="C1326" s="4" t="str">
        <f>IF(TOTALCO!C451="", "",TOTALCO!C451)</f>
        <v>LABCA</v>
      </c>
      <c r="D1326" s="14">
        <f ca="1">IF(TOTALCO!D451="", "",TOTALCO!D451)</f>
        <v>1</v>
      </c>
      <c r="E1326" s="14" t="str">
        <f>IF(TOTALCO!E451="", "",TOTALCO!E451)</f>
        <v/>
      </c>
      <c r="F1326" s="14">
        <f ca="1">IF(TOTALCO!F451="", "",TOTALCO!F451)</f>
        <v>0.95003195393362805</v>
      </c>
      <c r="G1326" s="14" t="str">
        <f>IF(TOTALCO!G451="", "",TOTALCO!G451)</f>
        <v/>
      </c>
      <c r="H1326" s="14">
        <f ca="1">IF(TOTALCO!H451="", "",TOTALCO!H451)</f>
        <v>4.9682107773700267E-2</v>
      </c>
      <c r="I1326" s="14">
        <f ca="1">IF(TOTALCO!I451="", "",TOTALCO!I451)</f>
        <v>2.8593829267167825E-4</v>
      </c>
      <c r="J1326" s="14" t="str">
        <f>IF(TOTALCO!J451="", "",TOTALCO!J451)</f>
        <v/>
      </c>
      <c r="K1326" s="14" t="str">
        <f>IF(TOTALCO!K451="", "",TOTALCO!K451)</f>
        <v/>
      </c>
      <c r="L1326" s="14">
        <f ca="1">IF(TOTALCO!L451="", "",TOTALCO!L451)</f>
        <v>6.5884399233105591E-6</v>
      </c>
      <c r="M1326" s="14" t="str">
        <f>IF(TOTALCO!M451="", "",TOTALCO!M451)</f>
        <v/>
      </c>
      <c r="N1326" s="14">
        <f ca="1">IF(TOTALCO!N451="", "",TOTALCO!N451)</f>
        <v>2.7934985274836771E-4</v>
      </c>
      <c r="O1326" s="14">
        <f ca="1">IF(TOTALCO!O451="", "",TOTALCO!O451)</f>
        <v>1.1200347869627951E-4</v>
      </c>
      <c r="P1326" s="14">
        <f ca="1">IF(TOTALCO!P451="", "",TOTALCO!P451)</f>
        <v>1.6734637405208823E-4</v>
      </c>
      <c r="Q1326" s="14"/>
    </row>
    <row r="1327" spans="1:17" ht="15" x14ac:dyDescent="0.2">
      <c r="A1327" s="321">
        <f>IF(TOTALCO!A452="", "",TOTALCO!A452)</f>
        <v>36</v>
      </c>
      <c r="B1327" s="4" t="str">
        <f>IF(TOTALCO!B452="", "",TOTALCO!B452)</f>
        <v>CUST SERVICES EXP 908-910</v>
      </c>
      <c r="C1327" s="4" t="str">
        <f>IF(TOTALCO!C452="", "",TOTALCO!C452)</f>
        <v>EXP9080CS</v>
      </c>
      <c r="D1327" s="14">
        <f ca="1">IF(TOTALCO!D452="", "",TOTALCO!D452)</f>
        <v>0.99999999999999989</v>
      </c>
      <c r="E1327" s="14" t="str">
        <f>IF(TOTALCO!E452="", "",TOTALCO!E452)</f>
        <v/>
      </c>
      <c r="F1327" s="14">
        <f ca="1">IF(TOTALCO!F452="", "",TOTALCO!F452)</f>
        <v>0.98727798895375041</v>
      </c>
      <c r="G1327" s="14" t="str">
        <f>IF(TOTALCO!G452="", "",TOTALCO!G452)</f>
        <v/>
      </c>
      <c r="H1327" s="14">
        <f ca="1">IF(TOTALCO!H452="", "",TOTALCO!H452)</f>
        <v>1.2720654079985606E-2</v>
      </c>
      <c r="I1327" s="14">
        <f ca="1">IF(TOTALCO!I452="", "",TOTALCO!I452)</f>
        <v>1.3569662639105649E-6</v>
      </c>
      <c r="J1327" s="14" t="str">
        <f>IF(TOTALCO!J452="", "",TOTALCO!J452)</f>
        <v/>
      </c>
      <c r="K1327" s="14" t="str">
        <f>IF(TOTALCO!K452="", "",TOTALCO!K452)</f>
        <v/>
      </c>
      <c r="L1327" s="14">
        <f ca="1">IF(TOTALCO!L452="", "",TOTALCO!L452)</f>
        <v>1.3569662639105649E-6</v>
      </c>
      <c r="M1327" s="14" t="str">
        <f>IF(TOTALCO!M452="", "",TOTALCO!M452)</f>
        <v/>
      </c>
      <c r="N1327" s="14">
        <f ca="1">IF(TOTALCO!N452="", "",TOTALCO!N452)</f>
        <v>0</v>
      </c>
      <c r="O1327" s="14">
        <f ca="1">IF(TOTALCO!O452="", "",TOTALCO!O452)</f>
        <v>0</v>
      </c>
      <c r="P1327" s="14">
        <f ca="1">IF(TOTALCO!P452="", "",TOTALCO!P452)</f>
        <v>0</v>
      </c>
      <c r="Q1327" s="14"/>
    </row>
    <row r="1328" spans="1:17" ht="15" x14ac:dyDescent="0.2">
      <c r="A1328" s="321">
        <f>IF(TOTALCO!A453="", "",TOTALCO!A453)</f>
        <v>37</v>
      </c>
      <c r="B1328" s="4" t="str">
        <f>IF(TOTALCO!B453="", "",TOTALCO!B453)</f>
        <v>TOTAL CUST SERVICES LABOR</v>
      </c>
      <c r="C1328" s="4" t="str">
        <f>IF(TOTALCO!C453="", "",TOTALCO!C453)</f>
        <v>LABCS</v>
      </c>
      <c r="D1328" s="14">
        <f ca="1">IF(TOTALCO!D453="", "",TOTALCO!D453)</f>
        <v>1</v>
      </c>
      <c r="E1328" s="14" t="str">
        <f>IF(TOTALCO!E453="", "",TOTALCO!E453)</f>
        <v/>
      </c>
      <c r="F1328" s="14">
        <f ca="1">IF(TOTALCO!F453="", "",TOTALCO!F453)</f>
        <v>0.95003195393362805</v>
      </c>
      <c r="G1328" s="14" t="str">
        <f>IF(TOTALCO!G453="", "",TOTALCO!G453)</f>
        <v/>
      </c>
      <c r="H1328" s="14">
        <f ca="1">IF(TOTALCO!H453="", "",TOTALCO!H453)</f>
        <v>4.9682107773700267E-2</v>
      </c>
      <c r="I1328" s="14">
        <f ca="1">IF(TOTALCO!I453="", "",TOTALCO!I453)</f>
        <v>2.8593829267167825E-4</v>
      </c>
      <c r="J1328" s="14" t="str">
        <f>IF(TOTALCO!J453="", "",TOTALCO!J453)</f>
        <v/>
      </c>
      <c r="K1328" s="14" t="str">
        <f>IF(TOTALCO!K453="", "",TOTALCO!K453)</f>
        <v/>
      </c>
      <c r="L1328" s="14">
        <f ca="1">IF(TOTALCO!L453="", "",TOTALCO!L453)</f>
        <v>6.5884399233105591E-6</v>
      </c>
      <c r="M1328" s="14" t="str">
        <f>IF(TOTALCO!M453="", "",TOTALCO!M453)</f>
        <v/>
      </c>
      <c r="N1328" s="14">
        <f ca="1">IF(TOTALCO!N453="", "",TOTALCO!N453)</f>
        <v>2.7934985274836771E-4</v>
      </c>
      <c r="O1328" s="14">
        <f ca="1">IF(TOTALCO!O453="", "",TOTALCO!O453)</f>
        <v>1.1200347869627951E-4</v>
      </c>
      <c r="P1328" s="14">
        <f ca="1">IF(TOTALCO!P453="", "",TOTALCO!P453)</f>
        <v>1.6734637405208823E-4</v>
      </c>
      <c r="Q1328" s="14"/>
    </row>
    <row r="1329" spans="1:17" ht="15" x14ac:dyDescent="0.2">
      <c r="A1329" s="321">
        <f>IF(TOTALCO!A454="", "",TOTALCO!A454)</f>
        <v>38</v>
      </c>
      <c r="B1329" s="4" t="str">
        <f>IF(TOTALCO!B454="", "",TOTALCO!B454)</f>
        <v>SALES EXPENSE 912-916</v>
      </c>
      <c r="C1329" s="4" t="str">
        <f>IF(TOTALCO!C454="", "",TOTALCO!C454)</f>
        <v>EXP9126SA</v>
      </c>
      <c r="D1329" s="14">
        <f ca="1">IF(TOTALCO!D454="", "",TOTALCO!D454)</f>
        <v>1</v>
      </c>
      <c r="E1329" s="14" t="str">
        <f>IF(TOTALCO!E454="", "",TOTALCO!E454)</f>
        <v/>
      </c>
      <c r="F1329" s="14">
        <f ca="1">IF(TOTALCO!F454="", "",TOTALCO!F454)</f>
        <v>0.94892097697757327</v>
      </c>
      <c r="G1329" s="14" t="str">
        <f>IF(TOTALCO!G454="", "",TOTALCO!G454)</f>
        <v/>
      </c>
      <c r="H1329" s="14">
        <f ca="1">IF(TOTALCO!H454="", "",TOTALCO!H454)</f>
        <v>5.1073574787019391E-2</v>
      </c>
      <c r="I1329" s="14">
        <f ca="1">IF(TOTALCO!I454="", "",TOTALCO!I454)</f>
        <v>5.4482354073554802E-6</v>
      </c>
      <c r="J1329" s="14" t="str">
        <f>IF(TOTALCO!J454="", "",TOTALCO!J454)</f>
        <v/>
      </c>
      <c r="K1329" s="14" t="str">
        <f>IF(TOTALCO!K454="", "",TOTALCO!K454)</f>
        <v/>
      </c>
      <c r="L1329" s="14">
        <f ca="1">IF(TOTALCO!L454="", "",TOTALCO!L454)</f>
        <v>5.4482354073554802E-6</v>
      </c>
      <c r="M1329" s="14" t="str">
        <f>IF(TOTALCO!M454="", "",TOTALCO!M454)</f>
        <v/>
      </c>
      <c r="N1329" s="14">
        <f ca="1">IF(TOTALCO!N454="", "",TOTALCO!N454)</f>
        <v>0</v>
      </c>
      <c r="O1329" s="14">
        <f ca="1">IF(TOTALCO!O454="", "",TOTALCO!O454)</f>
        <v>0</v>
      </c>
      <c r="P1329" s="14">
        <f ca="1">IF(TOTALCO!P454="", "",TOTALCO!P454)</f>
        <v>0</v>
      </c>
      <c r="Q1329" s="14"/>
    </row>
    <row r="1330" spans="1:17" ht="15" x14ac:dyDescent="0.2">
      <c r="A1330" s="321">
        <f>IF(TOTALCO!A455="", "",TOTALCO!A455)</f>
        <v>39</v>
      </c>
      <c r="B1330" s="4" t="str">
        <f>IF(TOTALCO!B455="", "",TOTALCO!B455)</f>
        <v>TOTAL SALES EXP LABOR</v>
      </c>
      <c r="C1330" s="4" t="str">
        <f>IF(TOTALCO!C455="", "",TOTALCO!C455)</f>
        <v>LABSA</v>
      </c>
      <c r="D1330" s="14">
        <f ca="1">IF(TOTALCO!D455="", "",TOTALCO!D455)</f>
        <v>1</v>
      </c>
      <c r="E1330" s="14" t="str">
        <f>IF(TOTALCO!E455="", "",TOTALCO!E455)</f>
        <v/>
      </c>
      <c r="F1330" s="14">
        <f ca="1">IF(TOTALCO!F455="", "",TOTALCO!F455)</f>
        <v>0.98727798895375052</v>
      </c>
      <c r="G1330" s="14" t="str">
        <f>IF(TOTALCO!G455="", "",TOTALCO!G455)</f>
        <v/>
      </c>
      <c r="H1330" s="14">
        <f ca="1">IF(TOTALCO!H455="", "",TOTALCO!H455)</f>
        <v>1.2720654079985608E-2</v>
      </c>
      <c r="I1330" s="14">
        <f ca="1">IF(TOTALCO!I455="", "",TOTALCO!I455)</f>
        <v>1.3569662639105649E-6</v>
      </c>
      <c r="J1330" s="14" t="str">
        <f>IF(TOTALCO!J455="", "",TOTALCO!J455)</f>
        <v/>
      </c>
      <c r="K1330" s="14" t="str">
        <f>IF(TOTALCO!K455="", "",TOTALCO!K455)</f>
        <v/>
      </c>
      <c r="L1330" s="14">
        <f ca="1">IF(TOTALCO!L455="", "",TOTALCO!L455)</f>
        <v>1.3569662639105649E-6</v>
      </c>
      <c r="M1330" s="14" t="str">
        <f>IF(TOTALCO!M455="", "",TOTALCO!M455)</f>
        <v/>
      </c>
      <c r="N1330" s="14">
        <f ca="1">IF(TOTALCO!N455="", "",TOTALCO!N455)</f>
        <v>0</v>
      </c>
      <c r="O1330" s="14">
        <f ca="1">IF(TOTALCO!O455="", "",TOTALCO!O455)</f>
        <v>0</v>
      </c>
      <c r="P1330" s="14">
        <f ca="1">IF(TOTALCO!P455="", "",TOTALCO!P455)</f>
        <v>0</v>
      </c>
      <c r="Q1330" s="14"/>
    </row>
    <row r="1331" spans="1:17" ht="15" x14ac:dyDescent="0.2">
      <c r="A1331" s="321">
        <f>IF(TOTALCO!A456="", "",TOTALCO!A456)</f>
        <v>40</v>
      </c>
      <c r="B1331" s="4" t="str">
        <f>IF(TOTALCO!B456="", "",TOTALCO!B456)</f>
        <v>TOT ADMINISTRATIVE &amp; GEN EXP</v>
      </c>
      <c r="C1331" s="4" t="str">
        <f>IF(TOTALCO!C456="", "",TOTALCO!C456)</f>
        <v>A_GEXP</v>
      </c>
      <c r="D1331" s="14">
        <f ca="1">IF(TOTALCO!D456="", "",TOTALCO!D456)</f>
        <v>1</v>
      </c>
      <c r="E1331" s="14" t="str">
        <f>IF(TOTALCO!E456="", "",TOTALCO!E456)</f>
        <v/>
      </c>
      <c r="F1331" s="14">
        <f ca="1">IF(TOTALCO!F456="", "",TOTALCO!F456)</f>
        <v>0.94013180156033671</v>
      </c>
      <c r="G1331" s="14" t="str">
        <f>IF(TOTALCO!G456="", "",TOTALCO!G456)</f>
        <v/>
      </c>
      <c r="H1331" s="14">
        <f ca="1">IF(TOTALCO!H456="", "",TOTALCO!H456)</f>
        <v>4.7647114641872053E-2</v>
      </c>
      <c r="I1331" s="14">
        <f ca="1">IF(TOTALCO!I456="", "",TOTALCO!I456)</f>
        <v>1.2221083797791245E-2</v>
      </c>
      <c r="J1331" s="14" t="str">
        <f>IF(TOTALCO!J456="", "",TOTALCO!J456)</f>
        <v/>
      </c>
      <c r="K1331" s="14" t="str">
        <f>IF(TOTALCO!K456="", "",TOTALCO!K456)</f>
        <v/>
      </c>
      <c r="L1331" s="14">
        <f ca="1">IF(TOTALCO!L456="", "",TOTALCO!L456)</f>
        <v>6.6547834355531305E-5</v>
      </c>
      <c r="M1331" s="14" t="str">
        <f>IF(TOTALCO!M456="", "",TOTALCO!M456)</f>
        <v/>
      </c>
      <c r="N1331" s="14">
        <f ca="1">IF(TOTALCO!N456="", "",TOTALCO!N456)</f>
        <v>1.2154535963435714E-2</v>
      </c>
      <c r="O1331" s="14">
        <f ca="1">IF(TOTALCO!O456="", "",TOTALCO!O456)</f>
        <v>6.3335687649531099E-3</v>
      </c>
      <c r="P1331" s="14">
        <f ca="1">IF(TOTALCO!P456="", "",TOTALCO!P456)</f>
        <v>5.8209671984826034E-3</v>
      </c>
      <c r="Q1331" s="14"/>
    </row>
    <row r="1332" spans="1:17" ht="15" x14ac:dyDescent="0.2">
      <c r="A1332" s="321" t="str">
        <f>IF(TOTALCO!A457="", "",TOTALCO!A457)</f>
        <v/>
      </c>
      <c r="B1332" s="4" t="str">
        <f>IF(TOTALCO!B457="", "",TOTALCO!B457)</f>
        <v/>
      </c>
      <c r="C1332" s="4" t="str">
        <f>IF(TOTALCO!C457="", "",TOTALCO!C457)</f>
        <v/>
      </c>
      <c r="D1332" s="14" t="str">
        <f>IF(TOTALCO!D457="", "",TOTALCO!D457)</f>
        <v/>
      </c>
      <c r="E1332" s="14" t="str">
        <f>IF(TOTALCO!E457="", "",TOTALCO!E457)</f>
        <v/>
      </c>
      <c r="F1332" s="14" t="str">
        <f>IF(TOTALCO!F457="", "",TOTALCO!F457)</f>
        <v/>
      </c>
      <c r="G1332" s="14" t="str">
        <f>IF(TOTALCO!G457="", "",TOTALCO!G457)</f>
        <v/>
      </c>
      <c r="H1332" s="14" t="str">
        <f>IF(TOTALCO!H457="", "",TOTALCO!H457)</f>
        <v/>
      </c>
      <c r="I1332" s="14" t="str">
        <f>IF(TOTALCO!I457="", "",TOTALCO!I457)</f>
        <v/>
      </c>
      <c r="J1332" s="14" t="str">
        <f>IF(TOTALCO!J457="", "",TOTALCO!J457)</f>
        <v/>
      </c>
      <c r="K1332" s="14" t="str">
        <f>IF(TOTALCO!K457="", "",TOTALCO!K457)</f>
        <v/>
      </c>
      <c r="L1332" s="14" t="str">
        <f>IF(TOTALCO!L457="", "",TOTALCO!L457)</f>
        <v/>
      </c>
      <c r="M1332" s="14" t="str">
        <f>IF(TOTALCO!M457="", "",TOTALCO!M457)</f>
        <v/>
      </c>
      <c r="N1332" s="14" t="str">
        <f>IF(TOTALCO!N457="", "",TOTALCO!N457)</f>
        <v/>
      </c>
      <c r="O1332" s="14" t="str">
        <f>IF(TOTALCO!O457="", "",TOTALCO!O457)</f>
        <v/>
      </c>
      <c r="P1332" s="14" t="str">
        <f>IF(TOTALCO!P457="", "",TOTALCO!P457)</f>
        <v/>
      </c>
      <c r="Q1332" s="14"/>
    </row>
    <row r="1333" spans="1:17" ht="15" x14ac:dyDescent="0.2">
      <c r="A1333" s="321" t="str">
        <f>IF(TOTALCO!A458="", "",TOTALCO!A458)</f>
        <v/>
      </c>
      <c r="B1333" s="4" t="str">
        <f>IF(TOTALCO!B458="", "",TOTALCO!B458)</f>
        <v>INTERNALLY DEVELOPED-CON'T</v>
      </c>
      <c r="C1333" s="4" t="str">
        <f>IF(TOTALCO!C458="", "",TOTALCO!C458)</f>
        <v/>
      </c>
      <c r="D1333" s="14" t="str">
        <f>IF(TOTALCO!D458="", "",TOTALCO!D458)</f>
        <v/>
      </c>
      <c r="E1333" s="14" t="str">
        <f>IF(TOTALCO!E458="", "",TOTALCO!E458)</f>
        <v/>
      </c>
      <c r="F1333" s="14" t="str">
        <f>IF(TOTALCO!F458="", "",TOTALCO!F458)</f>
        <v/>
      </c>
      <c r="G1333" s="14" t="str">
        <f>IF(TOTALCO!G458="", "",TOTALCO!G458)</f>
        <v/>
      </c>
      <c r="H1333" s="14" t="str">
        <f>IF(TOTALCO!H458="", "",TOTALCO!H458)</f>
        <v/>
      </c>
      <c r="I1333" s="14" t="str">
        <f>IF(TOTALCO!I458="", "",TOTALCO!I458)</f>
        <v/>
      </c>
      <c r="J1333" s="14" t="str">
        <f>IF(TOTALCO!J458="", "",TOTALCO!J458)</f>
        <v/>
      </c>
      <c r="K1333" s="14" t="str">
        <f>IF(TOTALCO!K458="", "",TOTALCO!K458)</f>
        <v/>
      </c>
      <c r="L1333" s="14" t="str">
        <f>IF(TOTALCO!L458="", "",TOTALCO!L458)</f>
        <v/>
      </c>
      <c r="M1333" s="14" t="str">
        <f>IF(TOTALCO!M458="", "",TOTALCO!M458)</f>
        <v/>
      </c>
      <c r="N1333" s="14" t="str">
        <f>IF(TOTALCO!N458="", "",TOTALCO!N458)</f>
        <v/>
      </c>
      <c r="O1333" s="14" t="str">
        <f>IF(TOTALCO!O458="", "",TOTALCO!O458)</f>
        <v/>
      </c>
      <c r="P1333" s="14" t="str">
        <f>IF(TOTALCO!P458="", "",TOTALCO!P458)</f>
        <v/>
      </c>
      <c r="Q1333" s="14"/>
    </row>
    <row r="1334" spans="1:17" ht="15" x14ac:dyDescent="0.2">
      <c r="A1334" s="321" t="str">
        <f>IF(TOTALCO!A459="", "",TOTALCO!A459)</f>
        <v/>
      </c>
      <c r="B1334" s="4" t="str">
        <f>IF(TOTALCO!B459="", "",TOTALCO!B459)</f>
        <v>-</v>
      </c>
      <c r="C1334" s="4" t="str">
        <f>IF(TOTALCO!C459="", "",TOTALCO!C459)</f>
        <v/>
      </c>
      <c r="D1334" s="14" t="str">
        <f>IF(TOTALCO!D459="", "",TOTALCO!D459)</f>
        <v/>
      </c>
      <c r="E1334" s="14" t="str">
        <f>IF(TOTALCO!E459="", "",TOTALCO!E459)</f>
        <v/>
      </c>
      <c r="F1334" s="14" t="str">
        <f>IF(TOTALCO!F459="", "",TOTALCO!F459)</f>
        <v/>
      </c>
      <c r="G1334" s="14" t="str">
        <f>IF(TOTALCO!G459="", "",TOTALCO!G459)</f>
        <v/>
      </c>
      <c r="H1334" s="14" t="str">
        <f>IF(TOTALCO!H459="", "",TOTALCO!H459)</f>
        <v/>
      </c>
      <c r="I1334" s="14" t="str">
        <f>IF(TOTALCO!I459="", "",TOTALCO!I459)</f>
        <v/>
      </c>
      <c r="J1334" s="14" t="str">
        <f>IF(TOTALCO!J459="", "",TOTALCO!J459)</f>
        <v/>
      </c>
      <c r="K1334" s="14" t="str">
        <f>IF(TOTALCO!K459="", "",TOTALCO!K459)</f>
        <v/>
      </c>
      <c r="L1334" s="14" t="str">
        <f>IF(TOTALCO!L459="", "",TOTALCO!L459)</f>
        <v/>
      </c>
      <c r="M1334" s="14" t="str">
        <f>IF(TOTALCO!M459="", "",TOTALCO!M459)</f>
        <v/>
      </c>
      <c r="N1334" s="14" t="str">
        <f>IF(TOTALCO!N459="", "",TOTALCO!N459)</f>
        <v/>
      </c>
      <c r="O1334" s="14" t="str">
        <f>IF(TOTALCO!O459="", "",TOTALCO!O459)</f>
        <v/>
      </c>
      <c r="P1334" s="14" t="str">
        <f>IF(TOTALCO!P459="", "",TOTALCO!P459)</f>
        <v/>
      </c>
      <c r="Q1334" s="14"/>
    </row>
    <row r="1335" spans="1:17" ht="15" x14ac:dyDescent="0.2">
      <c r="A1335" s="321">
        <f>IF(TOTALCO!A460="", "",TOTALCO!A460)</f>
        <v>1</v>
      </c>
      <c r="B1335" s="4" t="str">
        <f>IF(TOTALCO!B460="", "",TOTALCO!B460)</f>
        <v>ACCT 930-EPRI &amp; ADVERTISING</v>
      </c>
      <c r="C1335" s="4" t="str">
        <f>IF(TOTALCO!C460="", "",TOTALCO!C460)</f>
        <v>EXP930A</v>
      </c>
      <c r="D1335" s="14">
        <f ca="1">IF(TOTALCO!D460="", "",TOTALCO!D460)</f>
        <v>1</v>
      </c>
      <c r="E1335" s="14" t="str">
        <f>IF(TOTALCO!E460="", "",TOTALCO!E460)</f>
        <v/>
      </c>
      <c r="F1335" s="14">
        <f ca="1">IF(TOTALCO!F460="", "",TOTALCO!F460)</f>
        <v>0.942324002305855</v>
      </c>
      <c r="G1335" s="14" t="str">
        <f>IF(TOTALCO!G460="", "",TOTALCO!G460)</f>
        <v/>
      </c>
      <c r="H1335" s="14">
        <f ca="1">IF(TOTALCO!H460="", "",TOTALCO!H460)</f>
        <v>4.6040820130924295E-2</v>
      </c>
      <c r="I1335" s="14">
        <f ca="1">IF(TOTALCO!I460="", "",TOTALCO!I460)</f>
        <v>1.1635177563220824E-2</v>
      </c>
      <c r="J1335" s="14" t="str">
        <f>IF(TOTALCO!J460="", "",TOTALCO!J460)</f>
        <v/>
      </c>
      <c r="K1335" s="14" t="str">
        <f>IF(TOTALCO!K460="", "",TOTALCO!K460)</f>
        <v/>
      </c>
      <c r="L1335" s="14">
        <f ca="1">IF(TOTALCO!L460="", "",TOTALCO!L460)</f>
        <v>6.5521862048181331E-5</v>
      </c>
      <c r="M1335" s="14" t="str">
        <f>IF(TOTALCO!M460="", "",TOTALCO!M460)</f>
        <v/>
      </c>
      <c r="N1335" s="14">
        <f ca="1">IF(TOTALCO!N460="", "",TOTALCO!N460)</f>
        <v>1.1569655701172642E-2</v>
      </c>
      <c r="O1335" s="14">
        <f ca="1">IF(TOTALCO!O460="", "",TOTALCO!O460)</f>
        <v>6.0310267900317051E-3</v>
      </c>
      <c r="P1335" s="14">
        <f ca="1">IF(TOTALCO!P460="", "",TOTALCO!P460)</f>
        <v>5.5386289111409373E-3</v>
      </c>
      <c r="Q1335" s="14"/>
    </row>
    <row r="1336" spans="1:17" ht="15" x14ac:dyDescent="0.2">
      <c r="A1336" s="321">
        <f>IF(TOTALCO!A461="", "",TOTALCO!A461)</f>
        <v>2</v>
      </c>
      <c r="B1336" s="4" t="str">
        <f>IF(TOTALCO!B461="", "",TOTALCO!B461)</f>
        <v>TOTAL CUSTOMER SERVICES EXP</v>
      </c>
      <c r="C1336" s="4" t="str">
        <f>IF(TOTALCO!C461="", "",TOTALCO!C461)</f>
        <v>CUSTSER</v>
      </c>
      <c r="D1336" s="14">
        <f ca="1">IF(TOTALCO!D461="", "",TOTALCO!D461)</f>
        <v>1</v>
      </c>
      <c r="E1336" s="14" t="str">
        <f>IF(TOTALCO!E461="", "",TOTALCO!E461)</f>
        <v/>
      </c>
      <c r="F1336" s="14">
        <f ca="1">IF(TOTALCO!F461="", "",TOTALCO!F461)</f>
        <v>0.99051360669709199</v>
      </c>
      <c r="G1336" s="14" t="str">
        <f>IF(TOTALCO!G461="", "",TOTALCO!G461)</f>
        <v/>
      </c>
      <c r="H1336" s="14">
        <f ca="1">IF(TOTALCO!H461="", "",TOTALCO!H461)</f>
        <v>9.4853814569324166E-3</v>
      </c>
      <c r="I1336" s="14">
        <f ca="1">IF(TOTALCO!I461="", "",TOTALCO!I461)</f>
        <v>1.0118459755643872E-6</v>
      </c>
      <c r="J1336" s="14" t="str">
        <f>IF(TOTALCO!J461="", "",TOTALCO!J461)</f>
        <v/>
      </c>
      <c r="K1336" s="14" t="str">
        <f>IF(TOTALCO!K461="", "",TOTALCO!K461)</f>
        <v/>
      </c>
      <c r="L1336" s="14">
        <f ca="1">IF(TOTALCO!L461="", "",TOTALCO!L461)</f>
        <v>1.0118459755643872E-6</v>
      </c>
      <c r="M1336" s="14" t="str">
        <f>IF(TOTALCO!M461="", "",TOTALCO!M461)</f>
        <v/>
      </c>
      <c r="N1336" s="14">
        <f ca="1">IF(TOTALCO!N461="", "",TOTALCO!N461)</f>
        <v>0</v>
      </c>
      <c r="O1336" s="14">
        <f ca="1">IF(TOTALCO!O461="", "",TOTALCO!O461)</f>
        <v>0</v>
      </c>
      <c r="P1336" s="14">
        <f ca="1">IF(TOTALCO!P461="", "",TOTALCO!P461)</f>
        <v>0</v>
      </c>
      <c r="Q1336" s="14"/>
    </row>
    <row r="1337" spans="1:17" ht="15" x14ac:dyDescent="0.2">
      <c r="A1337" s="321">
        <f>IF(TOTALCO!A462="", "",TOTALCO!A462)</f>
        <v>3</v>
      </c>
      <c r="B1337" s="4" t="str">
        <f>IF(TOTALCO!B462="", "",TOTALCO!B462)</f>
        <v>DISTRIBUTION PLANT EXCL VA</v>
      </c>
      <c r="C1337" s="4" t="str">
        <f>IF(TOTALCO!C462="", "",TOTALCO!C462)</f>
        <v>DPLTXVA</v>
      </c>
      <c r="D1337" s="14">
        <f ca="1">IF(TOTALCO!D462="", "",TOTALCO!D462)</f>
        <v>0.99999999999999989</v>
      </c>
      <c r="E1337" s="14" t="str">
        <f>IF(TOTALCO!E462="", "",TOTALCO!E462)</f>
        <v/>
      </c>
      <c r="F1337" s="14">
        <f ca="1">IF(TOTALCO!F462="", "",TOTALCO!F462)</f>
        <v>0.99776401670849957</v>
      </c>
      <c r="G1337" s="14" t="str">
        <f>IF(TOTALCO!G462="", "",TOTALCO!G462)</f>
        <v/>
      </c>
      <c r="H1337" s="14">
        <f ca="1">IF(TOTALCO!H462="", "",TOTALCO!H462)</f>
        <v>0</v>
      </c>
      <c r="I1337" s="14">
        <f ca="1">IF(TOTALCO!I462="", "",TOTALCO!I462)</f>
        <v>2.2359832915003642E-3</v>
      </c>
      <c r="J1337" s="14" t="str">
        <f>IF(TOTALCO!J462="", "",TOTALCO!J462)</f>
        <v/>
      </c>
      <c r="K1337" s="14" t="str">
        <f>IF(TOTALCO!K462="", "",TOTALCO!K462)</f>
        <v/>
      </c>
      <c r="L1337" s="14">
        <f ca="1">IF(TOTALCO!L462="", "",TOTALCO!L462)</f>
        <v>3.3555663091618359E-4</v>
      </c>
      <c r="M1337" s="14" t="str">
        <f>IF(TOTALCO!M462="", "",TOTALCO!M462)</f>
        <v/>
      </c>
      <c r="N1337" s="14">
        <f ca="1">IF(TOTALCO!N462="", "",TOTALCO!N462)</f>
        <v>1.9004266605841802E-3</v>
      </c>
      <c r="O1337" s="14">
        <f ca="1">IF(TOTALCO!O462="", "",TOTALCO!O462)</f>
        <v>1.8865028369435385E-3</v>
      </c>
      <c r="P1337" s="14">
        <f ca="1">IF(TOTALCO!P462="", "",TOTALCO!P462)</f>
        <v>1.3923823640641757E-5</v>
      </c>
      <c r="Q1337" s="14"/>
    </row>
    <row r="1338" spans="1:17" ht="15" x14ac:dyDescent="0.2">
      <c r="A1338" s="321">
        <f>IF(TOTALCO!A463="", "",TOTALCO!A463)</f>
        <v>4</v>
      </c>
      <c r="B1338" s="4" t="str">
        <f>IF(TOTALCO!B463="", "",TOTALCO!B463)</f>
        <v>ACCT 926 DIR ASSIGN COMP.KY RET</v>
      </c>
      <c r="C1338" s="4" t="str">
        <f>IF(TOTALCO!C463="", "",TOTALCO!C463)</f>
        <v>LABPTDKY</v>
      </c>
      <c r="D1338" s="14">
        <f ca="1">IF(TOTALCO!D463="", "",TOTALCO!D463)</f>
        <v>1</v>
      </c>
      <c r="E1338" s="14" t="str">
        <f>IF(TOTALCO!E463="", "",TOTALCO!E463)</f>
        <v/>
      </c>
      <c r="F1338" s="14">
        <f ca="1">IF(TOTALCO!F463="", "",TOTALCO!F463)</f>
        <v>1</v>
      </c>
      <c r="G1338" s="14" t="str">
        <f>IF(TOTALCO!G463="", "",TOTALCO!G463)</f>
        <v/>
      </c>
      <c r="H1338" s="14">
        <f>IF(TOTALCO!H463="", "",TOTALCO!H463)</f>
        <v>0</v>
      </c>
      <c r="I1338" s="14">
        <f>IF(TOTALCO!I463="", "",TOTALCO!I463)</f>
        <v>0</v>
      </c>
      <c r="J1338" s="14" t="str">
        <f>IF(TOTALCO!J463="", "",TOTALCO!J463)</f>
        <v/>
      </c>
      <c r="K1338" s="14" t="str">
        <f>IF(TOTALCO!K463="", "",TOTALCO!K463)</f>
        <v/>
      </c>
      <c r="L1338" s="14">
        <f>IF(TOTALCO!L463="", "",TOTALCO!L463)</f>
        <v>0</v>
      </c>
      <c r="M1338" s="14" t="str">
        <f>IF(TOTALCO!M463="", "",TOTALCO!M463)</f>
        <v/>
      </c>
      <c r="N1338" s="14">
        <f>IF(TOTALCO!N463="", "",TOTALCO!N463)</f>
        <v>0</v>
      </c>
      <c r="O1338" s="14">
        <f>IF(TOTALCO!O463="", "",TOTALCO!O463)</f>
        <v>0</v>
      </c>
      <c r="P1338" s="14">
        <f>IF(TOTALCO!P463="", "",TOTALCO!P463)</f>
        <v>0</v>
      </c>
      <c r="Q1338" s="14"/>
    </row>
    <row r="1339" spans="1:17" ht="15" x14ac:dyDescent="0.2">
      <c r="A1339" s="321">
        <f>IF(TOTALCO!A464="", "",TOTALCO!A464)</f>
        <v>5</v>
      </c>
      <c r="B1339" s="4" t="str">
        <f>IF(TOTALCO!B464="", "",TOTALCO!B464)</f>
        <v>ACCT 926 DIR ASSIGN COMP.VAJ</v>
      </c>
      <c r="C1339" s="4" t="str">
        <f>IF(TOTALCO!C464="", "",TOTALCO!C464)</f>
        <v>LABPTDVAJ</v>
      </c>
      <c r="D1339" s="14">
        <f ca="1">IF(TOTALCO!D464="", "",TOTALCO!D464)</f>
        <v>1</v>
      </c>
      <c r="E1339" s="14" t="str">
        <f>IF(TOTALCO!E464="", "",TOTALCO!E464)</f>
        <v/>
      </c>
      <c r="F1339" s="14">
        <f>IF(TOTALCO!F464="", "",TOTALCO!F464)</f>
        <v>0</v>
      </c>
      <c r="G1339" s="14" t="str">
        <f>IF(TOTALCO!G464="", "",TOTALCO!G464)</f>
        <v/>
      </c>
      <c r="H1339" s="14">
        <f ca="1">IF(TOTALCO!H464="", "",TOTALCO!H464)</f>
        <v>1</v>
      </c>
      <c r="I1339" s="14">
        <f>IF(TOTALCO!I464="", "",TOTALCO!I464)</f>
        <v>0</v>
      </c>
      <c r="J1339" s="14" t="str">
        <f>IF(TOTALCO!J464="", "",TOTALCO!J464)</f>
        <v/>
      </c>
      <c r="K1339" s="14" t="str">
        <f>IF(TOTALCO!K464="", "",TOTALCO!K464)</f>
        <v/>
      </c>
      <c r="L1339" s="14">
        <f>IF(TOTALCO!L464="", "",TOTALCO!L464)</f>
        <v>0</v>
      </c>
      <c r="M1339" s="14" t="str">
        <f>IF(TOTALCO!M464="", "",TOTALCO!M464)</f>
        <v/>
      </c>
      <c r="N1339" s="14">
        <f>IF(TOTALCO!N464="", "",TOTALCO!N464)</f>
        <v>0</v>
      </c>
      <c r="O1339" s="14">
        <f>IF(TOTALCO!O464="", "",TOTALCO!O464)</f>
        <v>0</v>
      </c>
      <c r="P1339" s="14">
        <f>IF(TOTALCO!P464="", "",TOTALCO!P464)</f>
        <v>0</v>
      </c>
      <c r="Q1339" s="14"/>
    </row>
    <row r="1340" spans="1:17" ht="15" x14ac:dyDescent="0.2">
      <c r="A1340" s="321">
        <f>IF(TOTALCO!A465="", "",TOTALCO!A465)</f>
        <v>6</v>
      </c>
      <c r="B1340" s="4" t="str">
        <f>IF(TOTALCO!B465="", "",TOTALCO!B465)</f>
        <v>ACCT 926 DIR ASSIGN COMP.VANJ</v>
      </c>
      <c r="C1340" s="4" t="str">
        <f>IF(TOTALCO!C465="", "",TOTALCO!C465)</f>
        <v>LABPTDVNJ</v>
      </c>
      <c r="D1340" s="14">
        <f>IF(TOTALCO!D465="", "",TOTALCO!D465)</f>
        <v>0</v>
      </c>
      <c r="E1340" s="14" t="str">
        <f>IF(TOTALCO!E465="", "",TOTALCO!E465)</f>
        <v/>
      </c>
      <c r="F1340" s="14">
        <f>IF(TOTALCO!F465="", "",TOTALCO!F465)</f>
        <v>0</v>
      </c>
      <c r="G1340" s="14" t="str">
        <f>IF(TOTALCO!G465="", "",TOTALCO!G465)</f>
        <v/>
      </c>
      <c r="H1340" s="14">
        <f>IF(TOTALCO!H465="", "",TOTALCO!H465)</f>
        <v>0</v>
      </c>
      <c r="I1340" s="14">
        <f>IF(TOTALCO!I465="", "",TOTALCO!I465)</f>
        <v>0</v>
      </c>
      <c r="J1340" s="14" t="str">
        <f>IF(TOTALCO!J465="", "",TOTALCO!J465)</f>
        <v/>
      </c>
      <c r="K1340" s="14" t="str">
        <f>IF(TOTALCO!K465="", "",TOTALCO!K465)</f>
        <v/>
      </c>
      <c r="L1340" s="14">
        <f>IF(TOTALCO!L465="", "",TOTALCO!L465)</f>
        <v>0</v>
      </c>
      <c r="M1340" s="14" t="str">
        <f>IF(TOTALCO!M465="", "",TOTALCO!M465)</f>
        <v/>
      </c>
      <c r="N1340" s="14">
        <f>IF(TOTALCO!N465="", "",TOTALCO!N465)</f>
        <v>0</v>
      </c>
      <c r="O1340" s="14">
        <f>IF(TOTALCO!O465="", "",TOTALCO!O465)</f>
        <v>0</v>
      </c>
      <c r="P1340" s="14">
        <f>IF(TOTALCO!P465="", "",TOTALCO!P465)</f>
        <v>0</v>
      </c>
      <c r="Q1340" s="14"/>
    </row>
    <row r="1341" spans="1:17" ht="15" x14ac:dyDescent="0.2">
      <c r="A1341" s="321">
        <f>IF(TOTALCO!A466="", "",TOTALCO!A466)</f>
        <v>7</v>
      </c>
      <c r="B1341" s="4" t="str">
        <f>IF(TOTALCO!B466="", "",TOTALCO!B466)</f>
        <v>ACCT 926 DIR ASSIGN COMP.FERC</v>
      </c>
      <c r="C1341" s="4" t="str">
        <f>IF(TOTALCO!C466="", "",TOTALCO!C466)</f>
        <v>LABPTDFER</v>
      </c>
      <c r="D1341" s="14">
        <f ca="1">IF(TOTALCO!D466="", "",TOTALCO!D466)</f>
        <v>1</v>
      </c>
      <c r="E1341" s="14" t="str">
        <f>IF(TOTALCO!E466="", "",TOTALCO!E466)</f>
        <v/>
      </c>
      <c r="F1341" s="14">
        <f>IF(TOTALCO!F466="", "",TOTALCO!F466)</f>
        <v>0</v>
      </c>
      <c r="G1341" s="14" t="str">
        <f>IF(TOTALCO!G466="", "",TOTALCO!G466)</f>
        <v/>
      </c>
      <c r="H1341" s="14">
        <f>IF(TOTALCO!H466="", "",TOTALCO!H466)</f>
        <v>0</v>
      </c>
      <c r="I1341" s="14">
        <f ca="1">IF(TOTALCO!I466="", "",TOTALCO!I466)</f>
        <v>1</v>
      </c>
      <c r="J1341" s="14" t="str">
        <f>IF(TOTALCO!J466="", "",TOTALCO!J466)</f>
        <v/>
      </c>
      <c r="K1341" s="14" t="str">
        <f>IF(TOTALCO!K466="", "",TOTALCO!K466)</f>
        <v/>
      </c>
      <c r="L1341" s="14">
        <f>IF(TOTALCO!L466="", "",TOTALCO!L466)</f>
        <v>0</v>
      </c>
      <c r="M1341" s="14" t="str">
        <f>IF(TOTALCO!M466="", "",TOTALCO!M466)</f>
        <v/>
      </c>
      <c r="N1341" s="14">
        <f ca="1">IF(TOTALCO!N466="", "",TOTALCO!N466)</f>
        <v>1</v>
      </c>
      <c r="O1341" s="14">
        <f ca="1">IF(TOTALCO!O466="", "",TOTALCO!O466)</f>
        <v>0.52174745077731133</v>
      </c>
      <c r="P1341" s="14">
        <f ca="1">IF(TOTALCO!P466="", "",TOTALCO!P466)</f>
        <v>0.47825254922268867</v>
      </c>
      <c r="Q1341" s="14"/>
    </row>
    <row r="1342" spans="1:17" ht="15" x14ac:dyDescent="0.2">
      <c r="A1342" s="321">
        <f>IF(TOTALCO!A467="", "",TOTALCO!A467)</f>
        <v>8</v>
      </c>
      <c r="B1342" s="4" t="str">
        <f>IF(TOTALCO!B467="", "",TOTALCO!B467)</f>
        <v>203(E) EXCESS DEF TAXES EXCL VA</v>
      </c>
      <c r="C1342" s="4" t="str">
        <f>IF(TOTALCO!C467="", "",TOTALCO!C467)</f>
        <v>STATE203E</v>
      </c>
      <c r="D1342" s="14">
        <f ca="1">IF(TOTALCO!D467="", "",TOTALCO!D467)</f>
        <v>1</v>
      </c>
      <c r="E1342" s="14" t="str">
        <f>IF(TOTALCO!E467="", "",TOTALCO!E467)</f>
        <v/>
      </c>
      <c r="F1342" s="14">
        <f ca="1">IF(TOTALCO!F467="", "",TOTALCO!F467)</f>
        <v>0.98467673717585968</v>
      </c>
      <c r="G1342" s="14" t="str">
        <f>IF(TOTALCO!G467="", "",TOTALCO!G467)</f>
        <v/>
      </c>
      <c r="H1342" s="14">
        <f ca="1">IF(TOTALCO!H467="", "",TOTALCO!H467)</f>
        <v>0</v>
      </c>
      <c r="I1342" s="14">
        <f ca="1">IF(TOTALCO!I467="", "",TOTALCO!I467)</f>
        <v>1.5323262824140309E-2</v>
      </c>
      <c r="J1342" s="14" t="str">
        <f>IF(TOTALCO!J467="", "",TOTALCO!J467)</f>
        <v/>
      </c>
      <c r="K1342" s="14" t="str">
        <f>IF(TOTALCO!K467="", "",TOTALCO!K467)</f>
        <v/>
      </c>
      <c r="L1342" s="14">
        <f ca="1">IF(TOTALCO!L467="", "",TOTALCO!L467)</f>
        <v>7.2282613296484395E-5</v>
      </c>
      <c r="M1342" s="14" t="str">
        <f>IF(TOTALCO!M467="", "",TOTALCO!M467)</f>
        <v/>
      </c>
      <c r="N1342" s="14">
        <f ca="1">IF(TOTALCO!N467="", "",TOTALCO!N467)</f>
        <v>1.5250980210843826E-2</v>
      </c>
      <c r="O1342" s="14">
        <f ca="1">IF(TOTALCO!O467="", "",TOTALCO!O467)</f>
        <v>7.9269932581811225E-3</v>
      </c>
      <c r="P1342" s="14">
        <f ca="1">IF(TOTALCO!P467="", "",TOTALCO!P467)</f>
        <v>7.3239869526627024E-3</v>
      </c>
      <c r="Q1342" s="14"/>
    </row>
    <row r="1343" spans="1:17" ht="15" x14ac:dyDescent="0.2">
      <c r="A1343" s="321">
        <f>IF(TOTALCO!A468="", "",TOTALCO!A468)</f>
        <v>9</v>
      </c>
      <c r="B1343" s="4" t="str">
        <f>IF(TOTALCO!B468="", "",TOTALCO!B468)</f>
        <v>ALLOC O&amp;M LABOR EXPENSE EXCL FERC</v>
      </c>
      <c r="C1343" s="4" t="str">
        <f>IF(TOTALCO!C468="", "",TOTALCO!C468)</f>
        <v>LABORXF</v>
      </c>
      <c r="D1343" s="14">
        <f ca="1">IF(TOTALCO!D468="", "",TOTALCO!D468)</f>
        <v>1</v>
      </c>
      <c r="E1343" s="14" t="str">
        <f>IF(TOTALCO!E468="", "",TOTALCO!E468)</f>
        <v/>
      </c>
      <c r="F1343" s="14">
        <f ca="1">IF(TOTALCO!F468="", "",TOTALCO!F468)</f>
        <v>0.95201334139632587</v>
      </c>
      <c r="G1343" s="14" t="str">
        <f>IF(TOTALCO!G468="", "",TOTALCO!G468)</f>
        <v/>
      </c>
      <c r="H1343" s="14">
        <f ca="1">IF(TOTALCO!H468="", "",TOTALCO!H468)</f>
        <v>4.7918464618003732E-2</v>
      </c>
      <c r="I1343" s="14">
        <f ca="1">IF(TOTALCO!I468="", "",TOTALCO!I468)</f>
        <v>6.8193985670395295E-5</v>
      </c>
      <c r="J1343" s="14" t="str">
        <f>IF(TOTALCO!J468="", "",TOTALCO!J468)</f>
        <v/>
      </c>
      <c r="K1343" s="14" t="str">
        <f>IF(TOTALCO!K468="", "",TOTALCO!K468)</f>
        <v/>
      </c>
      <c r="L1343" s="14">
        <f ca="1">IF(TOTALCO!L468="", "",TOTALCO!L468)</f>
        <v>6.8193985670395295E-5</v>
      </c>
      <c r="M1343" s="14" t="str">
        <f>IF(TOTALCO!M468="", "",TOTALCO!M468)</f>
        <v/>
      </c>
      <c r="N1343" s="14">
        <f>IF(TOTALCO!N468="", "",TOTALCO!N468)</f>
        <v>0</v>
      </c>
      <c r="O1343" s="14">
        <f>IF(TOTALCO!O468="", "",TOTALCO!O468)</f>
        <v>0</v>
      </c>
      <c r="P1343" s="14">
        <f>IF(TOTALCO!P468="", "",TOTALCO!P468)</f>
        <v>0</v>
      </c>
      <c r="Q1343" s="14"/>
    </row>
    <row r="1344" spans="1:17" ht="15" x14ac:dyDescent="0.2">
      <c r="A1344" s="321">
        <f>IF(TOTALCO!A469="", "",TOTALCO!A469)</f>
        <v>10</v>
      </c>
      <c r="B1344" s="4" t="str">
        <f>IF(TOTALCO!B469="", "",TOTALCO!B469)</f>
        <v>TRANSM KENTUCKY SYS PROP XFERC</v>
      </c>
      <c r="C1344" s="4" t="str">
        <f>IF(TOTALCO!C469="", "",TOTALCO!C469)</f>
        <v>KYTRPLTXF</v>
      </c>
      <c r="D1344" s="14">
        <f ca="1">IF(TOTALCO!D469="", "",TOTALCO!D469)</f>
        <v>0.99999999999999989</v>
      </c>
      <c r="E1344" s="14" t="str">
        <f>IF(TOTALCO!E469="", "",TOTALCO!E469)</f>
        <v/>
      </c>
      <c r="F1344" s="14">
        <f ca="1">IF(TOTALCO!F469="", "",TOTALCO!F469)</f>
        <v>0.95549789727753287</v>
      </c>
      <c r="G1344" s="14" t="str">
        <f>IF(TOTALCO!G469="", "",TOTALCO!G469)</f>
        <v/>
      </c>
      <c r="H1344" s="14">
        <f ca="1">IF(TOTALCO!H469="", "",TOTALCO!H469)</f>
        <v>4.4499043459114609E-2</v>
      </c>
      <c r="I1344" s="14">
        <f ca="1">IF(TOTALCO!I469="", "",TOTALCO!I469)</f>
        <v>3.0592633524294115E-6</v>
      </c>
      <c r="J1344" s="14" t="str">
        <f>IF(TOTALCO!J469="", "",TOTALCO!J469)</f>
        <v/>
      </c>
      <c r="K1344" s="14" t="str">
        <f>IF(TOTALCO!K469="", "",TOTALCO!K469)</f>
        <v/>
      </c>
      <c r="L1344" s="14">
        <f ca="1">IF(TOTALCO!L469="", "",TOTALCO!L469)</f>
        <v>3.0592633524294115E-6</v>
      </c>
      <c r="M1344" s="14" t="str">
        <f>IF(TOTALCO!M469="", "",TOTALCO!M469)</f>
        <v/>
      </c>
      <c r="N1344" s="14">
        <f>IF(TOTALCO!N469="", "",TOTALCO!N469)</f>
        <v>0</v>
      </c>
      <c r="O1344" s="14">
        <f>IF(TOTALCO!O469="", "",TOTALCO!O469)</f>
        <v>0</v>
      </c>
      <c r="P1344" s="14">
        <f>IF(TOTALCO!P469="", "",TOTALCO!P469)</f>
        <v>0</v>
      </c>
      <c r="Q1344" s="14"/>
    </row>
    <row r="1345" spans="1:17" ht="15" x14ac:dyDescent="0.2">
      <c r="A1345" s="321">
        <f>IF(TOTALCO!A470="", "",TOTALCO!A470)</f>
        <v>11</v>
      </c>
      <c r="B1345" s="4" t="str">
        <f>IF(TOTALCO!B470="", "",TOTALCO!B470)</f>
        <v/>
      </c>
      <c r="C1345" s="4" t="str">
        <f>IF(TOTALCO!C470="", "",TOTALCO!C470)</f>
        <v/>
      </c>
      <c r="D1345" s="14" t="str">
        <f>IF(TOTALCO!D470="", "",TOTALCO!D470)</f>
        <v/>
      </c>
      <c r="E1345" s="14" t="str">
        <f>IF(TOTALCO!E470="", "",TOTALCO!E470)</f>
        <v/>
      </c>
      <c r="F1345" s="14" t="str">
        <f>IF(TOTALCO!F470="", "",TOTALCO!F470)</f>
        <v/>
      </c>
      <c r="G1345" s="14" t="str">
        <f>IF(TOTALCO!G470="", "",TOTALCO!G470)</f>
        <v/>
      </c>
      <c r="H1345" s="14" t="str">
        <f>IF(TOTALCO!H470="", "",TOTALCO!H470)</f>
        <v/>
      </c>
      <c r="I1345" s="14" t="str">
        <f>IF(TOTALCO!I470="", "",TOTALCO!I470)</f>
        <v/>
      </c>
      <c r="J1345" s="14" t="str">
        <f>IF(TOTALCO!J470="", "",TOTALCO!J470)</f>
        <v/>
      </c>
      <c r="K1345" s="14" t="str">
        <f>IF(TOTALCO!K470="", "",TOTALCO!K470)</f>
        <v/>
      </c>
      <c r="L1345" s="14" t="str">
        <f>IF(TOTALCO!L470="", "",TOTALCO!L470)</f>
        <v/>
      </c>
      <c r="M1345" s="14" t="str">
        <f>IF(TOTALCO!M470="", "",TOTALCO!M470)</f>
        <v/>
      </c>
      <c r="N1345" s="14" t="str">
        <f>IF(TOTALCO!N470="", "",TOTALCO!N470)</f>
        <v/>
      </c>
      <c r="O1345" s="14" t="str">
        <f>IF(TOTALCO!O470="", "",TOTALCO!O470)</f>
        <v/>
      </c>
      <c r="P1345" s="14" t="str">
        <f>IF(TOTALCO!P470="", "",TOTALCO!P470)</f>
        <v/>
      </c>
      <c r="Q1345" s="14"/>
    </row>
    <row r="1346" spans="1:17" ht="15" x14ac:dyDescent="0.2">
      <c r="A1346" s="321">
        <f>IF(TOTALCO!A471="", "",TOTALCO!A471)</f>
        <v>12</v>
      </c>
      <c r="B1346" s="4" t="str">
        <f>IF(TOTALCO!B471="", "",TOTALCO!B471)</f>
        <v/>
      </c>
      <c r="C1346" s="4" t="str">
        <f>IF(TOTALCO!C471="", "",TOTALCO!C471)</f>
        <v/>
      </c>
      <c r="D1346" s="14" t="str">
        <f>IF(TOTALCO!D471="", "",TOTALCO!D471)</f>
        <v/>
      </c>
      <c r="E1346" s="14" t="str">
        <f>IF(TOTALCO!E471="", "",TOTALCO!E471)</f>
        <v/>
      </c>
      <c r="F1346" s="14" t="str">
        <f>IF(TOTALCO!F471="", "",TOTALCO!F471)</f>
        <v/>
      </c>
      <c r="G1346" s="14" t="str">
        <f>IF(TOTALCO!G471="", "",TOTALCO!G471)</f>
        <v/>
      </c>
      <c r="H1346" s="14" t="str">
        <f>IF(TOTALCO!H471="", "",TOTALCO!H471)</f>
        <v/>
      </c>
      <c r="I1346" s="14" t="str">
        <f>IF(TOTALCO!I471="", "",TOTALCO!I471)</f>
        <v/>
      </c>
      <c r="J1346" s="14" t="str">
        <f>IF(TOTALCO!J471="", "",TOTALCO!J471)</f>
        <v/>
      </c>
      <c r="K1346" s="14" t="str">
        <f>IF(TOTALCO!K471="", "",TOTALCO!K471)</f>
        <v/>
      </c>
      <c r="L1346" s="14" t="str">
        <f>IF(TOTALCO!L471="", "",TOTALCO!L471)</f>
        <v/>
      </c>
      <c r="M1346" s="14" t="str">
        <f>IF(TOTALCO!M471="", "",TOTALCO!M471)</f>
        <v/>
      </c>
      <c r="N1346" s="14" t="str">
        <f>IF(TOTALCO!N471="", "",TOTALCO!N471)</f>
        <v/>
      </c>
      <c r="O1346" s="14" t="str">
        <f>IF(TOTALCO!O471="", "",TOTALCO!O471)</f>
        <v/>
      </c>
      <c r="P1346" s="14" t="str">
        <f>IF(TOTALCO!P471="", "",TOTALCO!P471)</f>
        <v/>
      </c>
      <c r="Q1346" s="14"/>
    </row>
    <row r="1347" spans="1:17" ht="15" x14ac:dyDescent="0.2">
      <c r="A1347" s="321">
        <f>IF(TOTALCO!A472="", "",TOTALCO!A472)</f>
        <v>13</v>
      </c>
      <c r="B1347" s="4" t="str">
        <f>IF(TOTALCO!B472="", "",TOTALCO!B472)</f>
        <v/>
      </c>
      <c r="C1347" s="4" t="str">
        <f>IF(TOTALCO!C472="", "",TOTALCO!C472)</f>
        <v/>
      </c>
      <c r="D1347" s="14" t="str">
        <f>IF(TOTALCO!D472="", "",TOTALCO!D472)</f>
        <v/>
      </c>
      <c r="E1347" s="14" t="str">
        <f>IF(TOTALCO!E472="", "",TOTALCO!E472)</f>
        <v/>
      </c>
      <c r="F1347" s="14" t="str">
        <f>IF(TOTALCO!F472="", "",TOTALCO!F472)</f>
        <v/>
      </c>
      <c r="G1347" s="14" t="str">
        <f>IF(TOTALCO!G472="", "",TOTALCO!G472)</f>
        <v/>
      </c>
      <c r="H1347" s="14" t="str">
        <f>IF(TOTALCO!H472="", "",TOTALCO!H472)</f>
        <v/>
      </c>
      <c r="I1347" s="14" t="str">
        <f>IF(TOTALCO!I472="", "",TOTALCO!I472)</f>
        <v/>
      </c>
      <c r="J1347" s="14" t="str">
        <f>IF(TOTALCO!J472="", "",TOTALCO!J472)</f>
        <v/>
      </c>
      <c r="K1347" s="14" t="str">
        <f>IF(TOTALCO!K472="", "",TOTALCO!K472)</f>
        <v/>
      </c>
      <c r="L1347" s="14" t="str">
        <f>IF(TOTALCO!L472="", "",TOTALCO!L472)</f>
        <v/>
      </c>
      <c r="M1347" s="14" t="str">
        <f>IF(TOTALCO!M472="", "",TOTALCO!M472)</f>
        <v/>
      </c>
      <c r="N1347" s="14" t="str">
        <f>IF(TOTALCO!N472="", "",TOTALCO!N472)</f>
        <v/>
      </c>
      <c r="O1347" s="14" t="str">
        <f>IF(TOTALCO!O472="", "",TOTALCO!O472)</f>
        <v/>
      </c>
      <c r="P1347" s="14" t="str">
        <f>IF(TOTALCO!P472="", "",TOTALCO!P472)</f>
        <v/>
      </c>
      <c r="Q1347" s="14"/>
    </row>
    <row r="1361" spans="1:17" ht="15" x14ac:dyDescent="0.2">
      <c r="A1361" s="322"/>
      <c r="B1361" s="4"/>
      <c r="C1361" s="9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ht="15" x14ac:dyDescent="0.2">
      <c r="A1362" s="322"/>
      <c r="B1362" s="4"/>
      <c r="C1362" s="9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ht="15" x14ac:dyDescent="0.2">
      <c r="A1363" s="322"/>
      <c r="B1363" s="4"/>
      <c r="C1363" s="9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"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</row>
    <row r="1365" spans="1:17" x14ac:dyDescent="0.2"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</row>
    <row r="1366" spans="1:17" x14ac:dyDescent="0.2">
      <c r="D1366" s="11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</row>
    <row r="1367" spans="1:17" x14ac:dyDescent="0.2">
      <c r="D1367" s="11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</row>
    <row r="1368" spans="1:17" x14ac:dyDescent="0.2">
      <c r="D1368" s="11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</row>
    <row r="1369" spans="1:17" x14ac:dyDescent="0.2">
      <c r="D1369" s="11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</row>
    <row r="1370" spans="1:17" x14ac:dyDescent="0.2">
      <c r="D1370" s="11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</row>
    <row r="1371" spans="1:17" x14ac:dyDescent="0.2">
      <c r="D1371" s="11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</row>
    <row r="1372" spans="1:17" x14ac:dyDescent="0.2">
      <c r="D1372" s="11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</row>
    <row r="1373" spans="1:17" x14ac:dyDescent="0.2">
      <c r="D1373" s="11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</row>
    <row r="1374" spans="1:17" x14ac:dyDescent="0.2">
      <c r="D1374" s="11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</row>
    <row r="1375" spans="1:17" x14ac:dyDescent="0.2">
      <c r="D1375" s="11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</row>
    <row r="1376" spans="1:17" x14ac:dyDescent="0.2">
      <c r="D1376" s="11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</row>
    <row r="1377" spans="4:17" x14ac:dyDescent="0.2">
      <c r="D1377" s="11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</row>
    <row r="1378" spans="4:17" x14ac:dyDescent="0.2">
      <c r="D1378" s="11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</row>
    <row r="1379" spans="4:17" x14ac:dyDescent="0.2">
      <c r="D1379" s="11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</row>
    <row r="1380" spans="4:17" x14ac:dyDescent="0.2">
      <c r="D1380" s="11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</row>
    <row r="1381" spans="4:17" x14ac:dyDescent="0.2">
      <c r="D1381" s="11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</row>
    <row r="1382" spans="4:17" x14ac:dyDescent="0.2">
      <c r="D1382" s="11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</row>
    <row r="1383" spans="4:17" x14ac:dyDescent="0.2"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</row>
    <row r="1384" spans="4:17" x14ac:dyDescent="0.2"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</row>
    <row r="1385" spans="4:17" x14ac:dyDescent="0.2"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</row>
    <row r="1386" spans="4:17" x14ac:dyDescent="0.2">
      <c r="D1386" s="11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</row>
    <row r="1387" spans="4:17" x14ac:dyDescent="0.2">
      <c r="D1387" s="11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</row>
    <row r="1388" spans="4:17" x14ac:dyDescent="0.2">
      <c r="D1388" s="11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</row>
    <row r="1389" spans="4:17" x14ac:dyDescent="0.2">
      <c r="D1389" s="11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</row>
    <row r="1390" spans="4:17" x14ac:dyDescent="0.2">
      <c r="D1390" s="11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</row>
    <row r="1391" spans="4:17" x14ac:dyDescent="0.2">
      <c r="D1391" s="11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</row>
    <row r="1392" spans="4:17" x14ac:dyDescent="0.2">
      <c r="D1392" s="11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</row>
    <row r="1393" spans="4:17" x14ac:dyDescent="0.2">
      <c r="D1393" s="11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</row>
    <row r="1394" spans="4:17" x14ac:dyDescent="0.2">
      <c r="D1394" s="11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</row>
    <row r="1395" spans="4:17" x14ac:dyDescent="0.2">
      <c r="D1395" s="11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</row>
    <row r="1396" spans="4:17" x14ac:dyDescent="0.2">
      <c r="D1396" s="11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</row>
    <row r="1397" spans="4:17" x14ac:dyDescent="0.2">
      <c r="D1397" s="11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</row>
    <row r="1398" spans="4:17" x14ac:dyDescent="0.2">
      <c r="D1398" s="11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</row>
    <row r="1399" spans="4:17" x14ac:dyDescent="0.2">
      <c r="D1399" s="11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</row>
  </sheetData>
  <sheetProtection selectLockedCells="1" selectUnlockedCells="1"/>
  <phoneticPr fontId="31" type="noConversion"/>
  <pageMargins left="0.5" right="0.25" top="1" bottom="0.19" header="1" footer="0.3"/>
  <pageSetup scale="50" pageOrder="overThenDown" orientation="landscape" r:id="rId1"/>
  <headerFooter alignWithMargins="0">
    <oddFooter>&amp;R&amp;"Times New Roman,Bold"&amp;12Exhibit No.:___
Page &amp;P of &amp;N</oddFooter>
  </headerFooter>
  <rowBreaks count="29" manualBreakCount="29">
    <brk id="67" min="3" max="15" man="1"/>
    <brk id="117" min="3" max="15" man="1"/>
    <brk id="156" min="3" max="15" man="1"/>
    <brk id="208" min="3" max="15" man="1"/>
    <brk id="236" min="3" max="15" man="1"/>
    <brk id="281" min="3" max="15" man="1"/>
    <brk id="335" min="3" max="15" man="1"/>
    <brk id="382" min="3" max="15" man="1"/>
    <brk id="421" min="3" max="15" man="1"/>
    <brk id="474" min="3" max="15" man="1"/>
    <brk id="485" min="3" max="15" man="1"/>
    <brk id="535" min="3" max="15" man="1"/>
    <brk id="596" min="3" max="15" man="1"/>
    <brk id="642" min="3" max="15" man="1"/>
    <brk id="690" min="3" max="15" man="1"/>
    <brk id="724" min="3" max="15" man="1"/>
    <brk id="777" min="3" max="15" man="1"/>
    <brk id="823" min="3" max="15" man="1"/>
    <brk id="867" min="3" max="15" man="1"/>
    <brk id="907" min="3" max="15" man="1"/>
    <brk id="968" min="3" max="15" man="1"/>
    <brk id="1002" min="3" max="15" man="1"/>
    <brk id="1051" min="3" max="15" man="1"/>
    <brk id="1094" min="3" max="15" man="1"/>
    <brk id="1147" min="3" max="15" man="1"/>
    <brk id="1207" min="3" max="15" man="1"/>
    <brk id="1241" min="3" max="15" man="1"/>
    <brk id="1289" min="3" max="15" man="1"/>
    <brk id="1332" min="3" max="1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G57"/>
  <sheetViews>
    <sheetView zoomScale="85" zoomScaleNormal="85" workbookViewId="0">
      <selection activeCell="F26" sqref="F26"/>
    </sheetView>
  </sheetViews>
  <sheetFormatPr defaultColWidth="8" defaultRowHeight="12.75" x14ac:dyDescent="0.2"/>
  <cols>
    <col min="1" max="1" width="2.109375" style="372" bestFit="1" customWidth="1"/>
    <col min="2" max="2" width="38.77734375" style="379" bestFit="1" customWidth="1"/>
    <col min="3" max="3" width="16.33203125" style="375" bestFit="1" customWidth="1"/>
    <col min="4" max="4" width="13.109375" style="376" bestFit="1" customWidth="1"/>
    <col min="5" max="5" width="7.88671875" style="372" customWidth="1"/>
    <col min="6" max="6" width="30.109375" style="378" bestFit="1" customWidth="1"/>
    <col min="7" max="7" width="9.88671875" style="372" bestFit="1" customWidth="1"/>
    <col min="8" max="16384" width="8" style="372"/>
  </cols>
  <sheetData>
    <row r="1" spans="1:7" x14ac:dyDescent="0.2">
      <c r="B1" s="892"/>
      <c r="C1" s="892"/>
      <c r="D1" s="892"/>
      <c r="E1" s="843"/>
      <c r="F1" s="844"/>
    </row>
    <row r="2" spans="1:7" ht="19.5" customHeight="1" x14ac:dyDescent="0.25">
      <c r="B2" s="373" t="s">
        <v>1289</v>
      </c>
      <c r="C2" s="845" t="s">
        <v>1426</v>
      </c>
      <c r="D2" s="846"/>
      <c r="E2" s="847"/>
      <c r="F2" s="848"/>
      <c r="G2" s="377"/>
    </row>
    <row r="3" spans="1:7" ht="15" x14ac:dyDescent="0.25">
      <c r="A3" s="849" t="s">
        <v>1290</v>
      </c>
      <c r="B3" s="390" t="s">
        <v>1291</v>
      </c>
      <c r="C3" s="850">
        <v>10169044.308994642</v>
      </c>
      <c r="D3" s="851"/>
      <c r="E3" s="847"/>
      <c r="F3" s="848"/>
      <c r="G3" s="377"/>
    </row>
    <row r="4" spans="1:7" ht="15" x14ac:dyDescent="0.25">
      <c r="A4" s="849" t="s">
        <v>1292</v>
      </c>
      <c r="B4" s="390" t="s">
        <v>1293</v>
      </c>
      <c r="C4" s="850">
        <v>67738.227241428816</v>
      </c>
      <c r="D4" s="851"/>
      <c r="E4" s="847"/>
      <c r="F4" s="848"/>
      <c r="G4" s="377"/>
    </row>
    <row r="5" spans="1:7" ht="15" x14ac:dyDescent="0.25">
      <c r="A5" s="849" t="s">
        <v>1292</v>
      </c>
      <c r="B5" s="390" t="s">
        <v>1294</v>
      </c>
      <c r="C5" s="850">
        <v>43130.449542674221</v>
      </c>
      <c r="D5" s="851"/>
      <c r="E5" s="847"/>
      <c r="F5" s="848"/>
      <c r="G5" s="377"/>
    </row>
    <row r="6" spans="1:7" ht="15" x14ac:dyDescent="0.25">
      <c r="A6" s="849" t="s">
        <v>1292</v>
      </c>
      <c r="B6" s="390" t="s">
        <v>1295</v>
      </c>
      <c r="C6" s="850">
        <v>104566.26471225703</v>
      </c>
      <c r="D6" s="851"/>
      <c r="E6" s="847"/>
      <c r="F6" s="848"/>
      <c r="G6" s="377"/>
    </row>
    <row r="7" spans="1:7" ht="15" x14ac:dyDescent="0.25">
      <c r="A7" s="849" t="s">
        <v>1296</v>
      </c>
      <c r="B7" s="390" t="s">
        <v>1297</v>
      </c>
      <c r="C7" s="850">
        <v>449349.32254629745</v>
      </c>
      <c r="D7" s="851"/>
      <c r="E7" s="847"/>
      <c r="F7" s="848"/>
      <c r="G7" s="377"/>
    </row>
    <row r="8" spans="1:7" ht="15" x14ac:dyDescent="0.25">
      <c r="A8" s="849" t="s">
        <v>1298</v>
      </c>
      <c r="B8" s="390" t="s">
        <v>1299</v>
      </c>
      <c r="C8" s="850">
        <v>2086445.0906048424</v>
      </c>
      <c r="D8" s="851"/>
      <c r="E8" s="847"/>
      <c r="F8" s="848"/>
      <c r="G8" s="377"/>
    </row>
    <row r="9" spans="1:7" ht="15" x14ac:dyDescent="0.25">
      <c r="A9" s="849" t="s">
        <v>1292</v>
      </c>
      <c r="B9" s="390" t="s">
        <v>1300</v>
      </c>
      <c r="C9" s="850">
        <v>358478.74689826521</v>
      </c>
      <c r="D9" s="851"/>
      <c r="E9" s="847"/>
      <c r="F9" s="848"/>
      <c r="G9" s="377"/>
    </row>
    <row r="10" spans="1:7" ht="15" x14ac:dyDescent="0.25">
      <c r="A10" s="849" t="s">
        <v>1292</v>
      </c>
      <c r="B10" s="390" t="s">
        <v>1301</v>
      </c>
      <c r="C10" s="850">
        <v>456088.05675860326</v>
      </c>
      <c r="D10" s="851"/>
      <c r="E10" s="847"/>
      <c r="F10" s="848"/>
      <c r="G10" s="377"/>
    </row>
    <row r="11" spans="1:7" ht="15" x14ac:dyDescent="0.25">
      <c r="A11" s="849" t="s">
        <v>1292</v>
      </c>
      <c r="B11" s="390" t="s">
        <v>1302</v>
      </c>
      <c r="C11" s="850">
        <v>63609.427303334523</v>
      </c>
      <c r="D11" s="851"/>
      <c r="E11" s="847"/>
      <c r="F11" s="848"/>
      <c r="G11" s="377"/>
    </row>
    <row r="12" spans="1:7" ht="15" x14ac:dyDescent="0.25">
      <c r="A12" s="849" t="s">
        <v>1296</v>
      </c>
      <c r="B12" s="390" t="s">
        <v>1303</v>
      </c>
      <c r="C12" s="850">
        <v>162662.86062523877</v>
      </c>
      <c r="D12" s="851"/>
      <c r="E12" s="847"/>
      <c r="F12" s="848"/>
      <c r="G12" s="377"/>
    </row>
    <row r="13" spans="1:7" ht="15" x14ac:dyDescent="0.25">
      <c r="A13" s="849" t="s">
        <v>1292</v>
      </c>
      <c r="B13" s="390" t="s">
        <v>1304</v>
      </c>
      <c r="C13" s="850">
        <v>320404.91580492468</v>
      </c>
      <c r="D13" s="851"/>
      <c r="E13" s="847"/>
      <c r="F13" s="848"/>
      <c r="G13" s="377"/>
    </row>
    <row r="14" spans="1:7" ht="15" x14ac:dyDescent="0.25">
      <c r="A14" s="849" t="s">
        <v>1292</v>
      </c>
      <c r="B14" s="390" t="s">
        <v>1305</v>
      </c>
      <c r="C14" s="850">
        <v>312428.34028173244</v>
      </c>
      <c r="D14" s="851"/>
      <c r="E14" s="847"/>
      <c r="F14" s="848"/>
      <c r="G14" s="377"/>
    </row>
    <row r="15" spans="1:7" x14ac:dyDescent="0.2">
      <c r="A15" s="849" t="s">
        <v>1290</v>
      </c>
      <c r="B15" s="390" t="s">
        <v>1306</v>
      </c>
      <c r="C15" s="850">
        <v>21485026.683566641</v>
      </c>
      <c r="D15" s="851"/>
      <c r="E15" s="852"/>
      <c r="F15" s="848"/>
      <c r="G15" s="377"/>
    </row>
    <row r="16" spans="1:7" ht="15" x14ac:dyDescent="0.25">
      <c r="A16" s="849" t="s">
        <v>1290</v>
      </c>
      <c r="B16" s="390" t="s">
        <v>1307</v>
      </c>
      <c r="C16" s="850">
        <v>0</v>
      </c>
      <c r="D16" s="851"/>
      <c r="E16" s="847"/>
      <c r="F16" s="848"/>
      <c r="G16" s="377"/>
    </row>
    <row r="17" spans="1:7" ht="15" x14ac:dyDescent="0.25">
      <c r="A17" s="849" t="s">
        <v>1298</v>
      </c>
      <c r="B17" s="390" t="s">
        <v>1308</v>
      </c>
      <c r="C17" s="850">
        <v>3285</v>
      </c>
      <c r="D17" s="851"/>
      <c r="E17" s="847"/>
      <c r="F17" s="848"/>
      <c r="G17" s="377"/>
    </row>
    <row r="18" spans="1:7" ht="15" x14ac:dyDescent="0.25">
      <c r="A18" s="849" t="s">
        <v>1292</v>
      </c>
      <c r="B18" s="390" t="s">
        <v>1309</v>
      </c>
      <c r="C18" s="850">
        <v>89443.960853639175</v>
      </c>
      <c r="D18" s="851"/>
      <c r="E18" s="847"/>
      <c r="F18" s="848"/>
      <c r="G18" s="377"/>
    </row>
    <row r="19" spans="1:7" ht="15" x14ac:dyDescent="0.25">
      <c r="A19" s="849" t="s">
        <v>1292</v>
      </c>
      <c r="B19" s="390" t="s">
        <v>1310</v>
      </c>
      <c r="C19" s="850">
        <v>164720.26531924566</v>
      </c>
      <c r="D19" s="851"/>
      <c r="E19" s="847"/>
      <c r="F19" s="848"/>
      <c r="G19" s="377"/>
    </row>
    <row r="20" spans="1:7" ht="15" x14ac:dyDescent="0.25">
      <c r="A20" s="849" t="s">
        <v>1296</v>
      </c>
      <c r="B20" s="390" t="s">
        <v>1311</v>
      </c>
      <c r="C20" s="850">
        <v>688766.00810525124</v>
      </c>
      <c r="D20" s="391"/>
      <c r="E20" s="847"/>
      <c r="F20" s="848"/>
      <c r="G20" s="377"/>
    </row>
    <row r="21" spans="1:7" ht="15" x14ac:dyDescent="0.25">
      <c r="A21" s="849" t="s">
        <v>1298</v>
      </c>
      <c r="B21" s="390" t="s">
        <v>1312</v>
      </c>
      <c r="C21" s="850">
        <v>1241294.9731857653</v>
      </c>
      <c r="D21" s="391"/>
      <c r="E21" s="847"/>
      <c r="F21" s="848"/>
      <c r="G21" s="377"/>
    </row>
    <row r="22" spans="1:7" ht="15" x14ac:dyDescent="0.25">
      <c r="A22" s="849" t="s">
        <v>1292</v>
      </c>
      <c r="B22" s="390" t="s">
        <v>1313</v>
      </c>
      <c r="C22" s="850">
        <v>1952099.159794441</v>
      </c>
      <c r="D22" s="851"/>
      <c r="E22" s="847"/>
      <c r="F22" s="848"/>
      <c r="G22" s="377"/>
    </row>
    <row r="23" spans="1:7" ht="15" x14ac:dyDescent="0.25">
      <c r="A23" s="849" t="s">
        <v>1292</v>
      </c>
      <c r="B23" s="390" t="s">
        <v>1314</v>
      </c>
      <c r="C23" s="850">
        <v>103390.3226178372</v>
      </c>
      <c r="D23" s="851"/>
      <c r="E23" s="847"/>
      <c r="F23" s="848"/>
      <c r="G23" s="377"/>
    </row>
    <row r="24" spans="1:7" ht="15" x14ac:dyDescent="0.25">
      <c r="A24" s="849" t="s">
        <v>1292</v>
      </c>
      <c r="B24" s="390" t="s">
        <v>1315</v>
      </c>
      <c r="C24" s="850">
        <v>146079.56997892589</v>
      </c>
      <c r="D24" s="851"/>
      <c r="E24" s="847"/>
      <c r="F24" s="848"/>
      <c r="G24" s="377"/>
    </row>
    <row r="25" spans="1:7" ht="14.25" customHeight="1" x14ac:dyDescent="0.25">
      <c r="A25" s="849" t="s">
        <v>1292</v>
      </c>
      <c r="B25" s="390" t="s">
        <v>1316</v>
      </c>
      <c r="C25" s="850">
        <v>189748.72774611719</v>
      </c>
      <c r="D25" s="851"/>
      <c r="E25" s="847"/>
      <c r="F25" s="848"/>
      <c r="G25" s="377"/>
    </row>
    <row r="26" spans="1:7" ht="15" x14ac:dyDescent="0.25">
      <c r="A26" s="849" t="s">
        <v>1292</v>
      </c>
      <c r="B26" s="390" t="s">
        <v>1317</v>
      </c>
      <c r="C26" s="850">
        <v>327267.56374450959</v>
      </c>
      <c r="D26" s="851"/>
      <c r="E26" s="847"/>
      <c r="F26" s="848"/>
      <c r="G26" s="377"/>
    </row>
    <row r="27" spans="1:7" ht="15" x14ac:dyDescent="0.25">
      <c r="A27" s="849" t="s">
        <v>1292</v>
      </c>
      <c r="B27" s="390" t="s">
        <v>1318</v>
      </c>
      <c r="C27" s="850">
        <v>209756.01223106141</v>
      </c>
      <c r="D27" s="851"/>
      <c r="E27" s="847"/>
      <c r="F27" s="848"/>
      <c r="G27" s="377"/>
    </row>
    <row r="28" spans="1:7" ht="15" x14ac:dyDescent="0.25">
      <c r="A28" s="849" t="s">
        <v>1296</v>
      </c>
      <c r="B28" s="390" t="s">
        <v>1319</v>
      </c>
      <c r="C28" s="850">
        <v>955334.56636348274</v>
      </c>
      <c r="D28" s="851"/>
      <c r="E28" s="847"/>
      <c r="F28" s="848"/>
      <c r="G28" s="377"/>
    </row>
    <row r="29" spans="1:7" ht="15" x14ac:dyDescent="0.25">
      <c r="A29" s="849" t="s">
        <v>1292</v>
      </c>
      <c r="B29" s="390" t="s">
        <v>1320</v>
      </c>
      <c r="C29" s="850">
        <v>24878.42587147656</v>
      </c>
      <c r="D29" s="851"/>
      <c r="E29" s="847"/>
      <c r="F29" s="848"/>
      <c r="G29" s="377"/>
    </row>
    <row r="30" spans="1:7" ht="15" x14ac:dyDescent="0.25">
      <c r="A30" s="849" t="s">
        <v>1292</v>
      </c>
      <c r="B30" s="390" t="s">
        <v>1321</v>
      </c>
      <c r="C30" s="850">
        <v>276004.94980219204</v>
      </c>
      <c r="D30" s="851"/>
      <c r="E30" s="847"/>
      <c r="F30" s="848"/>
      <c r="G30" s="377"/>
    </row>
    <row r="31" spans="1:7" ht="15" x14ac:dyDescent="0.25">
      <c r="A31" s="849" t="s">
        <v>1292</v>
      </c>
      <c r="B31" s="390" t="s">
        <v>1322</v>
      </c>
      <c r="C31" s="850">
        <v>170370.90600455125</v>
      </c>
      <c r="D31" s="851"/>
      <c r="E31" s="847"/>
      <c r="F31" s="848"/>
      <c r="G31" s="377"/>
    </row>
    <row r="32" spans="1:7" ht="15" x14ac:dyDescent="0.25">
      <c r="A32" s="849" t="s">
        <v>1296</v>
      </c>
      <c r="B32" s="390" t="s">
        <v>1323</v>
      </c>
      <c r="C32" s="850">
        <v>104212.49678762197</v>
      </c>
      <c r="D32" s="391"/>
      <c r="E32" s="847"/>
      <c r="F32" s="848"/>
      <c r="G32" s="377"/>
    </row>
    <row r="33" spans="1:7" ht="15" x14ac:dyDescent="0.25">
      <c r="A33" s="849" t="s">
        <v>1298</v>
      </c>
      <c r="B33" s="390" t="s">
        <v>1324</v>
      </c>
      <c r="C33" s="850">
        <v>956999.85059163102</v>
      </c>
      <c r="D33" s="853"/>
      <c r="E33" s="847"/>
      <c r="F33" s="848"/>
      <c r="G33" s="377"/>
    </row>
    <row r="34" spans="1:7" x14ac:dyDescent="0.2">
      <c r="A34" s="849" t="s">
        <v>1292</v>
      </c>
      <c r="B34" s="390" t="s">
        <v>1325</v>
      </c>
      <c r="C34" s="850">
        <v>367187.24923079053</v>
      </c>
      <c r="D34" s="851"/>
      <c r="G34" s="377"/>
    </row>
    <row r="35" spans="1:7" x14ac:dyDescent="0.2">
      <c r="A35" s="849" t="s">
        <v>1292</v>
      </c>
      <c r="B35" s="390" t="s">
        <v>1326</v>
      </c>
      <c r="C35" s="850">
        <v>126178.99087028175</v>
      </c>
      <c r="D35" s="851"/>
      <c r="G35" s="377"/>
    </row>
    <row r="36" spans="1:7" x14ac:dyDescent="0.2">
      <c r="A36" s="849" t="s">
        <v>1292</v>
      </c>
      <c r="B36" s="390" t="s">
        <v>1327</v>
      </c>
      <c r="C36" s="850">
        <v>0</v>
      </c>
      <c r="D36" s="851"/>
      <c r="G36" s="377"/>
    </row>
    <row r="37" spans="1:7" x14ac:dyDescent="0.2">
      <c r="A37" s="849" t="s">
        <v>1292</v>
      </c>
      <c r="B37" s="390" t="s">
        <v>1328</v>
      </c>
      <c r="C37" s="850">
        <v>197630.97425568831</v>
      </c>
      <c r="D37" s="851"/>
      <c r="G37" s="377"/>
    </row>
    <row r="38" spans="1:7" x14ac:dyDescent="0.2">
      <c r="A38" s="849" t="s">
        <v>1290</v>
      </c>
      <c r="B38" s="390" t="s">
        <v>1329</v>
      </c>
      <c r="C38" s="850">
        <v>0</v>
      </c>
      <c r="D38" s="851"/>
      <c r="G38" s="377"/>
    </row>
    <row r="39" spans="1:7" x14ac:dyDescent="0.2">
      <c r="A39" s="849"/>
      <c r="B39" s="390" t="s">
        <v>1330</v>
      </c>
      <c r="C39" s="850">
        <v>3311.9375081370899</v>
      </c>
      <c r="D39" s="851"/>
      <c r="G39" s="377"/>
    </row>
    <row r="40" spans="1:7" x14ac:dyDescent="0.2">
      <c r="A40" s="849" t="s">
        <v>1298</v>
      </c>
      <c r="B40" s="390" t="s">
        <v>1331</v>
      </c>
      <c r="C40" s="850">
        <v>1836546.9998209709</v>
      </c>
      <c r="D40" s="851"/>
      <c r="G40" s="377"/>
    </row>
    <row r="41" spans="1:7" x14ac:dyDescent="0.2">
      <c r="A41" s="849" t="s">
        <v>1298</v>
      </c>
      <c r="B41" s="390" t="s">
        <v>1332</v>
      </c>
      <c r="C41" s="850">
        <v>2422290.6610325752</v>
      </c>
      <c r="D41" s="851"/>
      <c r="G41" s="377"/>
    </row>
    <row r="42" spans="1:7" x14ac:dyDescent="0.2">
      <c r="A42" s="849" t="s">
        <v>1292</v>
      </c>
      <c r="B42" s="390" t="s">
        <v>1333</v>
      </c>
      <c r="C42" s="850">
        <v>109204.68934320915</v>
      </c>
      <c r="D42" s="851"/>
      <c r="G42" s="377"/>
    </row>
    <row r="43" spans="1:7" s="857" customFormat="1" ht="12" x14ac:dyDescent="0.2">
      <c r="A43" s="390" t="s">
        <v>1298</v>
      </c>
      <c r="B43" s="854" t="s">
        <v>1494</v>
      </c>
      <c r="C43" s="855">
        <v>1820</v>
      </c>
      <c r="D43" s="856"/>
    </row>
    <row r="44" spans="1:7" x14ac:dyDescent="0.2">
      <c r="B44" s="858" t="s">
        <v>1334</v>
      </c>
      <c r="C44" s="859">
        <f>SUM(C3:C43)</f>
        <v>48746796.955940247</v>
      </c>
      <c r="D44" s="860"/>
      <c r="G44" s="377"/>
    </row>
    <row r="45" spans="1:7" x14ac:dyDescent="0.2">
      <c r="C45" s="493"/>
    </row>
    <row r="47" spans="1:7" x14ac:dyDescent="0.2">
      <c r="A47" s="861" t="s">
        <v>1290</v>
      </c>
      <c r="B47" s="380" t="s">
        <v>1188</v>
      </c>
      <c r="C47" s="336">
        <f>SUMIF($A$3:$A$42,$A47,$C$3:$C$42)</f>
        <v>31654070.992561281</v>
      </c>
      <c r="D47" s="375">
        <f>SUM(C3,C15,C16,C38)</f>
        <v>31654070.992561281</v>
      </c>
    </row>
    <row r="48" spans="1:7" x14ac:dyDescent="0.2">
      <c r="A48" s="861" t="s">
        <v>1298</v>
      </c>
      <c r="B48" s="380" t="s">
        <v>915</v>
      </c>
      <c r="C48" s="336">
        <f>SUMIF($A$3:$A$43,$A48,$C$3:$C$43)+C55</f>
        <v>8549116.77308123</v>
      </c>
      <c r="D48" s="375">
        <f>SUM(C8,C17,C21,C33,C40,C41,C43,C55)</f>
        <v>8549116.77308123</v>
      </c>
    </row>
    <row r="49" spans="1:6" x14ac:dyDescent="0.2">
      <c r="A49" s="861" t="s">
        <v>1292</v>
      </c>
      <c r="B49" s="380" t="s">
        <v>450</v>
      </c>
      <c r="C49" s="336">
        <f>SUMIF($A$3:$A$42,$A49,$C$3:$C$42)+C56</f>
        <v>6183283.9358698791</v>
      </c>
      <c r="D49" s="375">
        <f>SUM(C4:C6,C9:C11,C13:C14,C18:C19,C22:C27,C29:C31,C34:C36,C37,C42,C56)</f>
        <v>6183283.9358698791</v>
      </c>
    </row>
    <row r="50" spans="1:6" x14ac:dyDescent="0.2">
      <c r="A50" s="861" t="s">
        <v>1296</v>
      </c>
      <c r="B50" s="380" t="s">
        <v>1335</v>
      </c>
      <c r="C50" s="335">
        <f>SUMIF($A$3:$A$42,$A50,$C$3:$C$42)</f>
        <v>2360325.2544278922</v>
      </c>
      <c r="D50" s="374">
        <f>SUM(C7,C12,C20,C28,C32)</f>
        <v>2360325.2544278922</v>
      </c>
    </row>
    <row r="51" spans="1:6" x14ac:dyDescent="0.2">
      <c r="B51" s="380" t="s">
        <v>682</v>
      </c>
      <c r="C51" s="336">
        <f>SUM(C47:C50)</f>
        <v>48746796.955940284</v>
      </c>
      <c r="D51" s="375">
        <f>SUM(D47:D50)</f>
        <v>48746796.955940284</v>
      </c>
    </row>
    <row r="53" spans="1:6" x14ac:dyDescent="0.2">
      <c r="B53" s="411" t="s">
        <v>1427</v>
      </c>
    </row>
    <row r="54" spans="1:6" x14ac:dyDescent="0.2">
      <c r="B54" s="380" t="s">
        <v>1336</v>
      </c>
      <c r="C54" s="375">
        <f>C39</f>
        <v>3311.9375081370899</v>
      </c>
    </row>
    <row r="55" spans="1:6" x14ac:dyDescent="0.2">
      <c r="B55" s="380" t="s">
        <v>915</v>
      </c>
      <c r="C55" s="375">
        <v>434.19784544504</v>
      </c>
      <c r="F55" s="375"/>
    </row>
    <row r="56" spans="1:6" x14ac:dyDescent="0.2">
      <c r="B56" s="380" t="s">
        <v>450</v>
      </c>
      <c r="C56" s="375">
        <f>C54-C55</f>
        <v>2877.7396626920499</v>
      </c>
      <c r="F56" s="375"/>
    </row>
    <row r="57" spans="1:6" x14ac:dyDescent="0.2">
      <c r="F57" s="389"/>
    </row>
  </sheetData>
  <mergeCells count="1">
    <mergeCell ref="B1:D1"/>
  </mergeCells>
  <printOptions horizontalCentered="1"/>
  <pageMargins left="0.95" right="0.45" top="0.75" bottom="0.75" header="0.3" footer="0.3"/>
  <pageSetup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7"/>
  <sheetViews>
    <sheetView zoomScale="70" zoomScaleNormal="70" workbookViewId="0">
      <pane xSplit="2" ySplit="7" topLeftCell="C50" activePane="bottomRight" state="frozen"/>
      <selection activeCell="E107" sqref="E107"/>
      <selection pane="topRight" activeCell="E107" sqref="E107"/>
      <selection pane="bottomLeft" activeCell="E107" sqref="E107"/>
      <selection pane="bottomRight" activeCell="M81" sqref="M81"/>
    </sheetView>
  </sheetViews>
  <sheetFormatPr defaultRowHeight="15" x14ac:dyDescent="0.2"/>
  <cols>
    <col min="1" max="1" width="8.88671875" style="512"/>
    <col min="2" max="2" width="42.109375" style="505" bestFit="1" customWidth="1"/>
    <col min="3" max="3" width="15.109375" style="516" customWidth="1"/>
    <col min="4" max="4" width="2.109375" style="516" customWidth="1"/>
    <col min="5" max="5" width="13.77734375" style="539" customWidth="1"/>
    <col min="6" max="6" width="2" style="539" customWidth="1"/>
    <col min="7" max="7" width="14.33203125" style="516" bestFit="1" customWidth="1"/>
    <col min="8" max="8" width="2.21875" style="516" customWidth="1"/>
    <col min="9" max="9" width="13.77734375" style="516" customWidth="1"/>
    <col min="10" max="10" width="2.44140625" style="516" customWidth="1"/>
    <col min="11" max="11" width="13.77734375" style="516" customWidth="1"/>
    <col min="12" max="12" width="2" style="516" customWidth="1"/>
    <col min="13" max="13" width="13.77734375" style="517" customWidth="1"/>
    <col min="14" max="14" width="2.109375" style="517" customWidth="1"/>
    <col min="15" max="15" width="13.77734375" style="516" customWidth="1"/>
    <col min="16" max="16" width="2.5546875" style="516" customWidth="1"/>
    <col min="17" max="17" width="13.77734375" style="516" customWidth="1"/>
    <col min="18" max="19" width="8.88671875" style="505"/>
    <col min="20" max="20" width="14" style="505" customWidth="1"/>
    <col min="21" max="16384" width="8.88671875" style="505"/>
  </cols>
  <sheetData>
    <row r="1" spans="1:18" ht="15.75" x14ac:dyDescent="0.25">
      <c r="A1" s="866" t="s">
        <v>863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504" t="s">
        <v>1521</v>
      </c>
    </row>
    <row r="2" spans="1:18" ht="15.75" x14ac:dyDescent="0.25">
      <c r="A2" s="866" t="s">
        <v>1596</v>
      </c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504" t="s">
        <v>2672</v>
      </c>
    </row>
    <row r="3" spans="1:18" ht="15.75" x14ac:dyDescent="0.25">
      <c r="A3" s="866" t="s">
        <v>2584</v>
      </c>
      <c r="B3" s="866"/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  <c r="O3" s="866"/>
      <c r="P3" s="866"/>
      <c r="Q3" s="866"/>
      <c r="R3" s="506"/>
    </row>
    <row r="4" spans="1:18" ht="16.5" thickBot="1" x14ac:dyDescent="0.3">
      <c r="A4" s="867" t="s">
        <v>1522</v>
      </c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506"/>
    </row>
    <row r="7" spans="1:18" s="511" customFormat="1" ht="65.25" customHeight="1" x14ac:dyDescent="0.25">
      <c r="A7" s="507" t="s">
        <v>1523</v>
      </c>
      <c r="B7" s="507" t="s">
        <v>602</v>
      </c>
      <c r="C7" s="508" t="s">
        <v>1524</v>
      </c>
      <c r="D7" s="508"/>
      <c r="E7" s="509" t="s">
        <v>1597</v>
      </c>
      <c r="F7" s="509"/>
      <c r="G7" s="508" t="s">
        <v>1598</v>
      </c>
      <c r="H7" s="508"/>
      <c r="I7" s="508" t="s">
        <v>1527</v>
      </c>
      <c r="J7" s="508"/>
      <c r="K7" s="508" t="s">
        <v>1528</v>
      </c>
      <c r="L7" s="508"/>
      <c r="M7" s="510" t="s">
        <v>1529</v>
      </c>
      <c r="N7" s="510"/>
      <c r="O7" s="508" t="s">
        <v>1530</v>
      </c>
      <c r="P7" s="508"/>
      <c r="Q7" s="508" t="s">
        <v>1531</v>
      </c>
    </row>
    <row r="8" spans="1:18" ht="15.75" x14ac:dyDescent="0.25">
      <c r="B8" s="513" t="s">
        <v>1532</v>
      </c>
      <c r="C8" s="514"/>
      <c r="D8" s="514"/>
      <c r="E8" s="515"/>
      <c r="F8" s="515"/>
      <c r="G8" s="514"/>
    </row>
    <row r="9" spans="1:18" x14ac:dyDescent="0.2">
      <c r="A9" s="512">
        <v>1</v>
      </c>
      <c r="B9" s="518" t="s">
        <v>1533</v>
      </c>
      <c r="C9" s="519">
        <v>295804201.68000001</v>
      </c>
      <c r="D9" s="520"/>
      <c r="E9" s="521">
        <f>'Print Layout'!F1210</f>
        <v>0.9410091595713157</v>
      </c>
      <c r="F9" s="522"/>
      <c r="G9" s="519">
        <f t="shared" ref="G9:G22" si="0">C9*E9</f>
        <v>278354463.22056079</v>
      </c>
      <c r="H9" s="523"/>
      <c r="I9" s="523">
        <f>G9/366</f>
        <v>760531.32027475629</v>
      </c>
      <c r="K9" s="517">
        <f>'Lead Lag Days'!E16</f>
        <v>45.298333333333332</v>
      </c>
      <c r="L9" s="517"/>
      <c r="M9" s="517">
        <f>-'Lead Lag Days'!E20</f>
        <v>-27.28</v>
      </c>
      <c r="O9" s="517">
        <f>K9+M9</f>
        <v>18.018333333333331</v>
      </c>
      <c r="P9" s="517"/>
      <c r="Q9" s="523">
        <f>I9*O9</f>
        <v>13703506.839150649</v>
      </c>
    </row>
    <row r="10" spans="1:18" x14ac:dyDescent="0.2">
      <c r="A10" s="512">
        <f>A9+1</f>
        <v>2</v>
      </c>
      <c r="B10" s="518" t="s">
        <v>1534</v>
      </c>
      <c r="C10" s="519">
        <v>127316246</v>
      </c>
      <c r="D10" s="520"/>
      <c r="E10" s="521">
        <f>E$9</f>
        <v>0.9410091595713157</v>
      </c>
      <c r="F10" s="522"/>
      <c r="G10" s="519">
        <f t="shared" si="0"/>
        <v>119805753.64823489</v>
      </c>
      <c r="H10" s="523"/>
      <c r="I10" s="523">
        <f t="shared" ref="I10:I23" si="1">G10/366</f>
        <v>327338.12472195324</v>
      </c>
      <c r="K10" s="517">
        <f>$K$9</f>
        <v>45.298333333333332</v>
      </c>
      <c r="L10" s="517"/>
      <c r="M10" s="517">
        <f>-'Lead Lag Days'!E21</f>
        <v>-39.32</v>
      </c>
      <c r="O10" s="517">
        <f t="shared" ref="O10:O23" si="2">K10+M10</f>
        <v>5.9783333333333317</v>
      </c>
      <c r="P10" s="517"/>
      <c r="Q10" s="523">
        <f t="shared" ref="Q10:Q23" si="3">I10*O10</f>
        <v>1956936.4222960765</v>
      </c>
    </row>
    <row r="11" spans="1:18" x14ac:dyDescent="0.2">
      <c r="A11" s="512">
        <f>A10+1</f>
        <v>3</v>
      </c>
      <c r="B11" s="518" t="s">
        <v>1535</v>
      </c>
      <c r="C11" s="519">
        <v>2965299.7</v>
      </c>
      <c r="D11" s="520"/>
      <c r="E11" s="521">
        <f>E$9</f>
        <v>0.9410091595713157</v>
      </c>
      <c r="F11" s="522"/>
      <c r="G11" s="519">
        <f t="shared" si="0"/>
        <v>2790374.1785740745</v>
      </c>
      <c r="H11" s="523"/>
      <c r="I11" s="523">
        <f t="shared" si="1"/>
        <v>7623.9731655029354</v>
      </c>
      <c r="K11" s="517">
        <f t="shared" ref="K11:K23" si="4">$K$9</f>
        <v>45.298333333333332</v>
      </c>
      <c r="L11" s="517"/>
      <c r="M11" s="517">
        <f>-'Lead Lag Days'!E22</f>
        <v>-17.32</v>
      </c>
      <c r="O11" s="517">
        <f t="shared" si="2"/>
        <v>27.978333333333332</v>
      </c>
      <c r="P11" s="517"/>
      <c r="Q11" s="523">
        <f t="shared" si="3"/>
        <v>213306.06254882962</v>
      </c>
    </row>
    <row r="12" spans="1:18" x14ac:dyDescent="0.2">
      <c r="A12" s="512">
        <f>A11+1</f>
        <v>4</v>
      </c>
      <c r="B12" s="518" t="s">
        <v>1536</v>
      </c>
      <c r="C12" s="519">
        <v>11163321</v>
      </c>
      <c r="D12" s="520"/>
      <c r="E12" s="521">
        <f>E$9</f>
        <v>0.9410091595713157</v>
      </c>
      <c r="F12" s="522"/>
      <c r="G12" s="519">
        <f t="shared" si="0"/>
        <v>10504787.312234819</v>
      </c>
      <c r="H12" s="523"/>
      <c r="I12" s="523">
        <f t="shared" si="1"/>
        <v>28701.60467823721</v>
      </c>
      <c r="K12" s="517">
        <f t="shared" si="4"/>
        <v>45.298333333333332</v>
      </c>
      <c r="L12" s="517"/>
      <c r="M12" s="517">
        <f>-'Lead Lag Days'!E23</f>
        <v>-27.76</v>
      </c>
      <c r="O12" s="517">
        <f t="shared" si="2"/>
        <v>17.53833333333333</v>
      </c>
      <c r="P12" s="517"/>
      <c r="Q12" s="523">
        <f t="shared" si="3"/>
        <v>503378.31004848354</v>
      </c>
    </row>
    <row r="13" spans="1:18" x14ac:dyDescent="0.2">
      <c r="A13" s="512">
        <f>A12+1</f>
        <v>5</v>
      </c>
      <c r="B13" s="518" t="s">
        <v>1537</v>
      </c>
      <c r="C13" s="525">
        <f ca="1">'Print Layout'!D480</f>
        <v>58036196.183791012</v>
      </c>
      <c r="D13" s="520"/>
      <c r="E13" s="521">
        <f ca="1">G13/C13</f>
        <v>0.94025938944617093</v>
      </c>
      <c r="F13" s="522"/>
      <c r="G13" s="525">
        <f ca="1">'Print Layout'!F480</f>
        <v>54569078.389549531</v>
      </c>
      <c r="H13" s="523"/>
      <c r="I13" s="523">
        <f t="shared" ca="1" si="1"/>
        <v>149095.84259439763</v>
      </c>
      <c r="K13" s="517">
        <f t="shared" si="4"/>
        <v>45.298333333333332</v>
      </c>
      <c r="L13" s="517"/>
      <c r="M13" s="517">
        <f>-'Lead Lag Days'!E24</f>
        <v>-23.664370061149086</v>
      </c>
      <c r="O13" s="517">
        <f t="shared" si="2"/>
        <v>21.633963272184246</v>
      </c>
      <c r="P13" s="517"/>
      <c r="Q13" s="523">
        <f t="shared" ca="1" si="3"/>
        <v>3225533.9827225618</v>
      </c>
    </row>
    <row r="14" spans="1:18" x14ac:dyDescent="0.2">
      <c r="A14" s="512">
        <f>A13+1</f>
        <v>6</v>
      </c>
      <c r="B14" s="518" t="s">
        <v>1538</v>
      </c>
      <c r="C14" s="519">
        <v>42880206</v>
      </c>
      <c r="D14" s="520"/>
      <c r="E14" s="521">
        <f ca="1">'Print Layout'!F1247</f>
        <v>0.94067565257416896</v>
      </c>
      <c r="F14" s="522"/>
      <c r="G14" s="519">
        <f t="shared" ca="1" si="0"/>
        <v>40336365.761564799</v>
      </c>
      <c r="H14" s="523"/>
      <c r="I14" s="523">
        <f t="shared" ca="1" si="1"/>
        <v>110208.64962176174</v>
      </c>
      <c r="K14" s="517">
        <f t="shared" si="4"/>
        <v>45.298333333333332</v>
      </c>
      <c r="L14" s="517"/>
      <c r="M14" s="517">
        <f>-'Lead Lag Days'!E25</f>
        <v>-13.010845763287058</v>
      </c>
      <c r="O14" s="517">
        <f t="shared" si="2"/>
        <v>32.287487570046274</v>
      </c>
      <c r="P14" s="517"/>
      <c r="Q14" s="523">
        <f t="shared" ca="1" si="3"/>
        <v>3558360.4047742169</v>
      </c>
    </row>
    <row r="15" spans="1:18" x14ac:dyDescent="0.2">
      <c r="A15" s="512">
        <f t="shared" ref="A15:A21" si="5">A14+1</f>
        <v>7</v>
      </c>
      <c r="B15" s="518" t="s">
        <v>1539</v>
      </c>
      <c r="C15" s="519">
        <f>4030727-5875844</f>
        <v>-1845117</v>
      </c>
      <c r="D15" s="520"/>
      <c r="E15" s="521">
        <f ca="1">E$14</f>
        <v>0.94067565257416896</v>
      </c>
      <c r="F15" s="522"/>
      <c r="G15" s="519">
        <f t="shared" ca="1" si="0"/>
        <v>-1735656.6380506929</v>
      </c>
      <c r="H15" s="523"/>
      <c r="I15" s="523">
        <f t="shared" ca="1" si="1"/>
        <v>-4742.2312515046251</v>
      </c>
      <c r="K15" s="517">
        <f t="shared" si="4"/>
        <v>45.298333333333332</v>
      </c>
      <c r="L15" s="517"/>
      <c r="M15" s="517">
        <f>-'Lead Lag Days'!E26</f>
        <v>0</v>
      </c>
      <c r="O15" s="517">
        <f t="shared" si="2"/>
        <v>45.298333333333332</v>
      </c>
      <c r="P15" s="517"/>
      <c r="Q15" s="523">
        <f t="shared" ca="1" si="3"/>
        <v>-214815.17197440701</v>
      </c>
    </row>
    <row r="16" spans="1:18" x14ac:dyDescent="0.2">
      <c r="A16" s="512">
        <f t="shared" si="5"/>
        <v>8</v>
      </c>
      <c r="B16" s="518" t="s">
        <v>1540</v>
      </c>
      <c r="C16" s="519">
        <f>694205-268542</f>
        <v>425663</v>
      </c>
      <c r="D16" s="520"/>
      <c r="E16" s="521">
        <f ca="1">E$14</f>
        <v>0.94067565257416896</v>
      </c>
      <c r="F16" s="522"/>
      <c r="G16" s="519">
        <f t="shared" ca="1" si="0"/>
        <v>400410.8203016785</v>
      </c>
      <c r="H16" s="523"/>
      <c r="I16" s="523">
        <f t="shared" ca="1" si="1"/>
        <v>1094.0186347040396</v>
      </c>
      <c r="K16" s="517">
        <f t="shared" si="4"/>
        <v>45.298333333333332</v>
      </c>
      <c r="L16" s="517"/>
      <c r="M16" s="517">
        <f>-'Lead Lag Days'!E27</f>
        <v>0</v>
      </c>
      <c r="O16" s="517">
        <f t="shared" si="2"/>
        <v>45.298333333333332</v>
      </c>
      <c r="P16" s="517"/>
      <c r="Q16" s="523">
        <f t="shared" ca="1" si="3"/>
        <v>49557.220787701823</v>
      </c>
    </row>
    <row r="17" spans="1:17" x14ac:dyDescent="0.2">
      <c r="A17" s="512">
        <f>A16+1</f>
        <v>9</v>
      </c>
      <c r="B17" s="518" t="s">
        <v>1541</v>
      </c>
      <c r="C17" s="519">
        <v>3289813.4510399993</v>
      </c>
      <c r="D17" s="520"/>
      <c r="E17" s="521">
        <f ca="1">E$14</f>
        <v>0.94067565257416896</v>
      </c>
      <c r="F17" s="522"/>
      <c r="G17" s="519">
        <f t="shared" ca="1" si="0"/>
        <v>3094647.4149043304</v>
      </c>
      <c r="H17" s="523"/>
      <c r="I17" s="523">
        <f t="shared" ca="1" si="1"/>
        <v>8455.3208057495358</v>
      </c>
      <c r="K17" s="517">
        <f t="shared" si="4"/>
        <v>45.298333333333332</v>
      </c>
      <c r="L17" s="517"/>
      <c r="M17" s="517">
        <f>-'Lead Lag Days'!E28</f>
        <v>-244.79</v>
      </c>
      <c r="O17" s="517">
        <f t="shared" si="2"/>
        <v>-199.49166666666667</v>
      </c>
      <c r="P17" s="517"/>
      <c r="Q17" s="523">
        <f t="shared" ca="1" si="3"/>
        <v>-1686766.039740318</v>
      </c>
    </row>
    <row r="18" spans="1:17" x14ac:dyDescent="0.2">
      <c r="A18" s="512">
        <f>A17+1</f>
        <v>10</v>
      </c>
      <c r="B18" s="518" t="s">
        <v>1542</v>
      </c>
      <c r="C18" s="519">
        <v>2387490</v>
      </c>
      <c r="D18" s="520"/>
      <c r="E18" s="521">
        <f ca="1">E$14</f>
        <v>0.94067565257416896</v>
      </c>
      <c r="F18" s="522"/>
      <c r="G18" s="519">
        <f t="shared" ca="1" si="0"/>
        <v>2245853.7137643024</v>
      </c>
      <c r="H18" s="523"/>
      <c r="I18" s="523">
        <f t="shared" ca="1" si="1"/>
        <v>6136.2123326893507</v>
      </c>
      <c r="K18" s="517">
        <f t="shared" si="4"/>
        <v>45.298333333333332</v>
      </c>
      <c r="L18" s="517"/>
      <c r="M18" s="517">
        <f>-'Lead Lag Days'!E29</f>
        <v>-22.558255780356177</v>
      </c>
      <c r="O18" s="517">
        <f t="shared" si="2"/>
        <v>22.740077552977155</v>
      </c>
      <c r="P18" s="517"/>
      <c r="Q18" s="523">
        <f t="shared" ca="1" si="3"/>
        <v>139537.94432689069</v>
      </c>
    </row>
    <row r="19" spans="1:17" x14ac:dyDescent="0.2">
      <c r="A19" s="512">
        <f t="shared" si="5"/>
        <v>11</v>
      </c>
      <c r="B19" s="518" t="s">
        <v>1543</v>
      </c>
      <c r="C19" s="519">
        <v>1020651</v>
      </c>
      <c r="D19" s="520"/>
      <c r="E19" s="521">
        <f ca="1">E$14</f>
        <v>0.94067565257416896</v>
      </c>
      <c r="F19" s="522"/>
      <c r="G19" s="519">
        <f t="shared" ca="1" si="0"/>
        <v>960101.54547547817</v>
      </c>
      <c r="H19" s="523"/>
      <c r="I19" s="523">
        <f t="shared" ca="1" si="1"/>
        <v>2623.2282663264432</v>
      </c>
      <c r="K19" s="517">
        <f t="shared" si="4"/>
        <v>45.298333333333332</v>
      </c>
      <c r="L19" s="517"/>
      <c r="M19" s="517">
        <f>-'Lead Lag Days'!E30</f>
        <v>-283.5</v>
      </c>
      <c r="O19" s="517">
        <f t="shared" si="2"/>
        <v>-238.20166666666665</v>
      </c>
      <c r="P19" s="517"/>
      <c r="Q19" s="523">
        <f t="shared" ca="1" si="3"/>
        <v>-624857.34508606931</v>
      </c>
    </row>
    <row r="20" spans="1:17" x14ac:dyDescent="0.2">
      <c r="A20" s="512">
        <f t="shared" si="5"/>
        <v>12</v>
      </c>
      <c r="B20" s="518" t="s">
        <v>1544</v>
      </c>
      <c r="C20" s="525">
        <f ca="1">'Print Layout'!D542</f>
        <v>5155113.129999999</v>
      </c>
      <c r="E20" s="521">
        <f>'Print Layout'!F1225</f>
        <v>0.95003195393362805</v>
      </c>
      <c r="F20" s="522"/>
      <c r="G20" s="519">
        <f t="shared" ca="1" si="0"/>
        <v>4897522.1996427998</v>
      </c>
      <c r="H20" s="523"/>
      <c r="I20" s="523">
        <f t="shared" ca="1" si="1"/>
        <v>13381.208195745354</v>
      </c>
      <c r="K20" s="517">
        <f t="shared" si="4"/>
        <v>45.298333333333332</v>
      </c>
      <c r="L20" s="517"/>
      <c r="M20" s="517">
        <f>-'Lead Lag Days'!E31</f>
        <v>-131.69914670445385</v>
      </c>
      <c r="O20" s="517">
        <f t="shared" si="2"/>
        <v>-86.40081337112052</v>
      </c>
      <c r="P20" s="517"/>
      <c r="Q20" s="523">
        <f t="shared" ca="1" si="3"/>
        <v>-1156147.2720007026</v>
      </c>
    </row>
    <row r="21" spans="1:17" x14ac:dyDescent="0.2">
      <c r="A21" s="512">
        <f t="shared" si="5"/>
        <v>13</v>
      </c>
      <c r="B21" s="518" t="s">
        <v>1545</v>
      </c>
      <c r="C21" s="519">
        <v>3189917</v>
      </c>
      <c r="E21" s="521">
        <f ca="1">'Print Layout'!F1322</f>
        <v>0.94057590207023234</v>
      </c>
      <c r="F21" s="522"/>
      <c r="G21" s="519">
        <f t="shared" ca="1" si="0"/>
        <v>3000359.0598041695</v>
      </c>
      <c r="H21" s="523"/>
      <c r="I21" s="523">
        <f t="shared" ca="1" si="1"/>
        <v>8197.7023491917207</v>
      </c>
      <c r="K21" s="517">
        <f t="shared" si="4"/>
        <v>45.298333333333332</v>
      </c>
      <c r="L21" s="517"/>
      <c r="M21" s="517">
        <f>-'Lead Lag Days'!E32</f>
        <v>-41.741641520962055</v>
      </c>
      <c r="O21" s="517">
        <f t="shared" si="2"/>
        <v>3.5566918123712767</v>
      </c>
      <c r="P21" s="517"/>
      <c r="Q21" s="523">
        <f t="shared" ca="1" si="3"/>
        <v>29156.700825626973</v>
      </c>
    </row>
    <row r="22" spans="1:17" x14ac:dyDescent="0.2">
      <c r="A22" s="512">
        <f>A21+1</f>
        <v>14</v>
      </c>
      <c r="B22" s="518" t="s">
        <v>1546</v>
      </c>
      <c r="C22" s="519">
        <f>143097447.87+51829087.83</f>
        <v>194926535.69999999</v>
      </c>
      <c r="E22" s="521">
        <f ca="1">'Print Layout'!F594/'Print Layout'!D594</f>
        <v>0.93816112882875069</v>
      </c>
      <c r="F22" s="522"/>
      <c r="G22" s="519">
        <f t="shared" ca="1" si="0"/>
        <v>182872498.77098975</v>
      </c>
      <c r="H22" s="523"/>
      <c r="I22" s="523">
        <f t="shared" ca="1" si="1"/>
        <v>499651.63598631078</v>
      </c>
      <c r="K22" s="517">
        <f t="shared" si="4"/>
        <v>45.298333333333332</v>
      </c>
      <c r="L22" s="517"/>
      <c r="M22" s="517">
        <f>-'Lead Lag Days'!E33</f>
        <v>-25.38804860890605</v>
      </c>
      <c r="O22" s="517">
        <f t="shared" si="2"/>
        <v>19.910284724427282</v>
      </c>
      <c r="P22" s="517"/>
      <c r="Q22" s="523">
        <f t="shared" ca="1" si="3"/>
        <v>9948206.335513344</v>
      </c>
    </row>
    <row r="23" spans="1:17" x14ac:dyDescent="0.2">
      <c r="A23" s="512">
        <f>A22+1</f>
        <v>15</v>
      </c>
      <c r="B23" s="518" t="s">
        <v>1547</v>
      </c>
      <c r="C23" s="709">
        <v>188803771.28689563</v>
      </c>
      <c r="D23" s="527"/>
      <c r="E23" s="521">
        <f>G23/C23</f>
        <v>0.92877855859543845</v>
      </c>
      <c r="F23" s="522"/>
      <c r="G23" s="709">
        <v>175356894.55322576</v>
      </c>
      <c r="H23" s="528"/>
      <c r="I23" s="523">
        <f t="shared" si="1"/>
        <v>479117.19823285728</v>
      </c>
      <c r="K23" s="517">
        <f t="shared" si="4"/>
        <v>45.298333333333332</v>
      </c>
      <c r="L23" s="517"/>
      <c r="M23" s="517">
        <f>-'Lead Lag Days'!E34</f>
        <v>-48.047788467578023</v>
      </c>
      <c r="O23" s="517">
        <f t="shared" si="2"/>
        <v>-2.7494551342446911</v>
      </c>
      <c r="P23" s="517"/>
      <c r="Q23" s="529">
        <f t="shared" si="3"/>
        <v>-1317311.2405862608</v>
      </c>
    </row>
    <row r="24" spans="1:17" ht="15.75" x14ac:dyDescent="0.25">
      <c r="A24" s="512">
        <f>A23+1</f>
        <v>16</v>
      </c>
      <c r="B24" s="530" t="s">
        <v>1548</v>
      </c>
      <c r="C24" s="519">
        <f ca="1">SUM(C9:C23)</f>
        <v>935519308.13172662</v>
      </c>
      <c r="D24" s="531"/>
      <c r="E24" s="521"/>
      <c r="F24" s="522"/>
      <c r="G24" s="519">
        <f ca="1">SUM(G9:G23)</f>
        <v>877453453.95077646</v>
      </c>
      <c r="H24" s="523"/>
      <c r="I24" s="523"/>
      <c r="K24" s="517"/>
      <c r="L24" s="517"/>
      <c r="O24" s="517"/>
      <c r="P24" s="517"/>
      <c r="Q24" s="523">
        <f ca="1">SUM(Q9:Q23)</f>
        <v>28327583.153606627</v>
      </c>
    </row>
    <row r="25" spans="1:17" ht="15.75" x14ac:dyDescent="0.25">
      <c r="B25" s="530"/>
      <c r="C25" s="519">
        <f ca="1">'Print Layout'!D594-C29-C30-C24</f>
        <v>0</v>
      </c>
      <c r="D25" s="531"/>
      <c r="E25" s="521"/>
      <c r="F25" s="522"/>
      <c r="G25" s="519">
        <f ca="1">'Print Layout'!F594-G29-G30-G24</f>
        <v>1.7957687377929688E-3</v>
      </c>
      <c r="I25" s="648"/>
      <c r="K25" s="517"/>
      <c r="L25" s="517"/>
      <c r="O25" s="517"/>
      <c r="P25" s="517"/>
    </row>
    <row r="26" spans="1:17" ht="15.75" x14ac:dyDescent="0.25">
      <c r="A26" s="512">
        <f>A24+1</f>
        <v>17</v>
      </c>
      <c r="B26" s="513" t="s">
        <v>1549</v>
      </c>
      <c r="C26" s="532"/>
      <c r="E26" s="521"/>
      <c r="F26" s="522"/>
      <c r="G26" s="532"/>
      <c r="I26" s="523"/>
      <c r="K26" s="517"/>
      <c r="L26" s="517"/>
      <c r="O26" s="517"/>
      <c r="P26" s="517"/>
      <c r="Q26" s="523"/>
    </row>
    <row r="27" spans="1:17" x14ac:dyDescent="0.2">
      <c r="A27" s="512">
        <f>A26+1</f>
        <v>18</v>
      </c>
      <c r="B27" s="518" t="s">
        <v>1550</v>
      </c>
      <c r="C27" s="519">
        <f ca="1">'Print Layout'!D641</f>
        <v>358022830.75845891</v>
      </c>
      <c r="E27" s="521">
        <f ca="1">G27/C27</f>
        <v>0.9359127050603322</v>
      </c>
      <c r="F27" s="522"/>
      <c r="G27" s="519">
        <f ca="1">'Print Layout'!F641</f>
        <v>335078116.00850677</v>
      </c>
      <c r="I27" s="523">
        <f ca="1">G27/366</f>
        <v>915513.97816531907</v>
      </c>
      <c r="K27" s="517">
        <f>$K$9</f>
        <v>45.298333333333332</v>
      </c>
      <c r="L27" s="517"/>
      <c r="M27" s="517">
        <v>0</v>
      </c>
      <c r="O27" s="517">
        <f>K27+M27</f>
        <v>45.298333333333332</v>
      </c>
      <c r="P27" s="517"/>
      <c r="Q27" s="523">
        <f ca="1">I27*O27</f>
        <v>41471257.354258679</v>
      </c>
    </row>
    <row r="28" spans="1:17" x14ac:dyDescent="0.2">
      <c r="A28" s="512">
        <f>A27+1</f>
        <v>19</v>
      </c>
      <c r="B28" s="518" t="s">
        <v>1551</v>
      </c>
      <c r="C28" s="519">
        <f ca="1">'Print Layout'!D667</f>
        <v>9627413.0644305404</v>
      </c>
      <c r="E28" s="521">
        <f ca="1">G28/C28</f>
        <v>0.88228283211539593</v>
      </c>
      <c r="F28" s="522"/>
      <c r="G28" s="519">
        <f ca="1">'Print Layout'!F667</f>
        <v>8494101.2644305397</v>
      </c>
      <c r="I28" s="523">
        <f ca="1">G28/366</f>
        <v>23207.926951996011</v>
      </c>
      <c r="K28" s="517">
        <f>$K$9</f>
        <v>45.298333333333332</v>
      </c>
      <c r="L28" s="517"/>
      <c r="M28" s="517">
        <v>0</v>
      </c>
      <c r="O28" s="517">
        <f>K28+M28</f>
        <v>45.298333333333332</v>
      </c>
      <c r="P28" s="517"/>
      <c r="Q28" s="523">
        <f ca="1">I28*O28</f>
        <v>1051280.411047166</v>
      </c>
    </row>
    <row r="29" spans="1:17" x14ac:dyDescent="0.2">
      <c r="A29" s="512">
        <f>A28+1</f>
        <v>20</v>
      </c>
      <c r="B29" s="518" t="s">
        <v>1599</v>
      </c>
      <c r="C29" s="519">
        <f>+TOTALCO!Y965+TOTALCO!Y1030+TOTALCO!Y1032+TOTALCO!Y1052+TOTALCO!Y1054+TOTALCO!Y1056+TOTALCO!Z1115+TOTALCO!Z1106</f>
        <v>6650186.4000000004</v>
      </c>
      <c r="E29" s="521">
        <v>1</v>
      </c>
      <c r="F29" s="522"/>
      <c r="G29" s="519">
        <f>C29*E29</f>
        <v>6650186.4000000004</v>
      </c>
      <c r="I29" s="523">
        <f>G29/366</f>
        <v>18169.908196721313</v>
      </c>
      <c r="K29" s="517">
        <f>$K$9</f>
        <v>45.298333333333332</v>
      </c>
      <c r="L29" s="517"/>
      <c r="M29" s="517">
        <v>0</v>
      </c>
      <c r="O29" s="517">
        <f>K29+M29</f>
        <v>45.298333333333332</v>
      </c>
      <c r="P29" s="517"/>
      <c r="Q29" s="523">
        <f>I29*O29</f>
        <v>823066.55813114764</v>
      </c>
    </row>
    <row r="30" spans="1:17" x14ac:dyDescent="0.2">
      <c r="A30" s="512">
        <f>A29+1</f>
        <v>21</v>
      </c>
      <c r="B30" s="518" t="s">
        <v>1600</v>
      </c>
      <c r="C30" s="519">
        <f>TOTALCO!AD953+'Outage Maint COS Support'!M13</f>
        <v>-3183172.832000385</v>
      </c>
      <c r="E30" s="521">
        <v>1</v>
      </c>
      <c r="F30" s="522"/>
      <c r="G30" s="519">
        <f>C30*E30</f>
        <v>-3183172.832000385</v>
      </c>
      <c r="I30" s="523">
        <f>G30/366</f>
        <v>-8697.1935300556961</v>
      </c>
      <c r="K30" s="517">
        <f>$K$9</f>
        <v>45.298333333333332</v>
      </c>
      <c r="L30" s="517"/>
      <c r="M30" s="517">
        <v>0</v>
      </c>
      <c r="O30" s="517">
        <f>K30+M30</f>
        <v>45.298333333333332</v>
      </c>
      <c r="P30" s="517"/>
      <c r="Q30" s="523">
        <f>I30*O30</f>
        <v>-393968.37158897292</v>
      </c>
    </row>
    <row r="31" spans="1:17" x14ac:dyDescent="0.2">
      <c r="A31" s="512">
        <f>A30+1</f>
        <v>22</v>
      </c>
      <c r="B31" s="533" t="s">
        <v>1554</v>
      </c>
      <c r="C31" s="534">
        <f ca="1">SUM(C27:C30)</f>
        <v>371117257.39088905</v>
      </c>
      <c r="D31" s="531"/>
      <c r="E31" s="521"/>
      <c r="F31" s="522"/>
      <c r="G31" s="534">
        <f ca="1">SUM(G27:G30)</f>
        <v>347039230.8409369</v>
      </c>
      <c r="H31" s="523"/>
      <c r="I31" s="523"/>
      <c r="K31" s="517"/>
      <c r="L31" s="517"/>
      <c r="O31" s="517"/>
      <c r="P31" s="517"/>
      <c r="Q31" s="534">
        <f ca="1">SUM(Q27:Q30)</f>
        <v>42951635.951848023</v>
      </c>
    </row>
    <row r="32" spans="1:17" x14ac:dyDescent="0.2">
      <c r="C32" s="535"/>
      <c r="E32" s="521"/>
      <c r="F32" s="522"/>
      <c r="I32" s="648"/>
      <c r="K32" s="517"/>
      <c r="L32" s="517"/>
      <c r="O32" s="517"/>
      <c r="P32" s="517"/>
    </row>
    <row r="33" spans="1:20" ht="15.75" x14ac:dyDescent="0.25">
      <c r="A33" s="512">
        <f>A31+1</f>
        <v>23</v>
      </c>
      <c r="B33" s="513" t="s">
        <v>1555</v>
      </c>
      <c r="C33" s="536"/>
      <c r="D33" s="514"/>
      <c r="E33" s="521"/>
      <c r="F33" s="522"/>
      <c r="G33" s="514"/>
      <c r="I33" s="648"/>
      <c r="K33" s="517"/>
      <c r="L33" s="517"/>
      <c r="O33" s="517"/>
      <c r="P33" s="517"/>
      <c r="T33" s="693"/>
    </row>
    <row r="34" spans="1:20" x14ac:dyDescent="0.2">
      <c r="A34" s="512">
        <f>A33+1</f>
        <v>24</v>
      </c>
      <c r="B34" s="518" t="s">
        <v>1556</v>
      </c>
      <c r="C34" s="519">
        <f>IS!N354*1000</f>
        <v>13788603.981121339</v>
      </c>
      <c r="D34" s="520"/>
      <c r="E34" s="521">
        <f ca="1">G34/C34</f>
        <v>0.98517811703165836</v>
      </c>
      <c r="F34" s="522"/>
      <c r="G34" s="519">
        <f ca="1">C34/C$37*G$37</f>
        <v>13584230.906616349</v>
      </c>
      <c r="H34" s="523"/>
      <c r="I34" s="523">
        <f ca="1">G34/366</f>
        <v>37115.384990755054</v>
      </c>
      <c r="K34" s="517">
        <f>$K$9</f>
        <v>45.298333333333332</v>
      </c>
      <c r="L34" s="517"/>
      <c r="M34" s="517">
        <f>-'Lead Lag Days'!E43</f>
        <v>-37.5</v>
      </c>
      <c r="O34" s="517">
        <f>K34+M34</f>
        <v>7.798333333333332</v>
      </c>
      <c r="P34" s="517"/>
      <c r="Q34" s="523">
        <f ca="1">I34*O34</f>
        <v>289438.14395290479</v>
      </c>
      <c r="T34" s="525"/>
    </row>
    <row r="35" spans="1:20" x14ac:dyDescent="0.2">
      <c r="A35" s="512">
        <f>A34+1</f>
        <v>25</v>
      </c>
      <c r="B35" s="518" t="s">
        <v>1557</v>
      </c>
      <c r="C35" s="519">
        <f>IS!N357*1000</f>
        <v>-159100.88469163876</v>
      </c>
      <c r="D35" s="520"/>
      <c r="E35" s="521">
        <f ca="1">G35/C35</f>
        <v>0.98517811703165836</v>
      </c>
      <c r="F35" s="522"/>
      <c r="G35" s="519">
        <f ca="1">C35/C$37*G$37</f>
        <v>-156742.70999857967</v>
      </c>
      <c r="H35" s="523"/>
      <c r="I35" s="523">
        <f ca="1">G35/366</f>
        <v>-428.25877048792256</v>
      </c>
      <c r="K35" s="517">
        <f>$K$9</f>
        <v>45.298333333333332</v>
      </c>
      <c r="L35" s="517"/>
      <c r="M35" s="517">
        <f>-'Lead Lag Days'!E44</f>
        <v>-37.5</v>
      </c>
      <c r="O35" s="517">
        <f>K35+M35</f>
        <v>7.798333333333332</v>
      </c>
      <c r="P35" s="517"/>
      <c r="Q35" s="523">
        <f ca="1">I35*O35</f>
        <v>-3339.7046451883157</v>
      </c>
      <c r="T35" s="525"/>
    </row>
    <row r="36" spans="1:20" x14ac:dyDescent="0.2">
      <c r="A36" s="512">
        <f>A35+1</f>
        <v>26</v>
      </c>
      <c r="B36" s="518" t="s">
        <v>1558</v>
      </c>
      <c r="C36" s="526">
        <f>(IS!N360+IS!N363)*1000</f>
        <v>34102881.930523343</v>
      </c>
      <c r="D36" s="537"/>
      <c r="E36" s="521">
        <f ca="1">G36/C36</f>
        <v>0.98517811703165825</v>
      </c>
      <c r="F36" s="522"/>
      <c r="G36" s="526">
        <f ca="1">C36/C$37*G$37</f>
        <v>33597413.00566595</v>
      </c>
      <c r="H36" s="528"/>
      <c r="I36" s="523">
        <f ca="1">G36/366</f>
        <v>91796.210397994393</v>
      </c>
      <c r="K36" s="517">
        <f>$K$9</f>
        <v>45.298333333333332</v>
      </c>
      <c r="L36" s="517"/>
      <c r="M36" s="517">
        <f>-'Lead Lag Days'!E45</f>
        <v>0</v>
      </c>
      <c r="O36" s="517">
        <f>K36+M36</f>
        <v>45.298333333333332</v>
      </c>
      <c r="P36" s="517"/>
      <c r="Q36" s="529">
        <f ca="1">I36*O36</f>
        <v>4158215.3373451494</v>
      </c>
      <c r="T36" s="525"/>
    </row>
    <row r="37" spans="1:20" x14ac:dyDescent="0.2">
      <c r="A37" s="512">
        <f>A36+1</f>
        <v>27</v>
      </c>
      <c r="B37" s="533" t="s">
        <v>1559</v>
      </c>
      <c r="C37" s="534">
        <f ca="1">'Print Layout'!D56</f>
        <v>47732386.200000003</v>
      </c>
      <c r="D37" s="531"/>
      <c r="E37" s="521"/>
      <c r="F37" s="522"/>
      <c r="G37" s="534">
        <f ca="1">'Print Layout'!F56</f>
        <v>47024902.357943915</v>
      </c>
      <c r="H37" s="523"/>
      <c r="I37" s="523"/>
      <c r="K37" s="517"/>
      <c r="L37" s="517"/>
      <c r="O37" s="517"/>
      <c r="P37" s="517"/>
      <c r="Q37" s="523">
        <f ca="1">SUM(Q34:Q36)</f>
        <v>4444313.776652866</v>
      </c>
      <c r="T37" s="694"/>
    </row>
    <row r="38" spans="1:20" x14ac:dyDescent="0.2">
      <c r="B38" s="533"/>
      <c r="C38" s="531"/>
      <c r="D38" s="531"/>
      <c r="E38" s="521"/>
      <c r="F38" s="522"/>
      <c r="G38" s="519">
        <f ca="1">SUM(G34:G36)-G37</f>
        <v>-1.1556601971387863</v>
      </c>
      <c r="I38" s="648"/>
      <c r="K38" s="517"/>
      <c r="L38" s="517"/>
      <c r="O38" s="517"/>
      <c r="P38" s="517"/>
    </row>
    <row r="39" spans="1:20" ht="15.75" x14ac:dyDescent="0.25">
      <c r="A39" s="512">
        <f>A37+1</f>
        <v>28</v>
      </c>
      <c r="B39" s="513" t="s">
        <v>1560</v>
      </c>
      <c r="C39" s="536"/>
      <c r="D39" s="514"/>
      <c r="E39" s="521"/>
      <c r="F39" s="522"/>
      <c r="G39" s="514"/>
      <c r="I39" s="648"/>
      <c r="K39" s="517"/>
      <c r="L39" s="517"/>
      <c r="O39" s="517"/>
      <c r="P39" s="517"/>
    </row>
    <row r="40" spans="1:20" x14ac:dyDescent="0.2">
      <c r="A40" s="512">
        <f>A39+1</f>
        <v>29</v>
      </c>
      <c r="B40" s="518" t="s">
        <v>1561</v>
      </c>
      <c r="C40" s="519">
        <f ca="1">'Print Layout'!D695</f>
        <v>34198507.829488404</v>
      </c>
      <c r="D40" s="520"/>
      <c r="E40" s="521">
        <f ca="1">G40/C40</f>
        <v>0.93808116450513346</v>
      </c>
      <c r="F40" s="522"/>
      <c r="G40" s="519">
        <f ca="1">'Print Layout'!F695-TOTALCO!V1228</f>
        <v>32080976.049024407</v>
      </c>
      <c r="H40" s="523"/>
      <c r="I40" s="523">
        <f ca="1">G40/366</f>
        <v>87652.940024656855</v>
      </c>
      <c r="K40" s="517">
        <f>$K$9</f>
        <v>45.298333333333332</v>
      </c>
      <c r="L40" s="517"/>
      <c r="M40" s="517">
        <f>-'Lead Lag Days'!E48</f>
        <v>-157.56749538820867</v>
      </c>
      <c r="O40" s="517">
        <f>K40+M40</f>
        <v>-112.26916205487534</v>
      </c>
      <c r="P40" s="517"/>
      <c r="Q40" s="523">
        <f ca="1">I40*O40</f>
        <v>-9840722.1282144692</v>
      </c>
    </row>
    <row r="41" spans="1:20" x14ac:dyDescent="0.2">
      <c r="A41" s="512">
        <f>A40+1</f>
        <v>30</v>
      </c>
      <c r="B41" s="518" t="s">
        <v>1562</v>
      </c>
      <c r="C41" s="519">
        <f ca="1">'Print Layout'!D698+'Print Layout'!D699</f>
        <v>10653786</v>
      </c>
      <c r="D41" s="520"/>
      <c r="E41" s="521">
        <f ca="1">G41/C41</f>
        <v>0.94067565257416907</v>
      </c>
      <c r="F41" s="522"/>
      <c r="G41" s="519">
        <f ca="1">'Print Layout'!F698+'Print Layout'!F699</f>
        <v>10021757.097935546</v>
      </c>
      <c r="H41" s="523"/>
      <c r="I41" s="523">
        <f ca="1">G41/366</f>
        <v>27381.849994359414</v>
      </c>
      <c r="K41" s="517">
        <f>$K$9</f>
        <v>45.298333333333332</v>
      </c>
      <c r="L41" s="517"/>
      <c r="M41" s="517">
        <f>-'Lead Lag Days'!E49</f>
        <v>-35.635795614897127</v>
      </c>
      <c r="O41" s="517">
        <f>K41+M41</f>
        <v>9.6625377184362051</v>
      </c>
      <c r="P41" s="517"/>
      <c r="Q41" s="523">
        <f ca="1">I41*O41</f>
        <v>264578.15837106004</v>
      </c>
    </row>
    <row r="42" spans="1:20" x14ac:dyDescent="0.2">
      <c r="A42" s="512">
        <f>A41+1</f>
        <v>31</v>
      </c>
      <c r="B42" s="518" t="s">
        <v>1563</v>
      </c>
      <c r="C42" s="526">
        <f ca="1">'Print Layout'!D700+'Print Layout'!D696</f>
        <v>3406958</v>
      </c>
      <c r="D42" s="537"/>
      <c r="E42" s="521">
        <f ca="1">G42/C42</f>
        <v>1</v>
      </c>
      <c r="F42" s="522"/>
      <c r="G42" s="526">
        <f ca="1">'Print Layout'!F700+'Print Layout'!F696</f>
        <v>3406958</v>
      </c>
      <c r="H42" s="528"/>
      <c r="I42" s="523">
        <f ca="1">G42/366</f>
        <v>9308.6284153005472</v>
      </c>
      <c r="K42" s="517">
        <f>$K$9</f>
        <v>45.298333333333332</v>
      </c>
      <c r="L42" s="517"/>
      <c r="M42" s="517">
        <f>-'Lead Lag Days'!E50</f>
        <v>152.00463677122599</v>
      </c>
      <c r="O42" s="517">
        <f>K42+M42</f>
        <v>197.30297010455934</v>
      </c>
      <c r="P42" s="517"/>
      <c r="Q42" s="529">
        <f ca="1">I42*O42</f>
        <v>1836620.0339384954</v>
      </c>
    </row>
    <row r="43" spans="1:20" x14ac:dyDescent="0.2">
      <c r="A43" s="512">
        <f>A42+1</f>
        <v>32</v>
      </c>
      <c r="B43" s="533" t="s">
        <v>1564</v>
      </c>
      <c r="C43" s="519">
        <f ca="1">SUM(C40:C42)</f>
        <v>48259251.829488404</v>
      </c>
      <c r="D43" s="531"/>
      <c r="E43" s="521"/>
      <c r="F43" s="522"/>
      <c r="G43" s="534">
        <f ca="1">SUM(G40:G42)</f>
        <v>45509691.146959953</v>
      </c>
      <c r="H43" s="523"/>
      <c r="I43" s="523"/>
      <c r="K43" s="517"/>
      <c r="L43" s="517"/>
      <c r="O43" s="517"/>
      <c r="P43" s="517"/>
      <c r="Q43" s="523">
        <f ca="1">SUM(Q40:Q42)</f>
        <v>-7739523.9359049145</v>
      </c>
    </row>
    <row r="44" spans="1:20" x14ac:dyDescent="0.2">
      <c r="C44" s="535"/>
      <c r="E44" s="521"/>
      <c r="F44" s="522"/>
      <c r="I44" s="648"/>
      <c r="K44" s="517"/>
      <c r="L44" s="517"/>
      <c r="O44" s="517"/>
      <c r="P44" s="517"/>
    </row>
    <row r="45" spans="1:20" ht="15.75" x14ac:dyDescent="0.25">
      <c r="A45" s="512">
        <f>A43+1</f>
        <v>33</v>
      </c>
      <c r="B45" s="513" t="s">
        <v>1035</v>
      </c>
      <c r="C45" s="519">
        <f ca="1">'Print Layout'!D739</f>
        <v>-2364.2750347616302</v>
      </c>
      <c r="E45" s="521">
        <f ca="1">IF(C45=0,0,G45/C45)</f>
        <v>0</v>
      </c>
      <c r="F45" s="522"/>
      <c r="G45" s="519">
        <f ca="1">'Print Layout'!F739</f>
        <v>0</v>
      </c>
      <c r="H45" s="523"/>
      <c r="I45" s="524">
        <f ca="1">G45/366</f>
        <v>0</v>
      </c>
      <c r="K45" s="517">
        <f>$K$9</f>
        <v>45.298333333333332</v>
      </c>
      <c r="L45" s="517"/>
      <c r="M45" s="517">
        <f>-K45</f>
        <v>-45.298333333333332</v>
      </c>
      <c r="O45" s="517">
        <f>K45+M45</f>
        <v>0</v>
      </c>
      <c r="P45" s="517"/>
      <c r="Q45" s="523">
        <f ca="1">I45*O45</f>
        <v>0</v>
      </c>
    </row>
    <row r="46" spans="1:20" x14ac:dyDescent="0.2">
      <c r="C46" s="535"/>
      <c r="E46" s="521"/>
      <c r="F46" s="522"/>
      <c r="I46" s="648"/>
      <c r="K46" s="517"/>
      <c r="L46" s="517"/>
      <c r="O46" s="517"/>
      <c r="P46" s="517"/>
    </row>
    <row r="47" spans="1:20" ht="15.75" x14ac:dyDescent="0.25">
      <c r="A47" s="512">
        <f>A45+1</f>
        <v>34</v>
      </c>
      <c r="B47" s="513" t="s">
        <v>1565</v>
      </c>
      <c r="C47" s="519">
        <f>'Print Layout'!D704</f>
        <v>0</v>
      </c>
      <c r="E47" s="521">
        <f>IF(C47=0,0,G47/C47)</f>
        <v>0</v>
      </c>
      <c r="F47" s="522"/>
      <c r="G47" s="519">
        <f>'Print Layout'!F704</f>
        <v>0</v>
      </c>
      <c r="H47" s="523"/>
      <c r="I47" s="524">
        <f>G47/366</f>
        <v>0</v>
      </c>
      <c r="K47" s="517">
        <f>$K$9</f>
        <v>45.298333333333332</v>
      </c>
      <c r="L47" s="517"/>
      <c r="M47" s="517">
        <f>-K47</f>
        <v>-45.298333333333332</v>
      </c>
      <c r="O47" s="517">
        <f>K47+M47</f>
        <v>0</v>
      </c>
      <c r="P47" s="517"/>
      <c r="Q47" s="523">
        <f>I47*O47</f>
        <v>0</v>
      </c>
    </row>
    <row r="48" spans="1:20" x14ac:dyDescent="0.2">
      <c r="C48" s="535"/>
      <c r="E48" s="521"/>
      <c r="F48" s="522"/>
      <c r="G48" s="523"/>
      <c r="H48" s="523"/>
      <c r="I48" s="523"/>
      <c r="K48" s="517"/>
      <c r="L48" s="517"/>
      <c r="O48" s="517"/>
      <c r="P48" s="517"/>
      <c r="Q48" s="523"/>
    </row>
    <row r="49" spans="1:17" ht="15.75" x14ac:dyDescent="0.25">
      <c r="A49" s="512">
        <f>A47+1</f>
        <v>35</v>
      </c>
      <c r="B49" s="513" t="s">
        <v>1566</v>
      </c>
      <c r="C49" s="519">
        <f ca="1">'Print Layout'!D703</f>
        <v>0</v>
      </c>
      <c r="E49" s="521">
        <f ca="1">IF(C49=0,0,G49/C49)</f>
        <v>0</v>
      </c>
      <c r="F49" s="522"/>
      <c r="G49" s="519">
        <f ca="1">'Print Layout'!F703</f>
        <v>0</v>
      </c>
      <c r="H49" s="523"/>
      <c r="I49" s="524">
        <f ca="1">G49/366</f>
        <v>0</v>
      </c>
      <c r="K49" s="517">
        <f>$K$9</f>
        <v>45.298333333333332</v>
      </c>
      <c r="L49" s="517"/>
      <c r="M49" s="517">
        <f>-K49</f>
        <v>-45.298333333333332</v>
      </c>
      <c r="O49" s="517">
        <f>K49+M49</f>
        <v>0</v>
      </c>
      <c r="P49" s="517"/>
      <c r="Q49" s="523">
        <f ca="1">I49*O49</f>
        <v>0</v>
      </c>
    </row>
    <row r="50" spans="1:17" x14ac:dyDescent="0.2">
      <c r="C50" s="535"/>
      <c r="E50" s="521"/>
      <c r="F50" s="522"/>
      <c r="G50" s="523"/>
      <c r="H50" s="523"/>
      <c r="I50" s="523"/>
      <c r="K50" s="517"/>
      <c r="L50" s="517"/>
      <c r="O50" s="517"/>
      <c r="P50" s="517"/>
      <c r="Q50" s="523"/>
    </row>
    <row r="51" spans="1:17" ht="15.75" x14ac:dyDescent="0.25">
      <c r="A51" s="512">
        <f>A49+1</f>
        <v>36</v>
      </c>
      <c r="B51" s="513" t="s">
        <v>1567</v>
      </c>
      <c r="C51" s="519">
        <f>IS!N409*1000</f>
        <v>1513100</v>
      </c>
      <c r="E51" s="521">
        <f>G51/C51</f>
        <v>0</v>
      </c>
      <c r="F51" s="522"/>
      <c r="G51" s="519">
        <f>'Print Layout'!F705</f>
        <v>0</v>
      </c>
      <c r="H51" s="523"/>
      <c r="I51" s="524">
        <f>G51/366</f>
        <v>0</v>
      </c>
      <c r="K51" s="517">
        <f>$K$9</f>
        <v>45.298333333333332</v>
      </c>
      <c r="L51" s="517"/>
      <c r="M51" s="517">
        <f>-K51</f>
        <v>-45.298333333333332</v>
      </c>
      <c r="O51" s="517">
        <f>K51+M51</f>
        <v>0</v>
      </c>
      <c r="P51" s="517"/>
      <c r="Q51" s="523">
        <f>I51*O51</f>
        <v>0</v>
      </c>
    </row>
    <row r="52" spans="1:17" x14ac:dyDescent="0.2">
      <c r="C52" s="535"/>
      <c r="E52" s="521"/>
      <c r="F52" s="522"/>
      <c r="G52" s="523"/>
      <c r="H52" s="523"/>
      <c r="I52" s="523"/>
      <c r="K52" s="517"/>
      <c r="L52" s="517"/>
      <c r="O52" s="517"/>
      <c r="P52" s="517"/>
      <c r="Q52" s="523"/>
    </row>
    <row r="53" spans="1:17" ht="15.75" x14ac:dyDescent="0.25">
      <c r="A53" s="512">
        <f>A51+1</f>
        <v>37</v>
      </c>
      <c r="B53" s="513" t="s">
        <v>1568</v>
      </c>
      <c r="C53" s="519">
        <f>'Print Layout'!D60</f>
        <v>435510.9</v>
      </c>
      <c r="E53" s="521">
        <f>G53/C53</f>
        <v>0</v>
      </c>
      <c r="F53" s="522"/>
      <c r="G53" s="519">
        <f>'Print Layout'!F60</f>
        <v>0</v>
      </c>
      <c r="H53" s="523"/>
      <c r="I53" s="524">
        <f>G53/366</f>
        <v>0</v>
      </c>
      <c r="K53" s="517">
        <v>0</v>
      </c>
      <c r="L53" s="517"/>
      <c r="M53" s="517">
        <f>K53</f>
        <v>0</v>
      </c>
      <c r="O53" s="517">
        <f>K53+M53</f>
        <v>0</v>
      </c>
      <c r="P53" s="517"/>
      <c r="Q53" s="523">
        <f>I53*O53</f>
        <v>0</v>
      </c>
    </row>
    <row r="54" spans="1:17" x14ac:dyDescent="0.2">
      <c r="C54" s="535"/>
      <c r="E54" s="521"/>
      <c r="F54" s="522"/>
      <c r="G54" s="523"/>
      <c r="H54" s="523"/>
      <c r="I54" s="523"/>
      <c r="K54" s="517"/>
      <c r="L54" s="517"/>
      <c r="O54" s="517"/>
      <c r="P54" s="517"/>
      <c r="Q54" s="523"/>
    </row>
    <row r="55" spans="1:17" ht="15.75" x14ac:dyDescent="0.25">
      <c r="A55" s="512">
        <f>A53+1</f>
        <v>38</v>
      </c>
      <c r="B55" s="513" t="s">
        <v>1569</v>
      </c>
      <c r="C55" s="519">
        <f>(IS!N418-IS!N409-IS!N402)*1000</f>
        <v>-2448880.9803138538</v>
      </c>
      <c r="E55" s="521">
        <v>0</v>
      </c>
      <c r="F55" s="522"/>
      <c r="G55" s="519">
        <f>C55*E55</f>
        <v>0</v>
      </c>
      <c r="H55" s="523"/>
      <c r="I55" s="524">
        <f>G55/366</f>
        <v>0</v>
      </c>
      <c r="K55" s="517">
        <f>$K$9</f>
        <v>45.298333333333332</v>
      </c>
      <c r="L55" s="517"/>
      <c r="M55" s="517">
        <f>-K55</f>
        <v>-45.298333333333332</v>
      </c>
      <c r="O55" s="517">
        <f>K55+M55</f>
        <v>0</v>
      </c>
      <c r="P55" s="517"/>
      <c r="Q55" s="523">
        <f>I55*O55</f>
        <v>0</v>
      </c>
    </row>
    <row r="56" spans="1:17" x14ac:dyDescent="0.2">
      <c r="C56" s="535"/>
      <c r="E56" s="521"/>
      <c r="F56" s="522"/>
      <c r="G56" s="523"/>
      <c r="H56" s="523"/>
      <c r="I56" s="523"/>
      <c r="K56" s="517"/>
      <c r="L56" s="517"/>
      <c r="O56" s="517"/>
      <c r="P56" s="517"/>
      <c r="Q56" s="523"/>
    </row>
    <row r="57" spans="1:17" ht="15.75" x14ac:dyDescent="0.25">
      <c r="A57" s="512">
        <f>A55+1</f>
        <v>39</v>
      </c>
      <c r="B57" s="513" t="s">
        <v>1570</v>
      </c>
      <c r="C57" s="519">
        <f ca="1">IS!N$433*1000+IS!N$402*1000-C59-C53-C45</f>
        <v>-179824.93919338565</v>
      </c>
      <c r="E57" s="521">
        <v>0</v>
      </c>
      <c r="F57" s="522"/>
      <c r="G57" s="519">
        <f ca="1">C57*E57</f>
        <v>0</v>
      </c>
      <c r="H57" s="523"/>
      <c r="I57" s="524">
        <f ca="1">G57/366</f>
        <v>0</v>
      </c>
      <c r="K57" s="517">
        <f>$K$9</f>
        <v>45.298333333333332</v>
      </c>
      <c r="L57" s="517"/>
      <c r="M57" s="517">
        <f>-K57</f>
        <v>-45.298333333333332</v>
      </c>
      <c r="O57" s="517">
        <f>K57+M57</f>
        <v>0</v>
      </c>
      <c r="P57" s="517"/>
      <c r="Q57" s="523">
        <f ca="1">I57*O57</f>
        <v>0</v>
      </c>
    </row>
    <row r="58" spans="1:17" x14ac:dyDescent="0.2">
      <c r="C58" s="535"/>
      <c r="E58" s="521"/>
      <c r="F58" s="522"/>
      <c r="G58" s="523"/>
      <c r="H58" s="523"/>
      <c r="I58" s="523"/>
      <c r="K58" s="517"/>
      <c r="L58" s="517"/>
      <c r="O58" s="517"/>
      <c r="P58" s="517"/>
      <c r="Q58" s="523"/>
    </row>
    <row r="59" spans="1:17" ht="15.75" x14ac:dyDescent="0.25">
      <c r="A59" s="512">
        <f>A57+1</f>
        <v>40</v>
      </c>
      <c r="B59" s="513" t="s">
        <v>1571</v>
      </c>
      <c r="C59" s="519">
        <f ca="1">'Print Layout'!D737</f>
        <v>116045467.27503477</v>
      </c>
      <c r="E59" s="521">
        <f ca="1">G59/C59</f>
        <v>0.93817333644181966</v>
      </c>
      <c r="F59" s="522"/>
      <c r="G59" s="519">
        <f ca="1">'Print Layout'!F737</f>
        <v>108870763.21236937</v>
      </c>
      <c r="H59" s="523"/>
      <c r="I59" s="523">
        <f ca="1">G59/366</f>
        <v>297461.10167314037</v>
      </c>
      <c r="K59" s="517">
        <f>$K$9</f>
        <v>45.298333333333332</v>
      </c>
      <c r="L59" s="517"/>
      <c r="M59" s="517">
        <f>-'Lead Lag Days'!E$66</f>
        <v>-88.649999999999991</v>
      </c>
      <c r="O59" s="517">
        <f>K59+M59</f>
        <v>-43.351666666666659</v>
      </c>
      <c r="P59" s="517"/>
      <c r="Q59" s="523">
        <f ca="1">I59*O59</f>
        <v>-12895434.526033422</v>
      </c>
    </row>
    <row r="60" spans="1:17" x14ac:dyDescent="0.2">
      <c r="C60" s="535"/>
      <c r="E60" s="521"/>
      <c r="F60" s="522"/>
      <c r="G60" s="523"/>
      <c r="H60" s="523"/>
      <c r="I60" s="523"/>
      <c r="K60" s="517"/>
      <c r="L60" s="517"/>
      <c r="O60" s="517"/>
      <c r="P60" s="517"/>
      <c r="Q60" s="523"/>
    </row>
    <row r="61" spans="1:17" ht="15.75" x14ac:dyDescent="0.25">
      <c r="A61" s="512">
        <f>A59+1</f>
        <v>41</v>
      </c>
      <c r="B61" s="513" t="s">
        <v>1572</v>
      </c>
      <c r="C61" s="526">
        <f ca="1">'Print Layout'!D49-C24-C31-C37-C43-SUM(C45:C59)</f>
        <v>218129293.02775502</v>
      </c>
      <c r="D61" s="527"/>
      <c r="E61" s="521"/>
      <c r="F61" s="522"/>
      <c r="G61" s="526">
        <f ca="1">'Print Layout'!F64-G59-G45</f>
        <v>211171268.09476835</v>
      </c>
      <c r="H61" s="528"/>
      <c r="I61" s="523">
        <f ca="1">G61/366</f>
        <v>576970.67785455834</v>
      </c>
      <c r="J61" s="527"/>
      <c r="K61" s="517">
        <f>$K$9</f>
        <v>45.298333333333332</v>
      </c>
      <c r="L61" s="517"/>
      <c r="M61" s="517">
        <f>-K61</f>
        <v>-45.298333333333332</v>
      </c>
      <c r="O61" s="517">
        <f>K61+M61</f>
        <v>0</v>
      </c>
      <c r="P61" s="517"/>
      <c r="Q61" s="529">
        <f ca="1">I61*O61</f>
        <v>0</v>
      </c>
    </row>
    <row r="62" spans="1:17" x14ac:dyDescent="0.2">
      <c r="C62" s="535"/>
      <c r="E62" s="521"/>
      <c r="F62" s="522"/>
      <c r="G62" s="523"/>
      <c r="H62" s="523"/>
      <c r="I62" s="523"/>
      <c r="K62" s="517"/>
      <c r="L62" s="517"/>
      <c r="O62" s="517"/>
      <c r="P62" s="517"/>
      <c r="Q62" s="523"/>
    </row>
    <row r="63" spans="1:17" ht="15.75" x14ac:dyDescent="0.25">
      <c r="A63" s="512">
        <f>A61+1</f>
        <v>42</v>
      </c>
      <c r="B63" s="513" t="s">
        <v>682</v>
      </c>
      <c r="C63" s="523">
        <f ca="1">C24+C31+C37+C43+C45+C47+C49+C51+C53+C55+C57+C59+C61</f>
        <v>1736120504.5603521</v>
      </c>
      <c r="E63" s="521"/>
      <c r="F63" s="522"/>
      <c r="G63" s="523">
        <f ca="1">G24+G31+G37+G43+G45+G47+G49+G51+G53+G55+G57+G59+G61</f>
        <v>1637069309.603755</v>
      </c>
      <c r="I63" s="523">
        <f ca="1">I24+I31+I37+I43+I45+I47+I49+I51+I53+I55+I57+I59+I61</f>
        <v>874431.77952769864</v>
      </c>
      <c r="O63" s="517"/>
      <c r="P63" s="517"/>
      <c r="Q63" s="523">
        <f ca="1">Q24+Q31+Q37+Q43+Q45+Q47+Q49+Q51+Q53+Q55+Q57+Q59+Q61</f>
        <v>55088574.420169182</v>
      </c>
    </row>
    <row r="64" spans="1:17" x14ac:dyDescent="0.2">
      <c r="C64" s="535"/>
      <c r="E64" s="521"/>
      <c r="F64" s="522"/>
      <c r="O64" s="517"/>
      <c r="P64" s="517"/>
      <c r="Q64" s="523"/>
    </row>
    <row r="65" spans="1:17" ht="15.75" x14ac:dyDescent="0.25">
      <c r="A65" s="512">
        <f>A63+1</f>
        <v>43</v>
      </c>
      <c r="B65" s="513" t="s">
        <v>2616</v>
      </c>
      <c r="C65" s="519">
        <v>35572411.769999996</v>
      </c>
      <c r="E65" s="521">
        <v>1</v>
      </c>
      <c r="F65" s="522"/>
      <c r="G65" s="519">
        <f>C65*E65</f>
        <v>35572411.769999996</v>
      </c>
      <c r="I65" s="523">
        <f>G65/366</f>
        <v>97192.381885245893</v>
      </c>
      <c r="K65" s="517">
        <f>$K$9</f>
        <v>45.298333333333332</v>
      </c>
      <c r="L65" s="517"/>
      <c r="M65" s="517">
        <f>-'Lead Lag Days'!E70</f>
        <v>-39.803821524307487</v>
      </c>
      <c r="O65" s="517">
        <f>K65+M65</f>
        <v>5.4945118090258447</v>
      </c>
      <c r="P65" s="517"/>
      <c r="Q65" s="523">
        <f>I65*O65</f>
        <v>534024.69001583313</v>
      </c>
    </row>
    <row r="66" spans="1:17" x14ac:dyDescent="0.2">
      <c r="C66" s="535"/>
      <c r="E66" s="521"/>
      <c r="F66" s="522"/>
      <c r="O66" s="517"/>
      <c r="P66" s="517"/>
      <c r="Q66" s="523"/>
    </row>
    <row r="67" spans="1:17" ht="15.75" x14ac:dyDescent="0.25">
      <c r="A67" s="512">
        <f>A65+1</f>
        <v>44</v>
      </c>
      <c r="B67" s="513" t="s">
        <v>1602</v>
      </c>
      <c r="C67" s="519">
        <v>39016853.540000007</v>
      </c>
      <c r="E67" s="521">
        <v>1</v>
      </c>
      <c r="F67" s="522"/>
      <c r="G67" s="519">
        <f>C67*E67</f>
        <v>39016853.540000007</v>
      </c>
      <c r="I67" s="523">
        <f>G67/366</f>
        <v>106603.42497267762</v>
      </c>
      <c r="K67" s="517">
        <f>$K$9</f>
        <v>45.298333333333332</v>
      </c>
      <c r="L67" s="517"/>
      <c r="M67" s="517">
        <f>-'Lead Lag Days'!E72</f>
        <v>-34.949170045269938</v>
      </c>
      <c r="O67" s="517">
        <f>K67+M67</f>
        <v>10.349163288063394</v>
      </c>
      <c r="P67" s="517"/>
      <c r="Q67" s="523">
        <f>I67*O67</f>
        <v>1103256.2521090556</v>
      </c>
    </row>
    <row r="68" spans="1:17" ht="15.75" x14ac:dyDescent="0.25">
      <c r="B68" s="513"/>
      <c r="C68" s="535"/>
      <c r="E68" s="521"/>
      <c r="F68" s="522"/>
      <c r="K68" s="517"/>
      <c r="L68" s="517"/>
      <c r="O68" s="517"/>
      <c r="P68" s="517"/>
      <c r="Q68" s="523"/>
    </row>
    <row r="69" spans="1:17" ht="15.75" x14ac:dyDescent="0.25">
      <c r="A69" s="512">
        <f>A67+1</f>
        <v>45</v>
      </c>
      <c r="B69" s="513" t="s">
        <v>1603</v>
      </c>
      <c r="C69" s="519">
        <v>28463762.329999998</v>
      </c>
      <c r="E69" s="521">
        <v>1</v>
      </c>
      <c r="F69" s="522"/>
      <c r="G69" s="519">
        <f>C69*E69</f>
        <v>28463762.329999998</v>
      </c>
      <c r="I69" s="523">
        <f>G69/366</f>
        <v>77769.842431693978</v>
      </c>
      <c r="K69" s="517">
        <f>$K$9</f>
        <v>45.298333333333332</v>
      </c>
      <c r="L69" s="517"/>
      <c r="M69" s="517">
        <f>-'Lead Lag Days'!E74</f>
        <v>-67.158413809956485</v>
      </c>
      <c r="O69" s="517">
        <f>K69+M69</f>
        <v>-21.860080476623153</v>
      </c>
      <c r="P69" s="517"/>
      <c r="Q69" s="529">
        <f>I69*O69</f>
        <v>-1700055.0142111324</v>
      </c>
    </row>
    <row r="70" spans="1:17" ht="15.75" x14ac:dyDescent="0.25">
      <c r="B70" s="513"/>
      <c r="E70" s="522"/>
      <c r="F70" s="522"/>
      <c r="Q70" s="523"/>
    </row>
    <row r="71" spans="1:17" ht="15.75" x14ac:dyDescent="0.25">
      <c r="A71" s="512">
        <f>A69+1</f>
        <v>46</v>
      </c>
      <c r="B71" s="513" t="s">
        <v>1575</v>
      </c>
      <c r="E71" s="522"/>
      <c r="F71" s="522"/>
      <c r="Q71" s="528">
        <f ca="1">SUM(Q63:Q69)</f>
        <v>55025800.348082937</v>
      </c>
    </row>
    <row r="72" spans="1:17" ht="15.75" x14ac:dyDescent="0.25">
      <c r="B72" s="513"/>
      <c r="E72" s="522"/>
      <c r="F72" s="522"/>
      <c r="Q72" s="523"/>
    </row>
    <row r="73" spans="1:17" ht="15.75" x14ac:dyDescent="0.25">
      <c r="A73" s="512">
        <f>A71+1</f>
        <v>47</v>
      </c>
      <c r="B73" s="513" t="s">
        <v>2671</v>
      </c>
      <c r="E73" s="522"/>
      <c r="F73" s="522"/>
      <c r="Q73" s="529">
        <f ca="1">'KY-CWC-BS'!W31</f>
        <v>43207182.339999989</v>
      </c>
    </row>
    <row r="74" spans="1:17" ht="15.75" x14ac:dyDescent="0.25">
      <c r="B74" s="513"/>
      <c r="E74" s="522"/>
      <c r="F74" s="522"/>
      <c r="Q74" s="523"/>
    </row>
    <row r="75" spans="1:17" ht="16.5" thickBot="1" x14ac:dyDescent="0.3">
      <c r="A75" s="512">
        <f>A73+1</f>
        <v>48</v>
      </c>
      <c r="B75" s="513" t="s">
        <v>1576</v>
      </c>
      <c r="E75" s="522"/>
      <c r="F75" s="522"/>
      <c r="Q75" s="538">
        <f ca="1">SUM(Q71:Q73)</f>
        <v>98232982.688082933</v>
      </c>
    </row>
    <row r="76" spans="1:17" ht="15.75" thickTop="1" x14ac:dyDescent="0.2">
      <c r="E76" s="522"/>
      <c r="F76" s="522"/>
      <c r="Q76" s="523"/>
    </row>
    <row r="77" spans="1:17" x14ac:dyDescent="0.2">
      <c r="Q77" s="523"/>
    </row>
  </sheetData>
  <mergeCells count="4">
    <mergeCell ref="A1:Q1"/>
    <mergeCell ref="A2:Q2"/>
    <mergeCell ref="A3:Q3"/>
    <mergeCell ref="A4:Q4"/>
  </mergeCells>
  <printOptions horizontalCentered="1"/>
  <pageMargins left="0.45" right="0.45" top="1" bottom="0.5" header="0.3" footer="0.3"/>
  <pageSetup scale="4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2"/>
  <sheetViews>
    <sheetView zoomScale="70" zoomScaleNormal="70" workbookViewId="0">
      <pane xSplit="3" ySplit="8" topLeftCell="I9" activePane="bottomRight" state="frozen"/>
      <selection activeCell="E107" sqref="E107"/>
      <selection pane="topRight" activeCell="E107" sqref="E107"/>
      <selection pane="bottomLeft" activeCell="E107" sqref="E107"/>
      <selection pane="bottomRight" activeCell="P36" sqref="P36"/>
    </sheetView>
  </sheetViews>
  <sheetFormatPr defaultRowHeight="15" outlineLevelCol="2" x14ac:dyDescent="0.2"/>
  <cols>
    <col min="1" max="1" width="8.5546875" style="512" customWidth="1"/>
    <col min="2" max="2" width="10.77734375" style="505" customWidth="1"/>
    <col min="3" max="3" width="56.44140625" style="541" customWidth="1"/>
    <col min="4" max="4" width="12.77734375" style="505" customWidth="1" outlineLevel="1"/>
    <col min="5" max="16" width="12.77734375" style="505" customWidth="1" outlineLevel="2"/>
    <col min="17" max="17" width="13.5546875" style="505" customWidth="1"/>
    <col min="18" max="18" width="2.88671875" style="505" customWidth="1"/>
    <col min="19" max="19" width="12.77734375" style="539" customWidth="1"/>
    <col min="20" max="20" width="2.88671875" style="542" hidden="1" customWidth="1"/>
    <col min="21" max="21" width="13.77734375" style="543" hidden="1" customWidth="1"/>
    <col min="22" max="22" width="2.88671875" style="539" customWidth="1"/>
    <col min="23" max="23" width="14.6640625" style="505" customWidth="1"/>
    <col min="24" max="24" width="16.6640625" style="505" customWidth="1"/>
    <col min="25" max="16384" width="8.88671875" style="505"/>
  </cols>
  <sheetData>
    <row r="1" spans="1:25" ht="15.75" x14ac:dyDescent="0.25">
      <c r="A1" s="866" t="s">
        <v>863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8"/>
      <c r="U1" s="868"/>
      <c r="V1" s="866"/>
      <c r="W1" s="866"/>
      <c r="X1" s="504" t="s">
        <v>1521</v>
      </c>
    </row>
    <row r="2" spans="1:25" ht="15.75" x14ac:dyDescent="0.25">
      <c r="A2" s="866" t="s">
        <v>1596</v>
      </c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  <c r="T2" s="868"/>
      <c r="U2" s="868"/>
      <c r="V2" s="866"/>
      <c r="W2" s="866"/>
      <c r="X2" s="504" t="s">
        <v>2672</v>
      </c>
    </row>
    <row r="3" spans="1:25" ht="15.75" x14ac:dyDescent="0.25">
      <c r="A3" s="866" t="s">
        <v>2584</v>
      </c>
      <c r="B3" s="866"/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  <c r="O3" s="866"/>
      <c r="P3" s="866"/>
      <c r="Q3" s="866"/>
      <c r="R3" s="866"/>
      <c r="S3" s="866"/>
      <c r="T3" s="868"/>
      <c r="U3" s="868"/>
      <c r="V3" s="866"/>
      <c r="W3" s="866"/>
      <c r="X3" s="506"/>
    </row>
    <row r="4" spans="1:25" ht="16.5" thickBot="1" x14ac:dyDescent="0.3">
      <c r="A4" s="867" t="s">
        <v>1577</v>
      </c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867"/>
      <c r="S4" s="867"/>
      <c r="T4" s="869"/>
      <c r="U4" s="869"/>
      <c r="V4" s="867"/>
      <c r="W4" s="867"/>
      <c r="X4" s="506"/>
    </row>
    <row r="6" spans="1:25" ht="15.75" x14ac:dyDescent="0.25">
      <c r="A6" s="540" t="s">
        <v>1578</v>
      </c>
    </row>
    <row r="7" spans="1:25" ht="47.25" x14ac:dyDescent="0.25">
      <c r="A7" s="544" t="s">
        <v>1523</v>
      </c>
      <c r="B7" s="507" t="s">
        <v>1579</v>
      </c>
      <c r="C7" s="544" t="s">
        <v>602</v>
      </c>
      <c r="D7" s="545" t="s">
        <v>1504</v>
      </c>
      <c r="E7" s="545" t="s">
        <v>2454</v>
      </c>
      <c r="F7" s="545" t="s">
        <v>2455</v>
      </c>
      <c r="G7" s="545" t="s">
        <v>2456</v>
      </c>
      <c r="H7" s="545" t="s">
        <v>2457</v>
      </c>
      <c r="I7" s="545" t="s">
        <v>2458</v>
      </c>
      <c r="J7" s="545" t="s">
        <v>2459</v>
      </c>
      <c r="K7" s="545" t="s">
        <v>2460</v>
      </c>
      <c r="L7" s="545" t="s">
        <v>2461</v>
      </c>
      <c r="M7" s="545" t="s">
        <v>2462</v>
      </c>
      <c r="N7" s="545" t="s">
        <v>2463</v>
      </c>
      <c r="O7" s="545" t="s">
        <v>2464</v>
      </c>
      <c r="P7" s="545" t="s">
        <v>2465</v>
      </c>
      <c r="Q7" s="507" t="s">
        <v>1580</v>
      </c>
      <c r="R7" s="507"/>
      <c r="S7" s="509" t="s">
        <v>1597</v>
      </c>
      <c r="T7" s="546"/>
      <c r="U7" s="547" t="s">
        <v>1581</v>
      </c>
      <c r="V7" s="509"/>
      <c r="W7" s="507" t="s">
        <v>1601</v>
      </c>
      <c r="X7" s="548"/>
    </row>
    <row r="9" spans="1:25" ht="15" customHeight="1" x14ac:dyDescent="0.2">
      <c r="A9" s="512">
        <v>1</v>
      </c>
      <c r="B9" s="512">
        <v>128</v>
      </c>
      <c r="C9" s="541" t="s">
        <v>2631</v>
      </c>
      <c r="D9" s="523">
        <f>SUMIFS(BS!C$4:C$275,BS!$A$4:$A$275,$B9)*1000</f>
        <v>20762133.4533333</v>
      </c>
      <c r="E9" s="523">
        <f>SUMIFS(BS!D$4:D$275,BS!$A$4:$A$275,$B9)*1000</f>
        <v>21395857.536666602</v>
      </c>
      <c r="F9" s="523">
        <f>SUMIFS(BS!E$4:E$275,BS!$A$4:$A$275,$B9)*1000</f>
        <v>22029581.620000001</v>
      </c>
      <c r="G9" s="523">
        <f>SUMIFS(BS!F$4:F$275,BS!$A$4:$A$275,$B9)*1000</f>
        <v>22663305.7033333</v>
      </c>
      <c r="H9" s="523">
        <f>SUMIFS(BS!G$4:G$275,BS!$A$4:$A$275,$B9)*1000</f>
        <v>23297029.786666602</v>
      </c>
      <c r="I9" s="523">
        <f>SUMIFS(BS!H$4:H$275,BS!$A$4:$A$275,$B9)*1000</f>
        <v>23930753.870000001</v>
      </c>
      <c r="J9" s="523">
        <f>SUMIFS(BS!I$4:I$275,BS!$A$4:$A$275,$B9)*1000</f>
        <v>24564477.9533333</v>
      </c>
      <c r="K9" s="523">
        <f>SUMIFS(BS!J$4:J$275,BS!$A$4:$A$275,$B9)*1000</f>
        <v>25198202.036666602</v>
      </c>
      <c r="L9" s="523">
        <f>SUMIFS(BS!K$4:K$275,BS!$A$4:$A$275,$B9)*1000</f>
        <v>25831926.120000001</v>
      </c>
      <c r="M9" s="523">
        <f>SUMIFS(BS!L$4:L$275,BS!$A$4:$A$275,$B9)*1000</f>
        <v>26522610.120000001</v>
      </c>
      <c r="N9" s="523">
        <f>SUMIFS(BS!M$4:M$275,BS!$A$4:$A$275,$B9)*1000</f>
        <v>27213294.119999997</v>
      </c>
      <c r="O9" s="523">
        <f>SUMIFS(BS!N$4:N$275,BS!$A$4:$A$275,$B9)*1000</f>
        <v>27903978.120000001</v>
      </c>
      <c r="P9" s="523">
        <f>SUMIFS(BS!O$4:O$275,BS!$A$4:$A$275,$B9)*1000</f>
        <v>28594662.120000001</v>
      </c>
      <c r="Q9" s="523">
        <f>AVERAGE(D9:P9)</f>
        <v>24608293.273846131</v>
      </c>
      <c r="R9" s="516"/>
      <c r="S9" s="549">
        <f ca="1">'Print Layout'!F1247</f>
        <v>0.94067565257416896</v>
      </c>
      <c r="T9" s="550"/>
      <c r="U9" s="551">
        <v>1</v>
      </c>
      <c r="W9" s="523">
        <f t="shared" ref="W9:W14" ca="1" si="0">ROUND($Q9*$S9*$U9,2)</f>
        <v>23148422.329999998</v>
      </c>
      <c r="X9" s="523"/>
      <c r="Y9" s="557"/>
    </row>
    <row r="10" spans="1:25" ht="15" customHeight="1" x14ac:dyDescent="0.2">
      <c r="A10" s="512">
        <f>A9+1</f>
        <v>2</v>
      </c>
      <c r="B10" s="512">
        <v>182</v>
      </c>
      <c r="C10" s="541" t="s">
        <v>1583</v>
      </c>
      <c r="D10" s="523">
        <f>SUMIFS(BS!C$4:C$275,BS!$A$4:$A$275,$B10)*1000</f>
        <v>130169432.64046299</v>
      </c>
      <c r="E10" s="523">
        <f>SUMIFS(BS!D$4:D$275,BS!$A$4:$A$275,$B10)*1000</f>
        <v>129709946.197759</v>
      </c>
      <c r="F10" s="523">
        <f>SUMIFS(BS!E$4:E$275,BS!$A$4:$A$275,$B10)*1000</f>
        <v>129439883.547557</v>
      </c>
      <c r="G10" s="523">
        <f>SUMIFS(BS!F$4:F$275,BS!$A$4:$A$275,$B10)*1000</f>
        <v>128980397.10485299</v>
      </c>
      <c r="H10" s="523">
        <f>SUMIFS(BS!G$4:G$275,BS!$A$4:$A$275,$B10)*1000</f>
        <v>128520910.66214901</v>
      </c>
      <c r="I10" s="523">
        <f>SUMIFS(BS!H$4:H$275,BS!$A$4:$A$275,$B10)*1000</f>
        <v>128250848.01194701</v>
      </c>
      <c r="J10" s="523">
        <f>SUMIFS(BS!I$4:I$275,BS!$A$4:$A$275,$B10)*1000</f>
        <v>127791361.569243</v>
      </c>
      <c r="K10" s="523">
        <f>SUMIFS(BS!J$4:J$275,BS!$A$4:$A$275,$B10)*1000</f>
        <v>127331875.12653901</v>
      </c>
      <c r="L10" s="523">
        <f>SUMIFS(BS!K$4:K$275,BS!$A$4:$A$275,$B10)*1000</f>
        <v>127061812.476337</v>
      </c>
      <c r="M10" s="523">
        <f>SUMIFS(BS!L$4:L$275,BS!$A$4:$A$275,$B10)*1000</f>
        <v>126612180.693141</v>
      </c>
      <c r="N10" s="523">
        <f>SUMIFS(BS!M$4:M$275,BS!$A$4:$A$275,$B10)*1000</f>
        <v>126162548.90994501</v>
      </c>
      <c r="O10" s="523">
        <f>SUMIFS(BS!N$4:N$275,BS!$A$4:$A$275,$B10)*1000</f>
        <v>125813239.54886299</v>
      </c>
      <c r="P10" s="523">
        <f>SUMIFS(BS!O$4:O$275,BS!$A$4:$A$275,$B10)*1000</f>
        <v>125363607.76566699</v>
      </c>
      <c r="Q10" s="523">
        <f t="shared" ref="Q10:Q14" si="1">AVERAGE(D10:P10)</f>
        <v>127785234.17342022</v>
      </c>
      <c r="R10" s="516"/>
      <c r="S10" s="549">
        <f ca="1">'Print Layout'!F1247</f>
        <v>0.94067565257416896</v>
      </c>
      <c r="T10" s="550"/>
      <c r="U10" s="551">
        <v>1</v>
      </c>
      <c r="W10" s="523">
        <f t="shared" ca="1" si="0"/>
        <v>120204458.55</v>
      </c>
      <c r="X10" s="523"/>
      <c r="Y10" s="557"/>
    </row>
    <row r="11" spans="1:25" ht="15" customHeight="1" x14ac:dyDescent="0.2">
      <c r="A11" s="512">
        <f t="shared" ref="A11:A14" si="2">A10+1</f>
        <v>3</v>
      </c>
      <c r="B11" s="512">
        <v>183</v>
      </c>
      <c r="C11" s="541" t="s">
        <v>2605</v>
      </c>
      <c r="D11" s="523">
        <f>SUMIFS(BS!C$4:C$275,BS!$A$4:$A$275,$B11)*1000</f>
        <v>4177727.75</v>
      </c>
      <c r="E11" s="523">
        <f>SUMIFS(BS!D$4:D$275,BS!$A$4:$A$275,$B11)*1000</f>
        <v>4177727.75</v>
      </c>
      <c r="F11" s="523">
        <f>SUMIFS(BS!E$4:E$275,BS!$A$4:$A$275,$B11)*1000</f>
        <v>4177727.75</v>
      </c>
      <c r="G11" s="523">
        <f>SUMIFS(BS!F$4:F$275,BS!$A$4:$A$275,$B11)*1000</f>
        <v>4177727.75</v>
      </c>
      <c r="H11" s="523">
        <f>SUMIFS(BS!G$4:G$275,BS!$A$4:$A$275,$B11)*1000</f>
        <v>4177727.75</v>
      </c>
      <c r="I11" s="523">
        <f>SUMIFS(BS!H$4:H$275,BS!$A$4:$A$275,$B11)*1000</f>
        <v>4177727.75</v>
      </c>
      <c r="J11" s="523">
        <f>SUMIFS(BS!I$4:I$275,BS!$A$4:$A$275,$B11)*1000</f>
        <v>4177727.75</v>
      </c>
      <c r="K11" s="523">
        <f>SUMIFS(BS!J$4:J$275,BS!$A$4:$A$275,$B11)*1000</f>
        <v>4177727.75</v>
      </c>
      <c r="L11" s="523">
        <f>SUMIFS(BS!K$4:K$275,BS!$A$4:$A$275,$B11)*1000</f>
        <v>4177727.75</v>
      </c>
      <c r="M11" s="523">
        <f>SUMIFS(BS!L$4:L$275,BS!$A$4:$A$275,$B11)*1000</f>
        <v>4177727.75</v>
      </c>
      <c r="N11" s="523">
        <f>SUMIFS(BS!M$4:M$275,BS!$A$4:$A$275,$B11)*1000</f>
        <v>4177727.75</v>
      </c>
      <c r="O11" s="523">
        <f>SUMIFS(BS!N$4:N$275,BS!$A$4:$A$275,$B11)*1000</f>
        <v>4177727.75</v>
      </c>
      <c r="P11" s="523">
        <f>SUMIFS(BS!O$4:O$275,BS!$A$4:$A$275,$B11)*1000</f>
        <v>4177727.75</v>
      </c>
      <c r="Q11" s="523">
        <f t="shared" si="1"/>
        <v>4177727.75</v>
      </c>
      <c r="R11" s="527"/>
      <c r="S11" s="549">
        <f ca="1">'Print Layout'!F$1302</f>
        <v>0.93817333644181977</v>
      </c>
      <c r="T11" s="552"/>
      <c r="U11" s="551">
        <v>1</v>
      </c>
      <c r="W11" s="523">
        <f ca="1">ROUND($Q11*$S11*$U11,2)</f>
        <v>3919432.78</v>
      </c>
      <c r="X11" s="523"/>
      <c r="Y11" s="557"/>
    </row>
    <row r="12" spans="1:25" ht="15" customHeight="1" x14ac:dyDescent="0.2">
      <c r="A12" s="512">
        <f t="shared" si="2"/>
        <v>4</v>
      </c>
      <c r="B12" s="512">
        <v>184</v>
      </c>
      <c r="C12" s="541" t="s">
        <v>2634</v>
      </c>
      <c r="D12" s="523">
        <f>SUMIFS(BS!C$4:C$275,BS!$A$4:$A$275,$B12)*1000</f>
        <v>3774532.3400000012</v>
      </c>
      <c r="E12" s="523">
        <f>SUMIFS(BS!D$4:D$275,BS!$A$4:$A$275,$B12)*1000</f>
        <v>3774532.3400000012</v>
      </c>
      <c r="F12" s="523">
        <f>SUMIFS(BS!E$4:E$275,BS!$A$4:$A$275,$B12)*1000</f>
        <v>3774532.3400000012</v>
      </c>
      <c r="G12" s="523">
        <f>SUMIFS(BS!F$4:F$275,BS!$A$4:$A$275,$B12)*1000</f>
        <v>3774532.3400000012</v>
      </c>
      <c r="H12" s="523">
        <f>SUMIFS(BS!G$4:G$275,BS!$A$4:$A$275,$B12)*1000</f>
        <v>3774532.3400000012</v>
      </c>
      <c r="I12" s="523">
        <f>SUMIFS(BS!H$4:H$275,BS!$A$4:$A$275,$B12)*1000</f>
        <v>3774532.3400000012</v>
      </c>
      <c r="J12" s="523">
        <f>SUMIFS(BS!I$4:I$275,BS!$A$4:$A$275,$B12)*1000</f>
        <v>3774532.3400000012</v>
      </c>
      <c r="K12" s="523">
        <f>SUMIFS(BS!J$4:J$275,BS!$A$4:$A$275,$B12)*1000</f>
        <v>3774532.3400000012</v>
      </c>
      <c r="L12" s="523">
        <f>SUMIFS(BS!K$4:K$275,BS!$A$4:$A$275,$B12)*1000</f>
        <v>3774532.3400000012</v>
      </c>
      <c r="M12" s="523">
        <f>SUMIFS(BS!L$4:L$275,BS!$A$4:$A$275,$B12)*1000</f>
        <v>3774532.3400000012</v>
      </c>
      <c r="N12" s="523">
        <f>SUMIFS(BS!M$4:M$275,BS!$A$4:$A$275,$B12)*1000</f>
        <v>3774532.3400000012</v>
      </c>
      <c r="O12" s="523">
        <f>SUMIFS(BS!N$4:N$275,BS!$A$4:$A$275,$B12)*1000</f>
        <v>3774532.3400000012</v>
      </c>
      <c r="P12" s="523">
        <f>SUMIFS(BS!O$4:O$275,BS!$A$4:$A$275,$B12)*1000</f>
        <v>3774532.3400000012</v>
      </c>
      <c r="Q12" s="523">
        <f t="shared" ref="Q12" si="3">AVERAGE(D12:P12)</f>
        <v>3774532.3400000017</v>
      </c>
      <c r="R12" s="527"/>
      <c r="S12" s="549">
        <f ca="1">S$10</f>
        <v>0.94067565257416896</v>
      </c>
      <c r="T12" s="550"/>
      <c r="U12" s="551">
        <v>1</v>
      </c>
      <c r="W12" s="523">
        <f t="shared" ca="1" si="0"/>
        <v>3550610.67</v>
      </c>
      <c r="X12" s="523"/>
      <c r="Y12" s="557"/>
    </row>
    <row r="13" spans="1:25" ht="15" customHeight="1" x14ac:dyDescent="0.2">
      <c r="A13" s="512">
        <f t="shared" si="2"/>
        <v>5</v>
      </c>
      <c r="B13" s="512">
        <v>186</v>
      </c>
      <c r="C13" s="541" t="s">
        <v>1584</v>
      </c>
      <c r="D13" s="523">
        <f>SUMIFS(BS!C$4:C$275,BS!$A$4:$A$275,$B13)*1000</f>
        <v>19321838.131558001</v>
      </c>
      <c r="E13" s="523">
        <f>SUMIFS(BS!D$4:D$275,BS!$A$4:$A$275,$B13)*1000</f>
        <v>18438773.839013103</v>
      </c>
      <c r="F13" s="523">
        <f>SUMIFS(BS!E$4:E$275,BS!$A$4:$A$275,$B13)*1000</f>
        <v>18911701.3780597</v>
      </c>
      <c r="G13" s="523">
        <f>SUMIFS(BS!F$4:F$275,BS!$A$4:$A$275,$B13)*1000</f>
        <v>19412748.808189698</v>
      </c>
      <c r="H13" s="523">
        <f>SUMIFS(BS!G$4:G$275,BS!$A$4:$A$275,$B13)*1000</f>
        <v>19926259.987299401</v>
      </c>
      <c r="I13" s="523">
        <f>SUMIFS(BS!H$4:H$275,BS!$A$4:$A$275,$B13)*1000</f>
        <v>20341909.1133691</v>
      </c>
      <c r="J13" s="523">
        <f>SUMIFS(BS!I$4:I$275,BS!$A$4:$A$275,$B13)*1000</f>
        <v>20749057.941222798</v>
      </c>
      <c r="K13" s="523">
        <f>SUMIFS(BS!J$4:J$275,BS!$A$4:$A$275,$B13)*1000</f>
        <v>21286986.3980693</v>
      </c>
      <c r="L13" s="523">
        <f>SUMIFS(BS!K$4:K$275,BS!$A$4:$A$275,$B13)*1000</f>
        <v>21760183.379903398</v>
      </c>
      <c r="M13" s="523">
        <f>SUMIFS(BS!L$4:L$275,BS!$A$4:$A$275,$B13)*1000</f>
        <v>22508078.4972881</v>
      </c>
      <c r="N13" s="523">
        <f>SUMIFS(BS!M$4:M$275,BS!$A$4:$A$275,$B13)*1000</f>
        <v>22827901.119197</v>
      </c>
      <c r="O13" s="523">
        <f>SUMIFS(BS!N$4:N$275,BS!$A$4:$A$275,$B13)*1000</f>
        <v>8275984.7449352397</v>
      </c>
      <c r="P13" s="523">
        <f>SUMIFS(BS!O$4:O$275,BS!$A$4:$A$275,$B13)*1000</f>
        <v>4757509.1288919905</v>
      </c>
      <c r="Q13" s="523">
        <f t="shared" si="1"/>
        <v>18347610.189768989</v>
      </c>
      <c r="R13" s="527"/>
      <c r="S13" s="549">
        <f ca="1">S$10</f>
        <v>0.94067565257416896</v>
      </c>
      <c r="T13" s="550"/>
      <c r="U13" s="551">
        <v>1</v>
      </c>
      <c r="W13" s="523">
        <f t="shared" ca="1" si="0"/>
        <v>17259150.190000001</v>
      </c>
      <c r="X13" s="523"/>
      <c r="Y13" s="557"/>
    </row>
    <row r="14" spans="1:25" ht="15" customHeight="1" x14ac:dyDescent="0.2">
      <c r="A14" s="512">
        <f t="shared" si="2"/>
        <v>6</v>
      </c>
      <c r="B14" s="512">
        <v>188</v>
      </c>
      <c r="C14" s="541" t="s">
        <v>2604</v>
      </c>
      <c r="D14" s="523">
        <f>SUMIFS(BS!C$4:C$275,BS!$A$4:$A$275,$B14)*1000</f>
        <v>866939.40999999992</v>
      </c>
      <c r="E14" s="523">
        <f>SUMIFS(BS!D$4:D$275,BS!$A$4:$A$275,$B14)*1000</f>
        <v>840726.84999999905</v>
      </c>
      <c r="F14" s="523">
        <f>SUMIFS(BS!E$4:E$275,BS!$A$4:$A$275,$B14)*1000</f>
        <v>814514.28999999911</v>
      </c>
      <c r="G14" s="523">
        <f>SUMIFS(BS!F$4:F$275,BS!$A$4:$A$275,$B14)*1000</f>
        <v>788301.72999999905</v>
      </c>
      <c r="H14" s="523">
        <f>SUMIFS(BS!G$4:G$275,BS!$A$4:$A$275,$B14)*1000</f>
        <v>762089.16999999899</v>
      </c>
      <c r="I14" s="523">
        <f>SUMIFS(BS!H$4:H$275,BS!$A$4:$A$275,$B14)*1000</f>
        <v>735876.60999999905</v>
      </c>
      <c r="J14" s="523">
        <f>SUMIFS(BS!I$4:I$275,BS!$A$4:$A$275,$B14)*1000</f>
        <v>709664.049999999</v>
      </c>
      <c r="K14" s="523">
        <f>SUMIFS(BS!J$4:J$275,BS!$A$4:$A$275,$B14)*1000</f>
        <v>683451.48999999906</v>
      </c>
      <c r="L14" s="523">
        <f>SUMIFS(BS!K$4:K$275,BS!$A$4:$A$275,$B14)*1000</f>
        <v>657238.929999999</v>
      </c>
      <c r="M14" s="523">
        <f>SUMIFS(BS!L$4:L$275,BS!$A$4:$A$275,$B14)*1000</f>
        <v>631026.36999999906</v>
      </c>
      <c r="N14" s="523">
        <f>SUMIFS(BS!M$4:M$275,BS!$A$4:$A$275,$B14)*1000</f>
        <v>604813.80999999901</v>
      </c>
      <c r="O14" s="523">
        <f>SUMIFS(BS!N$4:N$275,BS!$A$4:$A$275,$B14)*1000</f>
        <v>578601.24999999907</v>
      </c>
      <c r="P14" s="523">
        <f>SUMIFS(BS!O$4:O$275,BS!$A$4:$A$275,$B14)*1000</f>
        <v>552388.68999999901</v>
      </c>
      <c r="Q14" s="523">
        <f t="shared" si="1"/>
        <v>709664.04999999912</v>
      </c>
      <c r="R14" s="527"/>
      <c r="S14" s="549">
        <f ca="1">S$10</f>
        <v>0.94067565257416896</v>
      </c>
      <c r="T14" s="550"/>
      <c r="U14" s="551">
        <v>1</v>
      </c>
      <c r="W14" s="523">
        <f t="shared" ca="1" si="0"/>
        <v>667563.68999999994</v>
      </c>
      <c r="X14" s="523"/>
      <c r="Y14" s="557"/>
    </row>
    <row r="15" spans="1:25" ht="15" customHeight="1" x14ac:dyDescent="0.2">
      <c r="Y15" s="557"/>
    </row>
    <row r="16" spans="1:25" ht="15" customHeight="1" x14ac:dyDescent="0.25">
      <c r="A16" s="512">
        <f>A14+1</f>
        <v>7</v>
      </c>
      <c r="B16" s="513" t="s">
        <v>1585</v>
      </c>
      <c r="Q16" s="553">
        <f>SUM(Q9:Q14)</f>
        <v>179403061.77703536</v>
      </c>
      <c r="R16" s="516"/>
      <c r="T16" s="550"/>
      <c r="W16" s="553">
        <f ca="1">SUM(W9:W14)</f>
        <v>168749638.20999998</v>
      </c>
      <c r="X16" s="528"/>
      <c r="Y16" s="557"/>
    </row>
    <row r="17" spans="1:25" ht="15" customHeight="1" x14ac:dyDescent="0.2">
      <c r="Y17" s="557"/>
    </row>
    <row r="18" spans="1:25" ht="15" customHeight="1" x14ac:dyDescent="0.25">
      <c r="A18" s="540" t="s">
        <v>1586</v>
      </c>
      <c r="Y18" s="557"/>
    </row>
    <row r="19" spans="1:25" ht="47.25" x14ac:dyDescent="0.25">
      <c r="A19" s="544" t="s">
        <v>1523</v>
      </c>
      <c r="B19" s="507" t="s">
        <v>1579</v>
      </c>
      <c r="C19" s="544" t="s">
        <v>602</v>
      </c>
      <c r="D19" s="545" t="str">
        <f t="shared" ref="D19:P19" si="4">D7</f>
        <v>Apr 2019</v>
      </c>
      <c r="E19" s="545" t="str">
        <f t="shared" si="4"/>
        <v>May 2019</v>
      </c>
      <c r="F19" s="545" t="str">
        <f t="shared" si="4"/>
        <v>Jun 2019</v>
      </c>
      <c r="G19" s="545" t="str">
        <f t="shared" si="4"/>
        <v>Jul 2019</v>
      </c>
      <c r="H19" s="545" t="str">
        <f t="shared" si="4"/>
        <v>Aug 2019</v>
      </c>
      <c r="I19" s="545" t="str">
        <f t="shared" si="4"/>
        <v>Sep 2019</v>
      </c>
      <c r="J19" s="545" t="str">
        <f t="shared" si="4"/>
        <v>Oct 2019</v>
      </c>
      <c r="K19" s="545" t="str">
        <f t="shared" si="4"/>
        <v>Nov 2019</v>
      </c>
      <c r="L19" s="545" t="str">
        <f t="shared" si="4"/>
        <v>Dec 2019</v>
      </c>
      <c r="M19" s="545" t="str">
        <f t="shared" si="4"/>
        <v>Jan 2020</v>
      </c>
      <c r="N19" s="545" t="str">
        <f t="shared" si="4"/>
        <v>Feb 2020</v>
      </c>
      <c r="O19" s="545" t="str">
        <f t="shared" si="4"/>
        <v>Mar 2020</v>
      </c>
      <c r="P19" s="545" t="str">
        <f t="shared" si="4"/>
        <v>Apr 2020</v>
      </c>
      <c r="Q19" s="507" t="s">
        <v>1580</v>
      </c>
      <c r="R19" s="507"/>
      <c r="S19" s="509" t="str">
        <f>S7</f>
        <v>Kentucky Allocation Factor</v>
      </c>
      <c r="T19" s="546"/>
      <c r="U19" s="547" t="str">
        <f>U7</f>
        <v>Virginia Jurisdictional Percentage</v>
      </c>
      <c r="V19" s="509"/>
      <c r="W19" s="507" t="str">
        <f>W7</f>
        <v>Kentucky Amount</v>
      </c>
      <c r="X19" s="548"/>
    </row>
    <row r="20" spans="1:25" ht="15" customHeight="1" x14ac:dyDescent="0.2">
      <c r="Y20" s="557"/>
    </row>
    <row r="21" spans="1:25" ht="15" customHeight="1" x14ac:dyDescent="0.2">
      <c r="A21" s="512">
        <f>A16+1</f>
        <v>8</v>
      </c>
      <c r="B21" s="512">
        <v>228.2</v>
      </c>
      <c r="C21" s="541" t="s">
        <v>2606</v>
      </c>
      <c r="D21" s="523">
        <f>SUMIFS(BS!C$4:C$275,BS!$A$4:$A$275,$B21)*-1000</f>
        <v>-3198333.0800000005</v>
      </c>
      <c r="E21" s="523">
        <f>SUMIFS(BS!D$4:D$275,BS!$A$4:$A$275,$B21)*-1000</f>
        <v>-3198333.0800000005</v>
      </c>
      <c r="F21" s="523">
        <f>SUMIFS(BS!E$4:E$275,BS!$A$4:$A$275,$B21)*-1000</f>
        <v>-3198333.0800000005</v>
      </c>
      <c r="G21" s="523">
        <f>SUMIFS(BS!F$4:F$275,BS!$A$4:$A$275,$B21)*-1000</f>
        <v>-3198333.0800000005</v>
      </c>
      <c r="H21" s="523">
        <f>SUMIFS(BS!G$4:G$275,BS!$A$4:$A$275,$B21)*-1000</f>
        <v>-3198333.0800000005</v>
      </c>
      <c r="I21" s="523">
        <f>SUMIFS(BS!H$4:H$275,BS!$A$4:$A$275,$B21)*-1000</f>
        <v>-3198333.0800000005</v>
      </c>
      <c r="J21" s="523">
        <f>SUMIFS(BS!I$4:I$275,BS!$A$4:$A$275,$B21)*-1000</f>
        <v>-3198333.0800000005</v>
      </c>
      <c r="K21" s="523">
        <f>SUMIFS(BS!J$4:J$275,BS!$A$4:$A$275,$B21)*-1000</f>
        <v>-3198333.0800000005</v>
      </c>
      <c r="L21" s="523">
        <f>SUMIFS(BS!K$4:K$275,BS!$A$4:$A$275,$B21)*-1000</f>
        <v>-3198333.0800000005</v>
      </c>
      <c r="M21" s="523">
        <f>SUMIFS(BS!L$4:L$275,BS!$A$4:$A$275,$B21)*-1000</f>
        <v>-3198333.0800000005</v>
      </c>
      <c r="N21" s="523">
        <f>SUMIFS(BS!M$4:M$275,BS!$A$4:$A$275,$B21)*-1000</f>
        <v>-3198333.0800000005</v>
      </c>
      <c r="O21" s="523">
        <f>SUMIFS(BS!N$4:N$275,BS!$A$4:$A$275,$B21)*-1000</f>
        <v>-3198333.0800000005</v>
      </c>
      <c r="P21" s="523">
        <f>SUMIFS(BS!O$4:O$275,BS!$A$4:$A$275,$B21)*-1000</f>
        <v>-3198333.0800000005</v>
      </c>
      <c r="Q21" s="523">
        <f>AVERAGE(D21:P21)</f>
        <v>-3198333.0800000005</v>
      </c>
      <c r="R21" s="516"/>
      <c r="S21" s="549">
        <f ca="1">S$10</f>
        <v>0.94067565257416896</v>
      </c>
      <c r="T21" s="550"/>
      <c r="U21" s="551">
        <v>1</v>
      </c>
      <c r="W21" s="523">
        <f t="shared" ref="W21:W27" ca="1" si="5">ROUND($Q21*$S21*$U21,2)</f>
        <v>-3008594.06</v>
      </c>
      <c r="X21" s="523"/>
      <c r="Y21" s="557"/>
    </row>
    <row r="22" spans="1:25" ht="15" customHeight="1" x14ac:dyDescent="0.2">
      <c r="A22" s="512">
        <f t="shared" ref="A22:A27" si="6">A21+1</f>
        <v>9</v>
      </c>
      <c r="B22" s="512">
        <v>228.3</v>
      </c>
      <c r="C22" s="541" t="s">
        <v>2607</v>
      </c>
      <c r="D22" s="523">
        <f>SUMIFS(BS!C$4:C$275,BS!$A$4:$A$275,$B22)*-1000</f>
        <v>-27932084.096666601</v>
      </c>
      <c r="E22" s="523">
        <f>SUMIFS(BS!D$4:D$275,BS!$A$4:$A$275,$B22)*-1000</f>
        <v>-27983160.013333302</v>
      </c>
      <c r="F22" s="523">
        <f>SUMIFS(BS!E$4:E$275,BS!$A$4:$A$275,$B22)*-1000</f>
        <v>-26744469.68</v>
      </c>
      <c r="G22" s="523">
        <f>SUMIFS(BS!F$4:F$275,BS!$A$4:$A$275,$B22)*-1000</f>
        <v>-26795545.596666601</v>
      </c>
      <c r="H22" s="523">
        <f>SUMIFS(BS!G$4:G$275,BS!$A$4:$A$275,$B22)*-1000</f>
        <v>-26846621.513333298</v>
      </c>
      <c r="I22" s="523">
        <f>SUMIFS(BS!H$4:H$275,BS!$A$4:$A$275,$B22)*-1000</f>
        <v>-25607931.18</v>
      </c>
      <c r="J22" s="523">
        <f>SUMIFS(BS!I$4:I$275,BS!$A$4:$A$275,$B22)*-1000</f>
        <v>-25659007.096666601</v>
      </c>
      <c r="K22" s="523">
        <f>SUMIFS(BS!J$4:J$275,BS!$A$4:$A$275,$B22)*-1000</f>
        <v>-25710083.013333302</v>
      </c>
      <c r="L22" s="523">
        <f>SUMIFS(BS!K$4:K$275,BS!$A$4:$A$275,$B22)*-1000</f>
        <v>-24471392.68</v>
      </c>
      <c r="M22" s="523">
        <f>SUMIFS(BS!L$4:L$275,BS!$A$4:$A$275,$B22)*-1000</f>
        <v>-24518321.68</v>
      </c>
      <c r="N22" s="523">
        <f>SUMIFS(BS!M$4:M$275,BS!$A$4:$A$275,$B22)*-1000</f>
        <v>-24565250.68</v>
      </c>
      <c r="O22" s="523">
        <f>SUMIFS(BS!N$4:N$275,BS!$A$4:$A$275,$B22)*-1000</f>
        <v>-23299402.68</v>
      </c>
      <c r="P22" s="523">
        <f>SUMIFS(BS!O$4:O$275,BS!$A$4:$A$275,$B22)*-1000</f>
        <v>-23346331.68</v>
      </c>
      <c r="Q22" s="523">
        <f t="shared" ref="Q22:Q27" si="7">AVERAGE(D22:P22)</f>
        <v>-25652277.045384593</v>
      </c>
      <c r="R22" s="516"/>
      <c r="S22" s="549">
        <f ca="1">S$10</f>
        <v>0.94067565257416896</v>
      </c>
      <c r="T22" s="550"/>
      <c r="U22" s="551">
        <v>1</v>
      </c>
      <c r="W22" s="523">
        <f t="shared" ca="1" si="5"/>
        <v>-24130472.449999999</v>
      </c>
      <c r="X22" s="523"/>
      <c r="Y22" s="557"/>
    </row>
    <row r="23" spans="1:25" ht="15" customHeight="1" x14ac:dyDescent="0.2">
      <c r="A23" s="512">
        <f t="shared" si="6"/>
        <v>10</v>
      </c>
      <c r="B23" s="512">
        <v>242</v>
      </c>
      <c r="C23" s="541" t="s">
        <v>1587</v>
      </c>
      <c r="D23" s="523">
        <f>SUMIFS(BS!C$4:C$275,BS!$A$4:$A$275,$B23)*-1000</f>
        <v>-18870550.530080914</v>
      </c>
      <c r="E23" s="523">
        <f>SUMIFS(BS!D$4:D$275,BS!$A$4:$A$275,$B23)*-1000</f>
        <v>-18945393.056926444</v>
      </c>
      <c r="F23" s="523">
        <f>SUMIFS(BS!E$4:E$275,BS!$A$4:$A$275,$B23)*-1000</f>
        <v>-18998281.831429817</v>
      </c>
      <c r="G23" s="523">
        <f>SUMIFS(BS!F$4:F$275,BS!$A$4:$A$275,$B23)*-1000</f>
        <v>-19068455.076913461</v>
      </c>
      <c r="H23" s="523">
        <f>SUMIFS(BS!G$4:G$275,BS!$A$4:$A$275,$B23)*-1000</f>
        <v>-19144375.808218062</v>
      </c>
      <c r="I23" s="523">
        <f>SUMIFS(BS!H$4:H$275,BS!$A$4:$A$275,$B23)*-1000</f>
        <v>-19207190.23549803</v>
      </c>
      <c r="J23" s="523">
        <f>SUMIFS(BS!I$4:I$275,BS!$A$4:$A$275,$B23)*-1000</f>
        <v>-19286718.063394494</v>
      </c>
      <c r="K23" s="523">
        <f>SUMIFS(BS!J$4:J$275,BS!$A$4:$A$275,$B23)*-1000</f>
        <v>-19343286.012912739</v>
      </c>
      <c r="L23" s="523">
        <f>SUMIFS(BS!K$4:K$275,BS!$A$4:$A$275,$B23)*-1000</f>
        <v>-19397787.48360971</v>
      </c>
      <c r="M23" s="523">
        <f>SUMIFS(BS!L$4:L$275,BS!$A$4:$A$275,$B23)*-1000</f>
        <v>-19486414.709200215</v>
      </c>
      <c r="N23" s="523">
        <f>SUMIFS(BS!M$4:M$275,BS!$A$4:$A$275,$B23)*-1000</f>
        <v>-19555716.15506798</v>
      </c>
      <c r="O23" s="523">
        <f>SUMIFS(BS!N$4:N$275,BS!$A$4:$A$275,$B23)*-1000</f>
        <v>-18382657.459085189</v>
      </c>
      <c r="P23" s="523">
        <f>SUMIFS(BS!O$4:O$275,BS!$A$4:$A$275,$B23)*-1000</f>
        <v>-18458439.94427133</v>
      </c>
      <c r="Q23" s="523">
        <f t="shared" si="7"/>
        <v>-19088097.412816029</v>
      </c>
      <c r="R23" s="516"/>
      <c r="S23" s="549">
        <f ca="1">S$10</f>
        <v>0.94067565257416896</v>
      </c>
      <c r="T23" s="550"/>
      <c r="U23" s="551">
        <v>1</v>
      </c>
      <c r="W23" s="523">
        <f t="shared" ca="1" si="5"/>
        <v>-17955708.489999998</v>
      </c>
      <c r="X23" s="523"/>
      <c r="Y23" s="557"/>
    </row>
    <row r="24" spans="1:25" ht="15" customHeight="1" x14ac:dyDescent="0.2">
      <c r="A24" s="512">
        <f t="shared" si="6"/>
        <v>11</v>
      </c>
      <c r="B24" s="512">
        <v>253</v>
      </c>
      <c r="C24" s="541" t="s">
        <v>2608</v>
      </c>
      <c r="D24" s="523">
        <f>SUMIFS(BS!C$4:C$275,BS!$A$4:$A$275,$B24)*-1000</f>
        <v>-1739959.09</v>
      </c>
      <c r="E24" s="523">
        <f>SUMIFS(BS!D$4:D$275,BS!$A$4:$A$275,$B24)*-1000</f>
        <v>-1739959.09</v>
      </c>
      <c r="F24" s="523">
        <f>SUMIFS(BS!E$4:E$275,BS!$A$4:$A$275,$B24)*-1000</f>
        <v>-1739959.09</v>
      </c>
      <c r="G24" s="523">
        <f>SUMIFS(BS!F$4:F$275,BS!$A$4:$A$275,$B24)*-1000</f>
        <v>-1739959.09</v>
      </c>
      <c r="H24" s="523">
        <f>SUMIFS(BS!G$4:G$275,BS!$A$4:$A$275,$B24)*-1000</f>
        <v>-1739959.09</v>
      </c>
      <c r="I24" s="523">
        <f>SUMIFS(BS!H$4:H$275,BS!$A$4:$A$275,$B24)*-1000</f>
        <v>-1739959.09</v>
      </c>
      <c r="J24" s="523">
        <f>SUMIFS(BS!I$4:I$275,BS!$A$4:$A$275,$B24)*-1000</f>
        <v>-1739959.09</v>
      </c>
      <c r="K24" s="523">
        <f>SUMIFS(BS!J$4:J$275,BS!$A$4:$A$275,$B24)*-1000</f>
        <v>-1739959.09</v>
      </c>
      <c r="L24" s="523">
        <f>SUMIFS(BS!K$4:K$275,BS!$A$4:$A$275,$B24)*-1000</f>
        <v>-1739959.09</v>
      </c>
      <c r="M24" s="523">
        <f>SUMIFS(BS!L$4:L$275,BS!$A$4:$A$275,$B24)*-1000</f>
        <v>-1739959.09</v>
      </c>
      <c r="N24" s="523">
        <f>SUMIFS(BS!M$4:M$275,BS!$A$4:$A$275,$B24)*-1000</f>
        <v>-1739959.09</v>
      </c>
      <c r="O24" s="523">
        <f>SUMIFS(BS!N$4:N$275,BS!$A$4:$A$275,$B24)*-1000</f>
        <v>-1739959.09</v>
      </c>
      <c r="P24" s="523">
        <f>SUMIFS(BS!O$4:O$275,BS!$A$4:$A$275,$B24)*-1000</f>
        <v>-1739959.09</v>
      </c>
      <c r="Q24" s="523">
        <f t="shared" si="7"/>
        <v>-1739959.09</v>
      </c>
      <c r="R24" s="527"/>
      <c r="S24" s="549">
        <f ca="1">S$11</f>
        <v>0.93817333644181977</v>
      </c>
      <c r="T24" s="552"/>
      <c r="U24" s="551">
        <v>1</v>
      </c>
      <c r="W24" s="523">
        <f t="shared" ca="1" si="5"/>
        <v>-1632383.22</v>
      </c>
      <c r="X24" s="523"/>
      <c r="Y24" s="557"/>
    </row>
    <row r="25" spans="1:25" ht="15" customHeight="1" x14ac:dyDescent="0.2">
      <c r="A25" s="512">
        <f t="shared" si="6"/>
        <v>12</v>
      </c>
      <c r="B25" s="512">
        <v>254</v>
      </c>
      <c r="C25" s="541" t="s">
        <v>2609</v>
      </c>
      <c r="D25" s="523">
        <f>SUMIFS(BS!C$4:C$275,BS!$A$4:$A$275,$B25)*-1000</f>
        <v>-29116514.5</v>
      </c>
      <c r="E25" s="523">
        <f>SUMIFS(BS!D$4:D$275,BS!$A$4:$A$275,$B25)*-1000</f>
        <v>-29113495.25</v>
      </c>
      <c r="F25" s="523">
        <f>SUMIFS(BS!E$4:E$275,BS!$A$4:$A$275,$B25)*-1000</f>
        <v>-29110476</v>
      </c>
      <c r="G25" s="523">
        <f>SUMIFS(BS!F$4:F$275,BS!$A$4:$A$275,$B25)*-1000</f>
        <v>-29107456.749999899</v>
      </c>
      <c r="H25" s="523">
        <f>SUMIFS(BS!G$4:G$275,BS!$A$4:$A$275,$B25)*-1000</f>
        <v>-29104437.499999903</v>
      </c>
      <c r="I25" s="523">
        <f>SUMIFS(BS!H$4:H$275,BS!$A$4:$A$275,$B25)*-1000</f>
        <v>-29101418.249999899</v>
      </c>
      <c r="J25" s="523">
        <f>SUMIFS(BS!I$4:I$275,BS!$A$4:$A$275,$B25)*-1000</f>
        <v>-29098398.999999899</v>
      </c>
      <c r="K25" s="523">
        <f>SUMIFS(BS!J$4:J$275,BS!$A$4:$A$275,$B25)*-1000</f>
        <v>-29095379.749999899</v>
      </c>
      <c r="L25" s="523">
        <f>SUMIFS(BS!K$4:K$275,BS!$A$4:$A$275,$B25)*-1000</f>
        <v>-29092360.499999899</v>
      </c>
      <c r="M25" s="523">
        <f>SUMIFS(BS!L$4:L$275,BS!$A$4:$A$275,$B25)*-1000</f>
        <v>-29091310.666666597</v>
      </c>
      <c r="N25" s="523">
        <f>SUMIFS(BS!M$4:M$275,BS!$A$4:$A$275,$B25)*-1000</f>
        <v>-29090260.833333302</v>
      </c>
      <c r="O25" s="523">
        <f>SUMIFS(BS!N$4:N$275,BS!$A$4:$A$275,$B25)*-1000</f>
        <v>-29089210.999999899</v>
      </c>
      <c r="P25" s="523">
        <f>SUMIFS(BS!O$4:O$275,BS!$A$4:$A$275,$B25)*-1000</f>
        <v>-29088161.166666601</v>
      </c>
      <c r="Q25" s="523">
        <f t="shared" si="7"/>
        <v>-29099913.935897373</v>
      </c>
      <c r="R25" s="516"/>
      <c r="S25" s="549">
        <f ca="1">S$10</f>
        <v>0.94067565257416896</v>
      </c>
      <c r="T25" s="550"/>
      <c r="U25" s="551">
        <v>1</v>
      </c>
      <c r="W25" s="523">
        <f t="shared" ca="1" si="5"/>
        <v>-27373580.530000001</v>
      </c>
      <c r="X25" s="523"/>
      <c r="Y25" s="557"/>
    </row>
    <row r="26" spans="1:25" ht="15" customHeight="1" x14ac:dyDescent="0.2">
      <c r="A26" s="512">
        <f t="shared" si="6"/>
        <v>13</v>
      </c>
      <c r="B26" s="692" t="s">
        <v>2615</v>
      </c>
      <c r="C26" s="541" t="s">
        <v>1588</v>
      </c>
      <c r="D26" s="523">
        <f>'VA-CWC-BS'!D41</f>
        <v>-49730999.966597773</v>
      </c>
      <c r="E26" s="523">
        <f>'VA-CWC-BS'!E41</f>
        <v>-35434234.233244725</v>
      </c>
      <c r="F26" s="523">
        <f>'VA-CWC-BS'!F41</f>
        <v>-38861343.992961735</v>
      </c>
      <c r="G26" s="523">
        <f>'VA-CWC-BS'!G41</f>
        <v>-30421581.969484922</v>
      </c>
      <c r="H26" s="523">
        <f>'VA-CWC-BS'!H41</f>
        <v>-32788440.23366968</v>
      </c>
      <c r="I26" s="523">
        <f>'VA-CWC-BS'!I41</f>
        <v>-37240214.486700773</v>
      </c>
      <c r="J26" s="523">
        <f>'VA-CWC-BS'!J41</f>
        <v>-36356781.271895893</v>
      </c>
      <c r="K26" s="523">
        <f>'VA-CWC-BS'!K41</f>
        <v>-54535948.127307527</v>
      </c>
      <c r="L26" s="523">
        <f>'VA-CWC-BS'!L41</f>
        <v>-67580269.445804745</v>
      </c>
      <c r="M26" s="523">
        <f>'VA-CWC-BS'!M41</f>
        <v>-75095759.397510514</v>
      </c>
      <c r="N26" s="523">
        <f>'VA-CWC-BS'!N41</f>
        <v>-80695828.443967596</v>
      </c>
      <c r="O26" s="523">
        <f>'VA-CWC-BS'!O41</f>
        <v>-54953924.844436049</v>
      </c>
      <c r="P26" s="523">
        <f>'VA-CWC-BS'!P41</f>
        <v>-84076470.344651237</v>
      </c>
      <c r="Q26" s="523">
        <f t="shared" si="7"/>
        <v>-52136292.058325619</v>
      </c>
      <c r="R26" s="527"/>
      <c r="S26" s="549">
        <f ca="1">S$11</f>
        <v>0.93817333644181977</v>
      </c>
      <c r="T26" s="689"/>
      <c r="U26" s="685">
        <v>1</v>
      </c>
      <c r="W26" s="523">
        <f t="shared" ca="1" si="5"/>
        <v>-48912879.07</v>
      </c>
      <c r="X26" s="523"/>
      <c r="Y26" s="549"/>
    </row>
    <row r="27" spans="1:25" ht="15" customHeight="1" x14ac:dyDescent="0.2">
      <c r="A27" s="512">
        <f t="shared" si="6"/>
        <v>14</v>
      </c>
      <c r="B27" s="692" t="s">
        <v>2615</v>
      </c>
      <c r="C27" s="541" t="s">
        <v>1589</v>
      </c>
      <c r="D27" s="523">
        <f>'VA-CWC-BS'!D45</f>
        <v>-5065419.6189497877</v>
      </c>
      <c r="E27" s="523">
        <f>'VA-CWC-BS'!E45</f>
        <v>-2838346.5830462556</v>
      </c>
      <c r="F27" s="523">
        <f>'VA-CWC-BS'!F45</f>
        <v>-1967717.3935813785</v>
      </c>
      <c r="G27" s="523">
        <f>'VA-CWC-BS'!G45</f>
        <v>-2814630.1033493965</v>
      </c>
      <c r="H27" s="523">
        <f>'VA-CWC-BS'!H45</f>
        <v>-3354916.3879868039</v>
      </c>
      <c r="I27" s="523">
        <f>'VA-CWC-BS'!I45</f>
        <v>-2839124.6460700398</v>
      </c>
      <c r="J27" s="523">
        <f>'VA-CWC-BS'!J45</f>
        <v>-1674624.5968120005</v>
      </c>
      <c r="K27" s="523">
        <f>'VA-CWC-BS'!K45</f>
        <v>-1648240.0671513719</v>
      </c>
      <c r="L27" s="523">
        <f>'VA-CWC-BS'!L45</f>
        <v>-4912730.6232296778</v>
      </c>
      <c r="M27" s="523">
        <f>'VA-CWC-BS'!M45</f>
        <v>-2344316.7307966407</v>
      </c>
      <c r="N27" s="523">
        <f>'VA-CWC-BS'!N45</f>
        <v>-2366018.1285970705</v>
      </c>
      <c r="O27" s="523">
        <f>'VA-CWC-BS'!O45</f>
        <v>-1164996.7742526599</v>
      </c>
      <c r="P27" s="523">
        <f>'VA-CWC-BS'!P45</f>
        <v>-2050304.9561831078</v>
      </c>
      <c r="Q27" s="523">
        <f t="shared" si="7"/>
        <v>-2695491.2776927846</v>
      </c>
      <c r="R27" s="527"/>
      <c r="S27" s="549">
        <f ca="1">S$11</f>
        <v>0.93817333644181977</v>
      </c>
      <c r="T27" s="689"/>
      <c r="U27" s="685">
        <v>1</v>
      </c>
      <c r="W27" s="523">
        <f t="shared" ca="1" si="5"/>
        <v>-2528838.0499999998</v>
      </c>
      <c r="X27" s="523"/>
      <c r="Y27" s="549"/>
    </row>
    <row r="28" spans="1:25" ht="15" customHeight="1" x14ac:dyDescent="0.2">
      <c r="W28" s="523"/>
      <c r="X28" s="523"/>
    </row>
    <row r="29" spans="1:25" ht="15" customHeight="1" x14ac:dyDescent="0.25">
      <c r="A29" s="512">
        <f>A27+1</f>
        <v>15</v>
      </c>
      <c r="B29" s="513" t="s">
        <v>1590</v>
      </c>
      <c r="Q29" s="553">
        <f>SUM(Q21:Q27)</f>
        <v>-133610363.9001164</v>
      </c>
      <c r="R29" s="516"/>
      <c r="T29" s="550"/>
      <c r="W29" s="553">
        <f ca="1">SUM(W21:W27)</f>
        <v>-125542455.86999999</v>
      </c>
      <c r="X29" s="528"/>
    </row>
    <row r="30" spans="1:25" ht="15" customHeight="1" x14ac:dyDescent="0.2">
      <c r="W30" s="523"/>
      <c r="X30" s="523"/>
    </row>
    <row r="31" spans="1:25" ht="15" customHeight="1" thickBot="1" x14ac:dyDescent="0.3">
      <c r="A31" s="512">
        <f>A29+1</f>
        <v>16</v>
      </c>
      <c r="B31" s="513" t="s">
        <v>1591</v>
      </c>
      <c r="Q31" s="554">
        <f>Q16+Q29</f>
        <v>45792697.876918957</v>
      </c>
      <c r="W31" s="554">
        <f ca="1">W16+W29</f>
        <v>43207182.339999989</v>
      </c>
      <c r="X31" s="555"/>
    </row>
    <row r="32" spans="1:25" ht="15.75" thickTop="1" x14ac:dyDescent="0.2"/>
  </sheetData>
  <mergeCells count="4">
    <mergeCell ref="A1:W1"/>
    <mergeCell ref="A2:W2"/>
    <mergeCell ref="A3:W3"/>
    <mergeCell ref="A4:W4"/>
  </mergeCells>
  <printOptions horizontalCentered="1"/>
  <pageMargins left="0.45" right="0.45" top="1" bottom="0.5" header="0.3" footer="0.3"/>
  <pageSetup scale="3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8"/>
  <sheetViews>
    <sheetView zoomScale="70" zoomScaleNormal="70" workbookViewId="0">
      <pane xSplit="2" ySplit="7" topLeftCell="C8" activePane="bottomRight" state="frozen"/>
      <selection activeCell="E107" sqref="E107"/>
      <selection pane="topRight" activeCell="E107" sqref="E107"/>
      <selection pane="bottomLeft" activeCell="E107" sqref="E107"/>
      <selection pane="bottomRight" activeCell="E27" sqref="E27"/>
    </sheetView>
  </sheetViews>
  <sheetFormatPr defaultRowHeight="15" x14ac:dyDescent="0.2"/>
  <cols>
    <col min="1" max="1" width="8.88671875" style="512"/>
    <col min="2" max="2" width="42.109375" style="505" bestFit="1" customWidth="1"/>
    <col min="3" max="3" width="15.109375" style="516" customWidth="1"/>
    <col min="4" max="4" width="2.109375" style="516" customWidth="1"/>
    <col min="5" max="5" width="13.77734375" style="539" customWidth="1"/>
    <col min="6" max="6" width="2" style="539" customWidth="1"/>
    <col min="7" max="7" width="14.33203125" style="516" bestFit="1" customWidth="1"/>
    <col min="8" max="8" width="2.21875" style="516" customWidth="1"/>
    <col min="9" max="9" width="13.77734375" style="516" customWidth="1"/>
    <col min="10" max="10" width="2.44140625" style="516" customWidth="1"/>
    <col min="11" max="11" width="13.77734375" style="516" customWidth="1"/>
    <col min="12" max="12" width="2" style="516" customWidth="1"/>
    <col min="13" max="13" width="13.77734375" style="517" customWidth="1"/>
    <col min="14" max="14" width="2.109375" style="517" customWidth="1"/>
    <col min="15" max="15" width="13.77734375" style="516" customWidth="1"/>
    <col min="16" max="16" width="2.5546875" style="516" customWidth="1"/>
    <col min="17" max="17" width="13.77734375" style="516" customWidth="1"/>
    <col min="18" max="19" width="8.88671875" style="505"/>
    <col min="20" max="20" width="12.6640625" style="505" customWidth="1"/>
    <col min="21" max="16384" width="8.88671875" style="505"/>
  </cols>
  <sheetData>
    <row r="1" spans="1:18" ht="15.75" x14ac:dyDescent="0.25">
      <c r="A1" s="866" t="s">
        <v>863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504" t="s">
        <v>1521</v>
      </c>
    </row>
    <row r="2" spans="1:18" ht="15.75" x14ac:dyDescent="0.25">
      <c r="A2" s="866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504" t="s">
        <v>2672</v>
      </c>
    </row>
    <row r="3" spans="1:18" ht="15.75" x14ac:dyDescent="0.25">
      <c r="A3" s="866" t="s">
        <v>2584</v>
      </c>
      <c r="B3" s="866"/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  <c r="O3" s="866"/>
      <c r="P3" s="866"/>
      <c r="Q3" s="866"/>
      <c r="R3" s="506"/>
    </row>
    <row r="4" spans="1:18" ht="16.5" thickBot="1" x14ac:dyDescent="0.3">
      <c r="A4" s="867" t="s">
        <v>1522</v>
      </c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506"/>
    </row>
    <row r="7" spans="1:18" s="511" customFormat="1" ht="65.25" customHeight="1" x14ac:dyDescent="0.25">
      <c r="A7" s="507" t="s">
        <v>1523</v>
      </c>
      <c r="B7" s="507" t="s">
        <v>602</v>
      </c>
      <c r="C7" s="508" t="s">
        <v>1524</v>
      </c>
      <c r="D7" s="508"/>
      <c r="E7" s="509" t="s">
        <v>1525</v>
      </c>
      <c r="F7" s="509"/>
      <c r="G7" s="508" t="s">
        <v>1526</v>
      </c>
      <c r="H7" s="508"/>
      <c r="I7" s="508" t="s">
        <v>1527</v>
      </c>
      <c r="J7" s="508"/>
      <c r="K7" s="508" t="s">
        <v>1528</v>
      </c>
      <c r="L7" s="508"/>
      <c r="M7" s="510" t="s">
        <v>1529</v>
      </c>
      <c r="N7" s="510"/>
      <c r="O7" s="508" t="s">
        <v>1530</v>
      </c>
      <c r="P7" s="508"/>
      <c r="Q7" s="508" t="s">
        <v>1531</v>
      </c>
    </row>
    <row r="8" spans="1:18" ht="15.75" x14ac:dyDescent="0.25">
      <c r="B8" s="513" t="s">
        <v>1532</v>
      </c>
      <c r="C8" s="514"/>
      <c r="D8" s="514"/>
      <c r="E8" s="515"/>
      <c r="F8" s="515"/>
      <c r="G8" s="514"/>
    </row>
    <row r="9" spans="1:18" x14ac:dyDescent="0.2">
      <c r="A9" s="512">
        <v>1</v>
      </c>
      <c r="B9" s="518" t="s">
        <v>1533</v>
      </c>
      <c r="C9" s="519">
        <v>295804201.68000001</v>
      </c>
      <c r="D9" s="520"/>
      <c r="E9" s="521">
        <f>'Print Layout'!H1210</f>
        <v>3.8388881819017104E-2</v>
      </c>
      <c r="F9" s="522"/>
      <c r="G9" s="519">
        <f t="shared" ref="G9:G22" si="0">C9*E9</f>
        <v>11355592.539862221</v>
      </c>
      <c r="H9" s="523"/>
      <c r="I9" s="523">
        <f>G9/365</f>
        <v>31111.212437978687</v>
      </c>
      <c r="K9" s="517">
        <v>47.518333333333331</v>
      </c>
      <c r="L9" s="517"/>
      <c r="M9" s="517">
        <v>-27.43</v>
      </c>
      <c r="O9" s="517">
        <f>K9+M9</f>
        <v>20.088333333333331</v>
      </c>
      <c r="P9" s="517"/>
      <c r="Q9" s="523">
        <f>I9*O9</f>
        <v>624972.40585826174</v>
      </c>
    </row>
    <row r="10" spans="1:18" x14ac:dyDescent="0.2">
      <c r="A10" s="512">
        <f>A9+1</f>
        <v>2</v>
      </c>
      <c r="B10" s="518" t="s">
        <v>1534</v>
      </c>
      <c r="C10" s="519">
        <v>127316246</v>
      </c>
      <c r="D10" s="520"/>
      <c r="E10" s="521">
        <f>E$9</f>
        <v>3.8388881819017104E-2</v>
      </c>
      <c r="F10" s="522"/>
      <c r="G10" s="519">
        <f t="shared" si="0"/>
        <v>4887528.3213349087</v>
      </c>
      <c r="H10" s="523"/>
      <c r="I10" s="523">
        <f t="shared" ref="I10:I23" si="1">G10/365</f>
        <v>13390.48855160249</v>
      </c>
      <c r="K10" s="517">
        <f>$K$9</f>
        <v>47.518333333333331</v>
      </c>
      <c r="L10" s="517"/>
      <c r="M10" s="517">
        <v>-55.2</v>
      </c>
      <c r="O10" s="517">
        <f t="shared" ref="O10:O23" si="2">K10+M10</f>
        <v>-7.681666666666672</v>
      </c>
      <c r="P10" s="517"/>
      <c r="Q10" s="523">
        <f t="shared" ref="Q10:Q23" si="3">I10*O10</f>
        <v>-102861.26955722652</v>
      </c>
    </row>
    <row r="11" spans="1:18" x14ac:dyDescent="0.2">
      <c r="A11" s="512">
        <f>A10+1</f>
        <v>3</v>
      </c>
      <c r="B11" s="518" t="s">
        <v>1535</v>
      </c>
      <c r="C11" s="519">
        <v>2965299.7</v>
      </c>
      <c r="D11" s="520"/>
      <c r="E11" s="521">
        <f>E$9</f>
        <v>3.8388881819017104E-2</v>
      </c>
      <c r="F11" s="522"/>
      <c r="G11" s="519">
        <f t="shared" si="0"/>
        <v>113834.53974126688</v>
      </c>
      <c r="H11" s="523"/>
      <c r="I11" s="523">
        <f t="shared" si="1"/>
        <v>311.87545134593665</v>
      </c>
      <c r="K11" s="517">
        <f t="shared" ref="K11:K23" si="4">$K$9</f>
        <v>47.518333333333331</v>
      </c>
      <c r="L11" s="517"/>
      <c r="M11" s="517">
        <v>-11.66</v>
      </c>
      <c r="O11" s="517">
        <f t="shared" si="2"/>
        <v>35.858333333333334</v>
      </c>
      <c r="P11" s="517"/>
      <c r="Q11" s="523">
        <f t="shared" si="3"/>
        <v>11183.333892846378</v>
      </c>
    </row>
    <row r="12" spans="1:18" x14ac:dyDescent="0.2">
      <c r="A12" s="512">
        <f>A11+1</f>
        <v>4</v>
      </c>
      <c r="B12" s="518" t="s">
        <v>1536</v>
      </c>
      <c r="C12" s="519">
        <v>11163321</v>
      </c>
      <c r="D12" s="520"/>
      <c r="E12" s="521">
        <f>E$9</f>
        <v>3.8388881819017104E-2</v>
      </c>
      <c r="F12" s="522"/>
      <c r="G12" s="519">
        <f t="shared" si="0"/>
        <v>428547.41057675186</v>
      </c>
      <c r="H12" s="523"/>
      <c r="I12" s="523">
        <f t="shared" si="1"/>
        <v>1174.1024947308269</v>
      </c>
      <c r="K12" s="517">
        <f t="shared" si="4"/>
        <v>47.518333333333331</v>
      </c>
      <c r="L12" s="517"/>
      <c r="M12" s="517">
        <v>-28.79</v>
      </c>
      <c r="O12" s="517">
        <f t="shared" si="2"/>
        <v>18.728333333333332</v>
      </c>
      <c r="P12" s="517"/>
      <c r="Q12" s="523">
        <f t="shared" si="3"/>
        <v>21988.982888817169</v>
      </c>
    </row>
    <row r="13" spans="1:18" x14ac:dyDescent="0.2">
      <c r="A13" s="512">
        <f>A12+1</f>
        <v>5</v>
      </c>
      <c r="B13" s="518" t="s">
        <v>1537</v>
      </c>
      <c r="C13" s="525">
        <f ca="1">'Print Layout'!D480</f>
        <v>58036196.183791012</v>
      </c>
      <c r="D13" s="520"/>
      <c r="E13" s="521">
        <f ca="1">G13/C13</f>
        <v>3.9335513926194846E-2</v>
      </c>
      <c r="F13" s="522"/>
      <c r="G13" s="525">
        <f ca="1">'Print Layout'!H480</f>
        <v>2282883.6032108874</v>
      </c>
      <c r="H13" s="523"/>
      <c r="I13" s="523">
        <f t="shared" ca="1" si="1"/>
        <v>6254.4756252353081</v>
      </c>
      <c r="K13" s="517">
        <f t="shared" si="4"/>
        <v>47.518333333333331</v>
      </c>
      <c r="L13" s="517"/>
      <c r="M13" s="517">
        <v>-22.77</v>
      </c>
      <c r="O13" s="517">
        <f t="shared" si="2"/>
        <v>24.748333333333331</v>
      </c>
      <c r="P13" s="517"/>
      <c r="Q13" s="523">
        <f t="shared" ca="1" si="3"/>
        <v>154787.84759853181</v>
      </c>
    </row>
    <row r="14" spans="1:18" x14ac:dyDescent="0.2">
      <c r="A14" s="512">
        <f>A13+1</f>
        <v>6</v>
      </c>
      <c r="B14" s="518" t="s">
        <v>1538</v>
      </c>
      <c r="C14" s="519">
        <v>42880206</v>
      </c>
      <c r="D14" s="520"/>
      <c r="E14" s="521">
        <f ca="1">'Print Layout'!H1247</f>
        <v>4.7347795471836499E-2</v>
      </c>
      <c r="F14" s="522"/>
      <c r="G14" s="519">
        <f t="shared" ca="1" si="0"/>
        <v>2030283.2234782162</v>
      </c>
      <c r="H14" s="523"/>
      <c r="I14" s="523">
        <f t="shared" ca="1" si="1"/>
        <v>5562.4197903512777</v>
      </c>
      <c r="K14" s="517">
        <f t="shared" si="4"/>
        <v>47.518333333333331</v>
      </c>
      <c r="L14" s="517"/>
      <c r="M14" s="517">
        <v>-13</v>
      </c>
      <c r="O14" s="517">
        <f t="shared" si="2"/>
        <v>34.518333333333331</v>
      </c>
      <c r="P14" s="517"/>
      <c r="Q14" s="523">
        <f t="shared" ca="1" si="3"/>
        <v>192005.46046327549</v>
      </c>
    </row>
    <row r="15" spans="1:18" x14ac:dyDescent="0.2">
      <c r="A15" s="512">
        <f t="shared" ref="A15:A21" si="5">A14+1</f>
        <v>7</v>
      </c>
      <c r="B15" s="518" t="s">
        <v>1539</v>
      </c>
      <c r="C15" s="519">
        <f>4030727-5875844</f>
        <v>-1845117</v>
      </c>
      <c r="D15" s="520"/>
      <c r="E15" s="521">
        <f ca="1">E$14</f>
        <v>4.7347795471836499E-2</v>
      </c>
      <c r="F15" s="522"/>
      <c r="G15" s="519">
        <f t="shared" ca="1" si="0"/>
        <v>-87362.222337608546</v>
      </c>
      <c r="H15" s="523"/>
      <c r="I15" s="523">
        <f t="shared" ca="1" si="1"/>
        <v>-239.34855434961244</v>
      </c>
      <c r="K15" s="517">
        <f t="shared" si="4"/>
        <v>47.518333333333331</v>
      </c>
      <c r="L15" s="517"/>
      <c r="M15" s="517">
        <v>0</v>
      </c>
      <c r="O15" s="517">
        <f t="shared" si="2"/>
        <v>47.518333333333331</v>
      </c>
      <c r="P15" s="517"/>
      <c r="Q15" s="523">
        <f t="shared" ca="1" si="3"/>
        <v>-11373.444388436334</v>
      </c>
    </row>
    <row r="16" spans="1:18" x14ac:dyDescent="0.2">
      <c r="A16" s="512">
        <f t="shared" si="5"/>
        <v>8</v>
      </c>
      <c r="B16" s="518" t="s">
        <v>1540</v>
      </c>
      <c r="C16" s="519">
        <f>694205-268542</f>
        <v>425663</v>
      </c>
      <c r="D16" s="520"/>
      <c r="E16" s="521">
        <f ca="1">E$14</f>
        <v>4.7347795471836499E-2</v>
      </c>
      <c r="F16" s="522"/>
      <c r="G16" s="519">
        <f t="shared" ca="1" si="0"/>
        <v>20154.20466392834</v>
      </c>
      <c r="H16" s="523"/>
      <c r="I16" s="523">
        <f t="shared" ca="1" si="1"/>
        <v>55.216999079255729</v>
      </c>
      <c r="K16" s="517">
        <f t="shared" si="4"/>
        <v>47.518333333333331</v>
      </c>
      <c r="L16" s="517"/>
      <c r="M16" s="517">
        <v>0</v>
      </c>
      <c r="O16" s="517">
        <f t="shared" si="2"/>
        <v>47.518333333333331</v>
      </c>
      <c r="P16" s="517"/>
      <c r="Q16" s="523">
        <f t="shared" ca="1" si="3"/>
        <v>2623.8197679144332</v>
      </c>
    </row>
    <row r="17" spans="1:17" x14ac:dyDescent="0.2">
      <c r="A17" s="512">
        <f>A16+1</f>
        <v>9</v>
      </c>
      <c r="B17" s="518" t="s">
        <v>1541</v>
      </c>
      <c r="C17" s="519">
        <v>3289813.4510399993</v>
      </c>
      <c r="D17" s="520"/>
      <c r="E17" s="521">
        <f ca="1">E$14</f>
        <v>4.7347795471836499E-2</v>
      </c>
      <c r="F17" s="522"/>
      <c r="G17" s="519">
        <f t="shared" ca="1" si="0"/>
        <v>155765.41442033849</v>
      </c>
      <c r="H17" s="523"/>
      <c r="I17" s="523">
        <f t="shared" ca="1" si="1"/>
        <v>426.75456005572192</v>
      </c>
      <c r="K17" s="517">
        <f t="shared" si="4"/>
        <v>47.518333333333331</v>
      </c>
      <c r="L17" s="517"/>
      <c r="M17" s="517">
        <v>-246.65</v>
      </c>
      <c r="O17" s="517">
        <f t="shared" si="2"/>
        <v>-199.13166666666666</v>
      </c>
      <c r="P17" s="517"/>
      <c r="Q17" s="523">
        <f t="shared" ca="1" si="3"/>
        <v>-84980.346801495994</v>
      </c>
    </row>
    <row r="18" spans="1:17" x14ac:dyDescent="0.2">
      <c r="A18" s="512">
        <f>A17+1</f>
        <v>10</v>
      </c>
      <c r="B18" s="518" t="s">
        <v>1542</v>
      </c>
      <c r="C18" s="519">
        <v>2387490</v>
      </c>
      <c r="D18" s="520"/>
      <c r="E18" s="521">
        <f ca="1">E$14</f>
        <v>4.7347795471836499E-2</v>
      </c>
      <c r="F18" s="522"/>
      <c r="G18" s="519">
        <f t="shared" ca="1" si="0"/>
        <v>113042.38821105492</v>
      </c>
      <c r="H18" s="523"/>
      <c r="I18" s="523">
        <f t="shared" ca="1" si="1"/>
        <v>309.70517318097239</v>
      </c>
      <c r="K18" s="517">
        <f t="shared" si="4"/>
        <v>47.518333333333331</v>
      </c>
      <c r="L18" s="517"/>
      <c r="M18" s="517">
        <v>-26.43</v>
      </c>
      <c r="O18" s="517">
        <f t="shared" si="2"/>
        <v>21.088333333333331</v>
      </c>
      <c r="P18" s="517"/>
      <c r="Q18" s="523">
        <f t="shared" ca="1" si="3"/>
        <v>6531.1659270980717</v>
      </c>
    </row>
    <row r="19" spans="1:17" x14ac:dyDescent="0.2">
      <c r="A19" s="512">
        <f t="shared" si="5"/>
        <v>11</v>
      </c>
      <c r="B19" s="518" t="s">
        <v>1543</v>
      </c>
      <c r="C19" s="519">
        <v>1020651</v>
      </c>
      <c r="D19" s="520"/>
      <c r="E19" s="521">
        <f ca="1">E$14</f>
        <v>4.7347795471836499E-2</v>
      </c>
      <c r="F19" s="522"/>
      <c r="G19" s="519">
        <f t="shared" ca="1" si="0"/>
        <v>48325.574796125395</v>
      </c>
      <c r="H19" s="523"/>
      <c r="I19" s="523">
        <f t="shared" ca="1" si="1"/>
        <v>132.39883505787779</v>
      </c>
      <c r="K19" s="517">
        <f t="shared" si="4"/>
        <v>47.518333333333331</v>
      </c>
      <c r="L19" s="517"/>
      <c r="M19" s="517">
        <v>-284</v>
      </c>
      <c r="O19" s="517">
        <f t="shared" si="2"/>
        <v>-236.48166666666668</v>
      </c>
      <c r="P19" s="517"/>
      <c r="Q19" s="523">
        <f t="shared" ca="1" si="3"/>
        <v>-31309.897179212039</v>
      </c>
    </row>
    <row r="20" spans="1:17" x14ac:dyDescent="0.2">
      <c r="A20" s="512">
        <f t="shared" si="5"/>
        <v>12</v>
      </c>
      <c r="B20" s="518" t="s">
        <v>1544</v>
      </c>
      <c r="C20" s="525">
        <f ca="1">'Print Layout'!D542</f>
        <v>5155113.129999999</v>
      </c>
      <c r="E20" s="521">
        <f>'Print Layout'!H1225</f>
        <v>4.9682107773700267E-2</v>
      </c>
      <c r="F20" s="522"/>
      <c r="G20" s="519">
        <f t="shared" ca="1" si="0"/>
        <v>256116.88611027726</v>
      </c>
      <c r="H20" s="523"/>
      <c r="I20" s="523">
        <f t="shared" ca="1" si="1"/>
        <v>701.69009893226644</v>
      </c>
      <c r="K20" s="517">
        <f t="shared" si="4"/>
        <v>47.518333333333331</v>
      </c>
      <c r="L20" s="517"/>
      <c r="M20" s="517">
        <v>-147.01</v>
      </c>
      <c r="O20" s="517">
        <f t="shared" si="2"/>
        <v>-99.49166666666666</v>
      </c>
      <c r="P20" s="517"/>
      <c r="Q20" s="523">
        <f t="shared" ca="1" si="3"/>
        <v>-69812.317426269408</v>
      </c>
    </row>
    <row r="21" spans="1:17" x14ac:dyDescent="0.2">
      <c r="A21" s="512">
        <f t="shared" si="5"/>
        <v>13</v>
      </c>
      <c r="B21" s="518" t="s">
        <v>1545</v>
      </c>
      <c r="C21" s="519">
        <v>3189917</v>
      </c>
      <c r="E21" s="521">
        <f ca="1">'Print Layout'!H1322</f>
        <v>5.8798591139389289E-2</v>
      </c>
      <c r="F21" s="522"/>
      <c r="G21" s="519">
        <f t="shared" ca="1" si="0"/>
        <v>187562.62545158726</v>
      </c>
      <c r="H21" s="523"/>
      <c r="I21" s="523">
        <f t="shared" ca="1" si="1"/>
        <v>513.87020671667744</v>
      </c>
      <c r="K21" s="517">
        <f t="shared" si="4"/>
        <v>47.518333333333331</v>
      </c>
      <c r="L21" s="517"/>
      <c r="M21" s="517">
        <v>-45.82</v>
      </c>
      <c r="O21" s="517">
        <f t="shared" si="2"/>
        <v>1.6983333333333306</v>
      </c>
      <c r="P21" s="517"/>
      <c r="Q21" s="523">
        <f t="shared" ca="1" si="3"/>
        <v>872.72290107382241</v>
      </c>
    </row>
    <row r="22" spans="1:17" x14ac:dyDescent="0.2">
      <c r="A22" s="512">
        <f>A21+1</f>
        <v>14</v>
      </c>
      <c r="B22" s="518" t="s">
        <v>1546</v>
      </c>
      <c r="C22" s="519">
        <f>143097447.87+51829087.83</f>
        <v>194926535.69999999</v>
      </c>
      <c r="E22" s="521">
        <f ca="1">'Print Layout'!H594/'Print Layout'!D594</f>
        <v>4.5337012647713525E-2</v>
      </c>
      <c r="F22" s="522"/>
      <c r="G22" s="519">
        <f t="shared" ca="1" si="0"/>
        <v>8837386.8144058809</v>
      </c>
      <c r="H22" s="523"/>
      <c r="I22" s="523">
        <f t="shared" ca="1" si="1"/>
        <v>24212.018669605153</v>
      </c>
      <c r="K22" s="517">
        <f t="shared" si="4"/>
        <v>47.518333333333331</v>
      </c>
      <c r="L22" s="517"/>
      <c r="M22" s="517">
        <v>-26.661048134375534</v>
      </c>
      <c r="O22" s="517">
        <f t="shared" si="2"/>
        <v>20.857285198957797</v>
      </c>
      <c r="P22" s="517"/>
      <c r="Q22" s="523">
        <f t="shared" ca="1" si="3"/>
        <v>504996.9786344454</v>
      </c>
    </row>
    <row r="23" spans="1:17" x14ac:dyDescent="0.2">
      <c r="A23" s="512">
        <f>A22+1</f>
        <v>15</v>
      </c>
      <c r="B23" s="518" t="s">
        <v>1547</v>
      </c>
      <c r="C23" s="709">
        <v>192425195.33489525</v>
      </c>
      <c r="D23" s="527"/>
      <c r="E23" s="521">
        <f>G23/C23</f>
        <v>6.2858628672606762E-2</v>
      </c>
      <c r="F23" s="522"/>
      <c r="G23" s="709">
        <v>12095583.900810003</v>
      </c>
      <c r="H23" s="528"/>
      <c r="I23" s="523">
        <f t="shared" si="1"/>
        <v>33138.586029616446</v>
      </c>
      <c r="K23" s="517">
        <f t="shared" si="4"/>
        <v>47.518333333333331</v>
      </c>
      <c r="L23" s="517"/>
      <c r="M23" s="517">
        <v>-38.880000000000003</v>
      </c>
      <c r="O23" s="517">
        <f t="shared" si="2"/>
        <v>8.6383333333333283</v>
      </c>
      <c r="P23" s="517"/>
      <c r="Q23" s="529">
        <f t="shared" si="3"/>
        <v>286262.15231916989</v>
      </c>
    </row>
    <row r="24" spans="1:17" ht="15.75" x14ac:dyDescent="0.25">
      <c r="A24" s="512">
        <f>A23+1</f>
        <v>16</v>
      </c>
      <c r="B24" s="530" t="s">
        <v>1548</v>
      </c>
      <c r="C24" s="519">
        <f ca="1">SUM(C9:C23)</f>
        <v>939140732.17972624</v>
      </c>
      <c r="D24" s="531"/>
      <c r="E24" s="521"/>
      <c r="F24" s="522"/>
      <c r="G24" s="519">
        <f ca="1">SUM(G9:G23)</f>
        <v>42725245.224735841</v>
      </c>
      <c r="H24" s="523"/>
      <c r="I24" s="523"/>
      <c r="K24" s="517"/>
      <c r="L24" s="517"/>
      <c r="O24" s="517"/>
      <c r="P24" s="517"/>
      <c r="Q24" s="523">
        <f ca="1">SUM(Q9:Q23)</f>
        <v>1505887.5948987938</v>
      </c>
    </row>
    <row r="25" spans="1:17" ht="15.75" x14ac:dyDescent="0.25">
      <c r="B25" s="530"/>
      <c r="C25" s="519">
        <f ca="1">'Print Layout'!D594-C29-C30-C24</f>
        <v>0</v>
      </c>
      <c r="D25" s="531"/>
      <c r="E25" s="521"/>
      <c r="F25" s="522"/>
      <c r="G25" s="519">
        <f ca="1">'Print Layout'!H594-G29-G24-G30</f>
        <v>-1.8053394451271743E-3</v>
      </c>
      <c r="I25" s="648"/>
      <c r="K25" s="517"/>
      <c r="L25" s="517"/>
      <c r="O25" s="517"/>
      <c r="P25" s="517"/>
    </row>
    <row r="26" spans="1:17" ht="15.75" x14ac:dyDescent="0.25">
      <c r="A26" s="512">
        <f>A24+1</f>
        <v>17</v>
      </c>
      <c r="B26" s="513" t="s">
        <v>1549</v>
      </c>
      <c r="C26" s="532"/>
      <c r="E26" s="521"/>
      <c r="F26" s="522"/>
      <c r="G26" s="532"/>
      <c r="I26" s="523"/>
      <c r="K26" s="517"/>
      <c r="L26" s="517"/>
      <c r="O26" s="517"/>
      <c r="P26" s="517"/>
      <c r="Q26" s="523"/>
    </row>
    <row r="27" spans="1:17" x14ac:dyDescent="0.2">
      <c r="A27" s="512">
        <f>A26+1</f>
        <v>18</v>
      </c>
      <c r="B27" s="518" t="s">
        <v>1550</v>
      </c>
      <c r="C27" s="519">
        <f ca="1">'Print Layout'!D641</f>
        <v>358022830.75845891</v>
      </c>
      <c r="E27" s="521">
        <f ca="1">G27/C27</f>
        <v>4.8243201167252836E-2</v>
      </c>
      <c r="F27" s="522"/>
      <c r="G27" s="519">
        <f ca="1">'Print Layout'!H641</f>
        <v>17272167.44674965</v>
      </c>
      <c r="I27" s="523">
        <f ca="1">G27/365</f>
        <v>47321.0067034237</v>
      </c>
      <c r="K27" s="517">
        <f>$K$9</f>
        <v>47.518333333333331</v>
      </c>
      <c r="L27" s="517"/>
      <c r="M27" s="517">
        <v>0</v>
      </c>
      <c r="O27" s="517">
        <f>K27+M27</f>
        <v>47.518333333333331</v>
      </c>
      <c r="P27" s="517"/>
      <c r="Q27" s="523">
        <f ca="1">I27*O27</f>
        <v>2248615.3702021884</v>
      </c>
    </row>
    <row r="28" spans="1:17" x14ac:dyDescent="0.2">
      <c r="A28" s="512">
        <f>A27+1</f>
        <v>19</v>
      </c>
      <c r="B28" s="518" t="s">
        <v>1551</v>
      </c>
      <c r="C28" s="519">
        <f ca="1">'Print Layout'!D667</f>
        <v>9627413.0644305404</v>
      </c>
      <c r="E28" s="521">
        <f ca="1">G28/C28</f>
        <v>0.11771716788460403</v>
      </c>
      <c r="F28" s="522"/>
      <c r="G28" s="519">
        <f ca="1">'Print Layout'!H667</f>
        <v>1133311.8</v>
      </c>
      <c r="I28" s="523">
        <f ca="1">G28/365</f>
        <v>3104.9638356164387</v>
      </c>
      <c r="K28" s="517">
        <f>$K$9</f>
        <v>47.518333333333331</v>
      </c>
      <c r="L28" s="517"/>
      <c r="M28" s="517">
        <v>0</v>
      </c>
      <c r="O28" s="517">
        <f>K28+M28</f>
        <v>47.518333333333331</v>
      </c>
      <c r="P28" s="517"/>
      <c r="Q28" s="523">
        <f ca="1">I28*O28</f>
        <v>147542.70652876713</v>
      </c>
    </row>
    <row r="29" spans="1:17" x14ac:dyDescent="0.2">
      <c r="A29" s="512">
        <f>A28+1</f>
        <v>20</v>
      </c>
      <c r="B29" s="518" t="s">
        <v>1552</v>
      </c>
      <c r="C29" s="519">
        <v>0</v>
      </c>
      <c r="E29" s="521">
        <v>1</v>
      </c>
      <c r="F29" s="522"/>
      <c r="G29" s="519">
        <f>C29*E29</f>
        <v>0</v>
      </c>
      <c r="I29" s="523">
        <f>G29/365</f>
        <v>0</v>
      </c>
      <c r="K29" s="517">
        <f>$K$9</f>
        <v>47.518333333333331</v>
      </c>
      <c r="L29" s="517"/>
      <c r="M29" s="517">
        <v>0</v>
      </c>
      <c r="O29" s="517">
        <f>K29+M29</f>
        <v>47.518333333333331</v>
      </c>
      <c r="P29" s="517"/>
      <c r="Q29" s="523">
        <f>I29*O29</f>
        <v>0</v>
      </c>
    </row>
    <row r="30" spans="1:17" x14ac:dyDescent="0.2">
      <c r="A30" s="512">
        <f>A29+1</f>
        <v>21</v>
      </c>
      <c r="B30" s="518" t="s">
        <v>1553</v>
      </c>
      <c r="C30" s="519">
        <f>TOTALCO!AE953</f>
        <v>-154410.48000000001</v>
      </c>
      <c r="E30" s="521">
        <v>1</v>
      </c>
      <c r="F30" s="522"/>
      <c r="G30" s="519">
        <f>C30*E30</f>
        <v>-154410.48000000001</v>
      </c>
      <c r="I30" s="523">
        <f>G30/365</f>
        <v>-423.04241095890416</v>
      </c>
      <c r="K30" s="517">
        <f>$K$9</f>
        <v>47.518333333333331</v>
      </c>
      <c r="L30" s="517"/>
      <c r="M30" s="517">
        <v>0</v>
      </c>
      <c r="O30" s="517">
        <f>K30+M30</f>
        <v>47.518333333333331</v>
      </c>
      <c r="P30" s="517"/>
      <c r="Q30" s="523">
        <f>I30*O30</f>
        <v>-20102.270298082192</v>
      </c>
    </row>
    <row r="31" spans="1:17" x14ac:dyDescent="0.2">
      <c r="A31" s="512">
        <f>A30+1</f>
        <v>22</v>
      </c>
      <c r="B31" s="533" t="s">
        <v>1554</v>
      </c>
      <c r="C31" s="534">
        <f ca="1">SUM(C27:C30)</f>
        <v>367495833.34288943</v>
      </c>
      <c r="D31" s="531"/>
      <c r="E31" s="521"/>
      <c r="F31" s="522"/>
      <c r="G31" s="534">
        <f ca="1">SUM(G27:G30)</f>
        <v>18251068.76674965</v>
      </c>
      <c r="H31" s="523"/>
      <c r="I31" s="523"/>
      <c r="K31" s="517"/>
      <c r="L31" s="517"/>
      <c r="O31" s="517"/>
      <c r="P31" s="517"/>
      <c r="Q31" s="534">
        <f ca="1">SUM(Q27:Q30)</f>
        <v>2376055.806432873</v>
      </c>
    </row>
    <row r="32" spans="1:17" x14ac:dyDescent="0.2">
      <c r="C32" s="535"/>
      <c r="E32" s="521"/>
      <c r="F32" s="522"/>
      <c r="I32" s="648"/>
      <c r="K32" s="517"/>
      <c r="L32" s="517"/>
      <c r="O32" s="517"/>
      <c r="P32" s="517"/>
    </row>
    <row r="33" spans="1:20" ht="15.75" x14ac:dyDescent="0.25">
      <c r="A33" s="512">
        <f>A31+1</f>
        <v>23</v>
      </c>
      <c r="B33" s="513" t="s">
        <v>1555</v>
      </c>
      <c r="C33" s="536"/>
      <c r="D33" s="514"/>
      <c r="E33" s="521"/>
      <c r="F33" s="522"/>
      <c r="G33" s="514"/>
      <c r="I33" s="648"/>
      <c r="K33" s="517"/>
      <c r="L33" s="517"/>
      <c r="O33" s="517"/>
      <c r="P33" s="517"/>
      <c r="T33" s="693"/>
    </row>
    <row r="34" spans="1:20" x14ac:dyDescent="0.2">
      <c r="A34" s="512">
        <f>A33+1</f>
        <v>24</v>
      </c>
      <c r="B34" s="518" t="s">
        <v>1556</v>
      </c>
      <c r="C34" s="519">
        <f>IS!N354*1000</f>
        <v>13788603.981121339</v>
      </c>
      <c r="D34" s="520"/>
      <c r="E34" s="521">
        <f ca="1">G34/C34</f>
        <v>1.4154884024826783E-2</v>
      </c>
      <c r="F34" s="522"/>
      <c r="G34" s="519">
        <f ca="1">C34/C$37*G$37</f>
        <v>195176.09021703742</v>
      </c>
      <c r="H34" s="523"/>
      <c r="I34" s="523">
        <f ca="1">G34/365</f>
        <v>534.72901429325316</v>
      </c>
      <c r="K34" s="517">
        <f>$K$9</f>
        <v>47.518333333333331</v>
      </c>
      <c r="L34" s="517"/>
      <c r="M34" s="517">
        <v>-37.5</v>
      </c>
      <c r="O34" s="517">
        <f>K34+M34</f>
        <v>10.018333333333331</v>
      </c>
      <c r="P34" s="517"/>
      <c r="Q34" s="523">
        <f ca="1">I34*O34</f>
        <v>5357.0935081945736</v>
      </c>
      <c r="T34" s="525"/>
    </row>
    <row r="35" spans="1:20" x14ac:dyDescent="0.2">
      <c r="A35" s="512">
        <f>A34+1</f>
        <v>25</v>
      </c>
      <c r="B35" s="518" t="s">
        <v>1557</v>
      </c>
      <c r="C35" s="519">
        <f>IS!N357*1000</f>
        <v>-159100.88469163876</v>
      </c>
      <c r="D35" s="520"/>
      <c r="E35" s="521">
        <f ca="1">G35/C35</f>
        <v>1.4154884024826781E-2</v>
      </c>
      <c r="F35" s="522"/>
      <c r="G35" s="519">
        <f ca="1">C35/C$37*G$37</f>
        <v>-2252.0545710574852</v>
      </c>
      <c r="H35" s="523"/>
      <c r="I35" s="523">
        <f ca="1">G35/365</f>
        <v>-6.1700125234451653</v>
      </c>
      <c r="K35" s="517">
        <f>$K$9</f>
        <v>47.518333333333331</v>
      </c>
      <c r="L35" s="517"/>
      <c r="M35" s="517">
        <v>-37.5</v>
      </c>
      <c r="O35" s="517">
        <f>K35+M35</f>
        <v>10.018333333333331</v>
      </c>
      <c r="P35" s="517"/>
      <c r="Q35" s="523">
        <f ca="1">I35*O35</f>
        <v>-61.813242130714798</v>
      </c>
      <c r="T35" s="525"/>
    </row>
    <row r="36" spans="1:20" x14ac:dyDescent="0.2">
      <c r="A36" s="512">
        <f>A35+1</f>
        <v>26</v>
      </c>
      <c r="B36" s="518" t="s">
        <v>1558</v>
      </c>
      <c r="C36" s="526">
        <f>(IS!N360+IS!N363)*1000</f>
        <v>34102881.930523343</v>
      </c>
      <c r="D36" s="537"/>
      <c r="E36" s="521">
        <f ca="1">G36/C36</f>
        <v>1.4154884024826783E-2</v>
      </c>
      <c r="F36" s="522"/>
      <c r="G36" s="526">
        <f ca="1">C36/C$37*G$37</f>
        <v>482722.33863891882</v>
      </c>
      <c r="H36" s="528"/>
      <c r="I36" s="523">
        <f ca="1">G36/365</f>
        <v>1322.5269551751201</v>
      </c>
      <c r="K36" s="517">
        <f>$K$9</f>
        <v>47.518333333333331</v>
      </c>
      <c r="L36" s="517"/>
      <c r="M36" s="517">
        <v>0</v>
      </c>
      <c r="O36" s="517">
        <f>K36+M36</f>
        <v>47.518333333333331</v>
      </c>
      <c r="P36" s="517"/>
      <c r="Q36" s="529">
        <f ca="1">I36*O36</f>
        <v>62844.276698329741</v>
      </c>
      <c r="T36" s="525"/>
    </row>
    <row r="37" spans="1:20" x14ac:dyDescent="0.2">
      <c r="A37" s="512">
        <f>A36+1</f>
        <v>27</v>
      </c>
      <c r="B37" s="533" t="s">
        <v>1559</v>
      </c>
      <c r="C37" s="534">
        <f ca="1">'Print Layout'!D56</f>
        <v>47732386.200000003</v>
      </c>
      <c r="D37" s="531"/>
      <c r="E37" s="521"/>
      <c r="F37" s="522"/>
      <c r="G37" s="534">
        <f ca="1">'Print Layout'!H56</f>
        <v>675646.39088924241</v>
      </c>
      <c r="H37" s="523"/>
      <c r="I37" s="523"/>
      <c r="K37" s="517"/>
      <c r="L37" s="517"/>
      <c r="O37" s="517"/>
      <c r="P37" s="517"/>
      <c r="Q37" s="523">
        <f ca="1">SUM(Q34:Q36)</f>
        <v>68139.556964393603</v>
      </c>
      <c r="T37" s="694"/>
    </row>
    <row r="38" spans="1:20" x14ac:dyDescent="0.2">
      <c r="B38" s="533"/>
      <c r="C38" s="531"/>
      <c r="D38" s="531"/>
      <c r="E38" s="521"/>
      <c r="F38" s="522"/>
      <c r="G38" s="531">
        <f ca="1">SUM(G34:G36)-G37</f>
        <v>-1.6604343662038445E-2</v>
      </c>
      <c r="I38" s="648"/>
      <c r="K38" s="517"/>
      <c r="L38" s="517"/>
      <c r="O38" s="517"/>
      <c r="P38" s="517"/>
    </row>
    <row r="39" spans="1:20" ht="15.75" x14ac:dyDescent="0.25">
      <c r="A39" s="512">
        <f>A37+1</f>
        <v>28</v>
      </c>
      <c r="B39" s="513" t="s">
        <v>1560</v>
      </c>
      <c r="C39" s="536"/>
      <c r="D39" s="514"/>
      <c r="E39" s="521"/>
      <c r="F39" s="522"/>
      <c r="G39" s="514"/>
      <c r="I39" s="648"/>
      <c r="K39" s="517"/>
      <c r="L39" s="517"/>
      <c r="O39" s="517"/>
      <c r="P39" s="517"/>
    </row>
    <row r="40" spans="1:20" x14ac:dyDescent="0.2">
      <c r="A40" s="512">
        <f>A39+1</f>
        <v>29</v>
      </c>
      <c r="B40" s="518" t="s">
        <v>1561</v>
      </c>
      <c r="C40" s="519">
        <f ca="1">'Print Layout'!D695</f>
        <v>34198507.829488404</v>
      </c>
      <c r="D40" s="520"/>
      <c r="E40" s="521">
        <f ca="1">G40/C40</f>
        <v>4.7639436762871155E-2</v>
      </c>
      <c r="F40" s="522"/>
      <c r="G40" s="519">
        <f ca="1">'Print Layout'!H695</f>
        <v>1629197.6511274669</v>
      </c>
      <c r="H40" s="523"/>
      <c r="I40" s="523">
        <f ca="1">G40/365</f>
        <v>4463.5552085684021</v>
      </c>
      <c r="K40" s="517">
        <f>$K$9</f>
        <v>47.518333333333331</v>
      </c>
      <c r="L40" s="517"/>
      <c r="M40" s="517">
        <v>-72.53</v>
      </c>
      <c r="O40" s="517">
        <f>K40+M40</f>
        <v>-25.01166666666667</v>
      </c>
      <c r="P40" s="517"/>
      <c r="Q40" s="523">
        <f ca="1">I40*O40</f>
        <v>-111640.95502497671</v>
      </c>
    </row>
    <row r="41" spans="1:20" x14ac:dyDescent="0.2">
      <c r="A41" s="512">
        <f>A40+1</f>
        <v>30</v>
      </c>
      <c r="B41" s="518" t="s">
        <v>1562</v>
      </c>
      <c r="C41" s="519">
        <f ca="1">'Print Layout'!D698+'Print Layout'!D699</f>
        <v>10653786</v>
      </c>
      <c r="D41" s="520"/>
      <c r="E41" s="521">
        <f ca="1">G41/C41</f>
        <v>4.7347795471836499E-2</v>
      </c>
      <c r="F41" s="522"/>
      <c r="G41" s="519">
        <f ca="1">'Print Layout'!H698+'Print Layout'!H699</f>
        <v>504433.28052871505</v>
      </c>
      <c r="H41" s="523"/>
      <c r="I41" s="523">
        <f ca="1">G41/365</f>
        <v>1382.0089877499042</v>
      </c>
      <c r="K41" s="517">
        <f>$K$9</f>
        <v>47.518333333333331</v>
      </c>
      <c r="L41" s="517"/>
      <c r="M41" s="517">
        <v>-39.83</v>
      </c>
      <c r="O41" s="517">
        <f>K41+M41</f>
        <v>7.6883333333333326</v>
      </c>
      <c r="P41" s="517"/>
      <c r="Q41" s="523">
        <f ca="1">I41*O41</f>
        <v>10625.345767483846</v>
      </c>
    </row>
    <row r="42" spans="1:20" x14ac:dyDescent="0.2">
      <c r="A42" s="512">
        <f>A41+1</f>
        <v>31</v>
      </c>
      <c r="B42" s="518" t="s">
        <v>1563</v>
      </c>
      <c r="C42" s="526">
        <f ca="1">'Print Layout'!D700+'Print Layout'!D696</f>
        <v>3406958</v>
      </c>
      <c r="D42" s="537"/>
      <c r="E42" s="521">
        <f ca="1">G42/C42</f>
        <v>0</v>
      </c>
      <c r="F42" s="522"/>
      <c r="G42" s="526">
        <f ca="1">'Print Layout'!H700+'Print Layout'!H696</f>
        <v>0</v>
      </c>
      <c r="H42" s="528"/>
      <c r="I42" s="523">
        <f ca="1">G42/365</f>
        <v>0</v>
      </c>
      <c r="K42" s="517">
        <f>$K$9</f>
        <v>47.518333333333331</v>
      </c>
      <c r="L42" s="517"/>
      <c r="M42" s="517">
        <v>-65.67</v>
      </c>
      <c r="O42" s="517">
        <f>K42+M42</f>
        <v>-18.151666666666671</v>
      </c>
      <c r="P42" s="517"/>
      <c r="Q42" s="529">
        <f ca="1">I42*O42</f>
        <v>0</v>
      </c>
    </row>
    <row r="43" spans="1:20" x14ac:dyDescent="0.2">
      <c r="A43" s="512">
        <f>A42+1</f>
        <v>32</v>
      </c>
      <c r="B43" s="533" t="s">
        <v>1564</v>
      </c>
      <c r="C43" s="519">
        <f ca="1">SUM(C40:C42)</f>
        <v>48259251.829488404</v>
      </c>
      <c r="D43" s="531"/>
      <c r="E43" s="521"/>
      <c r="F43" s="522"/>
      <c r="G43" s="534">
        <f ca="1">SUM(G40:G42)</f>
        <v>2133630.9316561818</v>
      </c>
      <c r="H43" s="523"/>
      <c r="I43" s="523"/>
      <c r="K43" s="517"/>
      <c r="L43" s="517"/>
      <c r="O43" s="517"/>
      <c r="P43" s="517"/>
      <c r="Q43" s="523">
        <f ca="1">SUM(Q40:Q42)</f>
        <v>-101015.60925749286</v>
      </c>
    </row>
    <row r="44" spans="1:20" x14ac:dyDescent="0.2">
      <c r="C44" s="535"/>
      <c r="E44" s="521"/>
      <c r="F44" s="522"/>
      <c r="I44" s="648"/>
      <c r="K44" s="517"/>
      <c r="L44" s="517"/>
      <c r="O44" s="517"/>
      <c r="P44" s="517"/>
    </row>
    <row r="45" spans="1:20" ht="15.75" x14ac:dyDescent="0.25">
      <c r="A45" s="512">
        <f>A43+1</f>
        <v>33</v>
      </c>
      <c r="B45" s="513" t="s">
        <v>1035</v>
      </c>
      <c r="C45" s="519">
        <f ca="1">'Print Layout'!D739</f>
        <v>-2364.2750347616302</v>
      </c>
      <c r="E45" s="521">
        <f ca="1">IF(C45=0,0,G45/C45)</f>
        <v>0</v>
      </c>
      <c r="F45" s="522"/>
      <c r="G45" s="519">
        <f ca="1">'Print Layout'!H739</f>
        <v>0</v>
      </c>
      <c r="H45" s="523"/>
      <c r="I45" s="523">
        <f ca="1">G45/365</f>
        <v>0</v>
      </c>
      <c r="K45" s="517">
        <f>$K$9</f>
        <v>47.518333333333331</v>
      </c>
      <c r="L45" s="517"/>
      <c r="M45" s="517">
        <f>-K45</f>
        <v>-47.518333333333331</v>
      </c>
      <c r="O45" s="517">
        <f>K45+M45</f>
        <v>0</v>
      </c>
      <c r="P45" s="517"/>
      <c r="Q45" s="523">
        <f ca="1">I45*O45</f>
        <v>0</v>
      </c>
    </row>
    <row r="46" spans="1:20" x14ac:dyDescent="0.2">
      <c r="C46" s="535"/>
      <c r="E46" s="521"/>
      <c r="F46" s="522"/>
      <c r="I46" s="648"/>
      <c r="K46" s="517"/>
      <c r="L46" s="517"/>
      <c r="O46" s="517"/>
      <c r="P46" s="517"/>
    </row>
    <row r="47" spans="1:20" ht="15.75" x14ac:dyDescent="0.25">
      <c r="A47" s="512">
        <f>A45+1</f>
        <v>34</v>
      </c>
      <c r="B47" s="513" t="s">
        <v>1565</v>
      </c>
      <c r="C47" s="519">
        <f>'Print Layout'!D704</f>
        <v>0</v>
      </c>
      <c r="E47" s="521">
        <f>IF(C47=0,0,G47/C47)</f>
        <v>0</v>
      </c>
      <c r="F47" s="522"/>
      <c r="G47" s="519">
        <f ca="1">'Print Layout'!H704</f>
        <v>0</v>
      </c>
      <c r="H47" s="523"/>
      <c r="I47" s="523">
        <f ca="1">G47/365</f>
        <v>0</v>
      </c>
      <c r="K47" s="517">
        <f>$K$9</f>
        <v>47.518333333333331</v>
      </c>
      <c r="L47" s="517"/>
      <c r="M47" s="517">
        <f>-K47</f>
        <v>-47.518333333333331</v>
      </c>
      <c r="O47" s="517">
        <f>K47+M47</f>
        <v>0</v>
      </c>
      <c r="P47" s="517"/>
      <c r="Q47" s="523">
        <f ca="1">I47*O47</f>
        <v>0</v>
      </c>
    </row>
    <row r="48" spans="1:20" x14ac:dyDescent="0.2">
      <c r="C48" s="535"/>
      <c r="E48" s="521"/>
      <c r="F48" s="522"/>
      <c r="G48" s="523"/>
      <c r="H48" s="523"/>
      <c r="I48" s="523"/>
      <c r="K48" s="517"/>
      <c r="L48" s="517"/>
      <c r="O48" s="517"/>
      <c r="P48" s="517"/>
      <c r="Q48" s="523"/>
    </row>
    <row r="49" spans="1:17" ht="15.75" x14ac:dyDescent="0.25">
      <c r="A49" s="512">
        <f>A47+1</f>
        <v>35</v>
      </c>
      <c r="B49" s="513" t="s">
        <v>1566</v>
      </c>
      <c r="C49" s="519">
        <f ca="1">'Print Layout'!D703</f>
        <v>0</v>
      </c>
      <c r="E49" s="521">
        <f ca="1">IF(C49=0,0,G49/C49)</f>
        <v>0</v>
      </c>
      <c r="F49" s="522"/>
      <c r="G49" s="519">
        <f ca="1">'Print Layout'!H703</f>
        <v>0</v>
      </c>
      <c r="H49" s="523"/>
      <c r="I49" s="523">
        <f ca="1">G49/365</f>
        <v>0</v>
      </c>
      <c r="K49" s="517">
        <f>$K$9</f>
        <v>47.518333333333331</v>
      </c>
      <c r="L49" s="517"/>
      <c r="M49" s="517">
        <f>-K49</f>
        <v>-47.518333333333331</v>
      </c>
      <c r="O49" s="517">
        <f>K49+M49</f>
        <v>0</v>
      </c>
      <c r="P49" s="517"/>
      <c r="Q49" s="523">
        <f ca="1">I49*O49</f>
        <v>0</v>
      </c>
    </row>
    <row r="50" spans="1:17" x14ac:dyDescent="0.2">
      <c r="C50" s="535"/>
      <c r="E50" s="521"/>
      <c r="F50" s="522"/>
      <c r="G50" s="523"/>
      <c r="H50" s="523"/>
      <c r="I50" s="523"/>
      <c r="K50" s="517"/>
      <c r="L50" s="517"/>
      <c r="O50" s="517"/>
      <c r="P50" s="517"/>
      <c r="Q50" s="523"/>
    </row>
    <row r="51" spans="1:17" ht="15.75" x14ac:dyDescent="0.25">
      <c r="A51" s="512">
        <f>A49+1</f>
        <v>36</v>
      </c>
      <c r="B51" s="513" t="s">
        <v>1567</v>
      </c>
      <c r="C51" s="519">
        <f>IS!N409*1000</f>
        <v>1513100</v>
      </c>
      <c r="E51" s="521">
        <f ca="1">G51/C51</f>
        <v>1.7580236458692895E-2</v>
      </c>
      <c r="F51" s="522"/>
      <c r="G51" s="519">
        <f ca="1">'Print Layout'!H705</f>
        <v>26600.655785648218</v>
      </c>
      <c r="H51" s="523"/>
      <c r="I51" s="523">
        <f ca="1">G51/365</f>
        <v>72.878509001775939</v>
      </c>
      <c r="K51" s="517">
        <f>$K$9</f>
        <v>47.518333333333331</v>
      </c>
      <c r="L51" s="517"/>
      <c r="M51" s="517">
        <f>-K51</f>
        <v>-47.518333333333331</v>
      </c>
      <c r="O51" s="517">
        <f>K51+M51</f>
        <v>0</v>
      </c>
      <c r="P51" s="517"/>
      <c r="Q51" s="523">
        <f ca="1">I51*O51</f>
        <v>0</v>
      </c>
    </row>
    <row r="52" spans="1:17" x14ac:dyDescent="0.2">
      <c r="C52" s="535"/>
      <c r="E52" s="521"/>
      <c r="F52" s="522"/>
      <c r="G52" s="523"/>
      <c r="H52" s="523"/>
      <c r="I52" s="523"/>
      <c r="K52" s="517"/>
      <c r="L52" s="517"/>
      <c r="O52" s="517"/>
      <c r="P52" s="517"/>
      <c r="Q52" s="523"/>
    </row>
    <row r="53" spans="1:17" ht="15.75" x14ac:dyDescent="0.25">
      <c r="A53" s="512">
        <f>A51+1</f>
        <v>37</v>
      </c>
      <c r="B53" s="513" t="s">
        <v>1568</v>
      </c>
      <c r="C53" s="519">
        <f>'Print Layout'!D60</f>
        <v>435510.9</v>
      </c>
      <c r="E53" s="521">
        <f ca="1">G53/C53</f>
        <v>5.0291001894763092E-2</v>
      </c>
      <c r="F53" s="522"/>
      <c r="G53" s="519">
        <f ca="1">'Print Layout'!H60</f>
        <v>21902.279497089981</v>
      </c>
      <c r="H53" s="523"/>
      <c r="I53" s="523">
        <f ca="1">G53/365</f>
        <v>60.0062451975068</v>
      </c>
      <c r="K53" s="517">
        <f>$K$9</f>
        <v>47.518333333333331</v>
      </c>
      <c r="L53" s="517"/>
      <c r="M53" s="517">
        <v>-108.84</v>
      </c>
      <c r="O53" s="517">
        <f>K53+M53</f>
        <v>-61.321666666666673</v>
      </c>
      <c r="P53" s="517"/>
      <c r="Q53" s="523">
        <f ca="1">I53*O53</f>
        <v>-3679.6829659197797</v>
      </c>
    </row>
    <row r="54" spans="1:17" x14ac:dyDescent="0.2">
      <c r="C54" s="535"/>
      <c r="E54" s="521"/>
      <c r="F54" s="522"/>
      <c r="G54" s="523"/>
      <c r="H54" s="523"/>
      <c r="I54" s="523"/>
      <c r="K54" s="517"/>
      <c r="L54" s="517"/>
      <c r="O54" s="517"/>
      <c r="P54" s="517"/>
      <c r="Q54" s="523"/>
    </row>
    <row r="55" spans="1:17" ht="15.75" x14ac:dyDescent="0.25">
      <c r="A55" s="512">
        <f>A53+1</f>
        <v>38</v>
      </c>
      <c r="B55" s="513" t="s">
        <v>1569</v>
      </c>
      <c r="C55" s="519">
        <f>(IS!N418-IS!N409-IS!N402)*1000</f>
        <v>-2448880.9803138538</v>
      </c>
      <c r="E55" s="521">
        <v>0</v>
      </c>
      <c r="F55" s="522"/>
      <c r="G55" s="519">
        <f>C55*E55</f>
        <v>0</v>
      </c>
      <c r="H55" s="523"/>
      <c r="I55" s="523">
        <f>G55/365</f>
        <v>0</v>
      </c>
      <c r="K55" s="517">
        <f>$K$9</f>
        <v>47.518333333333331</v>
      </c>
      <c r="L55" s="517"/>
      <c r="M55" s="517">
        <f>-K55</f>
        <v>-47.518333333333331</v>
      </c>
      <c r="O55" s="517">
        <f>K55+M55</f>
        <v>0</v>
      </c>
      <c r="P55" s="517"/>
      <c r="Q55" s="523">
        <f>I55*O55</f>
        <v>0</v>
      </c>
    </row>
    <row r="56" spans="1:17" x14ac:dyDescent="0.2">
      <c r="C56" s="535"/>
      <c r="E56" s="521"/>
      <c r="F56" s="522"/>
      <c r="G56" s="523"/>
      <c r="H56" s="523"/>
      <c r="I56" s="523"/>
      <c r="K56" s="517"/>
      <c r="L56" s="517"/>
      <c r="O56" s="517"/>
      <c r="P56" s="517"/>
      <c r="Q56" s="523"/>
    </row>
    <row r="57" spans="1:17" ht="15.75" x14ac:dyDescent="0.25">
      <c r="A57" s="512">
        <f>A55+1</f>
        <v>39</v>
      </c>
      <c r="B57" s="513" t="s">
        <v>1570</v>
      </c>
      <c r="C57" s="519">
        <f ca="1">IS!N$433*1000+IS!N$402*1000-C59-C53-C45</f>
        <v>-179824.93919338565</v>
      </c>
      <c r="E57" s="521">
        <v>0</v>
      </c>
      <c r="F57" s="522"/>
      <c r="G57" s="519">
        <f ca="1">C57*E57</f>
        <v>0</v>
      </c>
      <c r="H57" s="523"/>
      <c r="I57" s="523">
        <f ca="1">G57/365</f>
        <v>0</v>
      </c>
      <c r="K57" s="517">
        <f>$K$9</f>
        <v>47.518333333333331</v>
      </c>
      <c r="L57" s="517"/>
      <c r="M57" s="517">
        <f>-K57</f>
        <v>-47.518333333333331</v>
      </c>
      <c r="O57" s="517">
        <f>K57+M57</f>
        <v>0</v>
      </c>
      <c r="P57" s="517"/>
      <c r="Q57" s="523">
        <f ca="1">I57*O57</f>
        <v>0</v>
      </c>
    </row>
    <row r="58" spans="1:17" x14ac:dyDescent="0.2">
      <c r="C58" s="535"/>
      <c r="E58" s="521"/>
      <c r="F58" s="522"/>
      <c r="G58" s="523"/>
      <c r="H58" s="523"/>
      <c r="I58" s="523"/>
      <c r="K58" s="517"/>
      <c r="L58" s="517"/>
      <c r="O58" s="517"/>
      <c r="P58" s="517"/>
      <c r="Q58" s="523"/>
    </row>
    <row r="59" spans="1:17" ht="15.75" x14ac:dyDescent="0.25">
      <c r="A59" s="512">
        <f>A57+1</f>
        <v>40</v>
      </c>
      <c r="B59" s="513" t="s">
        <v>1571</v>
      </c>
      <c r="C59" s="519">
        <f ca="1">'Print Layout'!D737</f>
        <v>116045467.27503477</v>
      </c>
      <c r="E59" s="521">
        <f ca="1">G59/C59</f>
        <v>4.7359598812925986E-2</v>
      </c>
      <c r="F59" s="522"/>
      <c r="G59" s="519">
        <f ca="1">'Print Layout'!H737</f>
        <v>5495866.7742041778</v>
      </c>
      <c r="H59" s="523"/>
      <c r="I59" s="523">
        <f ca="1">G59/365</f>
        <v>15057.169244395007</v>
      </c>
      <c r="K59" s="517">
        <f>$K$9</f>
        <v>47.518333333333331</v>
      </c>
      <c r="L59" s="517"/>
      <c r="M59" s="517">
        <v>-89.01</v>
      </c>
      <c r="O59" s="517">
        <f>K59+M59</f>
        <v>-41.491666666666674</v>
      </c>
      <c r="P59" s="517"/>
      <c r="Q59" s="523">
        <f ca="1">I59*O59</f>
        <v>-624747.04723202297</v>
      </c>
    </row>
    <row r="60" spans="1:17" x14ac:dyDescent="0.2">
      <c r="C60" s="535"/>
      <c r="E60" s="521"/>
      <c r="F60" s="522"/>
      <c r="G60" s="523"/>
      <c r="H60" s="523"/>
      <c r="I60" s="523"/>
      <c r="K60" s="517"/>
      <c r="L60" s="517"/>
      <c r="O60" s="517"/>
      <c r="P60" s="517"/>
      <c r="Q60" s="523"/>
    </row>
    <row r="61" spans="1:17" ht="15.75" x14ac:dyDescent="0.25">
      <c r="A61" s="512">
        <f>A59+1</f>
        <v>41</v>
      </c>
      <c r="B61" s="513" t="s">
        <v>1572</v>
      </c>
      <c r="C61" s="526">
        <f ca="1">'Print Layout'!D49-C24-C31-C37-C43-SUM(C45:C59)</f>
        <v>218129293.02775502</v>
      </c>
      <c r="D61" s="527"/>
      <c r="E61" s="521"/>
      <c r="F61" s="522"/>
      <c r="G61" s="526">
        <f ca="1">'Print Layout'!H64-G59</f>
        <v>4316307.1532845739</v>
      </c>
      <c r="H61" s="528"/>
      <c r="I61" s="523">
        <f ca="1">G61/365</f>
        <v>11825.499050094722</v>
      </c>
      <c r="J61" s="527"/>
      <c r="K61" s="517">
        <f>$K$9</f>
        <v>47.518333333333331</v>
      </c>
      <c r="L61" s="517"/>
      <c r="M61" s="517">
        <f>-K61</f>
        <v>-47.518333333333331</v>
      </c>
      <c r="O61" s="517">
        <f>K61+M61</f>
        <v>0</v>
      </c>
      <c r="P61" s="517"/>
      <c r="Q61" s="529">
        <f ca="1">I61*O61</f>
        <v>0</v>
      </c>
    </row>
    <row r="62" spans="1:17" x14ac:dyDescent="0.2">
      <c r="C62" s="535"/>
      <c r="E62" s="521"/>
      <c r="F62" s="522"/>
      <c r="G62" s="523"/>
      <c r="H62" s="523"/>
      <c r="I62" s="523"/>
      <c r="K62" s="517"/>
      <c r="L62" s="517"/>
      <c r="O62" s="517"/>
      <c r="P62" s="517"/>
      <c r="Q62" s="523"/>
    </row>
    <row r="63" spans="1:17" ht="15.75" x14ac:dyDescent="0.25">
      <c r="A63" s="512">
        <f>A61+1</f>
        <v>42</v>
      </c>
      <c r="B63" s="513" t="s">
        <v>682</v>
      </c>
      <c r="C63" s="523">
        <f ca="1">C24+C31+C37+C43+C45+C47+C49+C51+C53+C55+C57+C59+C61</f>
        <v>1736120504.5603521</v>
      </c>
      <c r="E63" s="521"/>
      <c r="F63" s="522"/>
      <c r="G63" s="523">
        <f ca="1">G24+G31+G37+G43+G45+G47+G49+G51+G53+G55+G57+G59+G61</f>
        <v>73646268.176802412</v>
      </c>
      <c r="I63" s="523">
        <f ca="1">I24+I31+I37+I43+I45+I47+I49+I51+I53+I55+I57+I59+I61</f>
        <v>27015.553048689013</v>
      </c>
      <c r="O63" s="517"/>
      <c r="P63" s="517"/>
      <c r="Q63" s="523">
        <f ca="1">Q24+Q31+Q37+Q43+Q45+Q47+Q49+Q51+Q53+Q55+Q57+Q59+Q61</f>
        <v>3220640.618840625</v>
      </c>
    </row>
    <row r="64" spans="1:17" x14ac:dyDescent="0.2">
      <c r="C64" s="535"/>
      <c r="E64" s="521"/>
      <c r="F64" s="522"/>
      <c r="O64" s="517"/>
      <c r="P64" s="517"/>
      <c r="Q64" s="523"/>
    </row>
    <row r="65" spans="1:17" ht="15.75" x14ac:dyDescent="0.25">
      <c r="A65" s="512">
        <f>A63+1</f>
        <v>43</v>
      </c>
      <c r="B65" s="513" t="s">
        <v>1573</v>
      </c>
      <c r="C65" s="519">
        <v>1045577.33</v>
      </c>
      <c r="E65" s="521">
        <v>1</v>
      </c>
      <c r="F65" s="522"/>
      <c r="G65" s="519">
        <f>C65*E65</f>
        <v>1045577.33</v>
      </c>
      <c r="I65" s="524">
        <f>G65/365</f>
        <v>2864.5954246575343</v>
      </c>
      <c r="K65" s="517">
        <f>$K$9</f>
        <v>47.518333333333331</v>
      </c>
      <c r="L65" s="517"/>
      <c r="M65" s="517">
        <v>-33.630000000000003</v>
      </c>
      <c r="O65" s="517">
        <f>K65+M65</f>
        <v>13.888333333333328</v>
      </c>
      <c r="P65" s="517"/>
      <c r="Q65" s="523">
        <f>I65*O65</f>
        <v>39784.456122785377</v>
      </c>
    </row>
    <row r="66" spans="1:17" ht="15.75" x14ac:dyDescent="0.25">
      <c r="B66" s="513"/>
      <c r="C66" s="535"/>
      <c r="E66" s="521"/>
      <c r="F66" s="522"/>
      <c r="K66" s="517"/>
      <c r="L66" s="517"/>
      <c r="O66" s="517"/>
      <c r="P66" s="517"/>
      <c r="Q66" s="523"/>
    </row>
    <row r="67" spans="1:17" ht="15.75" x14ac:dyDescent="0.25">
      <c r="A67" s="512">
        <f>A65+1</f>
        <v>44</v>
      </c>
      <c r="B67" s="513" t="s">
        <v>1574</v>
      </c>
      <c r="C67" s="519">
        <v>760583.22</v>
      </c>
      <c r="E67" s="521">
        <v>1</v>
      </c>
      <c r="F67" s="522"/>
      <c r="G67" s="519">
        <f>C67*E67</f>
        <v>760583.22</v>
      </c>
      <c r="I67" s="524">
        <f>G67/365</f>
        <v>2083.7896438356165</v>
      </c>
      <c r="K67" s="517">
        <f>$K$9</f>
        <v>47.518333333333331</v>
      </c>
      <c r="L67" s="517"/>
      <c r="M67" s="517">
        <v>-37.69</v>
      </c>
      <c r="O67" s="517">
        <f>K67+M67</f>
        <v>9.8283333333333331</v>
      </c>
      <c r="P67" s="517"/>
      <c r="Q67" s="529">
        <f>I67*O67</f>
        <v>20480.179216164383</v>
      </c>
    </row>
    <row r="68" spans="1:17" ht="15.75" x14ac:dyDescent="0.25">
      <c r="B68" s="513"/>
      <c r="E68" s="522"/>
      <c r="F68" s="522"/>
      <c r="Q68" s="523"/>
    </row>
    <row r="69" spans="1:17" ht="15.75" x14ac:dyDescent="0.25">
      <c r="A69" s="512">
        <f>A67+1</f>
        <v>45</v>
      </c>
      <c r="B69" s="513" t="s">
        <v>1575</v>
      </c>
      <c r="E69" s="522"/>
      <c r="F69" s="522"/>
      <c r="Q69" s="528">
        <f ca="1">SUM(Q63:Q67)</f>
        <v>3280905.2541795745</v>
      </c>
    </row>
    <row r="70" spans="1:17" ht="15.75" x14ac:dyDescent="0.25">
      <c r="B70" s="513"/>
      <c r="E70" s="522"/>
      <c r="F70" s="522"/>
      <c r="Q70" s="523"/>
    </row>
    <row r="71" spans="1:17" ht="15.75" x14ac:dyDescent="0.25">
      <c r="A71" s="512">
        <f>A69+1</f>
        <v>46</v>
      </c>
      <c r="B71" s="513" t="s">
        <v>2671</v>
      </c>
      <c r="E71" s="522"/>
      <c r="F71" s="522"/>
      <c r="Q71" s="529">
        <f ca="1">'VA-CWC-BS'!W32</f>
        <v>3942976.3</v>
      </c>
    </row>
    <row r="72" spans="1:17" ht="15.75" x14ac:dyDescent="0.25">
      <c r="B72" s="513"/>
      <c r="E72" s="522"/>
      <c r="F72" s="522"/>
      <c r="Q72" s="523"/>
    </row>
    <row r="73" spans="1:17" ht="16.5" thickBot="1" x14ac:dyDescent="0.3">
      <c r="A73" s="512">
        <f>A71+1</f>
        <v>47</v>
      </c>
      <c r="B73" s="513" t="s">
        <v>1576</v>
      </c>
      <c r="E73" s="522"/>
      <c r="F73" s="522"/>
      <c r="Q73" s="538">
        <f ca="1">SUM(Q69:Q71)</f>
        <v>7223881.5541795744</v>
      </c>
    </row>
    <row r="74" spans="1:17" ht="15.75" thickTop="1" x14ac:dyDescent="0.2">
      <c r="E74" s="522"/>
      <c r="F74" s="522"/>
      <c r="Q74" s="523"/>
    </row>
    <row r="75" spans="1:17" ht="15.75" x14ac:dyDescent="0.25">
      <c r="B75" s="513"/>
    </row>
    <row r="78" spans="1:17" ht="15.75" x14ac:dyDescent="0.25">
      <c r="B78" s="513"/>
    </row>
  </sheetData>
  <mergeCells count="4">
    <mergeCell ref="A1:Q1"/>
    <mergeCell ref="A2:Q2"/>
    <mergeCell ref="A3:Q3"/>
    <mergeCell ref="A4:Q4"/>
  </mergeCells>
  <printOptions horizontalCentered="1"/>
  <pageMargins left="0.45" right="0.45" top="1" bottom="0.5" header="0.3" footer="0.3"/>
  <pageSetup scale="4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5"/>
  <sheetViews>
    <sheetView zoomScale="70" zoomScaleNormal="70" workbookViewId="0">
      <pane xSplit="3" ySplit="8" topLeftCell="D9" activePane="bottomRight" state="frozen"/>
      <selection activeCell="E107" sqref="E107"/>
      <selection pane="topRight" activeCell="E107" sqref="E107"/>
      <selection pane="bottomLeft" activeCell="E107" sqref="E107"/>
      <selection pane="bottomRight" activeCell="D43" sqref="D43"/>
    </sheetView>
  </sheetViews>
  <sheetFormatPr defaultRowHeight="15" outlineLevelCol="2" x14ac:dyDescent="0.2"/>
  <cols>
    <col min="1" max="1" width="8.5546875" style="512" customWidth="1"/>
    <col min="2" max="2" width="10.77734375" style="505" customWidth="1"/>
    <col min="3" max="3" width="56.44140625" style="541" customWidth="1"/>
    <col min="4" max="4" width="12.77734375" style="505" customWidth="1" outlineLevel="1"/>
    <col min="5" max="16" width="12.77734375" style="505" customWidth="1" outlineLevel="2"/>
    <col min="17" max="17" width="13.5546875" style="505" customWidth="1"/>
    <col min="18" max="18" width="2.88671875" style="505" customWidth="1"/>
    <col min="19" max="19" width="12.77734375" style="539" customWidth="1"/>
    <col min="20" max="20" width="2.88671875" style="542" hidden="1" customWidth="1"/>
    <col min="21" max="21" width="13.77734375" style="543" hidden="1" customWidth="1"/>
    <col min="22" max="22" width="2.88671875" style="539" customWidth="1"/>
    <col min="23" max="23" width="12.77734375" style="505" customWidth="1"/>
    <col min="24" max="24" width="16.6640625" style="505" customWidth="1"/>
    <col min="25" max="26" width="8.88671875" style="505"/>
    <col min="27" max="27" width="14.77734375" style="505" customWidth="1"/>
    <col min="28" max="28" width="13" style="505" customWidth="1"/>
    <col min="29" max="29" width="8.88671875" style="505"/>
    <col min="30" max="30" width="13.88671875" style="505" customWidth="1"/>
    <col min="31" max="31" width="13.33203125" style="505" customWidth="1"/>
    <col min="32" max="16384" width="8.88671875" style="505"/>
  </cols>
  <sheetData>
    <row r="1" spans="1:25" ht="15.75" x14ac:dyDescent="0.25">
      <c r="A1" s="866" t="s">
        <v>863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8"/>
      <c r="U1" s="868"/>
      <c r="V1" s="866"/>
      <c r="W1" s="866"/>
      <c r="X1" s="504" t="s">
        <v>1521</v>
      </c>
    </row>
    <row r="2" spans="1:25" ht="15.75" x14ac:dyDescent="0.25">
      <c r="A2" s="866" t="s">
        <v>1595</v>
      </c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  <c r="T2" s="868"/>
      <c r="U2" s="868"/>
      <c r="V2" s="866"/>
      <c r="W2" s="866"/>
      <c r="X2" s="504" t="s">
        <v>2673</v>
      </c>
    </row>
    <row r="3" spans="1:25" ht="15.75" x14ac:dyDescent="0.25">
      <c r="A3" s="866" t="s">
        <v>2584</v>
      </c>
      <c r="B3" s="866"/>
      <c r="C3" s="866"/>
      <c r="D3" s="866"/>
      <c r="E3" s="866"/>
      <c r="F3" s="866"/>
      <c r="G3" s="866"/>
      <c r="H3" s="866"/>
      <c r="I3" s="866"/>
      <c r="J3" s="866"/>
      <c r="K3" s="866"/>
      <c r="L3" s="866"/>
      <c r="M3" s="866"/>
      <c r="N3" s="866"/>
      <c r="O3" s="866"/>
      <c r="P3" s="866"/>
      <c r="Q3" s="866"/>
      <c r="R3" s="866"/>
      <c r="S3" s="866"/>
      <c r="T3" s="868"/>
      <c r="U3" s="868"/>
      <c r="V3" s="866"/>
      <c r="W3" s="866"/>
      <c r="X3" s="506"/>
    </row>
    <row r="4" spans="1:25" ht="16.5" thickBot="1" x14ac:dyDescent="0.3">
      <c r="A4" s="867" t="s">
        <v>1577</v>
      </c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867"/>
      <c r="S4" s="867"/>
      <c r="T4" s="869"/>
      <c r="U4" s="869"/>
      <c r="V4" s="867"/>
      <c r="W4" s="867"/>
      <c r="X4" s="506"/>
    </row>
    <row r="6" spans="1:25" ht="15.75" x14ac:dyDescent="0.25">
      <c r="A6" s="540" t="s">
        <v>1578</v>
      </c>
    </row>
    <row r="7" spans="1:25" ht="47.25" x14ac:dyDescent="0.25">
      <c r="A7" s="544" t="s">
        <v>1523</v>
      </c>
      <c r="B7" s="507" t="s">
        <v>1579</v>
      </c>
      <c r="C7" s="544" t="s">
        <v>602</v>
      </c>
      <c r="D7" s="545" t="s">
        <v>1504</v>
      </c>
      <c r="E7" s="545" t="s">
        <v>2454</v>
      </c>
      <c r="F7" s="545" t="s">
        <v>2455</v>
      </c>
      <c r="G7" s="545" t="s">
        <v>2456</v>
      </c>
      <c r="H7" s="545" t="s">
        <v>2457</v>
      </c>
      <c r="I7" s="545" t="s">
        <v>2458</v>
      </c>
      <c r="J7" s="545" t="s">
        <v>2459</v>
      </c>
      <c r="K7" s="545" t="s">
        <v>2460</v>
      </c>
      <c r="L7" s="545" t="s">
        <v>2461</v>
      </c>
      <c r="M7" s="545" t="s">
        <v>2462</v>
      </c>
      <c r="N7" s="545" t="s">
        <v>2463</v>
      </c>
      <c r="O7" s="545" t="s">
        <v>2464</v>
      </c>
      <c r="P7" s="545" t="s">
        <v>2465</v>
      </c>
      <c r="Q7" s="507" t="s">
        <v>1580</v>
      </c>
      <c r="R7" s="507"/>
      <c r="S7" s="509" t="s">
        <v>1525</v>
      </c>
      <c r="T7" s="546"/>
      <c r="U7" s="547" t="s">
        <v>1581</v>
      </c>
      <c r="V7" s="509"/>
      <c r="W7" s="507" t="s">
        <v>1582</v>
      </c>
      <c r="X7" s="548"/>
    </row>
    <row r="9" spans="1:25" ht="15" customHeight="1" x14ac:dyDescent="0.2">
      <c r="A9" s="512">
        <v>1</v>
      </c>
      <c r="B9" s="512">
        <v>128</v>
      </c>
      <c r="C9" s="541" t="s">
        <v>2631</v>
      </c>
      <c r="D9" s="523">
        <f>SUMIFS(BS!C$4:C$275,BS!$A$4:$A$275,$B9)*1000</f>
        <v>20762133.4533333</v>
      </c>
      <c r="E9" s="523">
        <f>SUMIFS(BS!D$4:D$275,BS!$A$4:$A$275,$B9)*1000</f>
        <v>21395857.536666602</v>
      </c>
      <c r="F9" s="523">
        <f>SUMIFS(BS!E$4:E$275,BS!$A$4:$A$275,$B9)*1000</f>
        <v>22029581.620000001</v>
      </c>
      <c r="G9" s="523">
        <f>SUMIFS(BS!F$4:F$275,BS!$A$4:$A$275,$B9)*1000</f>
        <v>22663305.7033333</v>
      </c>
      <c r="H9" s="523">
        <f>SUMIFS(BS!G$4:G$275,BS!$A$4:$A$275,$B9)*1000</f>
        <v>23297029.786666602</v>
      </c>
      <c r="I9" s="523">
        <f>SUMIFS(BS!H$4:H$275,BS!$A$4:$A$275,$B9)*1000</f>
        <v>23930753.870000001</v>
      </c>
      <c r="J9" s="523">
        <f>SUMIFS(BS!I$4:I$275,BS!$A$4:$A$275,$B9)*1000</f>
        <v>24564477.9533333</v>
      </c>
      <c r="K9" s="523">
        <f>SUMIFS(BS!J$4:J$275,BS!$A$4:$A$275,$B9)*1000</f>
        <v>25198202.036666602</v>
      </c>
      <c r="L9" s="523">
        <f>SUMIFS(BS!K$4:K$275,BS!$A$4:$A$275,$B9)*1000</f>
        <v>25831926.120000001</v>
      </c>
      <c r="M9" s="523">
        <f>SUMIFS(BS!L$4:L$275,BS!$A$4:$A$275,$B9)*1000</f>
        <v>26522610.120000001</v>
      </c>
      <c r="N9" s="523">
        <f>SUMIFS(BS!M$4:M$275,BS!$A$4:$A$275,$B9)*1000</f>
        <v>27213294.119999997</v>
      </c>
      <c r="O9" s="523">
        <f>SUMIFS(BS!N$4:N$275,BS!$A$4:$A$275,$B9)*1000</f>
        <v>27903978.120000001</v>
      </c>
      <c r="P9" s="523">
        <f>SUMIFS(BS!O$4:O$275,BS!$A$4:$A$275,$B9)*1000</f>
        <v>28594662.120000001</v>
      </c>
      <c r="Q9" s="523">
        <f t="shared" ref="Q9:Q15" si="0">AVERAGE(D9:P9)</f>
        <v>24608293.273846131</v>
      </c>
      <c r="R9" s="516"/>
      <c r="S9" s="549">
        <f ca="1">'Print Layout'!H$1302</f>
        <v>4.7359598812925993E-2</v>
      </c>
      <c r="T9" s="684"/>
      <c r="U9" s="685">
        <v>1</v>
      </c>
      <c r="W9" s="523">
        <f t="shared" ref="W9:W15" ca="1" si="1">ROUND($Q9*$S9*$U9,2)</f>
        <v>1165438.8999999999</v>
      </c>
      <c r="X9" s="523"/>
      <c r="Y9" s="557"/>
    </row>
    <row r="10" spans="1:25" ht="15" customHeight="1" x14ac:dyDescent="0.2">
      <c r="A10" s="512">
        <f>A9+1</f>
        <v>2</v>
      </c>
      <c r="B10" s="512">
        <v>165</v>
      </c>
      <c r="C10" s="541" t="s">
        <v>2603</v>
      </c>
      <c r="D10" s="523">
        <f>SUMIFS(BS!C$4:C$275,BS!$A$4:$A$275,$B10)*1000</f>
        <v>20508690.247826997</v>
      </c>
      <c r="E10" s="523">
        <f>SUMIFS(BS!D$4:D$275,BS!$A$4:$A$275,$B10)*1000</f>
        <v>19121754.358720701</v>
      </c>
      <c r="F10" s="523">
        <f>SUMIFS(BS!E$4:E$275,BS!$A$4:$A$275,$B10)*1000</f>
        <v>18391465.693814401</v>
      </c>
      <c r="G10" s="523">
        <f>SUMIFS(BS!F$4:F$275,BS!$A$4:$A$275,$B10)*1000</f>
        <v>19816547.128908202</v>
      </c>
      <c r="H10" s="523">
        <f>SUMIFS(BS!G$4:G$275,BS!$A$4:$A$275,$B10)*1000</f>
        <v>18034766.437364399</v>
      </c>
      <c r="I10" s="523">
        <f>SUMIFS(BS!H$4:H$275,BS!$A$4:$A$275,$B10)*1000</f>
        <v>17818393.520970702</v>
      </c>
      <c r="J10" s="523">
        <f>SUMIFS(BS!I$4:I$275,BS!$A$4:$A$275,$B10)*1000</f>
        <v>16808293.8745769</v>
      </c>
      <c r="K10" s="523">
        <f>SUMIFS(BS!J$4:J$275,BS!$A$4:$A$275,$B10)*1000</f>
        <v>15745387.7401636</v>
      </c>
      <c r="L10" s="523">
        <f>SUMIFS(BS!K$4:K$275,BS!$A$4:$A$275,$B10)*1000</f>
        <v>15324925.263769899</v>
      </c>
      <c r="M10" s="523">
        <f>SUMIFS(BS!L$4:L$275,BS!$A$4:$A$275,$B10)*1000</f>
        <v>19294695.6339035</v>
      </c>
      <c r="N10" s="523">
        <f>SUMIFS(BS!M$4:M$275,BS!$A$4:$A$275,$B10)*1000</f>
        <v>17580520.082761902</v>
      </c>
      <c r="O10" s="523">
        <f>SUMIFS(BS!N$4:N$275,BS!$A$4:$A$275,$B10)*1000</f>
        <v>15444727.138863999</v>
      </c>
      <c r="P10" s="523">
        <f>SUMIFS(BS!O$4:O$275,BS!$A$4:$A$275,$B10)*1000</f>
        <v>21398802.493974198</v>
      </c>
      <c r="Q10" s="523">
        <f t="shared" si="0"/>
        <v>18099151.508893803</v>
      </c>
      <c r="R10" s="516"/>
      <c r="S10" s="549">
        <f ca="1">'Print Layout'!H1265</f>
        <v>4.9077821602451527E-2</v>
      </c>
      <c r="T10" s="550"/>
      <c r="U10" s="551">
        <v>1</v>
      </c>
      <c r="W10" s="523">
        <f t="shared" ca="1" si="1"/>
        <v>888266.93</v>
      </c>
      <c r="X10" s="523"/>
      <c r="Y10" s="557"/>
    </row>
    <row r="11" spans="1:25" ht="15" customHeight="1" x14ac:dyDescent="0.2">
      <c r="A11" s="512">
        <f>A10+1</f>
        <v>3</v>
      </c>
      <c r="B11" s="512">
        <v>182</v>
      </c>
      <c r="C11" s="541" t="s">
        <v>1583</v>
      </c>
      <c r="D11" s="523">
        <f>SUMIFS(BS!C$4:C$275,BS!$A$4:$A$275,$B11)*1000</f>
        <v>130169432.64046299</v>
      </c>
      <c r="E11" s="523">
        <f>SUMIFS(BS!D$4:D$275,BS!$A$4:$A$275,$B11)*1000</f>
        <v>129709946.197759</v>
      </c>
      <c r="F11" s="523">
        <f>SUMIFS(BS!E$4:E$275,BS!$A$4:$A$275,$B11)*1000</f>
        <v>129439883.547557</v>
      </c>
      <c r="G11" s="523">
        <f>SUMIFS(BS!F$4:F$275,BS!$A$4:$A$275,$B11)*1000</f>
        <v>128980397.10485299</v>
      </c>
      <c r="H11" s="523">
        <f>SUMIFS(BS!G$4:G$275,BS!$A$4:$A$275,$B11)*1000</f>
        <v>128520910.66214901</v>
      </c>
      <c r="I11" s="523">
        <f>SUMIFS(BS!H$4:H$275,BS!$A$4:$A$275,$B11)*1000</f>
        <v>128250848.01194701</v>
      </c>
      <c r="J11" s="523">
        <f>SUMIFS(BS!I$4:I$275,BS!$A$4:$A$275,$B11)*1000</f>
        <v>127791361.569243</v>
      </c>
      <c r="K11" s="523">
        <f>SUMIFS(BS!J$4:J$275,BS!$A$4:$A$275,$B11)*1000</f>
        <v>127331875.12653901</v>
      </c>
      <c r="L11" s="523">
        <f>SUMIFS(BS!K$4:K$275,BS!$A$4:$A$275,$B11)*1000</f>
        <v>127061812.476337</v>
      </c>
      <c r="M11" s="523">
        <f>SUMIFS(BS!L$4:L$275,BS!$A$4:$A$275,$B11)*1000</f>
        <v>126612180.693141</v>
      </c>
      <c r="N11" s="523">
        <f>SUMIFS(BS!M$4:M$275,BS!$A$4:$A$275,$B11)*1000</f>
        <v>126162548.90994501</v>
      </c>
      <c r="O11" s="523">
        <f>SUMIFS(BS!N$4:N$275,BS!$A$4:$A$275,$B11)*1000</f>
        <v>125813239.54886299</v>
      </c>
      <c r="P11" s="523">
        <f>SUMIFS(BS!O$4:O$275,BS!$A$4:$A$275,$B11)*1000</f>
        <v>125363607.76566699</v>
      </c>
      <c r="Q11" s="523">
        <f t="shared" si="0"/>
        <v>127785234.17342022</v>
      </c>
      <c r="R11" s="516"/>
      <c r="S11" s="549">
        <f ca="1">'Print Layout'!H1247</f>
        <v>4.7347795471836499E-2</v>
      </c>
      <c r="T11" s="550"/>
      <c r="U11" s="551">
        <v>1</v>
      </c>
      <c r="W11" s="523">
        <f t="shared" ca="1" si="1"/>
        <v>6050349.1299999999</v>
      </c>
      <c r="X11" s="523"/>
      <c r="Y11" s="557"/>
    </row>
    <row r="12" spans="1:25" ht="15" customHeight="1" x14ac:dyDescent="0.2">
      <c r="A12" s="512">
        <f t="shared" ref="A12:A14" si="2">A11+1</f>
        <v>4</v>
      </c>
      <c r="B12" s="512">
        <v>183</v>
      </c>
      <c r="C12" s="541" t="s">
        <v>2605</v>
      </c>
      <c r="D12" s="523">
        <f>SUMIFS(BS!C$4:C$275,BS!$A$4:$A$275,$B12)*1000</f>
        <v>4177727.75</v>
      </c>
      <c r="E12" s="523">
        <f>SUMIFS(BS!D$4:D$275,BS!$A$4:$A$275,$B12)*1000</f>
        <v>4177727.75</v>
      </c>
      <c r="F12" s="523">
        <f>SUMIFS(BS!E$4:E$275,BS!$A$4:$A$275,$B12)*1000</f>
        <v>4177727.75</v>
      </c>
      <c r="G12" s="523">
        <f>SUMIFS(BS!F$4:F$275,BS!$A$4:$A$275,$B12)*1000</f>
        <v>4177727.75</v>
      </c>
      <c r="H12" s="523">
        <f>SUMIFS(BS!G$4:G$275,BS!$A$4:$A$275,$B12)*1000</f>
        <v>4177727.75</v>
      </c>
      <c r="I12" s="523">
        <f>SUMIFS(BS!H$4:H$275,BS!$A$4:$A$275,$B12)*1000</f>
        <v>4177727.75</v>
      </c>
      <c r="J12" s="523">
        <f>SUMIFS(BS!I$4:I$275,BS!$A$4:$A$275,$B12)*1000</f>
        <v>4177727.75</v>
      </c>
      <c r="K12" s="523">
        <f>SUMIFS(BS!J$4:J$275,BS!$A$4:$A$275,$B12)*1000</f>
        <v>4177727.75</v>
      </c>
      <c r="L12" s="523">
        <f>SUMIFS(BS!K$4:K$275,BS!$A$4:$A$275,$B12)*1000</f>
        <v>4177727.75</v>
      </c>
      <c r="M12" s="523">
        <f>SUMIFS(BS!L$4:L$275,BS!$A$4:$A$275,$B12)*1000</f>
        <v>4177727.75</v>
      </c>
      <c r="N12" s="523">
        <f>SUMIFS(BS!M$4:M$275,BS!$A$4:$A$275,$B12)*1000</f>
        <v>4177727.75</v>
      </c>
      <c r="O12" s="523">
        <f>SUMIFS(BS!N$4:N$275,BS!$A$4:$A$275,$B12)*1000</f>
        <v>4177727.75</v>
      </c>
      <c r="P12" s="523">
        <f>SUMIFS(BS!O$4:O$275,BS!$A$4:$A$275,$B12)*1000</f>
        <v>4177727.75</v>
      </c>
      <c r="Q12" s="523">
        <f t="shared" si="0"/>
        <v>4177727.75</v>
      </c>
      <c r="R12" s="527"/>
      <c r="S12" s="549">
        <f ca="1">S$9</f>
        <v>4.7359598812925993E-2</v>
      </c>
      <c r="T12" s="552"/>
      <c r="U12" s="551">
        <v>1</v>
      </c>
      <c r="W12" s="523">
        <f t="shared" ca="1" si="1"/>
        <v>197855.51</v>
      </c>
      <c r="X12" s="523"/>
      <c r="Y12" s="557"/>
    </row>
    <row r="13" spans="1:25" ht="15" customHeight="1" x14ac:dyDescent="0.2">
      <c r="A13" s="512">
        <f t="shared" si="2"/>
        <v>5</v>
      </c>
      <c r="B13" s="512">
        <v>184</v>
      </c>
      <c r="C13" s="541" t="s">
        <v>2634</v>
      </c>
      <c r="D13" s="523">
        <f>SUMIFS(BS!C$4:C$275,BS!$A$4:$A$275,$B13)*1000</f>
        <v>3774532.3400000012</v>
      </c>
      <c r="E13" s="523">
        <f>SUMIFS(BS!D$4:D$275,BS!$A$4:$A$275,$B13)*1000</f>
        <v>3774532.3400000012</v>
      </c>
      <c r="F13" s="523">
        <f>SUMIFS(BS!E$4:E$275,BS!$A$4:$A$275,$B13)*1000</f>
        <v>3774532.3400000012</v>
      </c>
      <c r="G13" s="523">
        <f>SUMIFS(BS!F$4:F$275,BS!$A$4:$A$275,$B13)*1000</f>
        <v>3774532.3400000012</v>
      </c>
      <c r="H13" s="523">
        <f>SUMIFS(BS!G$4:G$275,BS!$A$4:$A$275,$B13)*1000</f>
        <v>3774532.3400000012</v>
      </c>
      <c r="I13" s="523">
        <f>SUMIFS(BS!H$4:H$275,BS!$A$4:$A$275,$B13)*1000</f>
        <v>3774532.3400000012</v>
      </c>
      <c r="J13" s="523">
        <f>SUMIFS(BS!I$4:I$275,BS!$A$4:$A$275,$B13)*1000</f>
        <v>3774532.3400000012</v>
      </c>
      <c r="K13" s="523">
        <f>SUMIFS(BS!J$4:J$275,BS!$A$4:$A$275,$B13)*1000</f>
        <v>3774532.3400000012</v>
      </c>
      <c r="L13" s="523">
        <f>SUMIFS(BS!K$4:K$275,BS!$A$4:$A$275,$B13)*1000</f>
        <v>3774532.3400000012</v>
      </c>
      <c r="M13" s="523">
        <f>SUMIFS(BS!L$4:L$275,BS!$A$4:$A$275,$B13)*1000</f>
        <v>3774532.3400000012</v>
      </c>
      <c r="N13" s="523">
        <f>SUMIFS(BS!M$4:M$275,BS!$A$4:$A$275,$B13)*1000</f>
        <v>3774532.3400000012</v>
      </c>
      <c r="O13" s="523">
        <f>SUMIFS(BS!N$4:N$275,BS!$A$4:$A$275,$B13)*1000</f>
        <v>3774532.3400000012</v>
      </c>
      <c r="P13" s="523">
        <f>SUMIFS(BS!O$4:O$275,BS!$A$4:$A$275,$B13)*1000</f>
        <v>3774532.3400000012</v>
      </c>
      <c r="Q13" s="523">
        <f t="shared" ref="Q13" si="3">AVERAGE(D13:P13)</f>
        <v>3774532.3400000017</v>
      </c>
      <c r="R13" s="527"/>
      <c r="S13" s="549">
        <f ca="1">S$11</f>
        <v>4.7347795471836499E-2</v>
      </c>
      <c r="T13" s="550"/>
      <c r="U13" s="551">
        <v>1</v>
      </c>
      <c r="W13" s="523">
        <f t="shared" ca="1" si="1"/>
        <v>178715.79</v>
      </c>
      <c r="X13" s="523"/>
      <c r="Y13" s="557"/>
    </row>
    <row r="14" spans="1:25" ht="15" customHeight="1" x14ac:dyDescent="0.2">
      <c r="A14" s="512">
        <f t="shared" si="2"/>
        <v>6</v>
      </c>
      <c r="B14" s="512">
        <v>186</v>
      </c>
      <c r="C14" s="541" t="s">
        <v>1584</v>
      </c>
      <c r="D14" s="523">
        <f>SUMIFS(BS!C$4:C$275,BS!$A$4:$A$275,$B14)*1000</f>
        <v>19321838.131558001</v>
      </c>
      <c r="E14" s="523">
        <f>SUMIFS(BS!D$4:D$275,BS!$A$4:$A$275,$B14)*1000</f>
        <v>18438773.839013103</v>
      </c>
      <c r="F14" s="523">
        <f>SUMIFS(BS!E$4:E$275,BS!$A$4:$A$275,$B14)*1000</f>
        <v>18911701.3780597</v>
      </c>
      <c r="G14" s="523">
        <f>SUMIFS(BS!F$4:F$275,BS!$A$4:$A$275,$B14)*1000</f>
        <v>19412748.808189698</v>
      </c>
      <c r="H14" s="523">
        <f>SUMIFS(BS!G$4:G$275,BS!$A$4:$A$275,$B14)*1000</f>
        <v>19926259.987299401</v>
      </c>
      <c r="I14" s="523">
        <f>SUMIFS(BS!H$4:H$275,BS!$A$4:$A$275,$B14)*1000</f>
        <v>20341909.1133691</v>
      </c>
      <c r="J14" s="523">
        <f>SUMIFS(BS!I$4:I$275,BS!$A$4:$A$275,$B14)*1000</f>
        <v>20749057.941222798</v>
      </c>
      <c r="K14" s="523">
        <f>SUMIFS(BS!J$4:J$275,BS!$A$4:$A$275,$B14)*1000</f>
        <v>21286986.3980693</v>
      </c>
      <c r="L14" s="523">
        <f>SUMIFS(BS!K$4:K$275,BS!$A$4:$A$275,$B14)*1000</f>
        <v>21760183.379903398</v>
      </c>
      <c r="M14" s="523">
        <f>SUMIFS(BS!L$4:L$275,BS!$A$4:$A$275,$B14)*1000</f>
        <v>22508078.4972881</v>
      </c>
      <c r="N14" s="523">
        <f>SUMIFS(BS!M$4:M$275,BS!$A$4:$A$275,$B14)*1000</f>
        <v>22827901.119197</v>
      </c>
      <c r="O14" s="523">
        <f>SUMIFS(BS!N$4:N$275,BS!$A$4:$A$275,$B14)*1000</f>
        <v>8275984.7449352397</v>
      </c>
      <c r="P14" s="523">
        <f>SUMIFS(BS!O$4:O$275,BS!$A$4:$A$275,$B14)*1000</f>
        <v>4757509.1288919905</v>
      </c>
      <c r="Q14" s="523">
        <f t="shared" si="0"/>
        <v>18347610.189768989</v>
      </c>
      <c r="R14" s="527"/>
      <c r="S14" s="549">
        <f ca="1">S$11</f>
        <v>4.7347795471836499E-2</v>
      </c>
      <c r="T14" s="550"/>
      <c r="U14" s="551">
        <v>1</v>
      </c>
      <c r="W14" s="523">
        <f t="shared" ca="1" si="1"/>
        <v>868718.89</v>
      </c>
      <c r="X14" s="523"/>
      <c r="Y14" s="557"/>
    </row>
    <row r="15" spans="1:25" ht="15" customHeight="1" x14ac:dyDescent="0.2">
      <c r="A15" s="512">
        <f>A14+1</f>
        <v>7</v>
      </c>
      <c r="B15" s="512">
        <v>188</v>
      </c>
      <c r="C15" s="541" t="s">
        <v>2604</v>
      </c>
      <c r="D15" s="523">
        <f>SUMIFS(BS!C$4:C$275,BS!$A$4:$A$275,$B15)*1000</f>
        <v>866939.40999999992</v>
      </c>
      <c r="E15" s="523">
        <f>SUMIFS(BS!D$4:D$275,BS!$A$4:$A$275,$B15)*1000</f>
        <v>840726.84999999905</v>
      </c>
      <c r="F15" s="523">
        <f>SUMIFS(BS!E$4:E$275,BS!$A$4:$A$275,$B15)*1000</f>
        <v>814514.28999999911</v>
      </c>
      <c r="G15" s="523">
        <f>SUMIFS(BS!F$4:F$275,BS!$A$4:$A$275,$B15)*1000</f>
        <v>788301.72999999905</v>
      </c>
      <c r="H15" s="523">
        <f>SUMIFS(BS!G$4:G$275,BS!$A$4:$A$275,$B15)*1000</f>
        <v>762089.16999999899</v>
      </c>
      <c r="I15" s="523">
        <f>SUMIFS(BS!H$4:H$275,BS!$A$4:$A$275,$B15)*1000</f>
        <v>735876.60999999905</v>
      </c>
      <c r="J15" s="523">
        <f>SUMIFS(BS!I$4:I$275,BS!$A$4:$A$275,$B15)*1000</f>
        <v>709664.049999999</v>
      </c>
      <c r="K15" s="523">
        <f>SUMIFS(BS!J$4:J$275,BS!$A$4:$A$275,$B15)*1000</f>
        <v>683451.48999999906</v>
      </c>
      <c r="L15" s="523">
        <f>SUMIFS(BS!K$4:K$275,BS!$A$4:$A$275,$B15)*1000</f>
        <v>657238.929999999</v>
      </c>
      <c r="M15" s="523">
        <f>SUMIFS(BS!L$4:L$275,BS!$A$4:$A$275,$B15)*1000</f>
        <v>631026.36999999906</v>
      </c>
      <c r="N15" s="523">
        <f>SUMIFS(BS!M$4:M$275,BS!$A$4:$A$275,$B15)*1000</f>
        <v>604813.80999999901</v>
      </c>
      <c r="O15" s="523">
        <f>SUMIFS(BS!N$4:N$275,BS!$A$4:$A$275,$B15)*1000</f>
        <v>578601.24999999907</v>
      </c>
      <c r="P15" s="523">
        <f>SUMIFS(BS!O$4:O$275,BS!$A$4:$A$275,$B15)*1000</f>
        <v>552388.68999999901</v>
      </c>
      <c r="Q15" s="523">
        <f t="shared" si="0"/>
        <v>709664.04999999912</v>
      </c>
      <c r="R15" s="527"/>
      <c r="S15" s="549">
        <f ca="1">S$11</f>
        <v>4.7347795471836499E-2</v>
      </c>
      <c r="T15" s="550"/>
      <c r="U15" s="551">
        <v>1</v>
      </c>
      <c r="W15" s="523">
        <f t="shared" ca="1" si="1"/>
        <v>33601.03</v>
      </c>
      <c r="X15" s="523"/>
      <c r="Y15" s="557"/>
    </row>
    <row r="16" spans="1:25" ht="15" customHeight="1" x14ac:dyDescent="0.2">
      <c r="Y16" s="557"/>
    </row>
    <row r="17" spans="1:25" ht="15" customHeight="1" x14ac:dyDescent="0.25">
      <c r="A17" s="512">
        <f>A15+1</f>
        <v>8</v>
      </c>
      <c r="B17" s="513" t="s">
        <v>1585</v>
      </c>
      <c r="Q17" s="553">
        <f>SUM(Q9:Q15)</f>
        <v>197502213.28592917</v>
      </c>
      <c r="R17" s="516"/>
      <c r="T17" s="550"/>
      <c r="W17" s="553">
        <f ca="1">SUM(W9:W15)</f>
        <v>9382946.1799999997</v>
      </c>
      <c r="X17" s="528"/>
      <c r="Y17" s="557"/>
    </row>
    <row r="18" spans="1:25" ht="15" customHeight="1" x14ac:dyDescent="0.2">
      <c r="Y18" s="557"/>
    </row>
    <row r="19" spans="1:25" ht="15" customHeight="1" x14ac:dyDescent="0.25">
      <c r="A19" s="540" t="s">
        <v>1586</v>
      </c>
      <c r="Y19" s="557"/>
    </row>
    <row r="20" spans="1:25" ht="47.25" x14ac:dyDescent="0.25">
      <c r="A20" s="544" t="s">
        <v>1523</v>
      </c>
      <c r="B20" s="507" t="s">
        <v>1579</v>
      </c>
      <c r="C20" s="544" t="s">
        <v>602</v>
      </c>
      <c r="D20" s="545" t="str">
        <f t="shared" ref="D20:P20" si="4">D7</f>
        <v>Apr 2019</v>
      </c>
      <c r="E20" s="545" t="str">
        <f t="shared" si="4"/>
        <v>May 2019</v>
      </c>
      <c r="F20" s="545" t="str">
        <f t="shared" si="4"/>
        <v>Jun 2019</v>
      </c>
      <c r="G20" s="545" t="str">
        <f t="shared" si="4"/>
        <v>Jul 2019</v>
      </c>
      <c r="H20" s="545" t="str">
        <f t="shared" si="4"/>
        <v>Aug 2019</v>
      </c>
      <c r="I20" s="545" t="str">
        <f t="shared" si="4"/>
        <v>Sep 2019</v>
      </c>
      <c r="J20" s="545" t="str">
        <f t="shared" si="4"/>
        <v>Oct 2019</v>
      </c>
      <c r="K20" s="545" t="str">
        <f t="shared" si="4"/>
        <v>Nov 2019</v>
      </c>
      <c r="L20" s="545" t="str">
        <f t="shared" si="4"/>
        <v>Dec 2019</v>
      </c>
      <c r="M20" s="545" t="str">
        <f t="shared" si="4"/>
        <v>Jan 2020</v>
      </c>
      <c r="N20" s="545" t="str">
        <f t="shared" si="4"/>
        <v>Feb 2020</v>
      </c>
      <c r="O20" s="545" t="str">
        <f t="shared" si="4"/>
        <v>Mar 2020</v>
      </c>
      <c r="P20" s="545" t="str">
        <f t="shared" si="4"/>
        <v>Apr 2020</v>
      </c>
      <c r="Q20" s="507" t="s">
        <v>1580</v>
      </c>
      <c r="R20" s="507"/>
      <c r="S20" s="509" t="s">
        <v>1525</v>
      </c>
      <c r="T20" s="546"/>
      <c r="U20" s="547" t="str">
        <f>U7</f>
        <v>Virginia Jurisdictional Percentage</v>
      </c>
      <c r="V20" s="509"/>
      <c r="W20" s="507" t="str">
        <f>W7</f>
        <v>Virginia Amount</v>
      </c>
      <c r="X20" s="548"/>
    </row>
    <row r="21" spans="1:25" ht="15" customHeight="1" x14ac:dyDescent="0.2">
      <c r="Y21" s="557"/>
    </row>
    <row r="22" spans="1:25" ht="15" customHeight="1" x14ac:dyDescent="0.2">
      <c r="A22" s="512">
        <f>A17+1</f>
        <v>9</v>
      </c>
      <c r="B22" s="512">
        <v>228.2</v>
      </c>
      <c r="C22" s="541" t="s">
        <v>2606</v>
      </c>
      <c r="D22" s="523">
        <f>SUMIFS(BS!C$4:C$275,BS!$A$4:$A$275,$B22)*-1000</f>
        <v>-3198333.0800000005</v>
      </c>
      <c r="E22" s="523">
        <f>SUMIFS(BS!D$4:D$275,BS!$A$4:$A$275,$B22)*-1000</f>
        <v>-3198333.0800000005</v>
      </c>
      <c r="F22" s="523">
        <f>SUMIFS(BS!E$4:E$275,BS!$A$4:$A$275,$B22)*-1000</f>
        <v>-3198333.0800000005</v>
      </c>
      <c r="G22" s="523">
        <f>SUMIFS(BS!F$4:F$275,BS!$A$4:$A$275,$B22)*-1000</f>
        <v>-3198333.0800000005</v>
      </c>
      <c r="H22" s="523">
        <f>SUMIFS(BS!G$4:G$275,BS!$A$4:$A$275,$B22)*-1000</f>
        <v>-3198333.0800000005</v>
      </c>
      <c r="I22" s="523">
        <f>SUMIFS(BS!H$4:H$275,BS!$A$4:$A$275,$B22)*-1000</f>
        <v>-3198333.0800000005</v>
      </c>
      <c r="J22" s="523">
        <f>SUMIFS(BS!I$4:I$275,BS!$A$4:$A$275,$B22)*-1000</f>
        <v>-3198333.0800000005</v>
      </c>
      <c r="K22" s="523">
        <f>SUMIFS(BS!J$4:J$275,BS!$A$4:$A$275,$B22)*-1000</f>
        <v>-3198333.0800000005</v>
      </c>
      <c r="L22" s="523">
        <f>SUMIFS(BS!K$4:K$275,BS!$A$4:$A$275,$B22)*-1000</f>
        <v>-3198333.0800000005</v>
      </c>
      <c r="M22" s="523">
        <f>SUMIFS(BS!L$4:L$275,BS!$A$4:$A$275,$B22)*-1000</f>
        <v>-3198333.0800000005</v>
      </c>
      <c r="N22" s="523">
        <f>SUMIFS(BS!M$4:M$275,BS!$A$4:$A$275,$B22)*-1000</f>
        <v>-3198333.0800000005</v>
      </c>
      <c r="O22" s="523">
        <f>SUMIFS(BS!N$4:N$275,BS!$A$4:$A$275,$B22)*-1000</f>
        <v>-3198333.0800000005</v>
      </c>
      <c r="P22" s="523">
        <f>SUMIFS(BS!O$4:O$275,BS!$A$4:$A$275,$B22)*-1000</f>
        <v>-3198333.0800000005</v>
      </c>
      <c r="Q22" s="523">
        <f t="shared" ref="Q22:Q28" si="5">AVERAGE(D22:P22)</f>
        <v>-3198333.0800000005</v>
      </c>
      <c r="R22" s="516"/>
      <c r="S22" s="549">
        <f ca="1">S$11</f>
        <v>4.7347795471836499E-2</v>
      </c>
      <c r="T22" s="550"/>
      <c r="U22" s="551">
        <v>1</v>
      </c>
      <c r="W22" s="523">
        <f t="shared" ref="W22:W28" ca="1" si="6">ROUND($Q22*$S22*$U22,2)</f>
        <v>-151434.01999999999</v>
      </c>
      <c r="X22" s="523"/>
      <c r="Y22" s="557"/>
    </row>
    <row r="23" spans="1:25" ht="15" customHeight="1" x14ac:dyDescent="0.2">
      <c r="A23" s="512">
        <f t="shared" ref="A23:A28" si="7">A22+1</f>
        <v>10</v>
      </c>
      <c r="B23" s="512">
        <v>228.30099999999999</v>
      </c>
      <c r="C23" s="541" t="s">
        <v>2630</v>
      </c>
      <c r="D23" s="523">
        <f>SUMIFS(BS!C$4:C$275,BS!$A$4:$A$275,$B23)*-1000</f>
        <v>-6921647</v>
      </c>
      <c r="E23" s="523">
        <f>SUMIFS(BS!D$4:D$275,BS!$A$4:$A$275,$B23)*-1000</f>
        <v>-6921647</v>
      </c>
      <c r="F23" s="523">
        <f>SUMIFS(BS!E$4:E$275,BS!$A$4:$A$275,$B23)*-1000</f>
        <v>-6921647</v>
      </c>
      <c r="G23" s="523">
        <f>SUMIFS(BS!F$4:F$275,BS!$A$4:$A$275,$B23)*-1000</f>
        <v>-6921647</v>
      </c>
      <c r="H23" s="523">
        <f>SUMIFS(BS!G$4:G$275,BS!$A$4:$A$275,$B23)*-1000</f>
        <v>-6921647</v>
      </c>
      <c r="I23" s="523">
        <f>SUMIFS(BS!H$4:H$275,BS!$A$4:$A$275,$B23)*-1000</f>
        <v>-6921647</v>
      </c>
      <c r="J23" s="523">
        <f>SUMIFS(BS!I$4:I$275,BS!$A$4:$A$275,$B23)*-1000</f>
        <v>-6921647</v>
      </c>
      <c r="K23" s="523">
        <f>SUMIFS(BS!J$4:J$275,BS!$A$4:$A$275,$B23)*-1000</f>
        <v>-6921647</v>
      </c>
      <c r="L23" s="523">
        <f>SUMIFS(BS!K$4:K$275,BS!$A$4:$A$275,$B23)*-1000</f>
        <v>-6921647</v>
      </c>
      <c r="M23" s="523">
        <f>SUMIFS(BS!L$4:L$275,BS!$A$4:$A$275,$B23)*-1000</f>
        <v>-6921647</v>
      </c>
      <c r="N23" s="523">
        <f>SUMIFS(BS!M$4:M$275,BS!$A$4:$A$275,$B23)*-1000</f>
        <v>-6921647</v>
      </c>
      <c r="O23" s="523">
        <f>SUMIFS(BS!N$4:N$275,BS!$A$4:$A$275,$B23)*-1000</f>
        <v>-6921647</v>
      </c>
      <c r="P23" s="523">
        <f>SUMIFS(BS!O$4:O$275,BS!$A$4:$A$275,$B23)*-1000</f>
        <v>-6921647</v>
      </c>
      <c r="Q23" s="523">
        <f t="shared" si="5"/>
        <v>-6921647</v>
      </c>
      <c r="R23" s="516"/>
      <c r="S23" s="549">
        <f ca="1">S$11</f>
        <v>4.7347795471836499E-2</v>
      </c>
      <c r="T23" s="550"/>
      <c r="U23" s="551">
        <v>1</v>
      </c>
      <c r="W23" s="523">
        <f t="shared" ca="1" si="6"/>
        <v>-327724.73</v>
      </c>
      <c r="X23" s="523"/>
      <c r="Y23" s="557"/>
    </row>
    <row r="24" spans="1:25" ht="15" customHeight="1" x14ac:dyDescent="0.2">
      <c r="A24" s="512">
        <f t="shared" si="7"/>
        <v>11</v>
      </c>
      <c r="B24" s="512">
        <v>242</v>
      </c>
      <c r="C24" s="541" t="s">
        <v>1587</v>
      </c>
      <c r="D24" s="523">
        <f>SUMIFS(BS!C$4:C$275,BS!$A$4:$A$275,$B24)*-1000</f>
        <v>-18870550.530080914</v>
      </c>
      <c r="E24" s="523">
        <f>SUMIFS(BS!D$4:D$275,BS!$A$4:$A$275,$B24)*-1000</f>
        <v>-18945393.056926444</v>
      </c>
      <c r="F24" s="523">
        <f>SUMIFS(BS!E$4:E$275,BS!$A$4:$A$275,$B24)*-1000</f>
        <v>-18998281.831429817</v>
      </c>
      <c r="G24" s="523">
        <f>SUMIFS(BS!F$4:F$275,BS!$A$4:$A$275,$B24)*-1000</f>
        <v>-19068455.076913461</v>
      </c>
      <c r="H24" s="523">
        <f>SUMIFS(BS!G$4:G$275,BS!$A$4:$A$275,$B24)*-1000</f>
        <v>-19144375.808218062</v>
      </c>
      <c r="I24" s="523">
        <f>SUMIFS(BS!H$4:H$275,BS!$A$4:$A$275,$B24)*-1000</f>
        <v>-19207190.23549803</v>
      </c>
      <c r="J24" s="523">
        <f>SUMIFS(BS!I$4:I$275,BS!$A$4:$A$275,$B24)*-1000</f>
        <v>-19286718.063394494</v>
      </c>
      <c r="K24" s="523">
        <f>SUMIFS(BS!J$4:J$275,BS!$A$4:$A$275,$B24)*-1000</f>
        <v>-19343286.012912739</v>
      </c>
      <c r="L24" s="523">
        <f>SUMIFS(BS!K$4:K$275,BS!$A$4:$A$275,$B24)*-1000</f>
        <v>-19397787.48360971</v>
      </c>
      <c r="M24" s="523">
        <f>SUMIFS(BS!L$4:L$275,BS!$A$4:$A$275,$B24)*-1000</f>
        <v>-19486414.709200215</v>
      </c>
      <c r="N24" s="523">
        <f>SUMIFS(BS!M$4:M$275,BS!$A$4:$A$275,$B24)*-1000</f>
        <v>-19555716.15506798</v>
      </c>
      <c r="O24" s="523">
        <f>SUMIFS(BS!N$4:N$275,BS!$A$4:$A$275,$B24)*-1000</f>
        <v>-18382657.459085189</v>
      </c>
      <c r="P24" s="523">
        <f>SUMIFS(BS!O$4:O$275,BS!$A$4:$A$275,$B24)*-1000</f>
        <v>-18458439.94427133</v>
      </c>
      <c r="Q24" s="523">
        <f t="shared" si="5"/>
        <v>-19088097.412816029</v>
      </c>
      <c r="R24" s="516"/>
      <c r="S24" s="549">
        <f ca="1">S$11</f>
        <v>4.7347795471836499E-2</v>
      </c>
      <c r="T24" s="550"/>
      <c r="U24" s="551">
        <v>1</v>
      </c>
      <c r="W24" s="523">
        <f t="shared" ca="1" si="6"/>
        <v>-903779.33</v>
      </c>
      <c r="X24" s="523"/>
      <c r="Y24" s="557"/>
    </row>
    <row r="25" spans="1:25" ht="15" customHeight="1" x14ac:dyDescent="0.2">
      <c r="A25" s="512">
        <f t="shared" si="7"/>
        <v>12</v>
      </c>
      <c r="B25" s="512">
        <v>253</v>
      </c>
      <c r="C25" s="541" t="s">
        <v>2608</v>
      </c>
      <c r="D25" s="523">
        <f>SUMIFS(BS!C$4:C$275,BS!$A$4:$A$275,$B25)*-1000</f>
        <v>-1739959.09</v>
      </c>
      <c r="E25" s="523">
        <f>SUMIFS(BS!D$4:D$275,BS!$A$4:$A$275,$B25)*-1000</f>
        <v>-1739959.09</v>
      </c>
      <c r="F25" s="523">
        <f>SUMIFS(BS!E$4:E$275,BS!$A$4:$A$275,$B25)*-1000</f>
        <v>-1739959.09</v>
      </c>
      <c r="G25" s="523">
        <f>SUMIFS(BS!F$4:F$275,BS!$A$4:$A$275,$B25)*-1000</f>
        <v>-1739959.09</v>
      </c>
      <c r="H25" s="523">
        <f>SUMIFS(BS!G$4:G$275,BS!$A$4:$A$275,$B25)*-1000</f>
        <v>-1739959.09</v>
      </c>
      <c r="I25" s="523">
        <f>SUMIFS(BS!H$4:H$275,BS!$A$4:$A$275,$B25)*-1000</f>
        <v>-1739959.09</v>
      </c>
      <c r="J25" s="523">
        <f>SUMIFS(BS!I$4:I$275,BS!$A$4:$A$275,$B25)*-1000</f>
        <v>-1739959.09</v>
      </c>
      <c r="K25" s="523">
        <f>SUMIFS(BS!J$4:J$275,BS!$A$4:$A$275,$B25)*-1000</f>
        <v>-1739959.09</v>
      </c>
      <c r="L25" s="523">
        <f>SUMIFS(BS!K$4:K$275,BS!$A$4:$A$275,$B25)*-1000</f>
        <v>-1739959.09</v>
      </c>
      <c r="M25" s="523">
        <f>SUMIFS(BS!L$4:L$275,BS!$A$4:$A$275,$B25)*-1000</f>
        <v>-1739959.09</v>
      </c>
      <c r="N25" s="523">
        <f>SUMIFS(BS!M$4:M$275,BS!$A$4:$A$275,$B25)*-1000</f>
        <v>-1739959.09</v>
      </c>
      <c r="O25" s="523">
        <f>SUMIFS(BS!N$4:N$275,BS!$A$4:$A$275,$B25)*-1000</f>
        <v>-1739959.09</v>
      </c>
      <c r="P25" s="523">
        <f>SUMIFS(BS!O$4:O$275,BS!$A$4:$A$275,$B25)*-1000</f>
        <v>-1739959.09</v>
      </c>
      <c r="Q25" s="523">
        <f t="shared" si="5"/>
        <v>-1739959.09</v>
      </c>
      <c r="R25" s="527"/>
      <c r="S25" s="549">
        <f ca="1">S$9</f>
        <v>4.7359598812925993E-2</v>
      </c>
      <c r="T25" s="552"/>
      <c r="U25" s="551">
        <v>1</v>
      </c>
      <c r="W25" s="523">
        <f t="shared" ca="1" si="6"/>
        <v>-82403.759999999995</v>
      </c>
      <c r="X25" s="523"/>
      <c r="Y25" s="557"/>
    </row>
    <row r="26" spans="1:25" ht="15" customHeight="1" x14ac:dyDescent="0.2">
      <c r="A26" s="512">
        <f t="shared" si="7"/>
        <v>13</v>
      </c>
      <c r="B26" s="512">
        <v>254</v>
      </c>
      <c r="C26" s="541" t="s">
        <v>2609</v>
      </c>
      <c r="D26" s="523">
        <f>SUMIFS(BS!C$4:C$275,BS!$A$4:$A$275,$B26)*-1000</f>
        <v>-29116514.5</v>
      </c>
      <c r="E26" s="523">
        <f>SUMIFS(BS!D$4:D$275,BS!$A$4:$A$275,$B26)*-1000</f>
        <v>-29113495.25</v>
      </c>
      <c r="F26" s="523">
        <f>SUMIFS(BS!E$4:E$275,BS!$A$4:$A$275,$B26)*-1000</f>
        <v>-29110476</v>
      </c>
      <c r="G26" s="523">
        <f>SUMIFS(BS!F$4:F$275,BS!$A$4:$A$275,$B26)*-1000</f>
        <v>-29107456.749999899</v>
      </c>
      <c r="H26" s="523">
        <f>SUMIFS(BS!G$4:G$275,BS!$A$4:$A$275,$B26)*-1000</f>
        <v>-29104437.499999903</v>
      </c>
      <c r="I26" s="523">
        <f>SUMIFS(BS!H$4:H$275,BS!$A$4:$A$275,$B26)*-1000</f>
        <v>-29101418.249999899</v>
      </c>
      <c r="J26" s="523">
        <f>SUMIFS(BS!I$4:I$275,BS!$A$4:$A$275,$B26)*-1000</f>
        <v>-29098398.999999899</v>
      </c>
      <c r="K26" s="523">
        <f>SUMIFS(BS!J$4:J$275,BS!$A$4:$A$275,$B26)*-1000</f>
        <v>-29095379.749999899</v>
      </c>
      <c r="L26" s="523">
        <f>SUMIFS(BS!K$4:K$275,BS!$A$4:$A$275,$B26)*-1000</f>
        <v>-29092360.499999899</v>
      </c>
      <c r="M26" s="523">
        <f>SUMIFS(BS!L$4:L$275,BS!$A$4:$A$275,$B26)*-1000</f>
        <v>-29091310.666666597</v>
      </c>
      <c r="N26" s="523">
        <f>SUMIFS(BS!M$4:M$275,BS!$A$4:$A$275,$B26)*-1000</f>
        <v>-29090260.833333302</v>
      </c>
      <c r="O26" s="523">
        <f>SUMIFS(BS!N$4:N$275,BS!$A$4:$A$275,$B26)*-1000</f>
        <v>-29089210.999999899</v>
      </c>
      <c r="P26" s="523">
        <f>SUMIFS(BS!O$4:O$275,BS!$A$4:$A$275,$B26)*-1000</f>
        <v>-29088161.166666601</v>
      </c>
      <c r="Q26" s="523">
        <f t="shared" si="5"/>
        <v>-29099913.935897373</v>
      </c>
      <c r="R26" s="516"/>
      <c r="S26" s="549">
        <f ca="1">S$11</f>
        <v>4.7347795471836499E-2</v>
      </c>
      <c r="T26" s="550"/>
      <c r="U26" s="551">
        <v>1</v>
      </c>
      <c r="W26" s="523">
        <f t="shared" ca="1" si="6"/>
        <v>-1377816.77</v>
      </c>
      <c r="X26" s="523"/>
      <c r="Y26" s="557"/>
    </row>
    <row r="27" spans="1:25" ht="15" customHeight="1" x14ac:dyDescent="0.2">
      <c r="A27" s="512">
        <f t="shared" si="7"/>
        <v>14</v>
      </c>
      <c r="B27" s="692" t="s">
        <v>2615</v>
      </c>
      <c r="C27" s="541" t="s">
        <v>1588</v>
      </c>
      <c r="D27" s="523">
        <f>D41</f>
        <v>-49730999.966597773</v>
      </c>
      <c r="E27" s="523">
        <f t="shared" ref="E27:P27" si="8">E41</f>
        <v>-35434234.233244725</v>
      </c>
      <c r="F27" s="523">
        <f t="shared" si="8"/>
        <v>-38861343.992961735</v>
      </c>
      <c r="G27" s="523">
        <f t="shared" si="8"/>
        <v>-30421581.969484922</v>
      </c>
      <c r="H27" s="523">
        <f t="shared" si="8"/>
        <v>-32788440.23366968</v>
      </c>
      <c r="I27" s="523">
        <f t="shared" si="8"/>
        <v>-37240214.486700773</v>
      </c>
      <c r="J27" s="523">
        <f t="shared" si="8"/>
        <v>-36356781.271895893</v>
      </c>
      <c r="K27" s="523">
        <f t="shared" si="8"/>
        <v>-54535948.127307527</v>
      </c>
      <c r="L27" s="523">
        <f t="shared" si="8"/>
        <v>-67580269.445804745</v>
      </c>
      <c r="M27" s="523">
        <f t="shared" si="8"/>
        <v>-75095759.397510514</v>
      </c>
      <c r="N27" s="523">
        <f t="shared" si="8"/>
        <v>-80695828.443967596</v>
      </c>
      <c r="O27" s="523">
        <f t="shared" si="8"/>
        <v>-54953924.844436049</v>
      </c>
      <c r="P27" s="523">
        <f t="shared" si="8"/>
        <v>-84076470.344651237</v>
      </c>
      <c r="Q27" s="523">
        <f t="shared" si="5"/>
        <v>-52136292.058325619</v>
      </c>
      <c r="R27" s="527"/>
      <c r="S27" s="549">
        <f ca="1">S$9</f>
        <v>4.7359598812925993E-2</v>
      </c>
      <c r="T27" s="689"/>
      <c r="U27" s="685">
        <v>1</v>
      </c>
      <c r="W27" s="523">
        <f t="shared" ca="1" si="6"/>
        <v>-2469153.88</v>
      </c>
      <c r="X27" s="523"/>
      <c r="Y27" s="549"/>
    </row>
    <row r="28" spans="1:25" ht="15" customHeight="1" x14ac:dyDescent="0.2">
      <c r="A28" s="512">
        <f t="shared" si="7"/>
        <v>15</v>
      </c>
      <c r="B28" s="692" t="s">
        <v>2615</v>
      </c>
      <c r="C28" s="541" t="s">
        <v>1589</v>
      </c>
      <c r="D28" s="523">
        <f>D45</f>
        <v>-5065419.6189497877</v>
      </c>
      <c r="E28" s="523">
        <f t="shared" ref="E28:P28" si="9">E45</f>
        <v>-2838346.5830462556</v>
      </c>
      <c r="F28" s="523">
        <f t="shared" si="9"/>
        <v>-1967717.3935813785</v>
      </c>
      <c r="G28" s="523">
        <f t="shared" si="9"/>
        <v>-2814630.1033493965</v>
      </c>
      <c r="H28" s="523">
        <f t="shared" si="9"/>
        <v>-3354916.3879868039</v>
      </c>
      <c r="I28" s="523">
        <f t="shared" si="9"/>
        <v>-2839124.6460700398</v>
      </c>
      <c r="J28" s="523">
        <f t="shared" si="9"/>
        <v>-1674624.5968120005</v>
      </c>
      <c r="K28" s="523">
        <f t="shared" si="9"/>
        <v>-1648240.0671513719</v>
      </c>
      <c r="L28" s="523">
        <f t="shared" si="9"/>
        <v>-4912730.6232296778</v>
      </c>
      <c r="M28" s="523">
        <f t="shared" si="9"/>
        <v>-2344316.7307966407</v>
      </c>
      <c r="N28" s="523">
        <f t="shared" si="9"/>
        <v>-2366018.1285970705</v>
      </c>
      <c r="O28" s="523">
        <f t="shared" si="9"/>
        <v>-1164996.7742526599</v>
      </c>
      <c r="P28" s="523">
        <f t="shared" si="9"/>
        <v>-2050304.9561831078</v>
      </c>
      <c r="Q28" s="523">
        <f t="shared" si="5"/>
        <v>-2695491.2776927846</v>
      </c>
      <c r="R28" s="527"/>
      <c r="S28" s="549">
        <f ca="1">S$9</f>
        <v>4.7359598812925993E-2</v>
      </c>
      <c r="T28" s="689"/>
      <c r="U28" s="685">
        <v>1</v>
      </c>
      <c r="W28" s="523">
        <f t="shared" ca="1" si="6"/>
        <v>-127657.39</v>
      </c>
      <c r="X28" s="523"/>
      <c r="Y28" s="549"/>
    </row>
    <row r="29" spans="1:25" ht="15" customHeight="1" x14ac:dyDescent="0.2">
      <c r="W29" s="523"/>
      <c r="X29" s="523"/>
    </row>
    <row r="30" spans="1:25" ht="15" customHeight="1" x14ac:dyDescent="0.25">
      <c r="A30" s="512">
        <f>A28+1</f>
        <v>16</v>
      </c>
      <c r="B30" s="513" t="s">
        <v>1590</v>
      </c>
      <c r="Q30" s="553">
        <f>SUM(Q22:Q28)</f>
        <v>-114879733.8547318</v>
      </c>
      <c r="R30" s="516"/>
      <c r="T30" s="550"/>
      <c r="W30" s="553">
        <f ca="1">SUM(W22:W28)</f>
        <v>-5439969.8799999999</v>
      </c>
      <c r="X30" s="528"/>
    </row>
    <row r="31" spans="1:25" ht="15" customHeight="1" x14ac:dyDescent="0.2">
      <c r="W31" s="523"/>
      <c r="X31" s="523"/>
    </row>
    <row r="32" spans="1:25" ht="15" customHeight="1" thickBot="1" x14ac:dyDescent="0.3">
      <c r="A32" s="512">
        <f>A30+1</f>
        <v>17</v>
      </c>
      <c r="B32" s="513" t="s">
        <v>1591</v>
      </c>
      <c r="Q32" s="554">
        <f>Q17+Q30</f>
        <v>82622479.431197375</v>
      </c>
      <c r="W32" s="554">
        <f ca="1">W17+W30</f>
        <v>3942976.3</v>
      </c>
      <c r="X32" s="555"/>
    </row>
    <row r="33" spans="2:32" ht="15.75" thickTop="1" x14ac:dyDescent="0.2"/>
    <row r="40" spans="2:32" ht="15" customHeight="1" x14ac:dyDescent="0.2">
      <c r="B40" s="512"/>
      <c r="C40" s="541" t="s">
        <v>1588</v>
      </c>
      <c r="D40" s="523">
        <v>-53396706.761442274</v>
      </c>
      <c r="E40" s="523">
        <v>-38046116.425160423</v>
      </c>
      <c r="F40" s="523">
        <v>-41725840.842561983</v>
      </c>
      <c r="G40" s="523">
        <v>-32663978.056641039</v>
      </c>
      <c r="H40" s="523">
        <v>-35205299.09911868</v>
      </c>
      <c r="I40" s="523">
        <v>-39985216.746399045</v>
      </c>
      <c r="J40" s="523">
        <v>-39036665.05136098</v>
      </c>
      <c r="K40" s="523">
        <v>-58555831.012184799</v>
      </c>
      <c r="L40" s="523">
        <v>-72561658.379695043</v>
      </c>
      <c r="M40" s="523">
        <v>-80631120.352897599</v>
      </c>
      <c r="N40" s="523">
        <v>-86643974.406070501</v>
      </c>
      <c r="O40" s="523">
        <v>-59004617.085511543</v>
      </c>
      <c r="P40" s="523">
        <v>-90273805.786044642</v>
      </c>
      <c r="Q40" s="523">
        <v>-55979294.615776047</v>
      </c>
      <c r="R40" s="516"/>
      <c r="S40" s="549"/>
      <c r="T40" s="550"/>
      <c r="U40" s="551"/>
      <c r="W40" s="523"/>
      <c r="X40" s="523"/>
      <c r="Y40" s="557"/>
      <c r="AA40" s="686" t="s">
        <v>2610</v>
      </c>
      <c r="AB40" s="686" t="s">
        <v>2610</v>
      </c>
      <c r="AC40" s="687"/>
      <c r="AD40" s="686" t="s">
        <v>2633</v>
      </c>
      <c r="AE40" s="686" t="s">
        <v>2633</v>
      </c>
      <c r="AF40" s="687"/>
    </row>
    <row r="41" spans="2:32" ht="15" customHeight="1" x14ac:dyDescent="0.2">
      <c r="B41" s="512"/>
      <c r="D41" s="523">
        <f t="shared" ref="D41:P41" si="10">D40*$AF$43</f>
        <v>-49730999.966597773</v>
      </c>
      <c r="E41" s="523">
        <f t="shared" si="10"/>
        <v>-35434234.233244725</v>
      </c>
      <c r="F41" s="523">
        <f t="shared" si="10"/>
        <v>-38861343.992961735</v>
      </c>
      <c r="G41" s="523">
        <f t="shared" si="10"/>
        <v>-30421581.969484922</v>
      </c>
      <c r="H41" s="523">
        <f t="shared" si="10"/>
        <v>-32788440.23366968</v>
      </c>
      <c r="I41" s="523">
        <f t="shared" si="10"/>
        <v>-37240214.486700773</v>
      </c>
      <c r="J41" s="523">
        <f t="shared" si="10"/>
        <v>-36356781.271895893</v>
      </c>
      <c r="K41" s="523">
        <f t="shared" si="10"/>
        <v>-54535948.127307527</v>
      </c>
      <c r="L41" s="523">
        <f t="shared" si="10"/>
        <v>-67580269.445804745</v>
      </c>
      <c r="M41" s="523">
        <f t="shared" si="10"/>
        <v>-75095759.397510514</v>
      </c>
      <c r="N41" s="523">
        <f t="shared" si="10"/>
        <v>-80695828.443967596</v>
      </c>
      <c r="O41" s="523">
        <f t="shared" si="10"/>
        <v>-54953924.844436049</v>
      </c>
      <c r="P41" s="523">
        <f t="shared" si="10"/>
        <v>-84076470.344651237</v>
      </c>
      <c r="Q41" s="523">
        <f>AVERAGE(D41:P41)</f>
        <v>-52136292.058325619</v>
      </c>
      <c r="R41" s="516"/>
      <c r="S41" s="549"/>
      <c r="T41" s="550"/>
      <c r="U41" s="551"/>
      <c r="W41" s="523"/>
      <c r="X41" s="523"/>
      <c r="Y41" s="557"/>
      <c r="AA41" s="688" t="s">
        <v>2611</v>
      </c>
      <c r="AB41" s="688" t="s">
        <v>2611</v>
      </c>
      <c r="AC41" s="687"/>
      <c r="AD41" s="688" t="s">
        <v>2611</v>
      </c>
      <c r="AE41" s="688" t="s">
        <v>2611</v>
      </c>
      <c r="AF41" s="687"/>
    </row>
    <row r="42" spans="2:32" x14ac:dyDescent="0.2">
      <c r="AA42" s="687"/>
      <c r="AB42" s="688" t="s">
        <v>2612</v>
      </c>
      <c r="AC42" s="688" t="s">
        <v>2613</v>
      </c>
      <c r="AD42" s="688" t="s">
        <v>2612</v>
      </c>
      <c r="AE42" s="687"/>
      <c r="AF42" s="688" t="s">
        <v>885</v>
      </c>
    </row>
    <row r="43" spans="2:32" x14ac:dyDescent="0.2">
      <c r="AA43" s="523">
        <f>Q40</f>
        <v>-55979294.615776047</v>
      </c>
      <c r="AB43" s="523">
        <v>250442486.19692287</v>
      </c>
      <c r="AC43" s="690">
        <f>AA43/AB43</f>
        <v>-0.22352155764720982</v>
      </c>
      <c r="AD43" s="523">
        <f>'FC CWIP &amp; RWIP'!R29*1000</f>
        <v>233249502.22749326</v>
      </c>
      <c r="AE43" s="523">
        <f>AC43*AD43</f>
        <v>-52136292.058325633</v>
      </c>
      <c r="AF43" s="691">
        <f>AE43/AA43</f>
        <v>0.93134957159021825</v>
      </c>
    </row>
    <row r="44" spans="2:32" ht="15" customHeight="1" x14ac:dyDescent="0.2">
      <c r="B44" s="512"/>
      <c r="C44" s="541" t="s">
        <v>2614</v>
      </c>
      <c r="D44" s="523">
        <v>-7263080.1320000011</v>
      </c>
      <c r="E44" s="523">
        <v>-4069779.0560000003</v>
      </c>
      <c r="F44" s="523">
        <v>-2821422.5437999996</v>
      </c>
      <c r="G44" s="523">
        <v>-4035773.0494999997</v>
      </c>
      <c r="H44" s="523">
        <v>-4810465.5478000008</v>
      </c>
      <c r="I44" s="523">
        <v>-4070894.6860000007</v>
      </c>
      <c r="J44" s="523">
        <v>-2401169.8048</v>
      </c>
      <c r="K44" s="523">
        <v>-2363338.1999999997</v>
      </c>
      <c r="L44" s="523">
        <v>-7044146.1650999999</v>
      </c>
      <c r="M44" s="523">
        <v>-3361411.6009</v>
      </c>
      <c r="N44" s="523">
        <v>-3392528.2710000006</v>
      </c>
      <c r="O44" s="523">
        <v>-1670437.1130999997</v>
      </c>
      <c r="P44" s="523">
        <v>-2939841.1804</v>
      </c>
      <c r="Q44" s="523">
        <v>-3864945.1807999993</v>
      </c>
      <c r="R44" s="516"/>
      <c r="S44" s="549"/>
      <c r="T44" s="550"/>
      <c r="U44" s="551"/>
      <c r="W44" s="523"/>
      <c r="X44" s="523"/>
      <c r="Y44" s="557"/>
      <c r="AA44" s="523">
        <f>Q44</f>
        <v>-3864945.1807999993</v>
      </c>
      <c r="AB44" s="523">
        <v>27410038.664615307</v>
      </c>
      <c r="AC44" s="690">
        <f>AA44/AB44</f>
        <v>-0.14100473290427745</v>
      </c>
      <c r="AD44" s="523">
        <f>'FC CWIP &amp; RWIP'!R52*1000</f>
        <v>19116317.744615324</v>
      </c>
      <c r="AE44" s="523">
        <f>AC44*AD44</f>
        <v>-2695491.2776927832</v>
      </c>
      <c r="AF44" s="691">
        <f>AE44/AA44</f>
        <v>0.69742031299260177</v>
      </c>
    </row>
    <row r="45" spans="2:32" x14ac:dyDescent="0.2">
      <c r="D45" s="523">
        <f t="shared" ref="D45:P45" si="11">D44*$AF$44</f>
        <v>-5065419.6189497877</v>
      </c>
      <c r="E45" s="523">
        <f t="shared" si="11"/>
        <v>-2838346.5830462556</v>
      </c>
      <c r="F45" s="523">
        <f t="shared" si="11"/>
        <v>-1967717.3935813785</v>
      </c>
      <c r="G45" s="523">
        <f t="shared" si="11"/>
        <v>-2814630.1033493965</v>
      </c>
      <c r="H45" s="523">
        <f t="shared" si="11"/>
        <v>-3354916.3879868039</v>
      </c>
      <c r="I45" s="523">
        <f t="shared" si="11"/>
        <v>-2839124.6460700398</v>
      </c>
      <c r="J45" s="523">
        <f t="shared" si="11"/>
        <v>-1674624.5968120005</v>
      </c>
      <c r="K45" s="523">
        <f t="shared" si="11"/>
        <v>-1648240.0671513719</v>
      </c>
      <c r="L45" s="523">
        <f t="shared" si="11"/>
        <v>-4912730.6232296778</v>
      </c>
      <c r="M45" s="523">
        <f t="shared" si="11"/>
        <v>-2344316.7307966407</v>
      </c>
      <c r="N45" s="523">
        <f t="shared" si="11"/>
        <v>-2366018.1285970705</v>
      </c>
      <c r="O45" s="523">
        <f t="shared" si="11"/>
        <v>-1164996.7742526599</v>
      </c>
      <c r="P45" s="523">
        <f t="shared" si="11"/>
        <v>-2050304.9561831078</v>
      </c>
      <c r="Q45" s="523">
        <f>AVERAGE(D45:P45)</f>
        <v>-2695491.2776927846</v>
      </c>
    </row>
  </sheetData>
  <mergeCells count="4">
    <mergeCell ref="A1:W1"/>
    <mergeCell ref="A2:W2"/>
    <mergeCell ref="A3:W3"/>
    <mergeCell ref="A4:W4"/>
  </mergeCells>
  <printOptions horizontalCentered="1"/>
  <pageMargins left="0.45" right="0.45" top="1" bottom="0.5" header="0.3" footer="0.3"/>
  <pageSetup scale="3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81"/>
  <sheetViews>
    <sheetView showGridLines="0" zoomScale="85" zoomScaleNormal="85" workbookViewId="0">
      <pane ySplit="8" topLeftCell="A9" activePane="bottomLeft" state="frozen"/>
      <selection activeCell="N17" sqref="N17"/>
      <selection pane="bottomLeft" activeCell="A9" sqref="A9"/>
    </sheetView>
  </sheetViews>
  <sheetFormatPr defaultRowHeight="15" outlineLevelRow="1" x14ac:dyDescent="0.2"/>
  <cols>
    <col min="1" max="1" width="2.109375" style="649" customWidth="1"/>
    <col min="2" max="3" width="1.33203125" style="649" customWidth="1"/>
    <col min="4" max="4" width="47.21875" style="649" customWidth="1"/>
    <col min="5" max="5" width="13" style="649" customWidth="1"/>
    <col min="6" max="8" width="1.33203125" style="649" customWidth="1"/>
    <col min="9" max="16384" width="8.88671875" style="649"/>
  </cols>
  <sheetData>
    <row r="2" spans="2:17" ht="15.75" x14ac:dyDescent="0.25">
      <c r="B2" s="650" t="s">
        <v>863</v>
      </c>
      <c r="C2" s="651"/>
      <c r="D2" s="651"/>
      <c r="F2" s="651"/>
      <c r="G2" s="651"/>
    </row>
    <row r="3" spans="2:17" x14ac:dyDescent="0.2">
      <c r="B3" s="651" t="s">
        <v>2599</v>
      </c>
      <c r="C3" s="651"/>
      <c r="D3" s="651"/>
      <c r="F3" s="651"/>
      <c r="G3" s="651"/>
    </row>
    <row r="4" spans="2:17" x14ac:dyDescent="0.2">
      <c r="B4" s="652" t="s">
        <v>2600</v>
      </c>
      <c r="C4" s="652"/>
      <c r="D4" s="652"/>
      <c r="F4" s="651"/>
      <c r="G4" s="651"/>
    </row>
    <row r="5" spans="2:17" x14ac:dyDescent="0.2">
      <c r="B5" s="653" t="s">
        <v>2601</v>
      </c>
      <c r="C5" s="653"/>
      <c r="D5" s="653"/>
      <c r="E5" s="654"/>
      <c r="F5" s="651"/>
      <c r="G5" s="651"/>
    </row>
    <row r="6" spans="2:17" x14ac:dyDescent="0.2">
      <c r="B6" s="651"/>
      <c r="C6" s="651"/>
      <c r="D6" s="651"/>
      <c r="E6" s="651"/>
      <c r="F6" s="651"/>
      <c r="G6" s="651"/>
    </row>
    <row r="7" spans="2:17" ht="15.75" x14ac:dyDescent="0.25">
      <c r="B7" s="655" t="s">
        <v>2585</v>
      </c>
      <c r="C7" s="656"/>
      <c r="D7" s="656"/>
      <c r="E7" s="656"/>
      <c r="F7" s="656"/>
      <c r="G7" s="657"/>
    </row>
    <row r="8" spans="2:17" ht="8.1" customHeight="1" x14ac:dyDescent="0.2">
      <c r="B8" s="658"/>
      <c r="C8" s="659"/>
      <c r="D8" s="659"/>
      <c r="E8" s="659"/>
      <c r="F8" s="659"/>
      <c r="G8" s="660"/>
    </row>
    <row r="9" spans="2:17" ht="8.1" customHeight="1" x14ac:dyDescent="0.2">
      <c r="B9" s="658"/>
      <c r="C9" s="661"/>
      <c r="D9" s="662"/>
      <c r="E9" s="662"/>
      <c r="F9" s="663"/>
      <c r="G9" s="660"/>
      <c r="I9" s="664"/>
      <c r="J9" s="664"/>
      <c r="K9" s="664"/>
      <c r="L9" s="664"/>
      <c r="M9" s="664"/>
      <c r="N9" s="664"/>
      <c r="O9" s="664"/>
      <c r="P9" s="664"/>
      <c r="Q9" s="664"/>
    </row>
    <row r="10" spans="2:17" ht="20.25" x14ac:dyDescent="0.55000000000000004">
      <c r="B10" s="658"/>
      <c r="C10" s="665"/>
      <c r="D10" s="666"/>
      <c r="E10" s="667" t="s">
        <v>2586</v>
      </c>
      <c r="F10" s="668"/>
      <c r="G10" s="660"/>
      <c r="I10" s="664"/>
      <c r="J10" s="664"/>
      <c r="K10" s="664"/>
      <c r="L10" s="664"/>
      <c r="M10" s="664"/>
      <c r="N10" s="664"/>
      <c r="O10" s="664"/>
      <c r="P10" s="664"/>
      <c r="Q10" s="664"/>
    </row>
    <row r="11" spans="2:17" ht="20.25" x14ac:dyDescent="0.55000000000000004">
      <c r="B11" s="658"/>
      <c r="C11" s="665"/>
      <c r="D11" s="666" t="s">
        <v>2587</v>
      </c>
      <c r="E11" s="667"/>
      <c r="F11" s="668"/>
      <c r="G11" s="660"/>
      <c r="I11" s="664"/>
      <c r="J11" s="664"/>
      <c r="K11" s="664"/>
      <c r="L11" s="664"/>
      <c r="M11" s="664"/>
      <c r="N11" s="664"/>
      <c r="O11" s="664"/>
      <c r="P11" s="664"/>
      <c r="Q11" s="664"/>
    </row>
    <row r="12" spans="2:17" x14ac:dyDescent="0.2">
      <c r="B12" s="658"/>
      <c r="C12" s="665"/>
      <c r="D12" s="669" t="s">
        <v>2588</v>
      </c>
      <c r="E12" s="670">
        <v>15.208333333333334</v>
      </c>
      <c r="F12" s="668"/>
      <c r="G12" s="660"/>
      <c r="I12" s="664"/>
      <c r="J12" s="664"/>
      <c r="K12" s="664"/>
      <c r="L12" s="664"/>
      <c r="M12" s="664"/>
      <c r="N12" s="664"/>
      <c r="O12" s="664"/>
      <c r="P12" s="664"/>
      <c r="Q12" s="664"/>
    </row>
    <row r="13" spans="2:17" x14ac:dyDescent="0.2">
      <c r="B13" s="658"/>
      <c r="C13" s="665"/>
      <c r="D13" s="669" t="s">
        <v>2589</v>
      </c>
      <c r="E13" s="671">
        <v>4.21</v>
      </c>
      <c r="F13" s="668"/>
      <c r="G13" s="660"/>
      <c r="I13" s="664"/>
      <c r="J13" s="664"/>
      <c r="K13" s="664"/>
      <c r="L13" s="664"/>
      <c r="M13" s="664"/>
      <c r="N13" s="664"/>
      <c r="O13" s="664"/>
      <c r="P13" s="664"/>
      <c r="Q13" s="664"/>
    </row>
    <row r="14" spans="2:17" x14ac:dyDescent="0.2">
      <c r="B14" s="658"/>
      <c r="C14" s="665"/>
      <c r="D14" s="669" t="s">
        <v>2590</v>
      </c>
      <c r="E14" s="671">
        <v>24.88</v>
      </c>
      <c r="F14" s="668"/>
      <c r="G14" s="660"/>
      <c r="I14" s="664"/>
      <c r="J14" s="664"/>
      <c r="K14" s="664"/>
      <c r="L14" s="664"/>
      <c r="M14" s="664"/>
      <c r="N14" s="664"/>
      <c r="O14" s="664"/>
      <c r="P14" s="664"/>
      <c r="Q14" s="664"/>
    </row>
    <row r="15" spans="2:17" ht="17.25" x14ac:dyDescent="0.35">
      <c r="B15" s="658"/>
      <c r="C15" s="665"/>
      <c r="D15" s="669" t="s">
        <v>2591</v>
      </c>
      <c r="E15" s="672">
        <v>1</v>
      </c>
      <c r="F15" s="668"/>
      <c r="G15" s="660"/>
      <c r="I15" s="664"/>
      <c r="J15" s="664"/>
      <c r="K15" s="664"/>
      <c r="L15" s="664"/>
      <c r="M15" s="664"/>
      <c r="N15" s="664"/>
      <c r="O15" s="664"/>
      <c r="P15" s="664"/>
      <c r="Q15" s="664"/>
    </row>
    <row r="16" spans="2:17" ht="18" x14ac:dyDescent="0.4">
      <c r="B16" s="658"/>
      <c r="C16" s="665"/>
      <c r="D16" s="673" t="s">
        <v>682</v>
      </c>
      <c r="E16" s="674">
        <f>SUM(E12:E15)</f>
        <v>45.298333333333332</v>
      </c>
      <c r="F16" s="668"/>
      <c r="G16" s="660"/>
    </row>
    <row r="17" spans="2:17" ht="8.1" customHeight="1" x14ac:dyDescent="0.2">
      <c r="B17" s="658"/>
      <c r="C17" s="665"/>
      <c r="D17" s="673"/>
      <c r="E17" s="659"/>
      <c r="F17" s="668"/>
      <c r="G17" s="660"/>
    </row>
    <row r="18" spans="2:17" ht="20.25" x14ac:dyDescent="0.55000000000000004">
      <c r="B18" s="658"/>
      <c r="C18" s="665"/>
      <c r="D18" s="673"/>
      <c r="E18" s="667" t="s">
        <v>2592</v>
      </c>
      <c r="F18" s="668"/>
      <c r="G18" s="660"/>
    </row>
    <row r="19" spans="2:17" ht="15.75" x14ac:dyDescent="0.25">
      <c r="B19" s="658"/>
      <c r="C19" s="665"/>
      <c r="D19" s="666" t="s">
        <v>2593</v>
      </c>
      <c r="E19" s="659"/>
      <c r="F19" s="668"/>
      <c r="G19" s="660"/>
      <c r="H19" s="664"/>
      <c r="I19" s="664"/>
      <c r="J19" s="721"/>
      <c r="K19" s="664"/>
      <c r="L19" s="664"/>
      <c r="M19" s="721"/>
      <c r="N19" s="664"/>
      <c r="O19" s="664"/>
      <c r="P19" s="664"/>
      <c r="Q19" s="664"/>
    </row>
    <row r="20" spans="2:17" x14ac:dyDescent="0.2">
      <c r="B20" s="658"/>
      <c r="C20" s="665"/>
      <c r="D20" s="669" t="s">
        <v>1533</v>
      </c>
      <c r="E20" s="670">
        <v>27.28</v>
      </c>
      <c r="F20" s="668"/>
      <c r="G20" s="660"/>
      <c r="H20" s="664"/>
      <c r="I20" s="718"/>
      <c r="J20" s="718"/>
      <c r="K20" s="718"/>
      <c r="L20" s="720"/>
      <c r="M20" s="718"/>
      <c r="N20" s="718"/>
      <c r="O20" s="720"/>
      <c r="P20" s="664"/>
      <c r="Q20" s="664"/>
    </row>
    <row r="21" spans="2:17" x14ac:dyDescent="0.2">
      <c r="B21" s="658"/>
      <c r="C21" s="665"/>
      <c r="D21" s="669" t="s">
        <v>1534</v>
      </c>
      <c r="E21" s="671">
        <v>39.32</v>
      </c>
      <c r="F21" s="668"/>
      <c r="G21" s="660"/>
      <c r="H21" s="664"/>
      <c r="I21" s="718"/>
      <c r="J21" s="718"/>
      <c r="K21" s="718"/>
      <c r="L21" s="720"/>
      <c r="M21" s="718"/>
      <c r="N21" s="718"/>
      <c r="O21" s="720"/>
      <c r="P21" s="664"/>
      <c r="Q21" s="664"/>
    </row>
    <row r="22" spans="2:17" x14ac:dyDescent="0.2">
      <c r="B22" s="658"/>
      <c r="C22" s="665"/>
      <c r="D22" s="669" t="s">
        <v>1535</v>
      </c>
      <c r="E22" s="671">
        <v>17.32</v>
      </c>
      <c r="F22" s="668"/>
      <c r="G22" s="660"/>
      <c r="H22" s="664"/>
      <c r="I22" s="718"/>
      <c r="J22" s="718"/>
      <c r="K22" s="718"/>
      <c r="L22" s="720"/>
      <c r="M22" s="718"/>
      <c r="N22" s="718"/>
      <c r="O22" s="720"/>
      <c r="P22" s="664"/>
      <c r="Q22" s="664"/>
    </row>
    <row r="23" spans="2:17" x14ac:dyDescent="0.2">
      <c r="B23" s="658"/>
      <c r="C23" s="665"/>
      <c r="D23" s="669" t="s">
        <v>1536</v>
      </c>
      <c r="E23" s="671">
        <v>27.76</v>
      </c>
      <c r="F23" s="668"/>
      <c r="G23" s="660"/>
      <c r="H23" s="664"/>
      <c r="I23" s="718"/>
      <c r="J23" s="718"/>
      <c r="K23" s="718"/>
      <c r="L23" s="720"/>
      <c r="M23" s="718"/>
      <c r="N23" s="718"/>
      <c r="O23" s="720"/>
      <c r="P23" s="664"/>
      <c r="Q23" s="664"/>
    </row>
    <row r="24" spans="2:17" x14ac:dyDescent="0.2">
      <c r="B24" s="658"/>
      <c r="C24" s="665"/>
      <c r="D24" s="669" t="s">
        <v>1537</v>
      </c>
      <c r="E24" s="671">
        <v>23.664370061149086</v>
      </c>
      <c r="F24" s="668"/>
      <c r="G24" s="660"/>
      <c r="H24" s="664"/>
      <c r="I24" s="718"/>
      <c r="J24" s="718"/>
      <c r="K24" s="718"/>
      <c r="L24" s="720"/>
      <c r="M24" s="718"/>
      <c r="N24" s="718"/>
      <c r="O24" s="720"/>
    </row>
    <row r="25" spans="2:17" x14ac:dyDescent="0.2">
      <c r="B25" s="658"/>
      <c r="C25" s="665"/>
      <c r="D25" s="669" t="s">
        <v>1538</v>
      </c>
      <c r="E25" s="671">
        <v>13.010845763287058</v>
      </c>
      <c r="F25" s="668"/>
      <c r="G25" s="660"/>
      <c r="H25" s="664"/>
      <c r="I25" s="718"/>
      <c r="J25" s="718"/>
      <c r="K25" s="718"/>
      <c r="L25" s="720"/>
      <c r="M25" s="718"/>
      <c r="N25" s="718"/>
      <c r="O25" s="720"/>
    </row>
    <row r="26" spans="2:17" x14ac:dyDescent="0.2">
      <c r="B26" s="658"/>
      <c r="C26" s="665"/>
      <c r="D26" s="669" t="s">
        <v>1539</v>
      </c>
      <c r="E26" s="671">
        <v>0</v>
      </c>
      <c r="F26" s="668"/>
      <c r="G26" s="660"/>
      <c r="H26" s="664"/>
      <c r="I26" s="718"/>
      <c r="J26" s="718"/>
      <c r="K26" s="718"/>
      <c r="L26" s="720"/>
      <c r="M26" s="718"/>
      <c r="N26" s="718"/>
      <c r="O26" s="720"/>
    </row>
    <row r="27" spans="2:17" x14ac:dyDescent="0.2">
      <c r="B27" s="658"/>
      <c r="C27" s="665"/>
      <c r="D27" s="669" t="s">
        <v>1540</v>
      </c>
      <c r="E27" s="671">
        <v>0</v>
      </c>
      <c r="F27" s="668"/>
      <c r="G27" s="660"/>
      <c r="H27" s="664"/>
      <c r="I27" s="718"/>
      <c r="J27" s="718"/>
      <c r="K27" s="718"/>
      <c r="L27" s="720"/>
      <c r="M27" s="718"/>
      <c r="N27" s="718"/>
      <c r="O27" s="720"/>
    </row>
    <row r="28" spans="2:17" x14ac:dyDescent="0.2">
      <c r="B28" s="658"/>
      <c r="C28" s="665"/>
      <c r="D28" s="669" t="s">
        <v>1541</v>
      </c>
      <c r="E28" s="671">
        <v>244.79</v>
      </c>
      <c r="F28" s="668"/>
      <c r="G28" s="660"/>
      <c r="H28" s="664"/>
      <c r="I28" s="718"/>
      <c r="J28" s="718"/>
      <c r="K28" s="718"/>
      <c r="L28" s="720"/>
      <c r="M28" s="718"/>
      <c r="N28" s="718"/>
      <c r="O28" s="720"/>
    </row>
    <row r="29" spans="2:17" x14ac:dyDescent="0.2">
      <c r="B29" s="658"/>
      <c r="C29" s="665"/>
      <c r="D29" s="669" t="s">
        <v>1542</v>
      </c>
      <c r="E29" s="671">
        <v>22.558255780356177</v>
      </c>
      <c r="F29" s="668"/>
      <c r="G29" s="660"/>
      <c r="H29" s="664"/>
      <c r="I29" s="718"/>
      <c r="J29" s="718"/>
      <c r="K29" s="718"/>
      <c r="L29" s="720"/>
      <c r="M29" s="718"/>
      <c r="N29" s="718"/>
      <c r="O29" s="720"/>
    </row>
    <row r="30" spans="2:17" x14ac:dyDescent="0.2">
      <c r="B30" s="658"/>
      <c r="C30" s="665"/>
      <c r="D30" s="669" t="s">
        <v>1543</v>
      </c>
      <c r="E30" s="671">
        <v>283.5</v>
      </c>
      <c r="F30" s="668"/>
      <c r="G30" s="660"/>
      <c r="H30" s="664"/>
      <c r="I30" s="718"/>
      <c r="J30" s="718"/>
      <c r="K30" s="718"/>
      <c r="L30" s="720"/>
      <c r="M30" s="718"/>
      <c r="N30" s="718"/>
      <c r="O30" s="720"/>
    </row>
    <row r="31" spans="2:17" x14ac:dyDescent="0.2">
      <c r="B31" s="658"/>
      <c r="C31" s="665"/>
      <c r="D31" s="669" t="s">
        <v>1544</v>
      </c>
      <c r="E31" s="671">
        <v>131.69914670445385</v>
      </c>
      <c r="F31" s="668"/>
      <c r="G31" s="660"/>
      <c r="H31" s="664"/>
      <c r="I31" s="718"/>
      <c r="J31" s="718"/>
      <c r="K31" s="718"/>
      <c r="L31" s="720"/>
      <c r="M31" s="718"/>
      <c r="N31" s="718"/>
      <c r="O31" s="720"/>
    </row>
    <row r="32" spans="2:17" x14ac:dyDescent="0.2">
      <c r="B32" s="658"/>
      <c r="C32" s="665"/>
      <c r="D32" s="669" t="s">
        <v>1545</v>
      </c>
      <c r="E32" s="671">
        <v>41.741641520962055</v>
      </c>
      <c r="F32" s="668"/>
      <c r="G32" s="660"/>
      <c r="H32" s="664"/>
      <c r="I32" s="718"/>
      <c r="J32" s="718"/>
      <c r="K32" s="718"/>
      <c r="L32" s="720"/>
      <c r="M32" s="718"/>
      <c r="N32" s="718"/>
      <c r="O32" s="720"/>
    </row>
    <row r="33" spans="2:15" x14ac:dyDescent="0.2">
      <c r="B33" s="658"/>
      <c r="C33" s="665"/>
      <c r="D33" s="669" t="s">
        <v>1546</v>
      </c>
      <c r="E33" s="671">
        <v>25.38804860890605</v>
      </c>
      <c r="F33" s="668"/>
      <c r="G33" s="660"/>
      <c r="H33" s="664"/>
      <c r="I33" s="718"/>
      <c r="J33" s="718"/>
      <c r="K33" s="718"/>
      <c r="L33" s="720"/>
      <c r="M33" s="718"/>
      <c r="N33" s="718"/>
      <c r="O33" s="720"/>
    </row>
    <row r="34" spans="2:15" x14ac:dyDescent="0.2">
      <c r="B34" s="658"/>
      <c r="C34" s="665"/>
      <c r="D34" s="669" t="s">
        <v>1547</v>
      </c>
      <c r="E34" s="671">
        <v>48.047788467578023</v>
      </c>
      <c r="F34" s="668"/>
      <c r="G34" s="660"/>
      <c r="H34" s="664"/>
      <c r="I34" s="718"/>
      <c r="J34" s="718"/>
      <c r="K34" s="718"/>
      <c r="L34" s="720"/>
      <c r="M34" s="718"/>
      <c r="N34" s="718"/>
      <c r="O34" s="720"/>
    </row>
    <row r="35" spans="2:15" ht="8.1" customHeight="1" x14ac:dyDescent="0.2">
      <c r="B35" s="658"/>
      <c r="C35" s="665"/>
      <c r="D35" s="673"/>
      <c r="E35" s="659"/>
      <c r="F35" s="668"/>
      <c r="G35" s="660"/>
      <c r="M35" s="719"/>
    </row>
    <row r="36" spans="2:15" ht="15.75" x14ac:dyDescent="0.25">
      <c r="B36" s="658"/>
      <c r="C36" s="665"/>
      <c r="D36" s="666" t="s">
        <v>1549</v>
      </c>
      <c r="E36" s="659"/>
      <c r="F36" s="668"/>
      <c r="G36" s="660"/>
    </row>
    <row r="37" spans="2:15" x14ac:dyDescent="0.2">
      <c r="B37" s="658"/>
      <c r="C37" s="665"/>
      <c r="D37" s="669" t="s">
        <v>1550</v>
      </c>
      <c r="E37" s="675">
        <v>0</v>
      </c>
      <c r="F37" s="668"/>
      <c r="G37" s="660"/>
    </row>
    <row r="38" spans="2:15" x14ac:dyDescent="0.2">
      <c r="B38" s="658"/>
      <c r="C38" s="665"/>
      <c r="D38" s="669" t="s">
        <v>1551</v>
      </c>
      <c r="E38" s="671">
        <v>0</v>
      </c>
      <c r="F38" s="668"/>
      <c r="G38" s="660"/>
    </row>
    <row r="39" spans="2:15" x14ac:dyDescent="0.2">
      <c r="B39" s="658"/>
      <c r="C39" s="665"/>
      <c r="D39" s="669" t="s">
        <v>1552</v>
      </c>
      <c r="E39" s="671">
        <v>0</v>
      </c>
      <c r="F39" s="668"/>
      <c r="G39" s="660"/>
    </row>
    <row r="40" spans="2:15" x14ac:dyDescent="0.2">
      <c r="B40" s="658"/>
      <c r="C40" s="665"/>
      <c r="D40" s="669" t="s">
        <v>1553</v>
      </c>
      <c r="E40" s="671">
        <v>0</v>
      </c>
      <c r="F40" s="668"/>
      <c r="G40" s="660"/>
    </row>
    <row r="41" spans="2:15" ht="8.1" customHeight="1" x14ac:dyDescent="0.2">
      <c r="B41" s="658"/>
      <c r="C41" s="665"/>
      <c r="D41" s="669"/>
      <c r="E41" s="659"/>
      <c r="F41" s="668"/>
      <c r="G41" s="660"/>
    </row>
    <row r="42" spans="2:15" ht="15.75" x14ac:dyDescent="0.25">
      <c r="B42" s="658"/>
      <c r="C42" s="665"/>
      <c r="D42" s="666" t="s">
        <v>2594</v>
      </c>
      <c r="E42" s="659"/>
      <c r="F42" s="668"/>
      <c r="G42" s="660"/>
    </row>
    <row r="43" spans="2:15" x14ac:dyDescent="0.2">
      <c r="B43" s="658"/>
      <c r="C43" s="665"/>
      <c r="D43" s="669" t="s">
        <v>1556</v>
      </c>
      <c r="E43" s="675">
        <v>37.5</v>
      </c>
      <c r="F43" s="668"/>
      <c r="G43" s="660"/>
    </row>
    <row r="44" spans="2:15" x14ac:dyDescent="0.2">
      <c r="B44" s="658"/>
      <c r="C44" s="665"/>
      <c r="D44" s="669" t="s">
        <v>1557</v>
      </c>
      <c r="E44" s="671">
        <v>37.5</v>
      </c>
      <c r="F44" s="668"/>
      <c r="G44" s="660"/>
    </row>
    <row r="45" spans="2:15" x14ac:dyDescent="0.2">
      <c r="B45" s="658"/>
      <c r="C45" s="665"/>
      <c r="D45" s="669" t="s">
        <v>1558</v>
      </c>
      <c r="E45" s="671">
        <v>0</v>
      </c>
      <c r="F45" s="668"/>
      <c r="G45" s="660"/>
    </row>
    <row r="46" spans="2:15" ht="8.1" customHeight="1" x14ac:dyDescent="0.2">
      <c r="B46" s="658"/>
      <c r="C46" s="665"/>
      <c r="D46" s="673"/>
      <c r="E46" s="659"/>
      <c r="F46" s="668"/>
      <c r="G46" s="660"/>
    </row>
    <row r="47" spans="2:15" ht="15.75" x14ac:dyDescent="0.25">
      <c r="B47" s="658"/>
      <c r="C47" s="665"/>
      <c r="D47" s="666" t="s">
        <v>1560</v>
      </c>
      <c r="E47" s="659"/>
      <c r="F47" s="668"/>
      <c r="G47" s="660"/>
    </row>
    <row r="48" spans="2:15" x14ac:dyDescent="0.2">
      <c r="B48" s="658"/>
      <c r="C48" s="665"/>
      <c r="D48" s="669" t="s">
        <v>1561</v>
      </c>
      <c r="E48" s="675">
        <v>157.56749538820867</v>
      </c>
      <c r="F48" s="668"/>
      <c r="G48" s="660"/>
    </row>
    <row r="49" spans="2:7" x14ac:dyDescent="0.2">
      <c r="B49" s="658"/>
      <c r="C49" s="665"/>
      <c r="D49" s="669" t="s">
        <v>1562</v>
      </c>
      <c r="E49" s="671">
        <v>35.635795614897127</v>
      </c>
      <c r="F49" s="668"/>
      <c r="G49" s="660"/>
    </row>
    <row r="50" spans="2:7" x14ac:dyDescent="0.2">
      <c r="B50" s="658"/>
      <c r="C50" s="665"/>
      <c r="D50" s="669" t="s">
        <v>1563</v>
      </c>
      <c r="E50" s="671">
        <v>-152.00463677122599</v>
      </c>
      <c r="F50" s="668"/>
      <c r="G50" s="660"/>
    </row>
    <row r="51" spans="2:7" ht="8.1" customHeight="1" x14ac:dyDescent="0.2">
      <c r="B51" s="658"/>
      <c r="C51" s="665"/>
      <c r="D51" s="673"/>
      <c r="E51" s="659"/>
      <c r="F51" s="668"/>
      <c r="G51" s="660"/>
    </row>
    <row r="52" spans="2:7" ht="15.75" x14ac:dyDescent="0.25">
      <c r="B52" s="658"/>
      <c r="C52" s="665"/>
      <c r="D52" s="676" t="s">
        <v>1035</v>
      </c>
      <c r="E52" s="675">
        <f>$E$16</f>
        <v>45.298333333333332</v>
      </c>
      <c r="F52" s="668"/>
      <c r="G52" s="660"/>
    </row>
    <row r="53" spans="2:7" ht="8.1" customHeight="1" x14ac:dyDescent="0.2">
      <c r="B53" s="658"/>
      <c r="C53" s="665"/>
      <c r="D53" s="673"/>
      <c r="E53" s="659"/>
      <c r="F53" s="668"/>
      <c r="G53" s="660"/>
    </row>
    <row r="54" spans="2:7" ht="15.75" x14ac:dyDescent="0.25">
      <c r="B54" s="658"/>
      <c r="C54" s="665"/>
      <c r="D54" s="676" t="s">
        <v>1565</v>
      </c>
      <c r="E54" s="675">
        <f>$E$16</f>
        <v>45.298333333333332</v>
      </c>
      <c r="F54" s="668"/>
      <c r="G54" s="660"/>
    </row>
    <row r="55" spans="2:7" ht="8.1" customHeight="1" x14ac:dyDescent="0.2">
      <c r="B55" s="658"/>
      <c r="C55" s="665"/>
      <c r="D55" s="673"/>
      <c r="E55" s="659"/>
      <c r="F55" s="668"/>
      <c r="G55" s="660"/>
    </row>
    <row r="56" spans="2:7" ht="15.75" x14ac:dyDescent="0.25">
      <c r="B56" s="658"/>
      <c r="C56" s="665"/>
      <c r="D56" s="676" t="s">
        <v>1566</v>
      </c>
      <c r="E56" s="675">
        <f>$E$16</f>
        <v>45.298333333333332</v>
      </c>
      <c r="F56" s="668"/>
      <c r="G56" s="660"/>
    </row>
    <row r="57" spans="2:7" ht="8.1" customHeight="1" x14ac:dyDescent="0.2">
      <c r="B57" s="658"/>
      <c r="C57" s="665"/>
      <c r="D57" s="673"/>
      <c r="E57" s="659"/>
      <c r="F57" s="668"/>
      <c r="G57" s="660"/>
    </row>
    <row r="58" spans="2:7" ht="15.75" x14ac:dyDescent="0.25">
      <c r="B58" s="658"/>
      <c r="C58" s="665"/>
      <c r="D58" s="676" t="s">
        <v>1567</v>
      </c>
      <c r="E58" s="675">
        <f>$E$16</f>
        <v>45.298333333333332</v>
      </c>
      <c r="F58" s="668"/>
      <c r="G58" s="660"/>
    </row>
    <row r="59" spans="2:7" ht="8.1" customHeight="1" x14ac:dyDescent="0.2">
      <c r="B59" s="658"/>
      <c r="C59" s="665"/>
      <c r="D59" s="673"/>
      <c r="E59" s="659"/>
      <c r="F59" s="668"/>
      <c r="G59" s="660"/>
    </row>
    <row r="60" spans="2:7" ht="15.75" outlineLevel="1" x14ac:dyDescent="0.25">
      <c r="B60" s="658"/>
      <c r="C60" s="665"/>
      <c r="D60" s="676" t="s">
        <v>1568</v>
      </c>
      <c r="E60" s="675">
        <v>0</v>
      </c>
      <c r="F60" s="668"/>
      <c r="G60" s="660"/>
    </row>
    <row r="61" spans="2:7" ht="8.1" customHeight="1" outlineLevel="1" x14ac:dyDescent="0.2">
      <c r="B61" s="658"/>
      <c r="C61" s="665"/>
      <c r="D61" s="673"/>
      <c r="E61" s="659"/>
      <c r="F61" s="668"/>
      <c r="G61" s="660"/>
    </row>
    <row r="62" spans="2:7" ht="15.75" x14ac:dyDescent="0.25">
      <c r="B62" s="658"/>
      <c r="C62" s="665"/>
      <c r="D62" s="676" t="s">
        <v>1569</v>
      </c>
      <c r="E62" s="675">
        <f>$E$16</f>
        <v>45.298333333333332</v>
      </c>
      <c r="F62" s="668"/>
      <c r="G62" s="660"/>
    </row>
    <row r="63" spans="2:7" ht="8.1" customHeight="1" x14ac:dyDescent="0.2">
      <c r="B63" s="658"/>
      <c r="C63" s="665"/>
      <c r="D63" s="673"/>
      <c r="E63" s="659"/>
      <c r="F63" s="668"/>
      <c r="G63" s="660"/>
    </row>
    <row r="64" spans="2:7" ht="15.75" x14ac:dyDescent="0.25">
      <c r="B64" s="658"/>
      <c r="C64" s="665"/>
      <c r="D64" s="676" t="s">
        <v>1570</v>
      </c>
      <c r="E64" s="675">
        <f>$E$16</f>
        <v>45.298333333333332</v>
      </c>
      <c r="F64" s="668"/>
      <c r="G64" s="660"/>
    </row>
    <row r="65" spans="2:7" ht="8.1" customHeight="1" x14ac:dyDescent="0.2">
      <c r="B65" s="658"/>
      <c r="C65" s="665"/>
      <c r="D65" s="673"/>
      <c r="E65" s="659"/>
      <c r="F65" s="668"/>
      <c r="G65" s="660"/>
    </row>
    <row r="66" spans="2:7" ht="15.75" x14ac:dyDescent="0.25">
      <c r="B66" s="658"/>
      <c r="C66" s="665"/>
      <c r="D66" s="676" t="s">
        <v>1571</v>
      </c>
      <c r="E66" s="675">
        <v>88.649999999999991</v>
      </c>
      <c r="F66" s="668"/>
      <c r="G66" s="660"/>
    </row>
    <row r="67" spans="2:7" ht="8.1" customHeight="1" x14ac:dyDescent="0.2">
      <c r="B67" s="658"/>
      <c r="C67" s="665"/>
      <c r="D67" s="673"/>
      <c r="E67" s="659"/>
      <c r="F67" s="668"/>
      <c r="G67" s="660"/>
    </row>
    <row r="68" spans="2:7" ht="15.75" x14ac:dyDescent="0.25">
      <c r="B68" s="658"/>
      <c r="C68" s="665"/>
      <c r="D68" s="676" t="s">
        <v>1572</v>
      </c>
      <c r="E68" s="675">
        <f>$E$16</f>
        <v>45.298333333333332</v>
      </c>
      <c r="F68" s="668"/>
      <c r="G68" s="660"/>
    </row>
    <row r="69" spans="2:7" ht="8.1" customHeight="1" x14ac:dyDescent="0.2">
      <c r="B69" s="658"/>
      <c r="C69" s="665"/>
      <c r="D69" s="673"/>
      <c r="E69" s="659"/>
      <c r="F69" s="668"/>
      <c r="G69" s="660"/>
    </row>
    <row r="70" spans="2:7" ht="15.75" x14ac:dyDescent="0.25">
      <c r="B70" s="658"/>
      <c r="C70" s="665"/>
      <c r="D70" s="676" t="s">
        <v>2595</v>
      </c>
      <c r="E70" s="675">
        <v>39.803821524307487</v>
      </c>
      <c r="F70" s="668"/>
      <c r="G70" s="660"/>
    </row>
    <row r="71" spans="2:7" ht="8.1" customHeight="1" x14ac:dyDescent="0.2">
      <c r="B71" s="658"/>
      <c r="C71" s="665"/>
      <c r="D71" s="673"/>
      <c r="E71" s="659"/>
      <c r="F71" s="668"/>
      <c r="G71" s="660"/>
    </row>
    <row r="72" spans="2:7" ht="15.75" x14ac:dyDescent="0.25">
      <c r="B72" s="658"/>
      <c r="C72" s="665"/>
      <c r="D72" s="676" t="s">
        <v>2596</v>
      </c>
      <c r="E72" s="675">
        <v>34.949170045269938</v>
      </c>
      <c r="F72" s="668"/>
      <c r="G72" s="660"/>
    </row>
    <row r="73" spans="2:7" ht="8.1" customHeight="1" x14ac:dyDescent="0.2">
      <c r="B73" s="658"/>
      <c r="C73" s="665"/>
      <c r="D73" s="673"/>
      <c r="E73" s="659"/>
      <c r="F73" s="668"/>
      <c r="G73" s="660"/>
    </row>
    <row r="74" spans="2:7" ht="15.75" x14ac:dyDescent="0.25">
      <c r="B74" s="658"/>
      <c r="C74" s="665"/>
      <c r="D74" s="676" t="s">
        <v>1603</v>
      </c>
      <c r="E74" s="675">
        <v>67.158413809956485</v>
      </c>
      <c r="F74" s="668"/>
      <c r="G74" s="660"/>
    </row>
    <row r="75" spans="2:7" ht="8.1" customHeight="1" outlineLevel="1" x14ac:dyDescent="0.2">
      <c r="B75" s="658"/>
      <c r="C75" s="665"/>
      <c r="D75" s="673"/>
      <c r="E75" s="659"/>
      <c r="F75" s="668"/>
      <c r="G75" s="660"/>
    </row>
    <row r="76" spans="2:7" ht="15.75" outlineLevel="1" x14ac:dyDescent="0.25">
      <c r="B76" s="658"/>
      <c r="C76" s="665"/>
      <c r="D76" s="676" t="s">
        <v>2597</v>
      </c>
      <c r="E76" s="675">
        <v>0</v>
      </c>
      <c r="F76" s="668"/>
      <c r="G76" s="660"/>
    </row>
    <row r="77" spans="2:7" ht="8.1" customHeight="1" outlineLevel="1" x14ac:dyDescent="0.2">
      <c r="B77" s="658"/>
      <c r="C77" s="665"/>
      <c r="D77" s="673"/>
      <c r="E77" s="659"/>
      <c r="F77" s="668"/>
      <c r="G77" s="660"/>
    </row>
    <row r="78" spans="2:7" ht="15.75" outlineLevel="1" x14ac:dyDescent="0.25">
      <c r="B78" s="658"/>
      <c r="C78" s="665"/>
      <c r="D78" s="676" t="s">
        <v>2598</v>
      </c>
      <c r="E78" s="675">
        <v>0</v>
      </c>
      <c r="F78" s="668"/>
      <c r="G78" s="660"/>
    </row>
    <row r="79" spans="2:7" ht="8.1" customHeight="1" x14ac:dyDescent="0.2">
      <c r="B79" s="658"/>
      <c r="C79" s="677"/>
      <c r="D79" s="678"/>
      <c r="E79" s="678"/>
      <c r="F79" s="679"/>
      <c r="G79" s="660"/>
    </row>
    <row r="80" spans="2:7" ht="8.1" customHeight="1" x14ac:dyDescent="0.2">
      <c r="B80" s="680"/>
      <c r="C80" s="681"/>
      <c r="D80" s="681"/>
      <c r="E80" s="681"/>
      <c r="F80" s="681"/>
      <c r="G80" s="682"/>
    </row>
    <row r="81" spans="2:7" x14ac:dyDescent="0.2">
      <c r="B81" s="651"/>
      <c r="C81" s="651"/>
      <c r="D81" s="651"/>
      <c r="E81" s="651"/>
      <c r="F81" s="651"/>
      <c r="G81" s="651"/>
    </row>
  </sheetData>
  <pageMargins left="0.7" right="0.7" top="0.75" bottom="0.75" header="0.3" footer="0.3"/>
  <pageSetup scale="7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zoomScaleNormal="100" workbookViewId="0">
      <pane xSplit="1" ySplit="3" topLeftCell="B4" activePane="bottomRight" state="frozen"/>
      <selection activeCell="A28" sqref="A28"/>
      <selection pane="topRight" activeCell="A28" sqref="A28"/>
      <selection pane="bottomLeft" activeCell="A28" sqref="A28"/>
      <selection pane="bottomRight" activeCell="D32" sqref="D32"/>
    </sheetView>
  </sheetViews>
  <sheetFormatPr defaultColWidth="9" defaultRowHeight="15" x14ac:dyDescent="0.25"/>
  <cols>
    <col min="1" max="1" width="38" style="706" customWidth="1"/>
    <col min="2" max="2" width="14.6640625" style="705" customWidth="1"/>
    <col min="3" max="3" width="13.109375" style="705" customWidth="1"/>
    <col min="4" max="4" width="14.6640625" style="705" customWidth="1"/>
    <col min="5" max="16384" width="9" style="705"/>
  </cols>
  <sheetData>
    <row r="1" spans="1:2" s="703" customFormat="1" x14ac:dyDescent="0.25">
      <c r="A1" s="702"/>
    </row>
    <row r="2" spans="1:2" s="703" customFormat="1" x14ac:dyDescent="0.25">
      <c r="A2" s="702"/>
      <c r="B2" s="703" t="s">
        <v>2480</v>
      </c>
    </row>
    <row r="3" spans="1:2" s="703" customFormat="1" x14ac:dyDescent="0.25">
      <c r="A3" s="702"/>
    </row>
    <row r="4" spans="1:2" x14ac:dyDescent="0.25">
      <c r="A4" s="704" t="s">
        <v>2408</v>
      </c>
    </row>
    <row r="6" spans="1:2" x14ac:dyDescent="0.25">
      <c r="A6" s="706" t="s">
        <v>2409</v>
      </c>
    </row>
    <row r="7" spans="1:2" x14ac:dyDescent="0.25">
      <c r="A7" s="706" t="s">
        <v>2481</v>
      </c>
      <c r="B7" s="707">
        <v>24857.217745995731</v>
      </c>
    </row>
    <row r="8" spans="1:2" x14ac:dyDescent="0.25">
      <c r="A8" s="706" t="s">
        <v>2410</v>
      </c>
      <c r="B8" s="707">
        <f>B36</f>
        <v>2.9695068393167197</v>
      </c>
    </row>
    <row r="9" spans="1:2" x14ac:dyDescent="0.25">
      <c r="A9" s="706" t="s">
        <v>2411</v>
      </c>
      <c r="B9" s="707">
        <f>SUM(B7:B8)</f>
        <v>24860.187252835047</v>
      </c>
    </row>
    <row r="10" spans="1:2" x14ac:dyDescent="0.25">
      <c r="B10" s="707"/>
    </row>
    <row r="11" spans="1:2" x14ac:dyDescent="0.25">
      <c r="A11" s="706" t="s">
        <v>1242</v>
      </c>
      <c r="B11" s="707">
        <v>12585.764562653359</v>
      </c>
    </row>
    <row r="12" spans="1:2" x14ac:dyDescent="0.25">
      <c r="A12" s="706" t="s">
        <v>915</v>
      </c>
      <c r="B12" s="707">
        <v>12271.45318334235</v>
      </c>
    </row>
    <row r="13" spans="1:2" x14ac:dyDescent="0.25">
      <c r="A13" s="706" t="s">
        <v>2412</v>
      </c>
      <c r="B13" s="707">
        <v>0</v>
      </c>
    </row>
    <row r="14" spans="1:2" x14ac:dyDescent="0.25">
      <c r="A14" s="706" t="s">
        <v>2413</v>
      </c>
      <c r="B14" s="707">
        <f>B36</f>
        <v>2.9695068393167197</v>
      </c>
    </row>
    <row r="15" spans="1:2" x14ac:dyDescent="0.25">
      <c r="B15" s="707">
        <f>SUM(B11:B14)</f>
        <v>24860.187252835025</v>
      </c>
    </row>
    <row r="17" spans="1:4" x14ac:dyDescent="0.25">
      <c r="A17" s="704" t="s">
        <v>2414</v>
      </c>
      <c r="D17" s="705">
        <v>0</v>
      </c>
    </row>
    <row r="18" spans="1:4" x14ac:dyDescent="0.25">
      <c r="D18" s="705">
        <v>0</v>
      </c>
    </row>
    <row r="19" spans="1:4" x14ac:dyDescent="0.25">
      <c r="A19" s="706" t="s">
        <v>2409</v>
      </c>
      <c r="D19" s="705">
        <v>0</v>
      </c>
    </row>
    <row r="20" spans="1:4" x14ac:dyDescent="0.25">
      <c r="A20" s="706" t="s">
        <v>1244</v>
      </c>
      <c r="B20" s="602">
        <v>627615.3213125203</v>
      </c>
      <c r="D20" s="705">
        <v>0</v>
      </c>
    </row>
    <row r="21" spans="1:4" x14ac:dyDescent="0.25">
      <c r="A21" s="706" t="s">
        <v>1365</v>
      </c>
      <c r="B21" s="602">
        <v>399084.02275055635</v>
      </c>
    </row>
    <row r="22" spans="1:4" x14ac:dyDescent="0.25">
      <c r="A22" s="706" t="s">
        <v>1245</v>
      </c>
      <c r="B22" s="602">
        <v>424467.89024351607</v>
      </c>
    </row>
    <row r="23" spans="1:4" x14ac:dyDescent="0.25">
      <c r="A23" s="706" t="s">
        <v>1248</v>
      </c>
      <c r="B23" s="602">
        <v>13142.540284420729</v>
      </c>
    </row>
    <row r="24" spans="1:4" x14ac:dyDescent="0.25">
      <c r="A24" s="706" t="s">
        <v>1249</v>
      </c>
      <c r="B24" s="602">
        <v>124371.1068708469</v>
      </c>
    </row>
    <row r="25" spans="1:4" x14ac:dyDescent="0.25">
      <c r="A25" s="706" t="s">
        <v>2411</v>
      </c>
      <c r="B25" s="707">
        <f>SUM(B20:B24)</f>
        <v>1588680.8814618604</v>
      </c>
    </row>
    <row r="26" spans="1:4" x14ac:dyDescent="0.25">
      <c r="B26" s="707">
        <v>0</v>
      </c>
    </row>
    <row r="27" spans="1:4" x14ac:dyDescent="0.25">
      <c r="B27" s="707">
        <v>0</v>
      </c>
    </row>
    <row r="28" spans="1:4" x14ac:dyDescent="0.25">
      <c r="A28" s="704" t="s">
        <v>2415</v>
      </c>
      <c r="B28" s="707"/>
    </row>
    <row r="29" spans="1:4" x14ac:dyDescent="0.25">
      <c r="B29" s="707"/>
    </row>
    <row r="30" spans="1:4" x14ac:dyDescent="0.25">
      <c r="A30" s="706" t="s">
        <v>2409</v>
      </c>
      <c r="B30" s="707"/>
    </row>
    <row r="31" spans="1:4" x14ac:dyDescent="0.25">
      <c r="A31" s="706" t="s">
        <v>1244</v>
      </c>
      <c r="B31" s="707">
        <v>38164.935556661541</v>
      </c>
    </row>
    <row r="32" spans="1:4" x14ac:dyDescent="0.25">
      <c r="A32" s="706" t="s">
        <v>1365</v>
      </c>
      <c r="B32" s="707">
        <v>17861.574983751339</v>
      </c>
    </row>
    <row r="33" spans="1:3" x14ac:dyDescent="0.25">
      <c r="A33" s="706" t="s">
        <v>1245</v>
      </c>
      <c r="B33" s="707">
        <v>8123.7924423589657</v>
      </c>
    </row>
    <row r="34" spans="1:3" x14ac:dyDescent="0.25">
      <c r="A34" s="706" t="s">
        <v>1248</v>
      </c>
      <c r="B34" s="707">
        <v>454.19612501159054</v>
      </c>
    </row>
    <row r="35" spans="1:3" x14ac:dyDescent="0.25">
      <c r="A35" s="706" t="s">
        <v>1249</v>
      </c>
      <c r="B35" s="707">
        <v>6562.7040055904745</v>
      </c>
    </row>
    <row r="36" spans="1:3" x14ac:dyDescent="0.25">
      <c r="A36" s="706" t="s">
        <v>2410</v>
      </c>
      <c r="B36" s="707">
        <v>2.9695068393167197</v>
      </c>
    </row>
    <row r="37" spans="1:3" x14ac:dyDescent="0.25">
      <c r="A37" s="706" t="s">
        <v>2411</v>
      </c>
      <c r="B37" s="707">
        <f>SUM(B31:B36)-B36</f>
        <v>71167.203113373922</v>
      </c>
      <c r="C37" s="705" t="s">
        <v>2416</v>
      </c>
    </row>
    <row r="39" spans="1:3" x14ac:dyDescent="0.25">
      <c r="B39" s="707">
        <f>B25+B37</f>
        <v>1659848.0845752342</v>
      </c>
    </row>
    <row r="40" spans="1:3" x14ac:dyDescent="0.25">
      <c r="A40" s="704"/>
      <c r="B40" s="707">
        <f>IS!N37</f>
        <v>1659848.0845752321</v>
      </c>
      <c r="C40" s="706" t="s">
        <v>1743</v>
      </c>
    </row>
    <row r="41" spans="1:3" x14ac:dyDescent="0.25">
      <c r="B41" s="707">
        <f>B39-B40</f>
        <v>2.0954757928848267E-9</v>
      </c>
    </row>
    <row r="43" spans="1:3" x14ac:dyDescent="0.25">
      <c r="B43" s="705">
        <f>B39*1000</f>
        <v>1659848084.5752342</v>
      </c>
    </row>
    <row r="45" spans="1:3" x14ac:dyDescent="0.25">
      <c r="A45" s="704"/>
    </row>
    <row r="46" spans="1:3" x14ac:dyDescent="0.25">
      <c r="C46" s="708"/>
    </row>
    <row r="47" spans="1:3" x14ac:dyDescent="0.25">
      <c r="C47" s="708"/>
    </row>
    <row r="48" spans="1:3" x14ac:dyDescent="0.25">
      <c r="C48" s="708"/>
    </row>
    <row r="49" spans="3:3" x14ac:dyDescent="0.25">
      <c r="C49" s="708"/>
    </row>
    <row r="50" spans="3:3" x14ac:dyDescent="0.25">
      <c r="C50" s="708"/>
    </row>
    <row r="51" spans="3:3" x14ac:dyDescent="0.25">
      <c r="C51" s="708"/>
    </row>
    <row r="52" spans="3:3" x14ac:dyDescent="0.25">
      <c r="C52" s="708"/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200</vt:i4>
      </vt:variant>
    </vt:vector>
  </HeadingPairs>
  <TitlesOfParts>
    <vt:vector size="229" baseType="lpstr">
      <vt:lpstr>TOTALCO</vt:lpstr>
      <vt:lpstr>Print Layout</vt:lpstr>
      <vt:lpstr>KY-CWC</vt:lpstr>
      <vt:lpstr>KY-CWC-BS</vt:lpstr>
      <vt:lpstr>VA-CWC</vt:lpstr>
      <vt:lpstr>VA-CWC-BS</vt:lpstr>
      <vt:lpstr>Lead Lag Days</vt:lpstr>
      <vt:lpstr>Revenues</vt:lpstr>
      <vt:lpstr>MiscRev</vt:lpstr>
      <vt:lpstr>PIS</vt:lpstr>
      <vt:lpstr>FCPIS</vt:lpstr>
      <vt:lpstr>IS</vt:lpstr>
      <vt:lpstr>BS</vt:lpstr>
      <vt:lpstr>PHFU</vt:lpstr>
      <vt:lpstr>VA500KV</vt:lpstr>
      <vt:lpstr>AFUDC</vt:lpstr>
      <vt:lpstr>RWIP Allocation</vt:lpstr>
      <vt:lpstr>CWIP and AFUDC</vt:lpstr>
      <vt:lpstr>FC CWIP &amp; RWIP</vt:lpstr>
      <vt:lpstr>AFUDC Depr AccDepr</vt:lpstr>
      <vt:lpstr>O&amp;M</vt:lpstr>
      <vt:lpstr>FC O&amp;M</vt:lpstr>
      <vt:lpstr>Refined Coal-Coal Yard Services</vt:lpstr>
      <vt:lpstr>Outage Maint COS Support</vt:lpstr>
      <vt:lpstr>Outage Maintenance</vt:lpstr>
      <vt:lpstr>BR Reg Asset</vt:lpstr>
      <vt:lpstr>M&amp;S</vt:lpstr>
      <vt:lpstr>Inv Alloc</vt:lpstr>
      <vt:lpstr>Inv Org</vt:lpstr>
      <vt:lpstr>A_GEXP</vt:lpstr>
      <vt:lpstr>ADITPP</vt:lpstr>
      <vt:lpstr>ADITTP</vt:lpstr>
      <vt:lpstr>AFUDC</vt:lpstr>
      <vt:lpstr>AFUDC_FERC</vt:lpstr>
      <vt:lpstr>CUST369K</vt:lpstr>
      <vt:lpstr>CUST369T</vt:lpstr>
      <vt:lpstr>CUST369V</vt:lpstr>
      <vt:lpstr>CUST370K</vt:lpstr>
      <vt:lpstr>CUST370T</vt:lpstr>
      <vt:lpstr>CUST370V</vt:lpstr>
      <vt:lpstr>CUST371K</vt:lpstr>
      <vt:lpstr>CUST371T</vt:lpstr>
      <vt:lpstr>CUST371V</vt:lpstr>
      <vt:lpstr>CUST373K</vt:lpstr>
      <vt:lpstr>CUST373V</vt:lpstr>
      <vt:lpstr>CUST902</vt:lpstr>
      <vt:lpstr>CUST903</vt:lpstr>
      <vt:lpstr>CUST904</vt:lpstr>
      <vt:lpstr>CUST908</vt:lpstr>
      <vt:lpstr>CUST909</vt:lpstr>
      <vt:lpstr>CUST912</vt:lpstr>
      <vt:lpstr>CUST913</vt:lpstr>
      <vt:lpstr>CUSTADV</vt:lpstr>
      <vt:lpstr>CUSTANN</vt:lpstr>
      <vt:lpstr>CUSTDEP</vt:lpstr>
      <vt:lpstr>CUSTDEPI</vt:lpstr>
      <vt:lpstr>CUSTSER</vt:lpstr>
      <vt:lpstr>CWIPTP</vt:lpstr>
      <vt:lpstr>DEM360FU</vt:lpstr>
      <vt:lpstr>DEM360K</vt:lpstr>
      <vt:lpstr>DEM360T</vt:lpstr>
      <vt:lpstr>DEM360V</vt:lpstr>
      <vt:lpstr>DEM361K</vt:lpstr>
      <vt:lpstr>DEM361T</vt:lpstr>
      <vt:lpstr>DEM361V</vt:lpstr>
      <vt:lpstr>DEM362K</vt:lpstr>
      <vt:lpstr>DEM362T</vt:lpstr>
      <vt:lpstr>DEM362V</vt:lpstr>
      <vt:lpstr>DEM3645K</vt:lpstr>
      <vt:lpstr>DEM3645V</vt:lpstr>
      <vt:lpstr>DEM364K</vt:lpstr>
      <vt:lpstr>DEM364T</vt:lpstr>
      <vt:lpstr>DEM364V</vt:lpstr>
      <vt:lpstr>DEM365K</vt:lpstr>
      <vt:lpstr>DEM365T</vt:lpstr>
      <vt:lpstr>DEM365V</vt:lpstr>
      <vt:lpstr>DEM3667K</vt:lpstr>
      <vt:lpstr>DEM3667V</vt:lpstr>
      <vt:lpstr>DEM366K</vt:lpstr>
      <vt:lpstr>DEM367K</vt:lpstr>
      <vt:lpstr>DEM367V</vt:lpstr>
      <vt:lpstr>DEM368K</vt:lpstr>
      <vt:lpstr>DEM368T</vt:lpstr>
      <vt:lpstr>DEM368V</vt:lpstr>
      <vt:lpstr>DEM374K</vt:lpstr>
      <vt:lpstr>DEMFERC</vt:lpstr>
      <vt:lpstr>DEMFERCP</vt:lpstr>
      <vt:lpstr>DEMFERCT</vt:lpstr>
      <vt:lpstr>DEMPROD</vt:lpstr>
      <vt:lpstr>DEMPRODNV</vt:lpstr>
      <vt:lpstr>DEMTENND</vt:lpstr>
      <vt:lpstr>DEMTRAN</vt:lpstr>
      <vt:lpstr>DEMTRANNF</vt:lpstr>
      <vt:lpstr>DEMTRANNVF</vt:lpstr>
      <vt:lpstr>DEMVA</vt:lpstr>
      <vt:lpstr>DFUELVA</vt:lpstr>
      <vt:lpstr>DIR203E</vt:lpstr>
      <vt:lpstr>DIR360FU</vt:lpstr>
      <vt:lpstr>DIR361K</vt:lpstr>
      <vt:lpstr>DIR362K</vt:lpstr>
      <vt:lpstr>DIR364K</vt:lpstr>
      <vt:lpstr>DIR365K</vt:lpstr>
      <vt:lpstr>DIR366K</vt:lpstr>
      <vt:lpstr>DIR367K</vt:lpstr>
      <vt:lpstr>DIR368K</vt:lpstr>
      <vt:lpstr>DIR450REV</vt:lpstr>
      <vt:lpstr>DIR451OTH</vt:lpstr>
      <vt:lpstr>DIR451REC</vt:lpstr>
      <vt:lpstr>DIR454REV</vt:lpstr>
      <vt:lpstr>DIR456CHK</vt:lpstr>
      <vt:lpstr>DIR456FAC</vt:lpstr>
      <vt:lpstr>DIR456OTH</vt:lpstr>
      <vt:lpstr>DIRACDEP</vt:lpstr>
      <vt:lpstr>DIRACDFTX</vt:lpstr>
      <vt:lpstr>DIRACITC</vt:lpstr>
      <vt:lpstr>DIRCWIP</vt:lpstr>
      <vt:lpstr>DIRITCADJ</vt:lpstr>
      <vt:lpstr>DIRSE</vt:lpstr>
      <vt:lpstr>DISTPLT</vt:lpstr>
      <vt:lpstr>DISTPLTKF</vt:lpstr>
      <vt:lpstr>DPLTXVA</vt:lpstr>
      <vt:lpstr>DPRODKY</vt:lpstr>
      <vt:lpstr>DPRODVA</vt:lpstr>
      <vt:lpstr>ENERGY</vt:lpstr>
      <vt:lpstr>ENERGY1</vt:lpstr>
      <vt:lpstr>EXP5017STM</vt:lpstr>
      <vt:lpstr>EXP5114STM</vt:lpstr>
      <vt:lpstr>EXP5360HYD</vt:lpstr>
      <vt:lpstr>EXP5425HYD</vt:lpstr>
      <vt:lpstr>EXP5479OTH</vt:lpstr>
      <vt:lpstr>EXP5524OTH</vt:lpstr>
      <vt:lpstr>EXP5627TX</vt:lpstr>
      <vt:lpstr>EXP5693TX</vt:lpstr>
      <vt:lpstr>EXP5829DIS</vt:lpstr>
      <vt:lpstr>EXP5918DIS</vt:lpstr>
      <vt:lpstr>EXP9024CA</vt:lpstr>
      <vt:lpstr>EXP9025CA</vt:lpstr>
      <vt:lpstr>EXP9080CS</vt:lpstr>
      <vt:lpstr>EXP9089CS</vt:lpstr>
      <vt:lpstr>EXP9123SA</vt:lpstr>
      <vt:lpstr>EXP9126SA</vt:lpstr>
      <vt:lpstr>EXP9245TOT</vt:lpstr>
      <vt:lpstr>EXP930A</vt:lpstr>
      <vt:lpstr>GENPLT</vt:lpstr>
      <vt:lpstr>HYDPLT</vt:lpstr>
      <vt:lpstr>HYDSYS</vt:lpstr>
      <vt:lpstr>INTTOTCO</vt:lpstr>
      <vt:lpstr>KURETPLT</vt:lpstr>
      <vt:lpstr>KYDIST</vt:lpstr>
      <vt:lpstr>KYTRPLT</vt:lpstr>
      <vt:lpstr>KYTRPLTXF</vt:lpstr>
      <vt:lpstr>LABCA</vt:lpstr>
      <vt:lpstr>LABCS</vt:lpstr>
      <vt:lpstr>LABDISMN</vt:lpstr>
      <vt:lpstr>LABDISOP</vt:lpstr>
      <vt:lpstr>LABHYDMN</vt:lpstr>
      <vt:lpstr>LABHYDOP</vt:lpstr>
      <vt:lpstr>LABOR</vt:lpstr>
      <vt:lpstr>LABORXF</vt:lpstr>
      <vt:lpstr>LABOTHMN</vt:lpstr>
      <vt:lpstr>LABOTHOP</vt:lpstr>
      <vt:lpstr>LABPTDFER</vt:lpstr>
      <vt:lpstr>LABPTDKY</vt:lpstr>
      <vt:lpstr>LABPTDVAJ</vt:lpstr>
      <vt:lpstr>LABPTDVNJ</vt:lpstr>
      <vt:lpstr>LABSA</vt:lpstr>
      <vt:lpstr>LABSTMMN</vt:lpstr>
      <vt:lpstr>LABSTMOP</vt:lpstr>
      <vt:lpstr>LABTRMN</vt:lpstr>
      <vt:lpstr>LABTROP</vt:lpstr>
      <vt:lpstr>M_S</vt:lpstr>
      <vt:lpstr>NETPLANT</vt:lpstr>
      <vt:lpstr>OTHPLT</vt:lpstr>
      <vt:lpstr>OTHSYS</vt:lpstr>
      <vt:lpstr>PLANT</vt:lpstr>
      <vt:lpstr>PLANTKF</vt:lpstr>
      <vt:lpstr>PLANTKY</vt:lpstr>
      <vt:lpstr>PLANTVA</vt:lpstr>
      <vt:lpstr>PLT302TOT</vt:lpstr>
      <vt:lpstr>PLT303TOT</vt:lpstr>
      <vt:lpstr>PLT3602TOT</vt:lpstr>
      <vt:lpstr>PLT3645TOT</vt:lpstr>
      <vt:lpstr>PLT3667TOT</vt:lpstr>
      <vt:lpstr>PLT368TOT</vt:lpstr>
      <vt:lpstr>PLT370TOT</vt:lpstr>
      <vt:lpstr>PLT371TOT</vt:lpstr>
      <vt:lpstr>PLT373TOT</vt:lpstr>
      <vt:lpstr>AFUDC!Print_Area</vt:lpstr>
      <vt:lpstr>'AFUDC Depr AccDepr'!Print_Area</vt:lpstr>
      <vt:lpstr>'CWIP and AFUDC'!Print_Area</vt:lpstr>
      <vt:lpstr>'KY-CWC-BS'!Print_Area</vt:lpstr>
      <vt:lpstr>'M&amp;S'!Print_Area</vt:lpstr>
      <vt:lpstr>'O&amp;M'!Print_Area</vt:lpstr>
      <vt:lpstr>PHFU!Print_Area</vt:lpstr>
      <vt:lpstr>'Print Layout'!Print_Area</vt:lpstr>
      <vt:lpstr>'RWIP Allocation'!Print_Area</vt:lpstr>
      <vt:lpstr>TOTALCO!Print_Area</vt:lpstr>
      <vt:lpstr>'VA-CWC-BS'!Print_Area</vt:lpstr>
      <vt:lpstr>TOTALCO!Print_Area_MI</vt:lpstr>
      <vt:lpstr>'O&amp;M'!Print_Titles</vt:lpstr>
      <vt:lpstr>PIS!Print_Titles</vt:lpstr>
      <vt:lpstr>'Print Layout'!Print_Titles</vt:lpstr>
      <vt:lpstr>TOTALCO!Print_Titles</vt:lpstr>
      <vt:lpstr>TOTALCO!Print_Titles_MI</vt:lpstr>
      <vt:lpstr>PRODPLT</vt:lpstr>
      <vt:lpstr>PRODSYS</vt:lpstr>
      <vt:lpstr>PTDCUSTLABOR</vt:lpstr>
      <vt:lpstr>PTDGPLT</vt:lpstr>
      <vt:lpstr>RATEBASE</vt:lpstr>
      <vt:lpstr>REVENUE</vt:lpstr>
      <vt:lpstr>REVENUEX</vt:lpstr>
      <vt:lpstr>REVFERC</vt:lpstr>
      <vt:lpstr>REVKY</vt:lpstr>
      <vt:lpstr>REVNJVA</vt:lpstr>
      <vt:lpstr>REVVA</vt:lpstr>
      <vt:lpstr>SEREV</vt:lpstr>
      <vt:lpstr>STATE203E</vt:lpstr>
      <vt:lpstr>STMPLT</vt:lpstr>
      <vt:lpstr>STMSYS</vt:lpstr>
      <vt:lpstr>TAX203E</vt:lpstr>
      <vt:lpstr>TNDIST</vt:lpstr>
      <vt:lpstr>TRANPLT</vt:lpstr>
      <vt:lpstr>TRANPLTX</vt:lpstr>
      <vt:lpstr>TRANPLTXF</vt:lpstr>
      <vt:lpstr>TRDSPLT</vt:lpstr>
      <vt:lpstr>TRPLTVA</vt:lpstr>
      <vt:lpstr>VADIST</vt:lpstr>
      <vt:lpstr>VATRPLT</vt:lpstr>
      <vt:lpstr>VATRPLTN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2018-11-16T19:26:43Z</dcterms:created>
  <dcterms:modified xsi:type="dcterms:W3CDTF">2019-02-13T22:12:21Z</dcterms:modified>
</cp:coreProperties>
</file>